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hanami\OneDrive - Sempra Energy\Documents\PPP Monthly Report\2022\"/>
    </mc:Choice>
  </mc:AlternateContent>
  <xr:revisionPtr revIDLastSave="0" documentId="13_ncr:1_{47A5E090-2CB1-4268-8557-DEA82C832122}" xr6:coauthVersionLast="47" xr6:coauthVersionMax="47" xr10:uidLastSave="{00000000-0000-0000-0000-000000000000}"/>
  <bookViews>
    <workbookView xWindow="-120" yWindow="-120" windowWidth="29040" windowHeight="15840" tabRatio="773" firstSheet="2" activeTab="2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63" i="6" l="1"/>
  <c r="F307" i="6"/>
  <c r="F232" i="6"/>
  <c r="F164" i="6"/>
  <c r="F88" i="6"/>
  <c r="F8" i="6"/>
  <c r="N142" i="6"/>
  <c r="N140" i="6"/>
  <c r="N141" i="6"/>
  <c r="F81" i="6"/>
  <c r="N79" i="6"/>
  <c r="N67" i="6"/>
  <c r="F43" i="6"/>
  <c r="N25" i="6"/>
  <c r="E21" i="5" l="1"/>
  <c r="N56" i="6" l="1"/>
  <c r="N55" i="6"/>
  <c r="N57" i="6"/>
  <c r="N34" i="6"/>
  <c r="N40" i="6"/>
  <c r="N41" i="6"/>
  <c r="N42" i="6"/>
  <c r="B43" i="6"/>
  <c r="C43" i="6"/>
  <c r="D43" i="6"/>
  <c r="E43" i="6"/>
  <c r="G43" i="6"/>
  <c r="H43" i="6"/>
  <c r="I43" i="6"/>
  <c r="J43" i="6"/>
  <c r="K43" i="6"/>
  <c r="L43" i="6"/>
  <c r="M43" i="6"/>
  <c r="C121" i="6" l="1"/>
  <c r="D157" i="6"/>
  <c r="B157" i="6"/>
  <c r="C157" i="6"/>
  <c r="D81" i="6" l="1"/>
  <c r="D8" i="6" s="1"/>
  <c r="E81" i="6"/>
  <c r="E8" i="6" s="1"/>
  <c r="G81" i="6"/>
  <c r="H81" i="6"/>
  <c r="I81" i="6"/>
  <c r="J81" i="6"/>
  <c r="K81" i="6"/>
  <c r="L81" i="6"/>
  <c r="M81" i="6"/>
  <c r="B81" i="6"/>
  <c r="C81" i="6"/>
  <c r="C8" i="6" l="1"/>
  <c r="C83" i="6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57" i="6" l="1"/>
  <c r="L157" i="6"/>
  <c r="K157" i="6"/>
  <c r="J157" i="6"/>
  <c r="J88" i="6" s="1"/>
  <c r="I157" i="6"/>
  <c r="H157" i="6"/>
  <c r="G157" i="6"/>
  <c r="F157" i="6"/>
  <c r="E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M121" i="6"/>
  <c r="M88" i="6" s="1"/>
  <c r="L121" i="6"/>
  <c r="K121" i="6"/>
  <c r="J121" i="6"/>
  <c r="I121" i="6"/>
  <c r="I88" i="6" s="1"/>
  <c r="H121" i="6"/>
  <c r="G121" i="6"/>
  <c r="F121" i="6"/>
  <c r="E121" i="6"/>
  <c r="E88" i="6" s="1"/>
  <c r="D121" i="6"/>
  <c r="D88" i="6" s="1"/>
  <c r="B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89" i="6"/>
  <c r="B195" i="6"/>
  <c r="B226" i="6"/>
  <c r="G88" i="6" l="1"/>
  <c r="G159" i="6" s="1"/>
  <c r="K88" i="6"/>
  <c r="K159" i="6" s="1"/>
  <c r="C88" i="6"/>
  <c r="C159" i="6" s="1"/>
  <c r="B88" i="6"/>
  <c r="B159" i="6" s="1"/>
  <c r="N121" i="6"/>
  <c r="F159" i="6"/>
  <c r="J159" i="6"/>
  <c r="B164" i="6"/>
  <c r="E159" i="6"/>
  <c r="I159" i="6"/>
  <c r="M159" i="6"/>
  <c r="N157" i="6"/>
  <c r="H88" i="6"/>
  <c r="H159" i="6" s="1"/>
  <c r="L88" i="6"/>
  <c r="L159" i="6" s="1"/>
  <c r="B8" i="6"/>
  <c r="N66" i="6"/>
  <c r="N27" i="6"/>
  <c r="N88" i="6" l="1"/>
  <c r="N159" i="6" s="1"/>
  <c r="D159" i="6"/>
  <c r="C17" i="5"/>
  <c r="D17" i="5"/>
  <c r="E17" i="5"/>
  <c r="F17" i="5"/>
  <c r="G17" i="5"/>
  <c r="H17" i="5"/>
  <c r="I17" i="5"/>
  <c r="J17" i="5"/>
  <c r="K17" i="5"/>
  <c r="L17" i="5"/>
  <c r="M17" i="5"/>
  <c r="C19" i="5"/>
  <c r="G19" i="5"/>
  <c r="H19" i="5"/>
  <c r="I19" i="5"/>
  <c r="J19" i="5"/>
  <c r="K19" i="5"/>
  <c r="L19" i="5"/>
  <c r="M19" i="5"/>
  <c r="N20" i="5"/>
  <c r="G20" i="5"/>
  <c r="H20" i="5"/>
  <c r="I20" i="5"/>
  <c r="J20" i="5"/>
  <c r="K20" i="5"/>
  <c r="L20" i="5"/>
  <c r="M20" i="5"/>
  <c r="C21" i="5"/>
  <c r="D21" i="5"/>
  <c r="G21" i="5"/>
  <c r="H21" i="5"/>
  <c r="I21" i="5"/>
  <c r="J21" i="5"/>
  <c r="K21" i="5"/>
  <c r="L21" i="5"/>
  <c r="M21" i="5"/>
  <c r="N61" i="6"/>
  <c r="N78" i="6"/>
  <c r="N77" i="6"/>
  <c r="N76" i="6"/>
  <c r="N74" i="6"/>
  <c r="N73" i="6"/>
  <c r="N72" i="6"/>
  <c r="N71" i="6"/>
  <c r="N70" i="6"/>
  <c r="N69" i="6"/>
  <c r="N68" i="6"/>
  <c r="N65" i="6"/>
  <c r="N64" i="6"/>
  <c r="N63" i="6"/>
  <c r="N62" i="6"/>
  <c r="N59" i="6"/>
  <c r="N54" i="6"/>
  <c r="N53" i="6"/>
  <c r="N52" i="6"/>
  <c r="N51" i="6"/>
  <c r="N50" i="6"/>
  <c r="N49" i="6"/>
  <c r="N48" i="6"/>
  <c r="N75" i="6"/>
  <c r="N47" i="6"/>
  <c r="N46" i="6"/>
  <c r="K8" i="6"/>
  <c r="K83" i="6" s="1"/>
  <c r="G8" i="6"/>
  <c r="G83" i="6" s="1"/>
  <c r="N38" i="6"/>
  <c r="N37" i="6"/>
  <c r="N36" i="6"/>
  <c r="N35" i="6"/>
  <c r="N33" i="6"/>
  <c r="N32" i="6"/>
  <c r="N31" i="6"/>
  <c r="N30" i="6"/>
  <c r="N29" i="6"/>
  <c r="N28" i="6"/>
  <c r="N26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9" i="6"/>
  <c r="J8" i="6"/>
  <c r="N43" i="6" l="1"/>
  <c r="N81" i="6"/>
  <c r="I8" i="6"/>
  <c r="I83" i="6" s="1"/>
  <c r="M8" i="6"/>
  <c r="M83" i="6" s="1"/>
  <c r="N19" i="5"/>
  <c r="F83" i="6"/>
  <c r="J83" i="6"/>
  <c r="B83" i="6"/>
  <c r="H8" i="6"/>
  <c r="H83" i="6" s="1"/>
  <c r="L8" i="6"/>
  <c r="L83" i="6" s="1"/>
  <c r="E83" i="6"/>
  <c r="G195" i="6"/>
  <c r="N8" i="6" l="1"/>
  <c r="N83" i="6" s="1"/>
  <c r="D83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269" i="6"/>
  <c r="C300" i="6"/>
  <c r="D300" i="6"/>
  <c r="E300" i="6"/>
  <c r="F300" i="6"/>
  <c r="G300" i="6"/>
  <c r="H300" i="6"/>
  <c r="I300" i="6"/>
  <c r="J300" i="6"/>
  <c r="K300" i="6"/>
  <c r="L300" i="6"/>
  <c r="M300" i="6"/>
  <c r="B300" i="6"/>
  <c r="N235" i="6"/>
  <c r="F226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198" i="6"/>
  <c r="N300" i="6" l="1"/>
  <c r="N226" i="6"/>
  <c r="E195" i="6" l="1"/>
  <c r="D195" i="6"/>
  <c r="E226" i="6"/>
  <c r="G226" i="6"/>
  <c r="G164" i="6" s="1"/>
  <c r="H226" i="6"/>
  <c r="I226" i="6"/>
  <c r="J226" i="6"/>
  <c r="K226" i="6"/>
  <c r="L226" i="6"/>
  <c r="M226" i="6"/>
  <c r="D226" i="6"/>
  <c r="E164" i="6" l="1"/>
  <c r="D164" i="6"/>
  <c r="B17" i="5" l="1"/>
  <c r="B357" i="6" l="1"/>
  <c r="B332" i="6"/>
  <c r="B307" i="6" s="1"/>
  <c r="D266" i="6"/>
  <c r="D232" i="6" s="1"/>
  <c r="E266" i="6"/>
  <c r="E232" i="6" s="1"/>
  <c r="F266" i="6"/>
  <c r="G266" i="6"/>
  <c r="G232" i="6" s="1"/>
  <c r="H266" i="6"/>
  <c r="H232" i="6" s="1"/>
  <c r="I266" i="6"/>
  <c r="I232" i="6" s="1"/>
  <c r="J266" i="6"/>
  <c r="J232" i="6" s="1"/>
  <c r="K266" i="6"/>
  <c r="K232" i="6" s="1"/>
  <c r="L266" i="6"/>
  <c r="L232" i="6" s="1"/>
  <c r="M266" i="6"/>
  <c r="M232" i="6" s="1"/>
  <c r="B266" i="6"/>
  <c r="B232" i="6" s="1"/>
  <c r="C266" i="6"/>
  <c r="C232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26" i="6"/>
  <c r="M195" i="6"/>
  <c r="M164" i="6" s="1"/>
  <c r="L195" i="6"/>
  <c r="L164" i="6" s="1"/>
  <c r="K195" i="6"/>
  <c r="K164" i="6" s="1"/>
  <c r="J195" i="6"/>
  <c r="J164" i="6" s="1"/>
  <c r="I195" i="6"/>
  <c r="I164" i="6" s="1"/>
  <c r="H195" i="6"/>
  <c r="H164" i="6" s="1"/>
  <c r="F195" i="6"/>
  <c r="C195" i="6"/>
  <c r="C164" i="6" s="1"/>
  <c r="B228" i="6"/>
  <c r="N188" i="6"/>
  <c r="N187" i="6"/>
  <c r="N186" i="6"/>
  <c r="N185" i="6"/>
  <c r="N184" i="6"/>
  <c r="N183" i="6"/>
  <c r="N182" i="6"/>
  <c r="N194" i="6"/>
  <c r="N181" i="6"/>
  <c r="N193" i="6"/>
  <c r="N180" i="6"/>
  <c r="N179" i="6"/>
  <c r="N178" i="6"/>
  <c r="N177" i="6"/>
  <c r="N176" i="6"/>
  <c r="N192" i="6"/>
  <c r="N191" i="6"/>
  <c r="N175" i="6"/>
  <c r="N190" i="6"/>
  <c r="N174" i="6"/>
  <c r="N173" i="6"/>
  <c r="N172" i="6"/>
  <c r="N171" i="6"/>
  <c r="N170" i="6"/>
  <c r="N169" i="6"/>
  <c r="N168" i="6"/>
  <c r="N189" i="6"/>
  <c r="N167" i="6"/>
  <c r="N165" i="6"/>
  <c r="J228" i="6" l="1"/>
  <c r="N195" i="6"/>
  <c r="F228" i="6"/>
  <c r="D228" i="6"/>
  <c r="H228" i="6"/>
  <c r="L228" i="6"/>
  <c r="M228" i="6"/>
  <c r="E228" i="6"/>
  <c r="I228" i="6"/>
  <c r="C228" i="6"/>
  <c r="K228" i="6"/>
  <c r="G228" i="6"/>
  <c r="N265" i="6"/>
  <c r="N264" i="6"/>
  <c r="N263" i="6"/>
  <c r="N262" i="6"/>
  <c r="N261" i="6"/>
  <c r="N260" i="6"/>
  <c r="N259" i="6"/>
  <c r="N258" i="6"/>
  <c r="N257" i="6"/>
  <c r="N164" i="6" l="1"/>
  <c r="N228" i="6" s="1"/>
  <c r="M357" i="6"/>
  <c r="L357" i="6"/>
  <c r="K357" i="6"/>
  <c r="J357" i="6"/>
  <c r="I357" i="6"/>
  <c r="H357" i="6"/>
  <c r="G357" i="6"/>
  <c r="F357" i="6"/>
  <c r="E357" i="6"/>
  <c r="D357" i="6"/>
  <c r="C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M332" i="6"/>
  <c r="L332" i="6"/>
  <c r="L307" i="6" s="1"/>
  <c r="K332" i="6"/>
  <c r="J332" i="6"/>
  <c r="I332" i="6"/>
  <c r="H332" i="6"/>
  <c r="H307" i="6" s="1"/>
  <c r="G332" i="6"/>
  <c r="F332" i="6"/>
  <c r="E332" i="6"/>
  <c r="E307" i="6" s="1"/>
  <c r="D332" i="6"/>
  <c r="D307" i="6" s="1"/>
  <c r="C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8" i="6"/>
  <c r="C307" i="6" l="1"/>
  <c r="E359" i="6"/>
  <c r="I307" i="6"/>
  <c r="M307" i="6"/>
  <c r="F359" i="6"/>
  <c r="J307" i="6"/>
  <c r="J359" i="6" s="1"/>
  <c r="G307" i="6"/>
  <c r="G359" i="6" s="1"/>
  <c r="K307" i="6"/>
  <c r="K359" i="6" s="1"/>
  <c r="D359" i="6"/>
  <c r="H359" i="6"/>
  <c r="I359" i="6"/>
  <c r="M359" i="6"/>
  <c r="L359" i="6"/>
  <c r="N357" i="6"/>
  <c r="N332" i="6"/>
  <c r="C359" i="6"/>
  <c r="N307" i="6" l="1"/>
  <c r="N359" i="6" s="1"/>
  <c r="B359" i="6"/>
  <c r="N21" i="5" l="1"/>
  <c r="N24" i="5"/>
  <c r="N256" i="6" l="1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3" i="6"/>
  <c r="N266" i="6" l="1"/>
  <c r="J302" i="6"/>
  <c r="L302" i="6"/>
  <c r="C302" i="6"/>
  <c r="E302" i="6"/>
  <c r="I302" i="6"/>
  <c r="M302" i="6"/>
  <c r="B302" i="6"/>
  <c r="G302" i="6"/>
  <c r="K302" i="6"/>
  <c r="F302" i="6"/>
  <c r="H302" i="6" l="1"/>
  <c r="N232" i="6"/>
  <c r="N302" i="6" s="1"/>
  <c r="D302" i="6"/>
  <c r="C20" i="7"/>
  <c r="C417" i="6" l="1"/>
  <c r="D417" i="6"/>
  <c r="E417" i="6"/>
  <c r="F417" i="6"/>
  <c r="G417" i="6"/>
  <c r="H417" i="6"/>
  <c r="I417" i="6"/>
  <c r="J417" i="6"/>
  <c r="K417" i="6"/>
  <c r="L417" i="6"/>
  <c r="M417" i="6"/>
  <c r="B417" i="6"/>
  <c r="N416" i="6"/>
  <c r="B390" i="6"/>
  <c r="C390" i="6"/>
  <c r="C363" i="6" s="1"/>
  <c r="D390" i="6"/>
  <c r="D363" i="6" s="1"/>
  <c r="E390" i="6"/>
  <c r="F390" i="6"/>
  <c r="G390" i="6"/>
  <c r="H390" i="6"/>
  <c r="I390" i="6"/>
  <c r="J390" i="6"/>
  <c r="K390" i="6"/>
  <c r="L390" i="6"/>
  <c r="M390" i="6"/>
  <c r="N389" i="6"/>
  <c r="E363" i="6" l="1"/>
  <c r="B363" i="6"/>
  <c r="M363" i="6"/>
  <c r="I363" i="6"/>
  <c r="J363" i="6"/>
  <c r="L363" i="6"/>
  <c r="H363" i="6"/>
  <c r="K363" i="6"/>
  <c r="K419" i="6" s="1"/>
  <c r="G363" i="6"/>
  <c r="N19" i="7" l="1"/>
  <c r="N17" i="7"/>
  <c r="N18" i="7"/>
  <c r="C419" i="6" l="1"/>
  <c r="N23" i="5" l="1"/>
  <c r="N415" i="6" l="1"/>
  <c r="N388" i="6"/>
  <c r="M419" i="6" l="1"/>
  <c r="N414" i="6" l="1"/>
  <c r="N387" i="6"/>
  <c r="J419" i="6" l="1"/>
  <c r="G419" i="6" l="1"/>
  <c r="H419" i="6"/>
  <c r="I419" i="6"/>
  <c r="L419" i="6"/>
  <c r="F419" i="6"/>
  <c r="N411" i="6"/>
  <c r="N413" i="6"/>
  <c r="N386" i="6"/>
  <c r="N385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12" i="6" l="1"/>
  <c r="N384" i="6"/>
  <c r="N410" i="6"/>
  <c r="N383" i="6"/>
  <c r="N409" i="6" l="1"/>
  <c r="N382" i="6"/>
  <c r="N408" i="6" l="1"/>
  <c r="N381" i="6"/>
  <c r="E419" i="6" l="1"/>
  <c r="M13" i="8"/>
  <c r="M22" i="5" s="1"/>
  <c r="L13" i="8"/>
  <c r="L22" i="5" s="1"/>
  <c r="K13" i="8"/>
  <c r="K22" i="5" s="1"/>
  <c r="J13" i="8"/>
  <c r="J22" i="5" s="1"/>
  <c r="I13" i="8"/>
  <c r="I22" i="5" s="1"/>
  <c r="H13" i="8"/>
  <c r="H22" i="5" s="1"/>
  <c r="G13" i="8"/>
  <c r="G22" i="5" s="1"/>
  <c r="F13" i="8"/>
  <c r="E13" i="8"/>
  <c r="D13" i="8"/>
  <c r="D22" i="5" s="1"/>
  <c r="C13" i="8"/>
  <c r="C22" i="5" s="1"/>
  <c r="N11" i="8"/>
  <c r="N9" i="8"/>
  <c r="M466" i="6"/>
  <c r="L466" i="6"/>
  <c r="K466" i="6"/>
  <c r="J466" i="6"/>
  <c r="I466" i="6"/>
  <c r="H466" i="6"/>
  <c r="G466" i="6"/>
  <c r="F466" i="6"/>
  <c r="E466" i="6"/>
  <c r="D466" i="6"/>
  <c r="C466" i="6"/>
  <c r="B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M445" i="6"/>
  <c r="L445" i="6"/>
  <c r="K445" i="6"/>
  <c r="J445" i="6"/>
  <c r="I445" i="6"/>
  <c r="H445" i="6"/>
  <c r="G445" i="6"/>
  <c r="F445" i="6"/>
  <c r="E445" i="6"/>
  <c r="D445" i="6"/>
  <c r="C445" i="6"/>
  <c r="B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364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24" i="6" l="1"/>
  <c r="G424" i="6"/>
  <c r="G468" i="6" s="1"/>
  <c r="G16" i="5" s="1"/>
  <c r="K424" i="6"/>
  <c r="K468" i="6" s="1"/>
  <c r="K16" i="5" s="1"/>
  <c r="D424" i="6"/>
  <c r="D468" i="6" s="1"/>
  <c r="H424" i="6"/>
  <c r="L424" i="6"/>
  <c r="L468" i="6" s="1"/>
  <c r="L16" i="5" s="1"/>
  <c r="N22" i="5"/>
  <c r="E424" i="6"/>
  <c r="E468" i="6" s="1"/>
  <c r="E16" i="5" s="1"/>
  <c r="B424" i="6"/>
  <c r="B468" i="6"/>
  <c r="I424" i="6"/>
  <c r="I468" i="6" s="1"/>
  <c r="I16" i="5" s="1"/>
  <c r="M424" i="6"/>
  <c r="F424" i="6"/>
  <c r="F468" i="6" s="1"/>
  <c r="F16" i="5" s="1"/>
  <c r="J424" i="6"/>
  <c r="J468" i="6" s="1"/>
  <c r="J16" i="5" s="1"/>
  <c r="N417" i="6"/>
  <c r="N390" i="6"/>
  <c r="D419" i="6"/>
  <c r="B419" i="6"/>
  <c r="B16" i="5" s="1"/>
  <c r="H468" i="6"/>
  <c r="H16" i="5" s="1"/>
  <c r="M468" i="6"/>
  <c r="M16" i="5" s="1"/>
  <c r="C468" i="6"/>
  <c r="C16" i="5" s="1"/>
  <c r="N466" i="6"/>
  <c r="N14" i="5"/>
  <c r="N17" i="5"/>
  <c r="N445" i="6"/>
  <c r="N12" i="5"/>
  <c r="N20" i="7"/>
  <c r="D16" i="5" l="1"/>
  <c r="B25" i="5"/>
  <c r="C10" i="5" s="1"/>
  <c r="C25" i="5" s="1"/>
  <c r="D10" i="5" s="1"/>
  <c r="N424" i="6"/>
  <c r="N468" i="6" s="1"/>
  <c r="N363" i="6"/>
  <c r="N419" i="6" s="1"/>
  <c r="D25" i="5" l="1"/>
  <c r="N16" i="5"/>
  <c r="E10" i="5" l="1"/>
  <c r="E25" i="5" s="1"/>
  <c r="G25" i="5"/>
  <c r="H10" i="5" s="1"/>
  <c r="F10" i="5" l="1"/>
  <c r="F25" i="5" s="1"/>
  <c r="H25" i="5"/>
  <c r="I10" i="5" s="1"/>
  <c r="I25" i="5" s="1"/>
  <c r="J10" i="5" s="1"/>
  <c r="J25" i="5" s="1"/>
  <c r="K10" i="5" s="1"/>
  <c r="K25" i="5" s="1"/>
  <c r="L10" i="5" l="1"/>
  <c r="L25" i="5" s="1"/>
  <c r="M10" i="5" l="1"/>
  <c r="M25" i="5" s="1"/>
  <c r="N13" i="8"/>
</calcChain>
</file>

<file path=xl/sharedStrings.xml><?xml version="1.0" encoding="utf-8"?>
<sst xmlns="http://schemas.openxmlformats.org/spreadsheetml/2006/main" count="672" uniqueCount="226">
  <si>
    <t>Table G-1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</si>
  <si>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</si>
  <si>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t>Calendar Year 2022</t>
  </si>
  <si>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</si>
  <si>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</si>
  <si>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</si>
  <si>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</si>
  <si>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</si>
  <si>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</si>
  <si>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</si>
  <si>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</si>
  <si>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</si>
  <si>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</si>
  <si>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</si>
  <si>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</si>
  <si>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</si>
  <si>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</si>
  <si>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</si>
  <si>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</si>
  <si>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</si>
  <si>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</si>
  <si>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</si>
  <si>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</si>
  <si>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</si>
  <si>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</si>
  <si>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</si>
  <si>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t>Less:  Uncoll  @ .3636%</t>
  </si>
  <si>
    <t>Add: Amortization from prior period</t>
  </si>
  <si>
    <t>Total</t>
  </si>
  <si>
    <t>Table G-2</t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</si>
  <si>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</si>
  <si>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t xml:space="preserve">Program Implementer (PY 2022) </t>
  </si>
  <si>
    <t>SoCalGas</t>
  </si>
  <si>
    <t>Prior Period Adjustment</t>
  </si>
  <si>
    <r>
      <t>IOU</t>
    </r>
    <r>
      <rPr>
        <sz val="10"/>
        <rFont val="Arial"/>
        <family val="2"/>
      </rPr>
      <t xml:space="preserve"> Program Adminstration--Non-IOU Programs</t>
    </r>
  </si>
  <si>
    <t>IND-Small Industrial Facility Upgrades</t>
  </si>
  <si>
    <t>WE&amp;T-HERS Rater Training Advancement</t>
  </si>
  <si>
    <t>RES-LivingWise</t>
  </si>
  <si>
    <t>RES-AB793-REMTS Program</t>
  </si>
  <si>
    <t>RES-Behavioral Program</t>
  </si>
  <si>
    <t>RES-Marketplace</t>
  </si>
  <si>
    <t>RES-Pasadena Home Upgrade</t>
  </si>
  <si>
    <t>RES-Burbank Home Upgrade</t>
  </si>
  <si>
    <t>COM-LADWP Direct Install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</si>
  <si>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</si>
  <si>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</si>
  <si>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</si>
  <si>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</si>
  <si>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</si>
  <si>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PUB-SW-Institutional Partnership: DGS &amp; DoC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</si>
  <si>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</si>
  <si>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</si>
  <si>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</si>
  <si>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</si>
  <si>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</si>
  <si>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</si>
  <si>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</si>
  <si>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</si>
  <si>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PUB-SW-Institutional Partnership: UC/CSU/CCC</t>
  </si>
  <si>
    <t>COM-SW-Point of Sale Food Service</t>
  </si>
  <si>
    <t>COM-SW-Midstream Commercial Water Heating</t>
  </si>
  <si>
    <t>ET-SW-Emerging Technologies, Gas</t>
  </si>
  <si>
    <t>COM-SW-Upstream HVAC</t>
  </si>
  <si>
    <t>RES-SW-New Construction</t>
  </si>
  <si>
    <t>C&amp;S-SW-Appliance Standards Advocacy</t>
  </si>
  <si>
    <t>C&amp;S-SW-Building Codes Advocacy</t>
  </si>
  <si>
    <t>C&amp;S-SW-Federal Codes Advocacy</t>
  </si>
  <si>
    <t xml:space="preserve">   Subtotal</t>
  </si>
  <si>
    <t>Program Implementation Costs--Non-IOU Programs</t>
  </si>
  <si>
    <t>WE&amp;T-SW-WE&amp;T Career and Workforce Readiness</t>
  </si>
  <si>
    <t>WE&amp;T-SW-WE&amp;T Career Connections</t>
  </si>
  <si>
    <t xml:space="preserve">Program Implementer (PY 2021) </t>
  </si>
  <si>
    <t>RES-Retail Partnering</t>
  </si>
  <si>
    <t>RES-EE Kits</t>
  </si>
  <si>
    <t>COM-Pasadena Direct Install</t>
  </si>
  <si>
    <t>RES Multi Family (Solicitation)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</si>
  <si>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</si>
  <si>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</si>
  <si>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</si>
  <si>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</si>
  <si>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</si>
  <si>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</si>
  <si>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</si>
  <si>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</si>
  <si>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</si>
  <si>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</si>
  <si>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</si>
  <si>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</si>
  <si>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t>MH Solic (manufacturing)</t>
  </si>
  <si>
    <t>RES SW-New Construction</t>
  </si>
  <si>
    <t>WE&amp;T SW-K-12 Connections</t>
  </si>
  <si>
    <t xml:space="preserve"> IND-Small Industrial Facility Upgrades</t>
  </si>
  <si>
    <t xml:space="preserve"> WE&amp;T-HERS Rater Training Advancement</t>
  </si>
  <si>
    <t xml:space="preserve"> RES-LivingWise</t>
  </si>
  <si>
    <t xml:space="preserve"> RES-AB793-REMTS Program</t>
  </si>
  <si>
    <t xml:space="preserve"> RES-Behavioral Program</t>
  </si>
  <si>
    <t xml:space="preserve"> RES-Marketplace</t>
  </si>
  <si>
    <t xml:space="preserve"> RES-Retail Partnering</t>
  </si>
  <si>
    <t xml:space="preserve"> RES-EE Kits</t>
  </si>
  <si>
    <t xml:space="preserve"> RES-Pasadena Home Upgrade</t>
  </si>
  <si>
    <t xml:space="preserve"> RES-Burbank Home Upgrade</t>
  </si>
  <si>
    <t xml:space="preserve"> COM-LADWP Direct Install</t>
  </si>
  <si>
    <t xml:space="preserve"> COM-Pasadena Direct Install</t>
  </si>
  <si>
    <t xml:space="preserve"> RES Multi Family (Solicitation)</t>
  </si>
  <si>
    <t xml:space="preserve"> RES-Community Language Efficiency Outreach-Direct Install</t>
  </si>
  <si>
    <t xml:space="preserve"> PUB-SW-Institutional Partnership: DGS &amp; DoC</t>
  </si>
  <si>
    <t xml:space="preserve"> RES-SW-Plug Load and Appliance</t>
  </si>
  <si>
    <t xml:space="preserve">Program Implementer (PY 2020) </t>
  </si>
  <si>
    <t>RES-CLEO</t>
  </si>
  <si>
    <t>RES-MF Direct Therm Savings</t>
  </si>
  <si>
    <t>RES-Manufactured Mobile Home</t>
  </si>
  <si>
    <t>SOL-Innovative Designs for Energy Efficiency Activities (IDEEA365)</t>
  </si>
  <si>
    <t>COM-SW-Instant Rebates! Foodservice POS</t>
  </si>
  <si>
    <t>COM-Direct Install Program</t>
  </si>
  <si>
    <t>COM-AB793-CEMTL Program</t>
  </si>
  <si>
    <t>PUB-Direct Install Program</t>
  </si>
  <si>
    <t>RES-Direct Install Program</t>
  </si>
  <si>
    <t>IND-Direct Install Program</t>
  </si>
  <si>
    <t>RES-LADWP HVAC</t>
  </si>
  <si>
    <t>RES Single Family</t>
  </si>
  <si>
    <t>RES Multi Family</t>
  </si>
  <si>
    <t>COM SMB</t>
  </si>
  <si>
    <t>PUB Sector Small/Medium</t>
  </si>
  <si>
    <t xml:space="preserve">Program Implementer (PY 2019) </t>
  </si>
  <si>
    <t>PUB-K-12 Performance Program</t>
  </si>
  <si>
    <t>RES-On Demand Efficiency</t>
  </si>
  <si>
    <t>COM-On-Premise Ozone Laundry</t>
  </si>
  <si>
    <t>COM-HOPPS-CRR Program</t>
  </si>
  <si>
    <t>RES-HOPPS-CWHMBS Program</t>
  </si>
  <si>
    <t>AG-Direct Install Program</t>
  </si>
  <si>
    <t>COM-Lodging Program</t>
  </si>
  <si>
    <t>COM-Mixed Use Building Program</t>
  </si>
  <si>
    <t>RES-Home Intel Program</t>
  </si>
  <si>
    <t xml:space="preserve">Program Implementer (PY 2018) 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</si>
  <si>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</si>
  <si>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</si>
  <si>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</si>
  <si>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</si>
  <si>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</si>
  <si>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</si>
  <si>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</si>
  <si>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</si>
  <si>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</si>
  <si>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3P-CA Sustainability Alliance</t>
  </si>
  <si>
    <t>3P-PoF</t>
  </si>
  <si>
    <t>3P-PACE</t>
  </si>
  <si>
    <t>3P-Innov Dsign Enrg Eff</t>
  </si>
  <si>
    <t>3P- IDEEA365 Insnt Rebate</t>
  </si>
  <si>
    <t xml:space="preserve">3P- IDEEA365 Water Loss Cntl </t>
  </si>
  <si>
    <t xml:space="preserve">3P IDEAA365 COMM SUS </t>
  </si>
  <si>
    <t>3P IDEEA365 ODE Housing</t>
  </si>
  <si>
    <t xml:space="preserve">3P IDEEA365 ENERGY ADV </t>
  </si>
  <si>
    <t>3P IDEEA365 Connect</t>
  </si>
  <si>
    <t>3P IDEEA365 HBEEP</t>
  </si>
  <si>
    <t xml:space="preserve">3P IDEEA365 CLEAR ICE </t>
  </si>
  <si>
    <t>3P IDEEA365 ON PREMISE OZONE LAUNDRY</t>
  </si>
  <si>
    <t xml:space="preserve">Program Implementer (PY 2013-2017) </t>
  </si>
  <si>
    <t>3P-Energy Challenger</t>
  </si>
  <si>
    <t>3P-SaveGas</t>
  </si>
  <si>
    <t>3P IDEEA365 ON REMISE OZONE LAUNDRY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</si>
  <si>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</si>
  <si>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</si>
  <si>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</si>
  <si>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</si>
  <si>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</si>
  <si>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</si>
  <si>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</si>
  <si>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</si>
  <si>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</si>
  <si>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</si>
  <si>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</si>
  <si>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</si>
  <si>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</si>
  <si>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</si>
  <si>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</si>
  <si>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</si>
  <si>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</si>
  <si>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</si>
  <si>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</si>
  <si>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t>Notes:</t>
  </si>
  <si>
    <t xml:space="preserve">•  Line "SocalGas" is for the reporting IOU. </t>
  </si>
  <si>
    <t>•  IOU Porgram Admisntration section is for the deatiled administrative cost of managing each non-IOU program in the reporting utility's service territory.</t>
  </si>
  <si>
    <t xml:space="preserve">•  Program Implementation Costs section is for the detailed reporting of the costs paid to the other  IOU's adminstering programs in the reporting utility's service territory </t>
  </si>
  <si>
    <t xml:space="preserve">   and for the costs paid to the non-IOU programs in the reporting utility's service territory.</t>
  </si>
  <si>
    <t>Table G-3</t>
  </si>
  <si>
    <r>
      <t>SoCalGas</t>
    </r>
    <r>
      <rPr>
        <b/>
        <sz val="12"/>
        <rFont val="Arial"/>
        <family val="2"/>
      </rPr>
      <t xml:space="preserve"> Status of Gas PGC Funds</t>
    </r>
  </si>
  <si>
    <t>Sept</t>
  </si>
  <si>
    <t xml:space="preserve">Oct </t>
  </si>
  <si>
    <t>Nov</t>
  </si>
  <si>
    <t>Dec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</si>
  <si>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</si>
  <si>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 xml:space="preserve">     Beginning Balance</t>
  </si>
  <si>
    <t>Not Applicable</t>
  </si>
  <si>
    <t xml:space="preserve">     Prior Period Adj/OBF Return</t>
  </si>
  <si>
    <t xml:space="preserve">     Collection(Rates)(PPP Rev+Amort) </t>
  </si>
  <si>
    <t xml:space="preserve">      Amortization from Prior Cycles</t>
  </si>
  <si>
    <t xml:space="preserve">      PPP Remittance</t>
  </si>
  <si>
    <t xml:space="preserve">     Interest Accrued</t>
  </si>
  <si>
    <t xml:space="preserve">     Program Expenses</t>
  </si>
  <si>
    <t xml:space="preserve">      PPP Reimbursements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</si>
  <si>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</si>
  <si>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</si>
  <si>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</si>
  <si>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</si>
  <si>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</si>
  <si>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</si>
  <si>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</si>
  <si>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 xml:space="preserve">     Ending Balance</t>
  </si>
  <si>
    <t>(1) This section was revised per discussions with the Energy Division (11/19).  The information provided in this format will not parallel how Balancing Accounts are tracked.</t>
  </si>
  <si>
    <t>(2) Incremental commitments are reflected on a monthly basis.  For program cycles prior to 2022, estimated commitments are considered encumbered funds.</t>
  </si>
  <si>
    <t>Table G-4</t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</si>
  <si>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</si>
  <si>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 xml:space="preserve">2022 Gas PGC Funds </t>
  </si>
  <si>
    <t>PPP Reimbursement</t>
  </si>
  <si>
    <t>PPP Remittance</t>
  </si>
  <si>
    <t>Net Receipts from BOE</t>
  </si>
  <si>
    <t xml:space="preserve">2021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</si>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</sst>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5220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64" fontId="10" fillId="0" borderId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14" fillId="0" borderId="0"/>
    <xf numFmtId="0" fontId="12" fillId="0" borderId="0"/>
    <xf numFmtId="0" fontId="32" fillId="0" borderId="0"/>
    <xf numFmtId="0" fontId="12" fillId="23" borderId="7" applyNumberFormat="0" applyFont="0" applyAlignment="0" applyProtection="0"/>
    <xf numFmtId="0" fontId="27" fillId="20" borderId="8" applyNumberFormat="0" applyAlignment="0" applyProtection="0"/>
    <xf numFmtId="4" fontId="13" fillId="24" borderId="8" applyNumberFormat="0" applyProtection="0">
      <alignment vertical="center"/>
    </xf>
    <xf numFmtId="4" fontId="13" fillId="25" borderId="8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3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  <xf numFmtId="0" fontId="2" fillId="0" borderId="0"/>
    <xf numFmtId="0" fontId="1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5" fillId="27" borderId="20" applyNumberFormat="0" applyBorder="0" applyAlignment="0" applyProtection="0"/>
    <xf numFmtId="44" fontId="2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5" fillId="12" borderId="0" applyNumberFormat="0" applyBorder="0" applyAlignment="0" applyProtection="0"/>
    <xf numFmtId="0" fontId="61" fillId="38" borderId="0" applyNumberFormat="0" applyBorder="0" applyAlignment="0" applyProtection="0"/>
    <xf numFmtId="0" fontId="15" fillId="9" borderId="0" applyNumberFormat="0" applyBorder="0" applyAlignment="0" applyProtection="0"/>
    <xf numFmtId="0" fontId="61" fillId="42" borderId="0" applyNumberFormat="0" applyBorder="0" applyAlignment="0" applyProtection="0"/>
    <xf numFmtId="0" fontId="15" fillId="10" borderId="0" applyNumberFormat="0" applyBorder="0" applyAlignment="0" applyProtection="0"/>
    <xf numFmtId="0" fontId="61" fillId="46" borderId="0" applyNumberFormat="0" applyBorder="0" applyAlignment="0" applyProtection="0"/>
    <xf numFmtId="0" fontId="15" fillId="13" borderId="0" applyNumberFormat="0" applyBorder="0" applyAlignment="0" applyProtection="0"/>
    <xf numFmtId="0" fontId="61" fillId="50" borderId="0" applyNumberFormat="0" applyBorder="0" applyAlignment="0" applyProtection="0"/>
    <xf numFmtId="0" fontId="15" fillId="14" borderId="0" applyNumberFormat="0" applyBorder="0" applyAlignment="0" applyProtection="0"/>
    <xf numFmtId="0" fontId="61" fillId="54" borderId="0" applyNumberFormat="0" applyBorder="0" applyAlignment="0" applyProtection="0"/>
    <xf numFmtId="0" fontId="15" fillId="15" borderId="0" applyNumberFormat="0" applyBorder="0" applyAlignment="0" applyProtection="0"/>
    <xf numFmtId="0" fontId="61" fillId="58" borderId="0" applyNumberFormat="0" applyBorder="0" applyAlignment="0" applyProtection="0"/>
    <xf numFmtId="0" fontId="14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61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61" fillId="39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4" borderId="0" applyNumberFormat="0" applyBorder="0" applyAlignment="0" applyProtection="0"/>
    <xf numFmtId="0" fontId="14" fillId="70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15" fillId="63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61" fillId="43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4" fillId="70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3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5" fillId="63" borderId="0" applyNumberFormat="0" applyBorder="0" applyAlignment="0" applyProtection="0"/>
    <xf numFmtId="0" fontId="15" fillId="70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61" fillId="47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4" fillId="60" borderId="0" applyNumberFormat="0" applyBorder="0" applyAlignment="0" applyProtection="0"/>
    <xf numFmtId="0" fontId="14" fillId="73" borderId="0" applyNumberFormat="0" applyBorder="0" applyAlignment="0" applyProtection="0"/>
    <xf numFmtId="0" fontId="14" fillId="73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61" fillId="51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4" fillId="79" borderId="0" applyNumberFormat="0" applyBorder="0" applyAlignment="0" applyProtection="0"/>
    <xf numFmtId="0" fontId="14" fillId="79" borderId="0" applyNumberFormat="0" applyBorder="0" applyAlignment="0" applyProtection="0"/>
    <xf numFmtId="0" fontId="14" fillId="69" borderId="0" applyNumberFormat="0" applyBorder="0" applyAlignment="0" applyProtection="0"/>
    <xf numFmtId="0" fontId="14" fillId="80" borderId="0" applyNumberFormat="0" applyBorder="0" applyAlignment="0" applyProtection="0"/>
    <xf numFmtId="0" fontId="14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61" fillId="55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168" fontId="68" fillId="83" borderId="42">
      <alignment horizontal="center" vertical="center"/>
    </xf>
    <xf numFmtId="49" fontId="2" fillId="0" borderId="21"/>
    <xf numFmtId="0" fontId="16" fillId="3" borderId="0" applyNumberFormat="0" applyBorder="0" applyAlignment="0" applyProtection="0"/>
    <xf numFmtId="0" fontId="53" fillId="29" borderId="0" applyNumberFormat="0" applyBorder="0" applyAlignment="0" applyProtection="0"/>
    <xf numFmtId="0" fontId="69" fillId="79" borderId="0" applyNumberFormat="0" applyBorder="0" applyAlignment="0" applyProtection="0"/>
    <xf numFmtId="0" fontId="16" fillId="3" borderId="0" applyNumberFormat="0" applyBorder="0" applyAlignment="0" applyProtection="0"/>
    <xf numFmtId="0" fontId="53" fillId="29" borderId="0" applyNumberFormat="0" applyBorder="0" applyAlignment="0" applyProtection="0"/>
    <xf numFmtId="3" fontId="70" fillId="0" borderId="0" applyFill="0" applyBorder="0" applyProtection="0">
      <alignment horizontal="right"/>
    </xf>
    <xf numFmtId="169" fontId="13" fillId="0" borderId="0" applyFill="0" applyBorder="0" applyAlignment="0"/>
    <xf numFmtId="0" fontId="17" fillId="20" borderId="1" applyNumberFormat="0" applyAlignment="0" applyProtection="0"/>
    <xf numFmtId="0" fontId="17" fillId="20" borderId="1" applyNumberFormat="0" applyAlignment="0" applyProtection="0"/>
    <xf numFmtId="0" fontId="71" fillId="84" borderId="43" applyNumberFormat="0" applyAlignment="0" applyProtection="0"/>
    <xf numFmtId="0" fontId="57" fillId="32" borderId="28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78" borderId="2" applyNumberFormat="0" applyAlignment="0" applyProtection="0"/>
    <xf numFmtId="0" fontId="59" fillId="33" borderId="31" applyNumberFormat="0" applyAlignment="0" applyProtection="0"/>
    <xf numFmtId="49" fontId="2" fillId="0" borderId="21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72" fillId="0" borderId="0" applyNumberFormat="0" applyAlignment="0">
      <alignment horizontal="left"/>
    </xf>
    <xf numFmtId="171" fontId="2" fillId="0" borderId="0" applyFont="0" applyFill="0" applyBorder="0" applyAlignment="0" applyProtection="0"/>
    <xf numFmtId="172" fontId="7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74" fontId="2" fillId="85" borderId="0">
      <alignment horizontal="center"/>
    </xf>
    <xf numFmtId="0" fontId="2" fillId="0" borderId="21"/>
    <xf numFmtId="175" fontId="11" fillId="0" borderId="0">
      <alignment horizontal="right"/>
      <protection locked="0"/>
    </xf>
    <xf numFmtId="0" fontId="29" fillId="86" borderId="0" applyNumberFormat="0" applyBorder="0" applyAlignment="0" applyProtection="0"/>
    <xf numFmtId="0" fontId="29" fillId="87" borderId="0" applyNumberFormat="0" applyBorder="0" applyAlignment="0" applyProtection="0"/>
    <xf numFmtId="0" fontId="29" fillId="88" borderId="0" applyNumberFormat="0" applyBorder="0" applyAlignment="0" applyProtection="0"/>
    <xf numFmtId="0" fontId="29" fillId="89" borderId="0" applyNumberFormat="0" applyBorder="0" applyAlignment="0" applyProtection="0"/>
    <xf numFmtId="0" fontId="29" fillId="90" borderId="0" applyNumberFormat="0" applyBorder="0" applyAlignment="0" applyProtection="0"/>
    <xf numFmtId="0" fontId="74" fillId="0" borderId="0" applyNumberFormat="0" applyAlignment="0">
      <alignment horizontal="left"/>
    </xf>
    <xf numFmtId="0" fontId="1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" fillId="0" borderId="21">
      <alignment horizontal="left"/>
    </xf>
    <xf numFmtId="2" fontId="2" fillId="0" borderId="0" applyFont="0" applyFill="0" applyBorder="0" applyAlignment="0" applyProtection="0"/>
    <xf numFmtId="165" fontId="73" fillId="0" borderId="0" applyFont="0" applyFill="0" applyBorder="0" applyAlignment="0" applyProtection="0"/>
    <xf numFmtId="176" fontId="2" fillId="0" borderId="0" applyFont="0" applyFill="0" applyBorder="0" applyAlignment="0" applyProtection="0">
      <alignment horizontal="center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52" fillId="28" borderId="0" applyNumberFormat="0" applyBorder="0" applyAlignment="0" applyProtection="0"/>
    <xf numFmtId="38" fontId="45" fillId="26" borderId="0" applyNumberFormat="0" applyBorder="0" applyAlignment="0" applyProtection="0"/>
    <xf numFmtId="0" fontId="75" fillId="0" borderId="0" applyNumberFormat="0" applyFill="0" applyBorder="0" applyAlignment="0" applyProtection="0"/>
    <xf numFmtId="0" fontId="3" fillId="0" borderId="34" applyNumberFormat="0" applyAlignment="0" applyProtection="0">
      <alignment horizontal="left" vertical="center"/>
    </xf>
    <xf numFmtId="0" fontId="3" fillId="0" borderId="44">
      <alignment horizontal="left" vertical="center"/>
    </xf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76" fillId="0" borderId="45" applyNumberFormat="0" applyFill="0" applyAlignment="0" applyProtection="0"/>
    <xf numFmtId="0" fontId="77" fillId="0" borderId="0" applyNumberFormat="0" applyFont="0" applyFill="0" applyBorder="0" applyProtection="0"/>
    <xf numFmtId="0" fontId="49" fillId="0" borderId="25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78" fillId="0" borderId="46" applyNumberFormat="0" applyFill="0" applyAlignment="0" applyProtection="0"/>
    <xf numFmtId="0" fontId="3" fillId="0" borderId="0" applyNumberFormat="0" applyFont="0" applyFill="0" applyBorder="0" applyProtection="0"/>
    <xf numFmtId="0" fontId="50" fillId="0" borderId="26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9" fillId="0" borderId="47" applyNumberFormat="0" applyFill="0" applyAlignment="0" applyProtection="0"/>
    <xf numFmtId="0" fontId="51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8" fontId="2" fillId="0" borderId="0" applyFont="0" applyFill="0" applyBorder="0" applyAlignment="0" applyProtection="0">
      <alignment horizontal="center"/>
    </xf>
    <xf numFmtId="178" fontId="2" fillId="0" borderId="0" applyFont="0" applyFill="0" applyBorder="0" applyAlignment="0" applyProtection="0">
      <alignment horizontal="center"/>
    </xf>
    <xf numFmtId="0" fontId="80" fillId="0" borderId="48" applyNumberFormat="0" applyFill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10" fontId="45" fillId="27" borderId="37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4" fillId="80" borderId="43" applyNumberFormat="0" applyAlignment="0" applyProtection="0"/>
    <xf numFmtId="0" fontId="55" fillId="31" borderId="28" applyNumberFormat="0" applyAlignment="0" applyProtection="0"/>
    <xf numFmtId="0" fontId="2" fillId="91" borderId="21" applyNumberFormat="0">
      <alignment horizontal="left" vertical="top"/>
    </xf>
    <xf numFmtId="0" fontId="2" fillId="0" borderId="21">
      <alignment horizontal="left"/>
    </xf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0" fillId="0" borderId="49" applyNumberFormat="0" applyFill="0" applyAlignment="0" applyProtection="0"/>
    <xf numFmtId="0" fontId="58" fillId="0" borderId="30" applyNumberFormat="0" applyFill="0" applyAlignment="0" applyProtection="0"/>
    <xf numFmtId="0" fontId="2" fillId="0" borderId="21"/>
    <xf numFmtId="0" fontId="26" fillId="22" borderId="0" applyNumberFormat="0" applyBorder="0" applyAlignment="0" applyProtection="0"/>
    <xf numFmtId="0" fontId="63" fillId="30" borderId="0" applyNumberFormat="0" applyBorder="0" applyAlignment="0" applyProtection="0"/>
    <xf numFmtId="0" fontId="20" fillId="80" borderId="0" applyNumberFormat="0" applyBorder="0" applyAlignment="0" applyProtection="0"/>
    <xf numFmtId="0" fontId="26" fillId="22" borderId="0" applyNumberFormat="0" applyBorder="0" applyAlignment="0" applyProtection="0"/>
    <xf numFmtId="0" fontId="63" fillId="30" borderId="0" applyNumberFormat="0" applyBorder="0" applyAlignment="0" applyProtection="0"/>
    <xf numFmtId="37" fontId="85" fillId="0" borderId="0"/>
    <xf numFmtId="179" fontId="64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9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2" fillId="0" borderId="0"/>
    <xf numFmtId="0" fontId="13" fillId="0" borderId="0"/>
    <xf numFmtId="0" fontId="45" fillId="92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5" fillId="92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5" fillId="92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45" fillId="92" borderId="0"/>
    <xf numFmtId="0" fontId="12" fillId="0" borderId="0"/>
    <xf numFmtId="0" fontId="45" fillId="92" borderId="0"/>
    <xf numFmtId="0" fontId="45" fillId="92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49" fontId="88" fillId="0" borderId="0" applyAlignment="0">
      <alignment horizontal="left" vertical="top"/>
    </xf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0" fontId="56" fillId="32" borderId="29" applyNumberFormat="0" applyAlignment="0" applyProtection="0"/>
    <xf numFmtId="8" fontId="2" fillId="0" borderId="21"/>
    <xf numFmtId="180" fontId="2" fillId="0" borderId="21">
      <alignment horizontal="right"/>
    </xf>
    <xf numFmtId="164" fontId="89" fillId="0" borderId="50">
      <alignment vertical="center"/>
    </xf>
    <xf numFmtId="10" fontId="2" fillId="0" borderId="21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1" fontId="2" fillId="0" borderId="21">
      <alignment horizontal="center"/>
    </xf>
    <xf numFmtId="0" fontId="90" fillId="0" borderId="0" applyNumberFormat="0" applyFill="0" applyBorder="0" applyAlignment="0"/>
    <xf numFmtId="182" fontId="70" fillId="0" borderId="0" applyFill="0" applyBorder="0" applyProtection="0">
      <alignment horizontal="right"/>
    </xf>
    <xf numFmtId="14" fontId="91" fillId="0" borderId="0" applyNumberFormat="0" applyFill="0" applyBorder="0" applyAlignment="0" applyProtection="0">
      <alignment horizontal="left"/>
    </xf>
    <xf numFmtId="8" fontId="2" fillId="0" borderId="21"/>
    <xf numFmtId="4" fontId="92" fillId="22" borderId="51" applyNumberFormat="0" applyProtection="0">
      <alignment vertical="center"/>
    </xf>
    <xf numFmtId="4" fontId="13" fillId="24" borderId="8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13" fillId="24" borderId="8" applyNumberFormat="0" applyProtection="0">
      <alignment vertical="center"/>
    </xf>
    <xf numFmtId="4" fontId="93" fillId="22" borderId="51" applyNumberFormat="0" applyProtection="0">
      <alignment vertical="center"/>
    </xf>
    <xf numFmtId="4" fontId="94" fillId="24" borderId="43" applyNumberFormat="0" applyProtection="0">
      <alignment vertical="center"/>
    </xf>
    <xf numFmtId="4" fontId="95" fillId="24" borderId="8" applyNumberFormat="0" applyProtection="0">
      <alignment vertical="center"/>
    </xf>
    <xf numFmtId="4" fontId="92" fillId="22" borderId="51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0" fontId="96" fillId="22" borderId="51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13" fillId="3" borderId="51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92" fillId="106" borderId="53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92" fillId="107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25" borderId="54" applyNumberFormat="0" applyProtection="0">
      <alignment horizontal="left" vertical="center" indent="1"/>
    </xf>
    <xf numFmtId="4" fontId="97" fillId="109" borderId="0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13" fillId="93" borderId="0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top" indent="1"/>
    </xf>
    <xf numFmtId="0" fontId="45" fillId="109" borderId="51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45" fillId="93" borderId="51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1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1" applyNumberFormat="0" applyProtection="0">
      <alignment horizontal="left" vertical="top" indent="1"/>
    </xf>
    <xf numFmtId="0" fontId="45" fillId="8" borderId="51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top" indent="1"/>
    </xf>
    <xf numFmtId="0" fontId="45" fillId="108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37" applyNumberFormat="0">
      <protection locked="0"/>
    </xf>
    <xf numFmtId="0" fontId="45" fillId="114" borderId="55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9" borderId="56" applyBorder="0"/>
    <xf numFmtId="4" fontId="13" fillId="23" borderId="51" applyNumberFormat="0" applyProtection="0">
      <alignment vertical="center"/>
    </xf>
    <xf numFmtId="4" fontId="98" fillId="23" borderId="51" applyNumberFormat="0" applyProtection="0">
      <alignment vertical="center"/>
    </xf>
    <xf numFmtId="4" fontId="13" fillId="27" borderId="8" applyNumberFormat="0" applyProtection="0">
      <alignment vertical="center"/>
    </xf>
    <xf numFmtId="4" fontId="95" fillId="23" borderId="51" applyNumberFormat="0" applyProtection="0">
      <alignment vertical="center"/>
    </xf>
    <xf numFmtId="4" fontId="94" fillId="27" borderId="37" applyNumberFormat="0" applyProtection="0">
      <alignment vertical="center"/>
    </xf>
    <xf numFmtId="4" fontId="95" fillId="27" borderId="8" applyNumberFormat="0" applyProtection="0">
      <alignment vertical="center"/>
    </xf>
    <xf numFmtId="4" fontId="13" fillId="23" borderId="51" applyNumberFormat="0" applyProtection="0">
      <alignment horizontal="left" vertical="center" indent="1"/>
    </xf>
    <xf numFmtId="4" fontId="98" fillId="20" borderId="51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1" applyNumberFormat="0" applyProtection="0">
      <alignment horizontal="left" vertical="top" indent="1"/>
    </xf>
    <xf numFmtId="0" fontId="98" fillId="23" borderId="51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95" fillId="108" borderId="51" applyNumberFormat="0" applyProtection="0">
      <alignment horizontal="right" vertical="center"/>
    </xf>
    <xf numFmtId="4" fontId="94" fillId="91" borderId="43" applyNumberFormat="0" applyProtection="0">
      <alignment horizontal="right" vertical="center"/>
    </xf>
    <xf numFmtId="4" fontId="95" fillId="25" borderId="8" applyNumberFormat="0" applyProtection="0">
      <alignment horizontal="right" vertical="center"/>
    </xf>
    <xf numFmtId="4" fontId="13" fillId="93" borderId="51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13" fillId="93" borderId="51" applyNumberFormat="0" applyProtection="0">
      <alignment horizontal="left" vertical="top" indent="1"/>
    </xf>
    <xf numFmtId="0" fontId="98" fillId="93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99" fillId="115" borderId="0" applyNumberFormat="0" applyProtection="0">
      <alignment horizontal="left" vertical="center" indent="1"/>
    </xf>
    <xf numFmtId="4" fontId="100" fillId="115" borderId="52" applyNumberFormat="0" applyProtection="0">
      <alignment horizontal="left" vertical="center" indent="1"/>
    </xf>
    <xf numFmtId="0" fontId="101" fillId="0" borderId="0"/>
    <xf numFmtId="0" fontId="45" fillId="116" borderId="37"/>
    <xf numFmtId="0" fontId="45" fillId="116" borderId="37"/>
    <xf numFmtId="0" fontId="45" fillId="116" borderId="37"/>
    <xf numFmtId="4" fontId="47" fillId="108" borderId="51" applyNumberFormat="0" applyProtection="0">
      <alignment horizontal="right" vertical="center"/>
    </xf>
    <xf numFmtId="4" fontId="102" fillId="114" borderId="43" applyNumberFormat="0" applyProtection="0">
      <alignment horizontal="right" vertical="center"/>
    </xf>
    <xf numFmtId="4" fontId="47" fillId="25" borderId="8" applyNumberFormat="0" applyProtection="0">
      <alignment horizontal="right" vertical="center"/>
    </xf>
    <xf numFmtId="0" fontId="103" fillId="0" borderId="0" applyNumberFormat="0" applyFill="0" applyBorder="0" applyAlignment="0" applyProtection="0"/>
    <xf numFmtId="0" fontId="2" fillId="0" borderId="21">
      <alignment horizontal="right"/>
    </xf>
    <xf numFmtId="49" fontId="2" fillId="0" borderId="21"/>
    <xf numFmtId="49" fontId="3" fillId="0" borderId="0" applyAlignment="0">
      <alignment horizontal="left" vertical="top"/>
    </xf>
    <xf numFmtId="0" fontId="104" fillId="0" borderId="0" applyNumberFormat="0" applyFill="0" applyBorder="0" applyProtection="0">
      <alignment vertical="center"/>
    </xf>
    <xf numFmtId="0" fontId="105" fillId="0" borderId="0" applyNumberFormat="0" applyFill="0" applyBorder="0" applyProtection="0">
      <alignment horizontal="center" wrapText="1"/>
    </xf>
    <xf numFmtId="0" fontId="105" fillId="0" borderId="0" applyNumberFormat="0" applyFill="0" applyBorder="0" applyProtection="0">
      <alignment horizontal="center" wrapText="1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8" fillId="0" borderId="0" applyNumberFormat="0" applyFont="0" applyFill="0" applyBorder="0" applyAlignment="0" applyProtection="0"/>
    <xf numFmtId="181" fontId="105" fillId="0" borderId="0" applyFill="0" applyBorder="0" applyProtection="0">
      <alignment horizontal="center"/>
    </xf>
    <xf numFmtId="181" fontId="105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3" fontId="105" fillId="0" borderId="0" applyFill="0" applyBorder="0" applyProtection="0">
      <alignment horizontal="center"/>
    </xf>
    <xf numFmtId="183" fontId="105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0" fontId="107" fillId="0" borderId="0" applyNumberFormat="0" applyFill="0" applyBorder="0" applyProtection="0">
      <alignment wrapText="1"/>
    </xf>
    <xf numFmtId="0" fontId="107" fillId="0" borderId="0" applyNumberFormat="0" applyFill="0" applyBorder="0" applyProtection="0">
      <alignment wrapText="1"/>
    </xf>
    <xf numFmtId="0" fontId="107" fillId="0" borderId="37" applyNumberFormat="0" applyFill="0" applyProtection="0">
      <alignment wrapText="1"/>
    </xf>
    <xf numFmtId="0" fontId="107" fillId="0" borderId="37" applyNumberFormat="0" applyFill="0" applyProtection="0">
      <alignment wrapText="1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40" fontId="109" fillId="0" borderId="0" applyBorder="0">
      <alignment horizontal="right"/>
    </xf>
    <xf numFmtId="49" fontId="110" fillId="0" borderId="50">
      <alignment vertical="center"/>
    </xf>
    <xf numFmtId="0" fontId="2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58" applyNumberFormat="0" applyFill="0" applyAlignment="0" applyProtection="0"/>
    <xf numFmtId="0" fontId="2" fillId="0" borderId="59" applyNumberFormat="0" applyFill="0" applyBorder="0" applyAlignment="0" applyProtection="0"/>
    <xf numFmtId="0" fontId="40" fillId="0" borderId="33" applyNumberFormat="0" applyFill="0" applyAlignment="0" applyProtection="0"/>
    <xf numFmtId="37" fontId="45" fillId="24" borderId="0" applyNumberFormat="0" applyBorder="0" applyAlignment="0" applyProtection="0"/>
    <xf numFmtId="37" fontId="45" fillId="0" borderId="0"/>
    <xf numFmtId="37" fontId="45" fillId="0" borderId="0"/>
    <xf numFmtId="3" fontId="111" fillId="0" borderId="48" applyProtection="0"/>
    <xf numFmtId="0" fontId="95" fillId="0" borderId="0" applyFill="0" applyBorder="0" applyAlignment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35" applyNumberFormat="0" applyAlignment="0"/>
    <xf numFmtId="0" fontId="2" fillId="0" borderId="21" applyNumberFormat="0" applyAlignment="0"/>
    <xf numFmtId="0" fontId="2" fillId="0" borderId="40" applyNumberFormat="0" applyAlignment="0">
      <alignment horizontal="center"/>
    </xf>
    <xf numFmtId="0" fontId="4" fillId="117" borderId="0" applyBorder="0">
      <alignment horizontal="center"/>
    </xf>
    <xf numFmtId="0" fontId="2" fillId="24" borderId="0" applyBorder="0"/>
    <xf numFmtId="0" fontId="2" fillId="0" borderId="0" applyBorder="0"/>
    <xf numFmtId="182" fontId="4" fillId="59" borderId="0" applyBorder="0"/>
    <xf numFmtId="0" fontId="2" fillId="118" borderId="0" applyBorder="0"/>
    <xf numFmtId="0" fontId="2" fillId="113" borderId="0" applyBorder="0"/>
    <xf numFmtId="0" fontId="2" fillId="118" borderId="0" applyBorder="0">
      <alignment wrapText="1"/>
    </xf>
    <xf numFmtId="182" fontId="4" fillId="113" borderId="0" applyBorder="0"/>
    <xf numFmtId="182" fontId="4" fillId="95" borderId="0" applyBorder="0"/>
    <xf numFmtId="182" fontId="2" fillId="118" borderId="0" applyBorder="0"/>
    <xf numFmtId="0" fontId="2" fillId="101" borderId="0" applyBorder="0"/>
    <xf numFmtId="182" fontId="2" fillId="99" borderId="0" applyBorder="0"/>
    <xf numFmtId="0" fontId="2" fillId="119" borderId="0" applyBorder="0"/>
    <xf numFmtId="0" fontId="113" fillId="120" borderId="0" applyBorder="0"/>
    <xf numFmtId="0" fontId="4" fillId="95" borderId="0" applyNumberFormat="0" applyBorder="0" applyAlignment="0"/>
    <xf numFmtId="0" fontId="4" fillId="3" borderId="0" applyNumberFormat="0" applyBorder="0" applyAlignment="0"/>
    <xf numFmtId="0" fontId="4" fillId="21" borderId="0" applyNumberFormat="0" applyBorder="0" applyAlignment="0"/>
    <xf numFmtId="0" fontId="4" fillId="121" borderId="0" applyNumberFormat="0" applyBorder="0" applyAlignment="0"/>
    <xf numFmtId="0" fontId="4" fillId="122" borderId="0" applyNumberFormat="0" applyBorder="0" applyAlignment="0"/>
    <xf numFmtId="0" fontId="4" fillId="16" borderId="0" applyNumberFormat="0" applyBorder="0" applyAlignment="0"/>
    <xf numFmtId="0" fontId="4" fillId="123" borderId="0" applyNumberFormat="0" applyBorder="0" applyAlignment="0"/>
    <xf numFmtId="1" fontId="4" fillId="119" borderId="37" applyNumberFormat="0" applyAlignment="0">
      <alignment horizontal="center"/>
    </xf>
    <xf numFmtId="1" fontId="4" fillId="83" borderId="37" applyNumberFormat="0" applyAlignment="0">
      <alignment horizontal="left"/>
    </xf>
    <xf numFmtId="0" fontId="4" fillId="83" borderId="37" applyNumberFormat="0" applyAlignment="0"/>
    <xf numFmtId="0" fontId="2" fillId="0" borderId="21">
      <alignment horizontal="center"/>
    </xf>
    <xf numFmtId="49" fontId="2" fillId="15" borderId="21">
      <alignment horizontal="center"/>
    </xf>
    <xf numFmtId="0" fontId="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71" fillId="84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44">
      <alignment horizontal="left" vertical="center"/>
    </xf>
    <xf numFmtId="10" fontId="45" fillId="27" borderId="20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4" fillId="80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2" fillId="22" borderId="51" applyNumberFormat="0" applyProtection="0">
      <alignment vertical="center"/>
    </xf>
    <xf numFmtId="4" fontId="13" fillId="24" borderId="8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13" fillId="24" borderId="8" applyNumberFormat="0" applyProtection="0">
      <alignment vertical="center"/>
    </xf>
    <xf numFmtId="4" fontId="93" fillId="22" borderId="51" applyNumberFormat="0" applyProtection="0">
      <alignment vertical="center"/>
    </xf>
    <xf numFmtId="4" fontId="94" fillId="24" borderId="43" applyNumberFormat="0" applyProtection="0">
      <alignment vertical="center"/>
    </xf>
    <xf numFmtId="4" fontId="95" fillId="24" borderId="8" applyNumberFormat="0" applyProtection="0">
      <alignment vertical="center"/>
    </xf>
    <xf numFmtId="4" fontId="92" fillId="22" borderId="51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0" fontId="96" fillId="22" borderId="51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13" fillId="3" borderId="51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92" fillId="107" borderId="8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25" borderId="54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top" indent="1"/>
    </xf>
    <xf numFmtId="0" fontId="45" fillId="109" borderId="51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45" fillId="93" borderId="51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1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1" applyNumberFormat="0" applyProtection="0">
      <alignment horizontal="left" vertical="top" indent="1"/>
    </xf>
    <xf numFmtId="0" fontId="45" fillId="8" borderId="51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top" indent="1"/>
    </xf>
    <xf numFmtId="0" fontId="45" fillId="108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9" borderId="56" applyBorder="0"/>
    <xf numFmtId="4" fontId="13" fillId="23" borderId="51" applyNumberFormat="0" applyProtection="0">
      <alignment vertical="center"/>
    </xf>
    <xf numFmtId="4" fontId="98" fillId="23" borderId="51" applyNumberFormat="0" applyProtection="0">
      <alignment vertical="center"/>
    </xf>
    <xf numFmtId="4" fontId="13" fillId="27" borderId="8" applyNumberFormat="0" applyProtection="0">
      <alignment vertical="center"/>
    </xf>
    <xf numFmtId="4" fontId="95" fillId="23" borderId="51" applyNumberFormat="0" applyProtection="0">
      <alignment vertical="center"/>
    </xf>
    <xf numFmtId="4" fontId="94" fillId="27" borderId="20" applyNumberFormat="0" applyProtection="0">
      <alignment vertical="center"/>
    </xf>
    <xf numFmtId="4" fontId="95" fillId="27" borderId="8" applyNumberFormat="0" applyProtection="0">
      <alignment vertical="center"/>
    </xf>
    <xf numFmtId="4" fontId="13" fillId="23" borderId="51" applyNumberFormat="0" applyProtection="0">
      <alignment horizontal="left" vertical="center" indent="1"/>
    </xf>
    <xf numFmtId="4" fontId="98" fillId="20" borderId="51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1" applyNumberFormat="0" applyProtection="0">
      <alignment horizontal="left" vertical="top" indent="1"/>
    </xf>
    <xf numFmtId="0" fontId="98" fillId="23" borderId="51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95" fillId="108" borderId="51" applyNumberFormat="0" applyProtection="0">
      <alignment horizontal="right" vertical="center"/>
    </xf>
    <xf numFmtId="4" fontId="94" fillId="91" borderId="43" applyNumberFormat="0" applyProtection="0">
      <alignment horizontal="right" vertical="center"/>
    </xf>
    <xf numFmtId="4" fontId="95" fillId="25" borderId="8" applyNumberFormat="0" applyProtection="0">
      <alignment horizontal="right" vertical="center"/>
    </xf>
    <xf numFmtId="4" fontId="13" fillId="93" borderId="51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13" fillId="93" borderId="51" applyNumberFormat="0" applyProtection="0">
      <alignment horizontal="left" vertical="top" indent="1"/>
    </xf>
    <xf numFmtId="0" fontId="98" fillId="93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100" fillId="115" borderId="52" applyNumberFormat="0" applyProtection="0">
      <alignment horizontal="left" vertical="center" indent="1"/>
    </xf>
    <xf numFmtId="0" fontId="45" fillId="116" borderId="20"/>
    <xf numFmtId="0" fontId="45" fillId="116" borderId="20"/>
    <xf numFmtId="0" fontId="45" fillId="116" borderId="20"/>
    <xf numFmtId="4" fontId="47" fillId="108" borderId="51" applyNumberFormat="0" applyProtection="0">
      <alignment horizontal="right" vertical="center"/>
    </xf>
    <xf numFmtId="4" fontId="102" fillId="114" borderId="43" applyNumberFormat="0" applyProtection="0">
      <alignment horizontal="right" vertical="center"/>
    </xf>
    <xf numFmtId="4" fontId="47" fillId="25" borderId="8" applyNumberFormat="0" applyProtection="0">
      <alignment horizontal="right" vertical="center"/>
    </xf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58" applyNumberFormat="0" applyFill="0" applyAlignment="0" applyProtection="0"/>
    <xf numFmtId="0" fontId="2" fillId="0" borderId="40" applyNumberFormat="0" applyAlignment="0">
      <alignment horizontal="center"/>
    </xf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1" fillId="0" borderId="27" applyNumberFormat="0" applyFill="0" applyAlignment="0" applyProtection="0"/>
    <xf numFmtId="0" fontId="51" fillId="0" borderId="0" applyNumberFormat="0" applyFill="0" applyBorder="0" applyAlignment="0" applyProtection="0"/>
    <xf numFmtId="0" fontId="52" fillId="28" borderId="0" applyNumberFormat="0" applyBorder="0" applyAlignment="0" applyProtection="0"/>
    <xf numFmtId="0" fontId="53" fillId="29" borderId="0" applyNumberFormat="0" applyBorder="0" applyAlignment="0" applyProtection="0"/>
    <xf numFmtId="0" fontId="54" fillId="30" borderId="0" applyNumberFormat="0" applyBorder="0" applyAlignment="0" applyProtection="0"/>
    <xf numFmtId="0" fontId="55" fillId="31" borderId="28" applyNumberFormat="0" applyAlignment="0" applyProtection="0"/>
    <xf numFmtId="0" fontId="56" fillId="32" borderId="29" applyNumberFormat="0" applyAlignment="0" applyProtection="0"/>
    <xf numFmtId="0" fontId="57" fillId="32" borderId="28" applyNumberFormat="0" applyAlignment="0" applyProtection="0"/>
    <xf numFmtId="0" fontId="58" fillId="0" borderId="30" applyNumberFormat="0" applyFill="0" applyAlignment="0" applyProtection="0"/>
    <xf numFmtId="0" fontId="59" fillId="33" borderId="31" applyNumberFormat="0" applyAlignment="0" applyProtection="0"/>
    <xf numFmtId="0" fontId="3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6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6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6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60" applyNumberFormat="0" applyAlignment="0" applyProtection="0">
      <alignment horizontal="left" vertical="center"/>
    </xf>
    <xf numFmtId="10" fontId="45" fillId="27" borderId="2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4" fillId="27" borderId="20" applyNumberFormat="0" applyProtection="0">
      <alignment vertical="center"/>
    </xf>
    <xf numFmtId="0" fontId="45" fillId="116" borderId="20"/>
    <xf numFmtId="0" fontId="45" fillId="116" borderId="20"/>
    <xf numFmtId="0" fontId="45" fillId="116" borderId="20"/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43" fontId="2" fillId="0" borderId="0" applyFont="0" applyFill="0" applyBorder="0" applyAlignment="0" applyProtection="0"/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45" fillId="27" borderId="2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4" fillId="27" borderId="20" applyNumberFormat="0" applyProtection="0">
      <alignment vertical="center"/>
    </xf>
    <xf numFmtId="0" fontId="45" fillId="116" borderId="20"/>
    <xf numFmtId="0" fontId="45" fillId="116" borderId="20"/>
    <xf numFmtId="0" fontId="45" fillId="116" borderId="20"/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9" fillId="0" borderId="4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2" fillId="106" borderId="53" applyNumberFormat="0" applyProtection="0">
      <alignment horizontal="left" vertical="center" indent="1"/>
    </xf>
    <xf numFmtId="0" fontId="45" fillId="114" borderId="55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184" fontId="14" fillId="2" borderId="0" applyNumberFormat="0" applyBorder="0" applyAlignment="0" applyProtection="0"/>
    <xf numFmtId="184" fontId="14" fillId="3" borderId="0" applyNumberFormat="0" applyBorder="0" applyAlignment="0" applyProtection="0"/>
    <xf numFmtId="184" fontId="14" fillId="4" borderId="0" applyNumberFormat="0" applyBorder="0" applyAlignment="0" applyProtection="0"/>
    <xf numFmtId="184" fontId="14" fillId="5" borderId="0" applyNumberFormat="0" applyBorder="0" applyAlignment="0" applyProtection="0"/>
    <xf numFmtId="184" fontId="14" fillId="6" borderId="0" applyNumberFormat="0" applyBorder="0" applyAlignment="0" applyProtection="0"/>
    <xf numFmtId="184" fontId="14" fillId="7" borderId="0" applyNumberFormat="0" applyBorder="0" applyAlignment="0" applyProtection="0"/>
    <xf numFmtId="184" fontId="14" fillId="8" borderId="0" applyNumberFormat="0" applyBorder="0" applyAlignment="0" applyProtection="0"/>
    <xf numFmtId="184" fontId="14" fillId="9" borderId="0" applyNumberFormat="0" applyBorder="0" applyAlignment="0" applyProtection="0"/>
    <xf numFmtId="184" fontId="14" fillId="10" borderId="0" applyNumberFormat="0" applyBorder="0" applyAlignment="0" applyProtection="0"/>
    <xf numFmtId="184" fontId="14" fillId="5" borderId="0" applyNumberFormat="0" applyBorder="0" applyAlignment="0" applyProtection="0"/>
    <xf numFmtId="184" fontId="14" fillId="8" borderId="0" applyNumberFormat="0" applyBorder="0" applyAlignment="0" applyProtection="0"/>
    <xf numFmtId="184" fontId="14" fillId="11" borderId="0" applyNumberFormat="0" applyBorder="0" applyAlignment="0" applyProtection="0"/>
    <xf numFmtId="184" fontId="15" fillId="12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13" borderId="0" applyNumberFormat="0" applyBorder="0" applyAlignment="0" applyProtection="0"/>
    <xf numFmtId="184" fontId="15" fillId="14" borderId="0" applyNumberFormat="0" applyBorder="0" applyAlignment="0" applyProtection="0"/>
    <xf numFmtId="184" fontId="15" fillId="15" borderId="0" applyNumberFormat="0" applyBorder="0" applyAlignment="0" applyProtection="0"/>
    <xf numFmtId="184" fontId="15" fillId="16" borderId="0" applyNumberFormat="0" applyBorder="0" applyAlignment="0" applyProtection="0"/>
    <xf numFmtId="184" fontId="15" fillId="17" borderId="0" applyNumberFormat="0" applyBorder="0" applyAlignment="0" applyProtection="0"/>
    <xf numFmtId="184" fontId="15" fillId="18" borderId="0" applyNumberFormat="0" applyBorder="0" applyAlignment="0" applyProtection="0"/>
    <xf numFmtId="184" fontId="15" fillId="13" borderId="0" applyNumberFormat="0" applyBorder="0" applyAlignment="0" applyProtection="0"/>
    <xf numFmtId="184" fontId="15" fillId="14" borderId="0" applyNumberFormat="0" applyBorder="0" applyAlignment="0" applyProtection="0"/>
    <xf numFmtId="184" fontId="15" fillId="19" borderId="0" applyNumberFormat="0" applyBorder="0" applyAlignment="0" applyProtection="0"/>
    <xf numFmtId="168" fontId="68" fillId="83" borderId="42">
      <alignment horizontal="center" vertical="center"/>
    </xf>
    <xf numFmtId="168" fontId="68" fillId="83" borderId="42">
      <alignment horizontal="center" vertical="center"/>
    </xf>
    <xf numFmtId="168" fontId="68" fillId="83" borderId="42">
      <alignment horizontal="center" vertical="center"/>
    </xf>
    <xf numFmtId="184" fontId="16" fillId="3" borderId="0" applyNumberFormat="0" applyBorder="0" applyAlignment="0" applyProtection="0"/>
    <xf numFmtId="184" fontId="17" fillId="20" borderId="1" applyNumberFormat="0" applyAlignment="0" applyProtection="0"/>
    <xf numFmtId="184" fontId="18" fillId="21" borderId="2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84" fontId="19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4" fontId="20" fillId="4" borderId="0" applyNumberFormat="0" applyBorder="0" applyAlignment="0" applyProtection="0"/>
    <xf numFmtId="38" fontId="45" fillId="26" borderId="0" applyNumberFormat="0" applyBorder="0" applyAlignment="0" applyProtection="0"/>
    <xf numFmtId="184" fontId="75" fillId="0" borderId="0" applyNumberFormat="0" applyFill="0" applyBorder="0" applyAlignment="0" applyProtection="0"/>
    <xf numFmtId="184" fontId="3" fillId="0" borderId="60" applyNumberFormat="0" applyAlignment="0" applyProtection="0">
      <alignment horizontal="left" vertical="center"/>
    </xf>
    <xf numFmtId="184" fontId="3" fillId="0" borderId="24">
      <alignment horizontal="left" vertical="center"/>
    </xf>
    <xf numFmtId="184" fontId="77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23" fillId="0" borderId="5" applyNumberFormat="0" applyFill="0" applyAlignment="0" applyProtection="0"/>
    <xf numFmtId="184" fontId="23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84" fontId="80" fillId="0" borderId="61" applyNumberFormat="0" applyFill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5" fillId="0" borderId="6" applyNumberFormat="0" applyFill="0" applyAlignment="0" applyProtection="0"/>
    <xf numFmtId="184" fontId="26" fillId="22" borderId="0" applyNumberFormat="0" applyBorder="0" applyAlignment="0" applyProtection="0"/>
    <xf numFmtId="37" fontId="85" fillId="0" borderId="0"/>
    <xf numFmtId="37" fontId="85" fillId="0" borderId="0"/>
    <xf numFmtId="37" fontId="85" fillId="0" borderId="0"/>
    <xf numFmtId="179" fontId="64" fillId="0" borderId="0"/>
    <xf numFmtId="179" fontId="64" fillId="0" borderId="0"/>
    <xf numFmtId="179" fontId="64" fillId="0" borderId="0"/>
    <xf numFmtId="184" fontId="2" fillId="0" borderId="0"/>
    <xf numFmtId="184" fontId="120" fillId="0" borderId="0"/>
    <xf numFmtId="184" fontId="120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129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4" fontId="12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4" fontId="129" fillId="0" borderId="0"/>
    <xf numFmtId="184" fontId="2" fillId="0" borderId="0"/>
    <xf numFmtId="184" fontId="2" fillId="0" borderId="0"/>
    <xf numFmtId="184" fontId="2" fillId="0" borderId="0"/>
    <xf numFmtId="184" fontId="2" fillId="23" borderId="7" applyNumberFormat="0" applyFont="0" applyAlignment="0" applyProtection="0"/>
    <xf numFmtId="184" fontId="27" fillId="20" borderId="8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0" fillId="124" borderId="20" applyNumberFormat="0" applyProtection="0">
      <alignment horizontal="right" vertical="center" wrapText="1"/>
    </xf>
    <xf numFmtId="4" fontId="130" fillId="124" borderId="20" applyNumberFormat="0" applyProtection="0">
      <alignment horizontal="right" vertical="center" wrapText="1"/>
    </xf>
    <xf numFmtId="4" fontId="93" fillId="24" borderId="51" applyNumberFormat="0" applyProtection="0">
      <alignment vertical="center"/>
    </xf>
    <xf numFmtId="4" fontId="116" fillId="125" borderId="4">
      <alignment vertical="center"/>
    </xf>
    <xf numFmtId="4" fontId="117" fillId="125" borderId="4">
      <alignment vertical="center"/>
    </xf>
    <xf numFmtId="4" fontId="116" fillId="126" borderId="4">
      <alignment vertical="center"/>
    </xf>
    <xf numFmtId="4" fontId="117" fillId="126" borderId="4">
      <alignment vertical="center"/>
    </xf>
    <xf numFmtId="4" fontId="13" fillId="24" borderId="8" applyNumberFormat="0" applyProtection="0">
      <alignment horizontal="left" vertical="center" indent="1"/>
    </xf>
    <xf numFmtId="4" fontId="130" fillId="124" borderId="20" applyNumberFormat="0" applyProtection="0">
      <alignment horizontal="left" vertical="center" indent="1"/>
    </xf>
    <xf numFmtId="4" fontId="130" fillId="124" borderId="20" applyNumberFormat="0" applyProtection="0">
      <alignment horizontal="left" vertical="center" indent="1"/>
    </xf>
    <xf numFmtId="184" fontId="92" fillId="24" borderId="51" applyNumberFormat="0" applyProtection="0">
      <alignment horizontal="left" vertical="top" indent="1"/>
    </xf>
    <xf numFmtId="4" fontId="44" fillId="127" borderId="20" applyNumberFormat="0" applyProtection="0">
      <alignment horizontal="left" vertical="center"/>
    </xf>
    <xf numFmtId="4" fontId="46" fillId="113" borderId="20" applyNumberFormat="0">
      <alignment horizontal="right" vertical="center"/>
    </xf>
    <xf numFmtId="4" fontId="13" fillId="3" borderId="51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92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118" fillId="20" borderId="51" applyNumberFormat="0" applyProtection="0">
      <alignment horizontal="center" vertical="center"/>
    </xf>
    <xf numFmtId="4" fontId="119" fillId="91" borderId="62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4" fontId="13" fillId="27" borderId="51" applyNumberFormat="0" applyProtection="0">
      <alignment vertical="center"/>
    </xf>
    <xf numFmtId="4" fontId="13" fillId="27" borderId="51" applyNumberFormat="0" applyProtection="0">
      <alignment vertical="center"/>
    </xf>
    <xf numFmtId="4" fontId="95" fillId="27" borderId="51" applyNumberFormat="0" applyProtection="0">
      <alignment vertical="center"/>
    </xf>
    <xf numFmtId="4" fontId="121" fillId="125" borderId="62">
      <alignment vertical="center"/>
    </xf>
    <xf numFmtId="4" fontId="122" fillId="125" borderId="62">
      <alignment vertical="center"/>
    </xf>
    <xf numFmtId="4" fontId="121" fillId="126" borderId="62">
      <alignment vertical="center"/>
    </xf>
    <xf numFmtId="4" fontId="122" fillId="126" borderId="62">
      <alignment vertical="center"/>
    </xf>
    <xf numFmtId="4" fontId="98" fillId="0" borderId="0" applyNumberFormat="0" applyProtection="0">
      <alignment horizontal="left" vertical="center" indent="1"/>
    </xf>
    <xf numFmtId="184" fontId="13" fillId="27" borderId="51" applyNumberFormat="0" applyProtection="0">
      <alignment horizontal="left" vertical="top" indent="1"/>
    </xf>
    <xf numFmtId="184" fontId="13" fillId="27" borderId="51" applyNumberFormat="0" applyProtection="0">
      <alignment horizontal="left" vertical="top" indent="1"/>
    </xf>
    <xf numFmtId="184" fontId="46" fillId="113" borderId="20" applyNumberFormat="0">
      <alignment horizontal="left" vertical="center"/>
    </xf>
    <xf numFmtId="4" fontId="45" fillId="0" borderId="20" applyNumberFormat="0" applyProtection="0">
      <alignment horizontal="left" vertical="center" indent="1"/>
    </xf>
    <xf numFmtId="4" fontId="129" fillId="0" borderId="20" applyNumberFormat="0" applyProtection="0">
      <alignment horizontal="right" vertical="center" wrapText="1"/>
    </xf>
    <xf numFmtId="4" fontId="123" fillId="125" borderId="62">
      <alignment vertical="center"/>
    </xf>
    <xf numFmtId="4" fontId="124" fillId="125" borderId="62">
      <alignment vertical="center"/>
    </xf>
    <xf numFmtId="4" fontId="123" fillId="126" borderId="62">
      <alignment vertical="center"/>
    </xf>
    <xf numFmtId="4" fontId="124" fillId="98" borderId="62">
      <alignment vertical="center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4" fontId="129" fillId="0" borderId="20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44" fillId="131" borderId="20" applyNumberFormat="0" applyProtection="0">
      <alignment horizontal="center" vertical="top" wrapText="1"/>
    </xf>
    <xf numFmtId="4" fontId="125" fillId="91" borderId="63">
      <alignment vertical="center"/>
    </xf>
    <xf numFmtId="4" fontId="126" fillId="91" borderId="63">
      <alignment vertical="center"/>
    </xf>
    <xf numFmtId="4" fontId="116" fillId="125" borderId="63">
      <alignment vertical="center"/>
    </xf>
    <xf numFmtId="4" fontId="117" fillId="125" borderId="63">
      <alignment vertical="center"/>
    </xf>
    <xf numFmtId="4" fontId="116" fillId="126" borderId="62">
      <alignment vertical="center"/>
    </xf>
    <xf numFmtId="4" fontId="117" fillId="126" borderId="62">
      <alignment vertical="center"/>
    </xf>
    <xf numFmtId="4" fontId="127" fillId="27" borderId="63">
      <alignment horizontal="left" vertical="center" indent="1"/>
    </xf>
    <xf numFmtId="4" fontId="114" fillId="0" borderId="0" applyNumberFormat="0" applyProtection="0">
      <alignment vertical="center"/>
    </xf>
    <xf numFmtId="4" fontId="47" fillId="0" borderId="51" applyNumberFormat="0" applyProtection="0">
      <alignment horizontal="right" vertical="center"/>
    </xf>
    <xf numFmtId="4" fontId="47" fillId="0" borderId="51" applyNumberFormat="0" applyProtection="0">
      <alignment horizontal="right" vertical="center"/>
    </xf>
    <xf numFmtId="184" fontId="128" fillId="91" borderId="64">
      <protection locked="0"/>
    </xf>
    <xf numFmtId="184" fontId="128" fillId="118" borderId="0"/>
    <xf numFmtId="184" fontId="115" fillId="0" borderId="0"/>
    <xf numFmtId="184" fontId="108" fillId="0" borderId="0" applyNumberFormat="0" applyFont="0" applyFill="0" applyBorder="0" applyAlignment="0" applyProtection="0"/>
    <xf numFmtId="184" fontId="108" fillId="0" borderId="0" applyNumberFormat="0" applyFont="0" applyFill="0" applyBorder="0" applyAlignment="0" applyProtection="0"/>
    <xf numFmtId="184" fontId="108" fillId="0" borderId="0" applyNumberFormat="0" applyFont="0" applyFill="0" applyBorder="0" applyAlignment="0" applyProtection="0"/>
    <xf numFmtId="184" fontId="28" fillId="0" borderId="0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37" fontId="45" fillId="24" borderId="0" applyNumberFormat="0" applyBorder="0" applyAlignment="0" applyProtection="0"/>
    <xf numFmtId="37" fontId="45" fillId="0" borderId="0"/>
    <xf numFmtId="37" fontId="45" fillId="0" borderId="0"/>
    <xf numFmtId="3" fontId="111" fillId="0" borderId="61" applyProtection="0"/>
    <xf numFmtId="184" fontId="30" fillId="0" borderId="0" applyNumberFormat="0" applyFill="0" applyBorder="0" applyAlignment="0" applyProtection="0"/>
    <xf numFmtId="0" fontId="34" fillId="0" borderId="0"/>
    <xf numFmtId="0" fontId="34" fillId="0" borderId="0"/>
    <xf numFmtId="4" fontId="47" fillId="0" borderId="51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3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3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43" fontId="13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6" fillId="22" borderId="0" applyNumberFormat="0" applyBorder="0" applyAlignment="0" applyProtection="0"/>
    <xf numFmtId="0" fontId="131" fillId="23" borderId="7" applyNumberFormat="0" applyFont="0" applyAlignment="0" applyProtection="0"/>
    <xf numFmtId="0" fontId="27" fillId="20" borderId="8" applyNumberFormat="0" applyAlignment="0" applyProtection="0"/>
    <xf numFmtId="9" fontId="13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3" fillId="0" borderId="60" applyNumberFormat="0" applyAlignment="0" applyProtection="0">
      <alignment horizontal="left" vertical="center"/>
    </xf>
    <xf numFmtId="0" fontId="3" fillId="0" borderId="24">
      <alignment horizontal="left" vertical="center"/>
    </xf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80" fillId="0" borderId="61" applyNumberFormat="0" applyFill="0" applyAlignment="0" applyProtection="0"/>
    <xf numFmtId="0" fontId="2" fillId="0" borderId="0"/>
    <xf numFmtId="0" fontId="1" fillId="0" borderId="0"/>
    <xf numFmtId="4" fontId="133" fillId="24" borderId="65" applyNumberFormat="0" applyProtection="0">
      <alignment vertical="center"/>
    </xf>
    <xf numFmtId="4" fontId="134" fillId="24" borderId="65" applyNumberFormat="0" applyProtection="0">
      <alignment vertical="center"/>
    </xf>
    <xf numFmtId="4" fontId="135" fillId="24" borderId="65" applyNumberFormat="0" applyProtection="0">
      <alignment horizontal="left" vertical="center" indent="1"/>
    </xf>
    <xf numFmtId="0" fontId="92" fillId="24" borderId="51" applyNumberFormat="0" applyProtection="0">
      <alignment horizontal="left" vertical="top" indent="1"/>
    </xf>
    <xf numFmtId="4" fontId="136" fillId="110" borderId="65" applyNumberFormat="0" applyProtection="0">
      <alignment horizontal="left" vertical="center" indent="1"/>
    </xf>
    <xf numFmtId="4" fontId="123" fillId="98" borderId="65" applyNumberFormat="0" applyProtection="0">
      <alignment vertical="center"/>
    </xf>
    <xf numFmtId="4" fontId="42" fillId="132" borderId="65" applyNumberFormat="0" applyProtection="0">
      <alignment vertical="center"/>
    </xf>
    <xf numFmtId="4" fontId="123" fillId="125" borderId="65" applyNumberFormat="0" applyProtection="0">
      <alignment vertical="center"/>
    </xf>
    <xf numFmtId="4" fontId="116" fillId="98" borderId="65" applyNumberFormat="0" applyProtection="0">
      <alignment vertical="center"/>
    </xf>
    <xf numFmtId="4" fontId="127" fillId="133" borderId="65" applyNumberFormat="0" applyProtection="0">
      <alignment horizontal="left" vertical="center" indent="1"/>
    </xf>
    <xf numFmtId="4" fontId="127" fillId="130" borderId="65" applyNumberFormat="0" applyProtection="0">
      <alignment horizontal="left" vertical="center" indent="1"/>
    </xf>
    <xf numFmtId="4" fontId="137" fillId="110" borderId="65" applyNumberFormat="0" applyProtection="0">
      <alignment horizontal="left" vertical="center" indent="1"/>
    </xf>
    <xf numFmtId="4" fontId="138" fillId="83" borderId="65" applyNumberFormat="0" applyProtection="0">
      <alignment vertical="center"/>
    </xf>
    <xf numFmtId="4" fontId="119" fillId="91" borderId="65" applyNumberFormat="0" applyProtection="0">
      <alignment horizontal="left" vertical="center" indent="1"/>
    </xf>
    <xf numFmtId="4" fontId="139" fillId="130" borderId="65" applyNumberFormat="0" applyProtection="0">
      <alignment horizontal="left" vertical="center" indent="1"/>
    </xf>
    <xf numFmtId="4" fontId="113" fillId="110" borderId="65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4" fontId="140" fillId="91" borderId="65" applyNumberFormat="0" applyProtection="0">
      <alignment vertical="center"/>
    </xf>
    <xf numFmtId="4" fontId="141" fillId="91" borderId="65" applyNumberFormat="0" applyProtection="0">
      <alignment vertical="center"/>
    </xf>
    <xf numFmtId="4" fontId="127" fillId="130" borderId="65" applyNumberFormat="0" applyProtection="0">
      <alignment horizontal="left" vertical="center" indent="1"/>
    </xf>
    <xf numFmtId="0" fontId="13" fillId="27" borderId="51" applyNumberFormat="0" applyProtection="0">
      <alignment horizontal="left" vertical="top" indent="1"/>
    </xf>
    <xf numFmtId="0" fontId="13" fillId="27" borderId="51" applyNumberFormat="0" applyProtection="0">
      <alignment horizontal="left" vertical="top" indent="1"/>
    </xf>
    <xf numFmtId="4" fontId="142" fillId="91" borderId="65" applyNumberFormat="0" applyProtection="0">
      <alignment vertical="center"/>
    </xf>
    <xf numFmtId="4" fontId="143" fillId="91" borderId="65" applyNumberFormat="0" applyProtection="0">
      <alignment vertical="center"/>
    </xf>
    <xf numFmtId="4" fontId="127" fillId="130" borderId="65" applyNumberFormat="0" applyProtection="0">
      <alignment horizontal="left" vertical="center" indent="1"/>
    </xf>
    <xf numFmtId="0" fontId="13" fillId="129" borderId="51" applyNumberFormat="0" applyProtection="0">
      <alignment horizontal="left" vertical="top" indent="1"/>
    </xf>
    <xf numFmtId="0" fontId="13" fillId="129" borderId="51" applyNumberFormat="0" applyProtection="0">
      <alignment horizontal="left" vertical="top" indent="1"/>
    </xf>
    <xf numFmtId="4" fontId="125" fillId="91" borderId="65" applyNumberFormat="0" applyProtection="0">
      <alignment vertical="center"/>
    </xf>
    <xf numFmtId="4" fontId="126" fillId="91" borderId="65" applyNumberFormat="0" applyProtection="0">
      <alignment vertical="center"/>
    </xf>
    <xf numFmtId="4" fontId="127" fillId="27" borderId="65" applyNumberFormat="0" applyProtection="0">
      <alignment horizontal="left" vertical="center" indent="1"/>
    </xf>
    <xf numFmtId="4" fontId="144" fillId="83" borderId="65" applyNumberFormat="0" applyProtection="0">
      <alignment horizontal="left" indent="1"/>
    </xf>
    <xf numFmtId="4" fontId="132" fillId="91" borderId="65" applyNumberFormat="0" applyProtection="0">
      <alignment vertical="center"/>
    </xf>
    <xf numFmtId="0" fontId="108" fillId="0" borderId="0" applyNumberFormat="0" applyFon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0" fontId="2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5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3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20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21" fillId="0" borderId="3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22" fillId="0" borderId="4" applyNumberFormat="0" applyFill="0" applyAlignment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23" fillId="0" borderId="5" applyNumberFormat="0" applyFill="0" applyAlignment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13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1" fillId="0" borderId="0"/>
    <xf numFmtId="0" fontId="1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31" fillId="0" borderId="0"/>
    <xf numFmtId="0" fontId="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1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20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9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31" fillId="0" borderId="0" applyFont="0" applyFill="0" applyBorder="0" applyAlignment="0" applyProtection="0"/>
    <xf numFmtId="0" fontId="24" fillId="7" borderId="1" applyNumberFormat="0" applyAlignment="0" applyProtection="0"/>
    <xf numFmtId="43" fontId="131" fillId="0" borderId="0" applyFont="0" applyFill="0" applyBorder="0" applyAlignment="0" applyProtection="0"/>
    <xf numFmtId="0" fontId="131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0" fontId="131" fillId="0" borderId="0"/>
    <xf numFmtId="9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0" fontId="24" fillId="7" borderId="1" applyNumberFormat="0" applyAlignment="0" applyProtection="0"/>
    <xf numFmtId="0" fontId="131" fillId="0" borderId="0"/>
    <xf numFmtId="0" fontId="24" fillId="7" borderId="1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13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131" fillId="23" borderId="7" applyNumberFormat="0" applyFont="0" applyAlignment="0" applyProtection="0"/>
    <xf numFmtId="0" fontId="27" fillId="20" borderId="8" applyNumberForma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184" fontId="2" fillId="94" borderId="8" applyNumberFormat="0" applyProtection="0">
      <alignment horizontal="left" vertical="center" indent="1"/>
    </xf>
    <xf numFmtId="4" fontId="13" fillId="25" borderId="8" applyNumberFormat="0" applyProtection="0">
      <alignment horizontal="right" vertical="center"/>
    </xf>
    <xf numFmtId="184" fontId="13" fillId="27" borderId="51" applyNumberFormat="0" applyProtection="0">
      <alignment horizontal="left" vertical="top" indent="1"/>
    </xf>
    <xf numFmtId="4" fontId="95" fillId="27" borderId="51" applyNumberFormat="0" applyProtection="0">
      <alignment vertical="center"/>
    </xf>
    <xf numFmtId="4" fontId="13" fillId="27" borderId="51" applyNumberFormat="0" applyProtection="0">
      <alignment vertical="center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92" fillId="24" borderId="51" applyNumberFormat="0" applyProtection="0">
      <alignment horizontal="left" vertical="top" indent="1"/>
    </xf>
    <xf numFmtId="184" fontId="2" fillId="0" borderId="0"/>
    <xf numFmtId="184" fontId="15" fillId="13" borderId="0" applyNumberFormat="0" applyBorder="0" applyAlignment="0" applyProtection="0"/>
    <xf numFmtId="184" fontId="15" fillId="9" borderId="0" applyNumberFormat="0" applyBorder="0" applyAlignment="0" applyProtection="0"/>
    <xf numFmtId="184" fontId="14" fillId="2" borderId="0" applyNumberFormat="0" applyBorder="0" applyAlignment="0" applyProtection="0"/>
    <xf numFmtId="184" fontId="129" fillId="0" borderId="0"/>
    <xf numFmtId="184" fontId="2" fillId="0" borderId="0"/>
    <xf numFmtId="184" fontId="120" fillId="0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44" fillId="128" borderId="20" applyNumberFormat="0" applyProtection="0">
      <alignment horizontal="left" vertical="center" indent="2"/>
    </xf>
    <xf numFmtId="4" fontId="44" fillId="0" borderId="0" applyNumberFormat="0" applyProtection="0">
      <alignment horizontal="left" vertical="center" indent="1"/>
    </xf>
    <xf numFmtId="4" fontId="119" fillId="91" borderId="62">
      <alignment horizontal="left" vertical="center" indent="1"/>
    </xf>
    <xf numFmtId="4" fontId="118" fillId="20" borderId="51" applyNumberFormat="0" applyProtection="0">
      <alignment horizontal="center" vertical="center"/>
    </xf>
    <xf numFmtId="4" fontId="97" fillId="110" borderId="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92" fillId="0" borderId="20" applyNumberFormat="0" applyProtection="0">
      <alignment horizontal="left" vertical="center" indent="1"/>
    </xf>
    <xf numFmtId="4" fontId="44" fillId="127" borderId="20" applyNumberFormat="0" applyProtection="0">
      <alignment horizontal="left" vertical="center"/>
    </xf>
    <xf numFmtId="4" fontId="13" fillId="24" borderId="8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4" fontId="27" fillId="20" borderId="8" applyNumberFormat="0" applyAlignment="0" applyProtection="0"/>
    <xf numFmtId="184" fontId="2" fillId="0" borderId="0"/>
    <xf numFmtId="0" fontId="2" fillId="0" borderId="0"/>
    <xf numFmtId="184" fontId="120" fillId="0" borderId="0"/>
    <xf numFmtId="184" fontId="2" fillId="0" borderId="0"/>
    <xf numFmtId="0" fontId="2" fillId="0" borderId="0"/>
    <xf numFmtId="184" fontId="26" fillId="22" borderId="0" applyNumberFormat="0" applyBorder="0" applyAlignment="0" applyProtection="0"/>
    <xf numFmtId="184" fontId="25" fillId="0" borderId="6" applyNumberFormat="0" applyFill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80" fillId="0" borderId="61" applyNumberFormat="0" applyFill="0" applyAlignment="0" applyProtection="0"/>
    <xf numFmtId="184" fontId="23" fillId="0" borderId="0" applyNumberFormat="0" applyFill="0" applyBorder="0" applyAlignment="0" applyProtection="0"/>
    <xf numFmtId="184" fontId="23" fillId="0" borderId="5" applyNumberFormat="0" applyFill="0" applyAlignment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3" fillId="0" borderId="24">
      <alignment horizontal="left" vertical="center"/>
    </xf>
    <xf numFmtId="184" fontId="75" fillId="0" borderId="0" applyNumberFormat="0" applyFill="0" applyBorder="0" applyAlignment="0" applyProtection="0"/>
    <xf numFmtId="184" fontId="19" fillId="0" borderId="0" applyNumberForma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18" fillId="21" borderId="2" applyNumberFormat="0" applyAlignment="0" applyProtection="0"/>
    <xf numFmtId="184" fontId="17" fillId="20" borderId="1" applyNumberFormat="0" applyAlignment="0" applyProtection="0"/>
    <xf numFmtId="184" fontId="16" fillId="3" borderId="0" applyNumberFormat="0" applyBorder="0" applyAlignment="0" applyProtection="0"/>
    <xf numFmtId="184" fontId="15" fillId="19" borderId="0" applyNumberFormat="0" applyBorder="0" applyAlignment="0" applyProtection="0"/>
    <xf numFmtId="184" fontId="15" fillId="14" borderId="0" applyNumberFormat="0" applyBorder="0" applyAlignment="0" applyProtection="0"/>
    <xf numFmtId="184" fontId="15" fillId="13" borderId="0" applyNumberFormat="0" applyBorder="0" applyAlignment="0" applyProtection="0"/>
    <xf numFmtId="184" fontId="15" fillId="18" borderId="0" applyNumberFormat="0" applyBorder="0" applyAlignment="0" applyProtection="0"/>
    <xf numFmtId="184" fontId="15" fillId="17" borderId="0" applyNumberFormat="0" applyBorder="0" applyAlignment="0" applyProtection="0"/>
    <xf numFmtId="184" fontId="15" fillId="16" borderId="0" applyNumberFormat="0" applyBorder="0" applyAlignment="0" applyProtection="0"/>
    <xf numFmtId="184" fontId="15" fillId="15" borderId="0" applyNumberFormat="0" applyBorder="0" applyAlignment="0" applyProtection="0"/>
    <xf numFmtId="184" fontId="15" fillId="14" borderId="0" applyNumberFormat="0" applyBorder="0" applyAlignment="0" applyProtection="0"/>
    <xf numFmtId="184" fontId="14" fillId="8" borderId="0" applyNumberFormat="0" applyBorder="0" applyAlignment="0" applyProtection="0"/>
    <xf numFmtId="184" fontId="15" fillId="12" borderId="0" applyNumberFormat="0" applyBorder="0" applyAlignment="0" applyProtection="0"/>
    <xf numFmtId="184" fontId="14" fillId="11" borderId="0" applyNumberFormat="0" applyBorder="0" applyAlignment="0" applyProtection="0"/>
    <xf numFmtId="184" fontId="14" fillId="10" borderId="0" applyNumberFormat="0" applyBorder="0" applyAlignment="0" applyProtection="0"/>
    <xf numFmtId="184" fontId="14" fillId="6" borderId="0" applyNumberFormat="0" applyBorder="0" applyAlignment="0" applyProtection="0"/>
    <xf numFmtId="184" fontId="14" fillId="5" borderId="0" applyNumberFormat="0" applyBorder="0" applyAlignment="0" applyProtection="0"/>
    <xf numFmtId="184" fontId="14" fillId="4" borderId="0" applyNumberFormat="0" applyBorder="0" applyAlignment="0" applyProtection="0"/>
    <xf numFmtId="184" fontId="14" fillId="3" borderId="0" applyNumberFormat="0" applyBorder="0" applyAlignment="0" applyProtection="0"/>
    <xf numFmtId="184" fontId="2" fillId="110" borderId="51" applyNumberFormat="0" applyProtection="0">
      <alignment horizontal="left" vertical="top" indent="1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4" fontId="44" fillId="0" borderId="0" applyNumberFormat="0" applyProtection="0">
      <alignment horizontal="left" vertical="center" indent="1"/>
    </xf>
    <xf numFmtId="4" fontId="13" fillId="24" borderId="8" applyNumberFormat="0" applyProtection="0">
      <alignment vertical="center"/>
    </xf>
    <xf numFmtId="9" fontId="2" fillId="0" borderId="0" applyFont="0" applyFill="0" applyBorder="0" applyAlignment="0" applyProtection="0"/>
    <xf numFmtId="0" fontId="2" fillId="0" borderId="0"/>
    <xf numFmtId="184" fontId="2" fillId="23" borderId="7" applyNumberFormat="0" applyFont="0" applyAlignment="0" applyProtection="0"/>
    <xf numFmtId="184" fontId="2" fillId="0" borderId="0"/>
    <xf numFmtId="184" fontId="120" fillId="0" borderId="0"/>
    <xf numFmtId="184" fontId="77" fillId="0" borderId="0" applyNumberFormat="0" applyFont="0" applyFill="0" applyBorder="0" applyProtection="0"/>
    <xf numFmtId="184" fontId="3" fillId="0" borderId="60" applyNumberFormat="0" applyAlignment="0" applyProtection="0">
      <alignment horizontal="left" vertical="center"/>
    </xf>
    <xf numFmtId="184" fontId="20" fillId="4" borderId="0" applyNumberFormat="0" applyBorder="0" applyAlignment="0" applyProtection="0"/>
    <xf numFmtId="18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14" fillId="5" borderId="0" applyNumberFormat="0" applyBorder="0" applyAlignment="0" applyProtection="0"/>
    <xf numFmtId="184" fontId="14" fillId="8" borderId="0" applyNumberFormat="0" applyBorder="0" applyAlignment="0" applyProtection="0"/>
    <xf numFmtId="184" fontId="14" fillId="9" borderId="0" applyNumberFormat="0" applyBorder="0" applyAlignment="0" applyProtection="0"/>
    <xf numFmtId="184" fontId="129" fillId="0" borderId="0"/>
    <xf numFmtId="4" fontId="95" fillId="108" borderId="51" applyNumberFormat="0" applyProtection="0">
      <alignment horizontal="right" vertical="center"/>
    </xf>
    <xf numFmtId="184" fontId="13" fillId="27" borderId="51" applyNumberFormat="0" applyProtection="0">
      <alignment horizontal="left" vertical="top" indent="1"/>
    </xf>
    <xf numFmtId="4" fontId="98" fillId="0" borderId="0" applyNumberFormat="0" applyProtection="0">
      <alignment horizontal="left" vertical="center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4" fontId="93" fillId="24" borderId="51" applyNumberFormat="0" applyProtection="0">
      <alignment vertical="center"/>
    </xf>
    <xf numFmtId="184" fontId="15" fillId="10" borderId="0" applyNumberFormat="0" applyBorder="0" applyAlignment="0" applyProtection="0"/>
    <xf numFmtId="184" fontId="14" fillId="7" borderId="0" applyNumberFormat="0" applyBorder="0" applyAlignment="0" applyProtection="0"/>
    <xf numFmtId="0" fontId="2" fillId="0" borderId="0"/>
    <xf numFmtId="184" fontId="129" fillId="0" borderId="0"/>
    <xf numFmtId="184" fontId="44" fillId="131" borderId="20" applyNumberFormat="0" applyProtection="0">
      <alignment horizontal="center" vertical="top" wrapText="1"/>
    </xf>
    <xf numFmtId="4" fontId="125" fillId="91" borderId="63">
      <alignment vertical="center"/>
    </xf>
    <xf numFmtId="4" fontId="126" fillId="91" borderId="63">
      <alignment vertical="center"/>
    </xf>
    <xf numFmtId="4" fontId="127" fillId="27" borderId="63">
      <alignment horizontal="left" vertical="center" indent="1"/>
    </xf>
    <xf numFmtId="4" fontId="114" fillId="0" borderId="0" applyNumberFormat="0" applyProtection="0">
      <alignment vertical="center"/>
    </xf>
    <xf numFmtId="4" fontId="47" fillId="0" borderId="51" applyNumberFormat="0" applyProtection="0">
      <alignment horizontal="right" vertical="center"/>
    </xf>
    <xf numFmtId="184" fontId="108" fillId="0" borderId="0" applyNumberFormat="0" applyFont="0" applyFill="0" applyBorder="0" applyAlignment="0" applyProtection="0"/>
    <xf numFmtId="184" fontId="28" fillId="0" borderId="0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0" fontId="2" fillId="0" borderId="0"/>
    <xf numFmtId="184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9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7" borderId="1" applyNumberFormat="0" applyAlignment="0" applyProtection="0"/>
    <xf numFmtId="43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13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51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146" fillId="137" borderId="1" applyNumberFormat="0" applyAlignment="0" applyProtection="0"/>
    <xf numFmtId="186" fontId="2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27" fillId="137" borderId="8" applyNumberFormat="0" applyAlignment="0" applyProtection="0"/>
    <xf numFmtId="0" fontId="2" fillId="8" borderId="51" applyNumberFormat="0" applyProtection="0">
      <alignment horizontal="left" vertical="top" indent="1"/>
    </xf>
    <xf numFmtId="0" fontId="2" fillId="109" borderId="51" applyNumberFormat="0" applyProtection="0">
      <alignment horizontal="left" vertical="top" indent="1"/>
    </xf>
    <xf numFmtId="0" fontId="1" fillId="40" borderId="0" applyNumberFormat="0" applyBorder="0" applyAlignment="0" applyProtection="0"/>
    <xf numFmtId="4" fontId="13" fillId="93" borderId="51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0" fontId="13" fillId="93" borderId="51" applyNumberFormat="0" applyProtection="0">
      <alignment horizontal="left" vertical="top" indent="1"/>
    </xf>
    <xf numFmtId="0" fontId="13" fillId="23" borderId="51" applyNumberFormat="0" applyProtection="0">
      <alignment horizontal="left" vertical="top" indent="1"/>
    </xf>
    <xf numFmtId="0" fontId="1" fillId="53" borderId="0" applyNumberFormat="0" applyBorder="0" applyAlignment="0" applyProtection="0"/>
    <xf numFmtId="4" fontId="13" fillId="93" borderId="0" applyNumberFormat="0" applyProtection="0">
      <alignment horizontal="left" vertical="center" indent="1"/>
    </xf>
    <xf numFmtId="0" fontId="29" fillId="0" borderId="58" applyNumberFormat="0" applyFill="0" applyAlignment="0" applyProtection="0"/>
    <xf numFmtId="0" fontId="61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4" fontId="92" fillId="22" borderId="51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95" fillId="23" borderId="51" applyNumberFormat="0" applyProtection="0">
      <alignment vertical="center"/>
    </xf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61" fillId="55" borderId="0" applyNumberFormat="0" applyBorder="0" applyAlignment="0" applyProtection="0"/>
    <xf numFmtId="0" fontId="61" fillId="46" borderId="0" applyNumberFormat="0" applyBorder="0" applyAlignment="0" applyProtection="0"/>
    <xf numFmtId="0" fontId="61" fillId="42" borderId="0" applyNumberFormat="0" applyBorder="0" applyAlignment="0" applyProtection="0"/>
    <xf numFmtId="4" fontId="97" fillId="109" borderId="0" applyNumberFormat="0" applyProtection="0">
      <alignment horizontal="left" vertical="center" indent="1"/>
    </xf>
    <xf numFmtId="0" fontId="61" fillId="54" borderId="0" applyNumberFormat="0" applyBorder="0" applyAlignment="0" applyProtection="0"/>
    <xf numFmtId="0" fontId="1" fillId="57" borderId="0" applyNumberFormat="0" applyBorder="0" applyAlignment="0" applyProtection="0"/>
    <xf numFmtId="0" fontId="52" fillId="28" borderId="0" applyNumberFormat="0" applyBorder="0" applyAlignment="0" applyProtection="0"/>
    <xf numFmtId="0" fontId="61" fillId="47" borderId="0" applyNumberFormat="0" applyBorder="0" applyAlignment="0" applyProtection="0"/>
    <xf numFmtId="0" fontId="61" fillId="39" borderId="0" applyNumberFormat="0" applyBorder="0" applyAlignment="0" applyProtection="0"/>
    <xf numFmtId="0" fontId="2" fillId="109" borderId="51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2" fillId="108" borderId="51" applyNumberFormat="0" applyProtection="0">
      <alignment horizontal="left" vertical="top" indent="1"/>
    </xf>
    <xf numFmtId="4" fontId="47" fillId="108" borderId="51" applyNumberFormat="0" applyProtection="0">
      <alignment horizontal="right" vertical="center"/>
    </xf>
    <xf numFmtId="0" fontId="1" fillId="44" borderId="0" applyNumberFormat="0" applyBorder="0" applyAlignment="0" applyProtection="0"/>
    <xf numFmtId="0" fontId="61" fillId="51" borderId="0" applyNumberFormat="0" applyBorder="0" applyAlignment="0" applyProtection="0"/>
    <xf numFmtId="0" fontId="61" fillId="35" borderId="0" applyNumberFormat="0" applyBorder="0" applyAlignment="0" applyProtection="0"/>
    <xf numFmtId="0" fontId="55" fillId="31" borderId="28" applyNumberFormat="0" applyAlignment="0" applyProtection="0"/>
    <xf numFmtId="0" fontId="59" fillId="33" borderId="31" applyNumberFormat="0" applyAlignment="0" applyProtection="0"/>
    <xf numFmtId="0" fontId="57" fillId="32" borderId="28" applyNumberFormat="0" applyAlignment="0" applyProtection="0"/>
    <xf numFmtId="4" fontId="13" fillId="23" borderId="51" applyNumberFormat="0" applyProtection="0">
      <alignment horizontal="left" vertical="center" indent="1"/>
    </xf>
    <xf numFmtId="4" fontId="99" fillId="115" borderId="0" applyNumberFormat="0" applyProtection="0">
      <alignment horizontal="left" vertical="center" indent="1"/>
    </xf>
    <xf numFmtId="0" fontId="1" fillId="36" borderId="0" applyNumberFormat="0" applyBorder="0" applyAlignment="0" applyProtection="0"/>
    <xf numFmtId="0" fontId="61" fillId="50" borderId="0" applyNumberFormat="0" applyBorder="0" applyAlignment="0" applyProtection="0"/>
    <xf numFmtId="0" fontId="60" fillId="0" borderId="0" applyNumberFormat="0" applyFill="0" applyBorder="0" applyAlignment="0" applyProtection="0"/>
    <xf numFmtId="0" fontId="53" fillId="29" borderId="0" applyNumberFormat="0" applyBorder="0" applyAlignment="0" applyProtection="0"/>
    <xf numFmtId="0" fontId="58" fillId="0" borderId="30" applyNumberFormat="0" applyFill="0" applyAlignment="0" applyProtection="0"/>
    <xf numFmtId="0" fontId="51" fillId="0" borderId="27" applyNumberFormat="0" applyFill="0" applyAlignment="0" applyProtection="0"/>
    <xf numFmtId="0" fontId="50" fillId="0" borderId="26" applyNumberFormat="0" applyFill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51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61" fillId="38" borderId="0" applyNumberFormat="0" applyBorder="0" applyAlignment="0" applyProtection="0"/>
    <xf numFmtId="0" fontId="61" fillId="43" borderId="0" applyNumberFormat="0" applyBorder="0" applyAlignment="0" applyProtection="0"/>
    <xf numFmtId="0" fontId="39" fillId="0" borderId="0" applyNumberFormat="0" applyFill="0" applyBorder="0" applyAlignment="0" applyProtection="0"/>
    <xf numFmtId="0" fontId="56" fillId="32" borderId="29" applyNumberFormat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61" fillId="43" borderId="0" applyNumberFormat="0" applyBorder="0" applyAlignment="0" applyProtection="0"/>
    <xf numFmtId="0" fontId="1" fillId="40" borderId="0" applyNumberFormat="0" applyBorder="0" applyAlignment="0" applyProtection="0"/>
    <xf numFmtId="0" fontId="6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63" fillId="30" borderId="0" applyNumberFormat="0" applyBorder="0" applyAlignment="0" applyProtection="0"/>
    <xf numFmtId="4" fontId="13" fillId="23" borderId="51" applyNumberFormat="0" applyProtection="0">
      <alignment vertical="center"/>
    </xf>
    <xf numFmtId="4" fontId="13" fillId="108" borderId="0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92" fillId="106" borderId="53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4" fontId="92" fillId="22" borderId="51" applyNumberFormat="0" applyProtection="0">
      <alignment vertical="center"/>
    </xf>
    <xf numFmtId="0" fontId="2" fillId="79" borderId="7" applyNumberFormat="0" applyFont="0" applyAlignment="0" applyProtection="0"/>
    <xf numFmtId="0" fontId="26" fillId="80" borderId="0" applyNumberFormat="0" applyBorder="0" applyAlignment="0" applyProtection="0"/>
    <xf numFmtId="0" fontId="148" fillId="0" borderId="70" applyNumberFormat="0" applyFill="0" applyAlignment="0" applyProtection="0"/>
    <xf numFmtId="0" fontId="79" fillId="0" borderId="0" applyNumberFormat="0" applyFill="0" applyBorder="0" applyAlignment="0" applyProtection="0"/>
    <xf numFmtId="0" fontId="76" fillId="0" borderId="45" applyNumberFormat="0" applyFill="0" applyAlignment="0" applyProtection="0"/>
    <xf numFmtId="0" fontId="20" fillId="138" borderId="0" applyNumberFormat="0" applyBorder="0" applyAlignment="0" applyProtection="0"/>
    <xf numFmtId="185" fontId="2" fillId="0" borderId="0" applyFont="0" applyFill="0" applyBorder="0" applyAlignment="0" applyProtection="0"/>
    <xf numFmtId="0" fontId="18" fillId="71" borderId="2" applyNumberFormat="0" applyAlignment="0" applyProtection="0"/>
    <xf numFmtId="0" fontId="145" fillId="69" borderId="0" applyNumberFormat="0" applyBorder="0" applyAlignment="0" applyProtection="0"/>
    <xf numFmtId="0" fontId="15" fillId="136" borderId="0" applyNumberFormat="0" applyBorder="0" applyAlignment="0" applyProtection="0"/>
    <xf numFmtId="0" fontId="15" fillId="135" borderId="0" applyNumberFormat="0" applyBorder="0" applyAlignment="0" applyProtection="0"/>
    <xf numFmtId="0" fontId="15" fillId="134" borderId="0" applyNumberFormat="0" applyBorder="0" applyAlignment="0" applyProtection="0"/>
    <xf numFmtId="0" fontId="15" fillId="71" borderId="0" applyNumberFormat="0" applyBorder="0" applyAlignment="0" applyProtection="0"/>
    <xf numFmtId="0" fontId="113" fillId="109" borderId="0" applyNumberFormat="0" applyBorder="0" applyAlignment="0" applyProtection="0"/>
    <xf numFmtId="0" fontId="113" fillId="20" borderId="0" applyNumberFormat="0" applyBorder="0" applyAlignment="0" applyProtection="0"/>
    <xf numFmtId="0" fontId="113" fillId="18" borderId="0" applyNumberFormat="0" applyBorder="0" applyAlignment="0" applyProtection="0"/>
    <xf numFmtId="0" fontId="113" fillId="109" borderId="0" applyNumberFormat="0" applyBorder="0" applyAlignment="0" applyProtection="0"/>
    <xf numFmtId="0" fontId="13" fillId="7" borderId="0" applyNumberFormat="0" applyBorder="0" applyAlignment="0" applyProtection="0"/>
    <xf numFmtId="0" fontId="13" fillId="109" borderId="0" applyNumberFormat="0" applyBorder="0" applyAlignment="0" applyProtection="0"/>
    <xf numFmtId="0" fontId="13" fillId="20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09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114" borderId="0" applyNumberFormat="0" applyBorder="0" applyAlignment="0" applyProtection="0"/>
    <xf numFmtId="0" fontId="13" fillId="23" borderId="0" applyNumberFormat="0" applyBorder="0" applyAlignment="0" applyProtection="0"/>
    <xf numFmtId="0" fontId="13" fillId="9" borderId="0" applyNumberFormat="0" applyBorder="0" applyAlignment="0" applyProtection="0"/>
    <xf numFmtId="0" fontId="13" fillId="9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13" fillId="7" borderId="0" applyNumberFormat="0" applyBorder="0" applyAlignment="0" applyProtection="0"/>
    <xf numFmtId="0" fontId="1" fillId="52" borderId="0" applyNumberFormat="0" applyBorder="0" applyAlignment="0" applyProtection="0"/>
    <xf numFmtId="0" fontId="61" fillId="51" borderId="0" applyNumberFormat="0" applyBorder="0" applyAlignment="0" applyProtection="0"/>
    <xf numFmtId="0" fontId="61" fillId="47" borderId="0" applyNumberFormat="0" applyBorder="0" applyAlignment="0" applyProtection="0"/>
    <xf numFmtId="0" fontId="2" fillId="108" borderId="51" applyNumberFormat="0" applyProtection="0">
      <alignment horizontal="left" vertical="center" indent="1"/>
    </xf>
    <xf numFmtId="0" fontId="61" fillId="55" borderId="0" applyNumberFormat="0" applyBorder="0" applyAlignment="0" applyProtection="0"/>
    <xf numFmtId="0" fontId="1" fillId="44" borderId="0" applyNumberFormat="0" applyBorder="0" applyAlignment="0" applyProtection="0"/>
    <xf numFmtId="4" fontId="93" fillId="22" borderId="51" applyNumberFormat="0" applyProtection="0">
      <alignment vertical="center"/>
    </xf>
    <xf numFmtId="0" fontId="61" fillId="35" borderId="0" applyNumberFormat="0" applyBorder="0" applyAlignment="0" applyProtection="0"/>
    <xf numFmtId="0" fontId="84" fillId="80" borderId="1" applyNumberFormat="0" applyAlignment="0" applyProtection="0"/>
    <xf numFmtId="0" fontId="113" fillId="9" borderId="0" applyNumberFormat="0" applyBorder="0" applyAlignment="0" applyProtection="0"/>
    <xf numFmtId="0" fontId="1" fillId="34" borderId="32" applyNumberFormat="0" applyFont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62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55" fillId="31" borderId="28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9" fillId="0" borderId="0"/>
    <xf numFmtId="0" fontId="1" fillId="0" borderId="0"/>
    <xf numFmtId="0" fontId="150" fillId="0" borderId="0"/>
    <xf numFmtId="9" fontId="2" fillId="0" borderId="0" applyFont="0" applyFill="0" applyBorder="0" applyAlignment="0" applyProtection="0"/>
    <xf numFmtId="0" fontId="43" fillId="0" borderId="0"/>
    <xf numFmtId="0" fontId="150" fillId="0" borderId="0"/>
    <xf numFmtId="0" fontId="149" fillId="0" borderId="0"/>
    <xf numFmtId="9" fontId="2" fillId="0" borderId="0" applyFont="0" applyFill="0" applyBorder="0" applyAlignment="0" applyProtection="0"/>
    <xf numFmtId="0" fontId="149" fillId="0" borderId="0"/>
    <xf numFmtId="0" fontId="149" fillId="0" borderId="0"/>
    <xf numFmtId="0" fontId="14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2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2">
    <xf numFmtId="0" fontId="0" fillId="0" borderId="0" xfId="0"/>
    <xf numFmtId="43" fontId="3" fillId="0" borderId="0" xfId="29" applyFont="1"/>
    <xf numFmtId="43" fontId="0" fillId="0" borderId="0" xfId="29" applyFont="1"/>
    <xf numFmtId="43" fontId="7" fillId="0" borderId="0" xfId="29" applyFont="1"/>
    <xf numFmtId="43" fontId="3" fillId="0" borderId="0" xfId="29" quotePrefix="1" applyFont="1"/>
    <xf numFmtId="43" fontId="3" fillId="0" borderId="10" xfId="29" applyFont="1" applyBorder="1"/>
    <xf numFmtId="43" fontId="4" fillId="0" borderId="11" xfId="29" applyFont="1" applyBorder="1" applyAlignment="1">
      <alignment horizontal="center"/>
    </xf>
    <xf numFmtId="43" fontId="4" fillId="0" borderId="12" xfId="29" applyFont="1" applyFill="1" applyBorder="1" applyAlignment="1">
      <alignment horizontal="center"/>
    </xf>
    <xf numFmtId="43" fontId="3" fillId="0" borderId="13" xfId="29" applyFont="1" applyBorder="1"/>
    <xf numFmtId="43" fontId="4" fillId="0" borderId="13" xfId="29" applyFont="1" applyBorder="1"/>
    <xf numFmtId="43" fontId="0" fillId="0" borderId="14" xfId="29" applyFont="1" applyBorder="1"/>
    <xf numFmtId="43" fontId="0" fillId="0" borderId="13" xfId="29" applyFont="1" applyBorder="1"/>
    <xf numFmtId="43" fontId="0" fillId="0" borderId="0" xfId="29" applyFont="1" applyBorder="1"/>
    <xf numFmtId="43" fontId="2" fillId="0" borderId="0" xfId="29"/>
    <xf numFmtId="43" fontId="3" fillId="0" borderId="16" xfId="29" applyFont="1" applyBorder="1" applyAlignment="1">
      <alignment horizontal="right"/>
    </xf>
    <xf numFmtId="43" fontId="0" fillId="0" borderId="17" xfId="29" applyFont="1" applyBorder="1"/>
    <xf numFmtId="43" fontId="4" fillId="0" borderId="10" xfId="29" applyFont="1" applyBorder="1"/>
    <xf numFmtId="43" fontId="8" fillId="0" borderId="13" xfId="29" applyFont="1" applyBorder="1"/>
    <xf numFmtId="43" fontId="4" fillId="0" borderId="16" xfId="29" applyFont="1" applyBorder="1" applyAlignment="1">
      <alignment horizontal="left"/>
    </xf>
    <xf numFmtId="0" fontId="4" fillId="0" borderId="13" xfId="0" applyFont="1" applyBorder="1"/>
    <xf numFmtId="0" fontId="0" fillId="0" borderId="13" xfId="0" applyBorder="1"/>
    <xf numFmtId="0" fontId="11" fillId="0" borderId="0" xfId="0" applyFont="1"/>
    <xf numFmtId="0" fontId="0" fillId="0" borderId="13" xfId="0" applyBorder="1" applyAlignment="1">
      <alignment horizontal="left"/>
    </xf>
    <xf numFmtId="165" fontId="0" fillId="0" borderId="0" xfId="29" applyNumberFormat="1" applyFont="1"/>
    <xf numFmtId="165" fontId="4" fillId="0" borderId="11" xfId="29" applyNumberFormat="1" applyFont="1" applyBorder="1" applyAlignment="1">
      <alignment horizontal="center"/>
    </xf>
    <xf numFmtId="165" fontId="0" fillId="0" borderId="18" xfId="29" applyNumberFormat="1" applyFont="1" applyBorder="1"/>
    <xf numFmtId="165" fontId="4" fillId="0" borderId="12" xfId="29" applyNumberFormat="1" applyFont="1" applyFill="1" applyBorder="1" applyAlignment="1">
      <alignment horizontal="center"/>
    </xf>
    <xf numFmtId="165" fontId="0" fillId="0" borderId="14" xfId="29" applyNumberFormat="1" applyFont="1" applyBorder="1"/>
    <xf numFmtId="165" fontId="0" fillId="0" borderId="17" xfId="29" applyNumberFormat="1" applyFont="1" applyBorder="1"/>
    <xf numFmtId="165" fontId="4" fillId="0" borderId="0" xfId="29" applyNumberFormat="1" applyFont="1" applyBorder="1" applyAlignment="1">
      <alignment horizontal="center"/>
    </xf>
    <xf numFmtId="165" fontId="0" fillId="0" borderId="0" xfId="29" applyNumberFormat="1" applyFont="1" applyBorder="1"/>
    <xf numFmtId="165" fontId="0" fillId="0" borderId="11" xfId="29" applyNumberFormat="1" applyFont="1" applyBorder="1"/>
    <xf numFmtId="165" fontId="0" fillId="0" borderId="0" xfId="0" applyNumberFormat="1"/>
    <xf numFmtId="165" fontId="4" fillId="0" borderId="18" xfId="29" applyNumberFormat="1" applyFont="1" applyBorder="1" applyAlignment="1">
      <alignment horizontal="left"/>
    </xf>
    <xf numFmtId="165" fontId="4" fillId="0" borderId="14" xfId="29" applyNumberFormat="1" applyFont="1" applyFill="1" applyBorder="1" applyAlignment="1">
      <alignment horizontal="center"/>
    </xf>
    <xf numFmtId="165" fontId="4" fillId="0" borderId="17" xfId="29" applyNumberFormat="1" applyFont="1" applyBorder="1" applyAlignment="1">
      <alignment horizontal="left"/>
    </xf>
    <xf numFmtId="165" fontId="2" fillId="0" borderId="0" xfId="29" applyNumberFormat="1"/>
    <xf numFmtId="165" fontId="0" fillId="0" borderId="12" xfId="29" applyNumberFormat="1" applyFont="1" applyBorder="1"/>
    <xf numFmtId="16" fontId="4" fillId="0" borderId="11" xfId="0" quotePrefix="1" applyNumberFormat="1" applyFont="1" applyBorder="1" applyAlignment="1">
      <alignment horizontal="center"/>
    </xf>
    <xf numFmtId="43" fontId="0" fillId="0" borderId="0" xfId="0" applyNumberFormat="1"/>
    <xf numFmtId="43" fontId="4" fillId="0" borderId="14" xfId="29" applyFont="1" applyFill="1" applyBorder="1" applyAlignment="1">
      <alignment horizontal="center"/>
    </xf>
    <xf numFmtId="43" fontId="31" fillId="0" borderId="0" xfId="29" applyFont="1"/>
    <xf numFmtId="43" fontId="31" fillId="0" borderId="0" xfId="29" applyFont="1" applyBorder="1"/>
    <xf numFmtId="0" fontId="31" fillId="0" borderId="0" xfId="0" applyFont="1" applyAlignment="1">
      <alignment horizontal="left"/>
    </xf>
    <xf numFmtId="0" fontId="31" fillId="0" borderId="0" xfId="0" applyFont="1"/>
    <xf numFmtId="165" fontId="31" fillId="0" borderId="0" xfId="29" applyNumberFormat="1" applyFont="1" applyBorder="1"/>
    <xf numFmtId="0" fontId="31" fillId="0" borderId="0" xfId="0" applyFont="1" applyAlignment="1">
      <alignment horizontal="center"/>
    </xf>
    <xf numFmtId="0" fontId="4" fillId="0" borderId="10" xfId="0" applyFont="1" applyBorder="1"/>
    <xf numFmtId="41" fontId="12" fillId="0" borderId="11" xfId="29" applyNumberFormat="1" applyFont="1" applyBorder="1"/>
    <xf numFmtId="0" fontId="2" fillId="0" borderId="13" xfId="0" applyFont="1" applyBorder="1"/>
    <xf numFmtId="0" fontId="14" fillId="0" borderId="0" xfId="43" applyFont="1"/>
    <xf numFmtId="43" fontId="2" fillId="0" borderId="13" xfId="29" applyFont="1" applyBorder="1"/>
    <xf numFmtId="43" fontId="2" fillId="0" borderId="0" xfId="29" quotePrefix="1" applyFont="1"/>
    <xf numFmtId="43" fontId="2" fillId="0" borderId="15" xfId="29" applyFont="1" applyBorder="1"/>
    <xf numFmtId="43" fontId="2" fillId="0" borderId="0" xfId="29" applyFont="1"/>
    <xf numFmtId="43" fontId="31" fillId="0" borderId="0" xfId="0" applyNumberFormat="1" applyFont="1"/>
    <xf numFmtId="165" fontId="0" fillId="0" borderId="0" xfId="29" applyNumberFormat="1" applyFont="1" applyFill="1"/>
    <xf numFmtId="43" fontId="0" fillId="0" borderId="0" xfId="29" applyFont="1" applyFill="1"/>
    <xf numFmtId="43" fontId="0" fillId="0" borderId="0" xfId="29" applyFont="1" applyFill="1" applyBorder="1"/>
    <xf numFmtId="0" fontId="35" fillId="0" borderId="0" xfId="51" applyFont="1"/>
    <xf numFmtId="43" fontId="36" fillId="0" borderId="0" xfId="30" applyFont="1" applyFill="1"/>
    <xf numFmtId="0" fontId="2" fillId="0" borderId="0" xfId="51" applyFont="1"/>
    <xf numFmtId="43" fontId="37" fillId="0" borderId="0" xfId="30" applyFont="1" applyFill="1"/>
    <xf numFmtId="43" fontId="2" fillId="0" borderId="0" xfId="51" applyNumberFormat="1" applyFont="1"/>
    <xf numFmtId="11" fontId="2" fillId="0" borderId="0" xfId="51" applyNumberFormat="1" applyFont="1"/>
    <xf numFmtId="6" fontId="3" fillId="0" borderId="0" xfId="51" quotePrefix="1" applyNumberFormat="1" applyFont="1"/>
    <xf numFmtId="0" fontId="37" fillId="0" borderId="0" xfId="51" applyFont="1"/>
    <xf numFmtId="10" fontId="36" fillId="0" borderId="0" xfId="52" applyNumberFormat="1" applyFont="1" applyFill="1"/>
    <xf numFmtId="0" fontId="3" fillId="0" borderId="10" xfId="51" applyFont="1" applyBorder="1"/>
    <xf numFmtId="43" fontId="4" fillId="0" borderId="11" xfId="30" applyFont="1" applyFill="1" applyBorder="1" applyAlignment="1">
      <alignment horizontal="center"/>
    </xf>
    <xf numFmtId="0" fontId="4" fillId="0" borderId="11" xfId="51" applyFont="1" applyBorder="1" applyAlignment="1">
      <alignment horizontal="center"/>
    </xf>
    <xf numFmtId="43" fontId="4" fillId="0" borderId="12" xfId="30" applyFont="1" applyFill="1" applyBorder="1" applyAlignment="1">
      <alignment horizontal="center"/>
    </xf>
    <xf numFmtId="0" fontId="3" fillId="0" borderId="13" xfId="51" applyFont="1" applyBorder="1"/>
    <xf numFmtId="43" fontId="4" fillId="0" borderId="0" xfId="30" applyFont="1" applyFill="1" applyBorder="1" applyAlignment="1">
      <alignment horizontal="center"/>
    </xf>
    <xf numFmtId="0" fontId="4" fillId="0" borderId="0" xfId="51" applyFont="1" applyAlignment="1">
      <alignment horizontal="center"/>
    </xf>
    <xf numFmtId="43" fontId="4" fillId="0" borderId="14" xfId="30" applyFont="1" applyFill="1" applyBorder="1" applyAlignment="1">
      <alignment horizontal="center"/>
    </xf>
    <xf numFmtId="0" fontId="4" fillId="0" borderId="13" xfId="51" applyFont="1" applyBorder="1"/>
    <xf numFmtId="43" fontId="34" fillId="0" borderId="0" xfId="30" applyFont="1" applyFill="1"/>
    <xf numFmtId="43" fontId="34" fillId="0" borderId="14" xfId="30" applyFont="1" applyFill="1" applyBorder="1"/>
    <xf numFmtId="0" fontId="2" fillId="0" borderId="13" xfId="51" applyFont="1" applyBorder="1"/>
    <xf numFmtId="165" fontId="34" fillId="0" borderId="0" xfId="29" applyNumberFormat="1" applyFont="1" applyFill="1"/>
    <xf numFmtId="165" fontId="34" fillId="0" borderId="14" xfId="29" applyNumberFormat="1" applyFont="1" applyFill="1" applyBorder="1"/>
    <xf numFmtId="0" fontId="2" fillId="0" borderId="15" xfId="51" applyFont="1" applyBorder="1"/>
    <xf numFmtId="165" fontId="34" fillId="0" borderId="19" xfId="29" applyNumberFormat="1" applyFont="1" applyFill="1" applyBorder="1"/>
    <xf numFmtId="43" fontId="34" fillId="0" borderId="0" xfId="30" applyFont="1" applyFill="1" applyBorder="1"/>
    <xf numFmtId="0" fontId="38" fillId="0" borderId="0" xfId="51" applyFont="1"/>
    <xf numFmtId="0" fontId="34" fillId="0" borderId="0" xfId="0" applyFont="1" applyAlignment="1">
      <alignment horizontal="left" wrapText="1"/>
    </xf>
    <xf numFmtId="43" fontId="0" fillId="0" borderId="71" xfId="29" applyFont="1" applyBorder="1"/>
    <xf numFmtId="165" fontId="0" fillId="0" borderId="72" xfId="29" applyNumberFormat="1" applyFont="1" applyBorder="1" applyAlignment="1">
      <alignment horizontal="center"/>
    </xf>
    <xf numFmtId="43" fontId="0" fillId="0" borderId="72" xfId="29" applyFont="1" applyBorder="1" applyAlignment="1">
      <alignment horizontal="center"/>
    </xf>
    <xf numFmtId="165" fontId="4" fillId="0" borderId="73" xfId="29" applyNumberFormat="1" applyFont="1" applyBorder="1" applyAlignment="1">
      <alignment horizontal="center"/>
    </xf>
    <xf numFmtId="165" fontId="2" fillId="0" borderId="0" xfId="29" applyNumberFormat="1" applyFont="1" applyBorder="1"/>
    <xf numFmtId="43" fontId="4" fillId="0" borderId="73" xfId="29" applyFont="1" applyBorder="1" applyAlignment="1">
      <alignment horizontal="center"/>
    </xf>
    <xf numFmtId="166" fontId="2" fillId="0" borderId="0" xfId="0" applyNumberFormat="1" applyFont="1"/>
    <xf numFmtId="165" fontId="2" fillId="0" borderId="0" xfId="29" applyNumberFormat="1" applyFont="1"/>
    <xf numFmtId="165" fontId="2" fillId="0" borderId="14" xfId="29" applyNumberFormat="1" applyFont="1" applyBorder="1"/>
    <xf numFmtId="165" fontId="0" fillId="0" borderId="73" xfId="29" applyNumberFormat="1" applyFont="1" applyBorder="1"/>
    <xf numFmtId="0" fontId="2" fillId="0" borderId="71" xfId="51" applyFont="1" applyBorder="1"/>
    <xf numFmtId="43" fontId="36" fillId="0" borderId="72" xfId="30" applyFont="1" applyFill="1" applyBorder="1" applyAlignment="1">
      <alignment horizontal="center"/>
    </xf>
    <xf numFmtId="0" fontId="2" fillId="0" borderId="72" xfId="51" applyFont="1" applyBorder="1" applyAlignment="1">
      <alignment horizontal="center"/>
    </xf>
    <xf numFmtId="43" fontId="4" fillId="0" borderId="73" xfId="30" applyFont="1" applyFill="1" applyBorder="1" applyAlignment="1">
      <alignment horizontal="center"/>
    </xf>
    <xf numFmtId="165" fontId="34" fillId="0" borderId="50" xfId="29" applyNumberFormat="1" applyFont="1" applyFill="1" applyBorder="1"/>
  </cellXfs>
  <cellStyles count="55220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zoomScaleNormal="100" workbookViewId="0">
      <pane xSplit="1" ySplit="7" topLeftCell="B8" activePane="bottomRight" state="frozen"/>
      <selection pane="bottomRight" activeCell="F19" sqref="F19"/>
      <selection pane="bottomLeft" activeCell="A8" sqref="A8"/>
      <selection pane="topRight" activeCell="B1" sqref="B1"/>
    </sheetView>
  </sheetViews>
  <sheetFormatPr defaultColWidth="9.140625" defaultRowHeight="12.75"/>
  <cols>
    <col min="1" max="1" width="33.42578125" style="2" customWidth="1"/>
    <col min="2" max="2" width="11.42578125" style="23" bestFit="1" customWidth="1"/>
    <col min="3" max="3" width="13.42578125" style="23" bestFit="1" customWidth="1"/>
    <col min="4" max="5" width="11.42578125" style="23" bestFit="1" customWidth="1"/>
    <col min="6" max="8" width="11.42578125" style="2" bestFit="1" customWidth="1"/>
    <col min="9" max="9" width="12.85546875" style="2" bestFit="1" customWidth="1"/>
    <col min="10" max="10" width="12.140625" style="23" bestFit="1" customWidth="1"/>
    <col min="11" max="11" width="11.42578125" style="23" bestFit="1" customWidth="1"/>
    <col min="12" max="12" width="11.42578125" style="2" bestFit="1" customWidth="1"/>
    <col min="13" max="13" width="12.85546875" style="2" bestFit="1" customWidth="1"/>
    <col min="14" max="14" width="12.85546875" style="23" bestFit="1" customWidth="1"/>
    <col min="15" max="16384" width="9.140625" style="2"/>
  </cols>
  <sheetData>
    <row r="1" spans="1:14" ht="15.75">
      <c r="A1" s="1" t="s">
        <v>0</v>
      </c>
    </row>
    <row r="2" spans="1:14" ht="15.75">
      <c r="A2" s="3" t="s">
        <v>1</v>
      </c>
    </row>
    <row r="3" spans="1:14" ht="15.75">
      <c r="A3" s="1" t="s">
        <v>2</v>
      </c>
    </row>
    <row r="4" spans="1:14" ht="15.75">
      <c r="A4" s="4"/>
    </row>
    <row r="5" spans="1:14" ht="16.5" thickBot="1">
      <c r="A5" s="4"/>
    </row>
    <row r="6" spans="1:14">
      <c r="A6" s="87"/>
      <c r="B6" s="88"/>
      <c r="C6" s="88"/>
      <c r="D6" s="88"/>
      <c r="E6" s="88"/>
      <c r="F6" s="89"/>
      <c r="G6" s="89"/>
      <c r="H6" s="89"/>
      <c r="I6" s="89"/>
      <c r="J6" s="88"/>
      <c r="K6" s="88"/>
      <c r="L6" s="89"/>
      <c r="M6" s="89"/>
      <c r="N6" s="90" t="s">
        <v>3</v>
      </c>
    </row>
    <row r="7" spans="1:14" ht="16.5" thickBot="1">
      <c r="A7" s="5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6" t="s">
        <v>9</v>
      </c>
      <c r="G7" s="6" t="s">
        <v>10</v>
      </c>
      <c r="H7" s="6" t="s">
        <v>11</v>
      </c>
      <c r="I7" s="6" t="s">
        <v>12</v>
      </c>
      <c r="J7" s="24" t="s">
        <v>13</v>
      </c>
      <c r="K7" s="24" t="s">
        <v>14</v>
      </c>
      <c r="L7" s="6" t="s">
        <v>15</v>
      </c>
      <c r="M7" s="6" t="s">
        <v>16</v>
      </c>
      <c r="N7" s="26" t="s">
        <v>17</v>
      </c>
    </row>
    <row r="8" spans="1:14">
      <c r="A8" s="87"/>
      <c r="H8" s="13"/>
      <c r="I8" s="13"/>
      <c r="J8" s="36"/>
      <c r="K8" s="36"/>
      <c r="L8" s="13"/>
      <c r="M8" s="13"/>
      <c r="N8" s="27">
        <f>SUM(B8:M8)</f>
        <v>0</v>
      </c>
    </row>
    <row r="9" spans="1:14">
      <c r="A9" s="51" t="s">
        <v>18</v>
      </c>
      <c r="B9" s="91">
        <v>5100157.78</v>
      </c>
      <c r="C9" s="91">
        <v>3846897.17</v>
      </c>
      <c r="D9" s="91">
        <v>3345279.38</v>
      </c>
      <c r="E9" s="91">
        <v>2242225.46</v>
      </c>
      <c r="F9" s="91">
        <v>1910011.71</v>
      </c>
      <c r="G9" s="91">
        <v>0</v>
      </c>
      <c r="H9" s="91">
        <v>0</v>
      </c>
      <c r="I9" s="91">
        <v>0</v>
      </c>
      <c r="J9" s="91">
        <v>0</v>
      </c>
      <c r="K9" s="91">
        <v>0</v>
      </c>
      <c r="L9" s="91">
        <v>0</v>
      </c>
      <c r="M9" s="91">
        <v>0</v>
      </c>
      <c r="N9" s="27">
        <f t="shared" ref="N9:N19" si="0">SUM(B9:M9)</f>
        <v>16444571.5</v>
      </c>
    </row>
    <row r="10" spans="1:14">
      <c r="A10" s="51" t="s">
        <v>19</v>
      </c>
      <c r="B10" s="91">
        <v>6326165.1299999999</v>
      </c>
      <c r="C10" s="91">
        <v>6077955.96</v>
      </c>
      <c r="D10" s="91">
        <v>5091926.71</v>
      </c>
      <c r="E10" s="91">
        <v>4594429.8600000003</v>
      </c>
      <c r="F10" s="91">
        <v>4230937.75</v>
      </c>
      <c r="G10" s="91">
        <v>0</v>
      </c>
      <c r="H10" s="91">
        <v>0</v>
      </c>
      <c r="I10" s="91">
        <v>0</v>
      </c>
      <c r="J10" s="91">
        <v>0</v>
      </c>
      <c r="K10" s="91">
        <v>0</v>
      </c>
      <c r="L10" s="91">
        <v>0</v>
      </c>
      <c r="M10" s="91">
        <v>0</v>
      </c>
      <c r="N10" s="27">
        <f t="shared" si="0"/>
        <v>26321415.41</v>
      </c>
    </row>
    <row r="11" spans="1:14">
      <c r="A11" s="51" t="s">
        <v>20</v>
      </c>
      <c r="B11" s="91">
        <v>819.7</v>
      </c>
      <c r="C11" s="91">
        <v>2081.65</v>
      </c>
      <c r="D11" s="91">
        <v>596.42999999999995</v>
      </c>
      <c r="E11" s="91">
        <v>2240.96</v>
      </c>
      <c r="F11" s="91">
        <v>2434.73</v>
      </c>
      <c r="G11" s="91">
        <v>0</v>
      </c>
      <c r="H11" s="91">
        <v>0</v>
      </c>
      <c r="I11" s="91">
        <v>0</v>
      </c>
      <c r="J11" s="91">
        <v>0</v>
      </c>
      <c r="K11" s="91">
        <v>0</v>
      </c>
      <c r="L11" s="91">
        <v>0</v>
      </c>
      <c r="M11" s="91">
        <v>0</v>
      </c>
      <c r="N11" s="27">
        <f t="shared" si="0"/>
        <v>8173.4699999999993</v>
      </c>
    </row>
    <row r="12" spans="1:14">
      <c r="A12" s="51" t="s">
        <v>21</v>
      </c>
      <c r="B12" s="91">
        <v>26555.63</v>
      </c>
      <c r="C12" s="91">
        <v>52941.46</v>
      </c>
      <c r="D12" s="91">
        <v>62401.49</v>
      </c>
      <c r="E12" s="91">
        <v>75825.039999999994</v>
      </c>
      <c r="F12" s="91">
        <v>91326.77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27">
        <f t="shared" si="0"/>
        <v>309050.39</v>
      </c>
    </row>
    <row r="13" spans="1:14">
      <c r="A13" s="51" t="s">
        <v>22</v>
      </c>
      <c r="B13" s="91">
        <v>742009.17</v>
      </c>
      <c r="C13" s="91">
        <v>800925.04</v>
      </c>
      <c r="D13" s="91">
        <v>545898.22</v>
      </c>
      <c r="E13" s="91">
        <v>711997.76</v>
      </c>
      <c r="F13" s="91">
        <v>669732.16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27">
        <f t="shared" si="0"/>
        <v>3470562.35</v>
      </c>
    </row>
    <row r="14" spans="1:14">
      <c r="A14" s="5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27"/>
    </row>
    <row r="15" spans="1:14">
      <c r="A15" s="51" t="s">
        <v>23</v>
      </c>
      <c r="B15" s="91">
        <v>1653996.88</v>
      </c>
      <c r="C15" s="91">
        <v>1294872.82</v>
      </c>
      <c r="D15" s="91">
        <v>1114550.6399999999</v>
      </c>
      <c r="E15" s="91">
        <v>756910.51</v>
      </c>
      <c r="F15" s="91">
        <v>648943.01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27">
        <f t="shared" si="0"/>
        <v>5469273.8599999994</v>
      </c>
    </row>
    <row r="16" spans="1:14">
      <c r="A16" s="51" t="s">
        <v>24</v>
      </c>
      <c r="B16" s="91">
        <v>20503.650000000001</v>
      </c>
      <c r="C16" s="91">
        <v>17754.46</v>
      </c>
      <c r="D16" s="91">
        <v>15473.87</v>
      </c>
      <c r="E16" s="91">
        <v>12414.86</v>
      </c>
      <c r="F16" s="91">
        <v>10938.59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27">
        <f t="shared" si="0"/>
        <v>77085.429999999993</v>
      </c>
    </row>
    <row r="17" spans="1:14">
      <c r="A17" s="51" t="s">
        <v>25</v>
      </c>
      <c r="B17" s="91">
        <v>0</v>
      </c>
      <c r="C17" s="91">
        <v>0</v>
      </c>
      <c r="D17" s="91">
        <v>0</v>
      </c>
      <c r="E17" s="91">
        <v>0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  <c r="L17" s="91">
        <v>0</v>
      </c>
      <c r="M17" s="91">
        <v>0</v>
      </c>
      <c r="N17" s="27">
        <f t="shared" si="0"/>
        <v>0</v>
      </c>
    </row>
    <row r="18" spans="1:14" customFormat="1">
      <c r="A18" s="20" t="s">
        <v>26</v>
      </c>
      <c r="B18" s="91">
        <v>-30195.09</v>
      </c>
      <c r="C18" s="91">
        <v>-19503.71</v>
      </c>
      <c r="D18" s="91">
        <v>-19149.62</v>
      </c>
      <c r="E18" s="91">
        <v>-18981.27</v>
      </c>
      <c r="F18" s="91">
        <v>-18643.671194656199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27">
        <f t="shared" si="0"/>
        <v>-106473.3611946562</v>
      </c>
    </row>
    <row r="19" spans="1:14">
      <c r="A19" s="53" t="s">
        <v>27</v>
      </c>
      <c r="B19" s="91">
        <v>0</v>
      </c>
      <c r="C19" s="91">
        <v>0</v>
      </c>
      <c r="D19" s="91">
        <v>0</v>
      </c>
      <c r="E19" s="91">
        <v>0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27">
        <f t="shared" si="0"/>
        <v>0</v>
      </c>
    </row>
    <row r="20" spans="1:14" ht="16.5" thickBot="1">
      <c r="A20" s="14" t="s">
        <v>28</v>
      </c>
      <c r="B20" s="25">
        <f>SUM(B8:B19)</f>
        <v>13840012.85</v>
      </c>
      <c r="C20" s="25">
        <f>SUM(C8:C19)</f>
        <v>12073924.850000001</v>
      </c>
      <c r="D20" s="25">
        <f>SUM(D8:D19)</f>
        <v>10156977.120000001</v>
      </c>
      <c r="E20" s="25">
        <f t="shared" ref="E20:M20" si="1">SUM(E8:E19)</f>
        <v>8377063.1799999997</v>
      </c>
      <c r="F20" s="25">
        <f t="shared" si="1"/>
        <v>7545681.0488053439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8">
        <f>SUM(B20:M20)</f>
        <v>51993659.048805349</v>
      </c>
    </row>
    <row r="21" spans="1:14">
      <c r="I21" s="23"/>
    </row>
    <row r="22" spans="1:14">
      <c r="A22" s="54"/>
      <c r="I22" s="23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O473"/>
  <sheetViews>
    <sheetView topLeftCell="A401" zoomScaleNormal="100" workbookViewId="0">
      <selection activeCell="F364" sqref="F364"/>
    </sheetView>
  </sheetViews>
  <sheetFormatPr defaultColWidth="9.140625" defaultRowHeight="12.75"/>
  <cols>
    <col min="1" max="1" width="50.85546875" style="2" customWidth="1"/>
    <col min="2" max="2" width="12.85546875" style="23" customWidth="1"/>
    <col min="3" max="3" width="11.85546875" style="23" customWidth="1"/>
    <col min="4" max="7" width="12.85546875" style="23" customWidth="1"/>
    <col min="8" max="9" width="13.5703125" style="23" customWidth="1"/>
    <col min="10" max="10" width="12.140625" style="23" bestFit="1" customWidth="1"/>
    <col min="11" max="11" width="13.5703125" style="23" bestFit="1" customWidth="1"/>
    <col min="12" max="12" width="12.42578125" style="23" bestFit="1" customWidth="1"/>
    <col min="13" max="13" width="11.85546875" style="23" bestFit="1" customWidth="1"/>
    <col min="14" max="14" width="14.5703125" style="2" bestFit="1" customWidth="1"/>
    <col min="15" max="15" width="14" style="2" customWidth="1"/>
    <col min="16" max="16" width="14" style="2" bestFit="1" customWidth="1"/>
    <col min="17" max="16384" width="9.140625" style="2"/>
  </cols>
  <sheetData>
    <row r="1" spans="1:15" ht="15.75">
      <c r="A1" s="1" t="s">
        <v>29</v>
      </c>
    </row>
    <row r="2" spans="1:15" ht="15.75">
      <c r="A2" s="3" t="s">
        <v>30</v>
      </c>
    </row>
    <row r="3" spans="1:15" ht="15.75">
      <c r="A3" s="1" t="str">
        <f>'Table G-1'!A3</f>
        <v>Calendar Year 2022</v>
      </c>
    </row>
    <row r="4" spans="1:15" ht="16.5" thickBot="1">
      <c r="A4" s="4"/>
    </row>
    <row r="5" spans="1:15">
      <c r="A5" s="87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92" t="s">
        <v>3</v>
      </c>
    </row>
    <row r="6" spans="1:15" ht="13.5" thickBot="1">
      <c r="A6" s="16" t="s">
        <v>31</v>
      </c>
      <c r="B6" s="24" t="s">
        <v>5</v>
      </c>
      <c r="C6" s="24" t="s">
        <v>6</v>
      </c>
      <c r="D6" s="24" t="s">
        <v>7</v>
      </c>
      <c r="E6" s="24" t="s">
        <v>8</v>
      </c>
      <c r="F6" s="24" t="s">
        <v>9</v>
      </c>
      <c r="G6" s="24" t="s">
        <v>10</v>
      </c>
      <c r="H6" s="24" t="s">
        <v>11</v>
      </c>
      <c r="I6" s="24" t="s">
        <v>12</v>
      </c>
      <c r="J6" s="24" t="s">
        <v>13</v>
      </c>
      <c r="K6" s="24" t="s">
        <v>14</v>
      </c>
      <c r="L6" s="24" t="s">
        <v>15</v>
      </c>
      <c r="M6" s="24" t="s">
        <v>16</v>
      </c>
      <c r="N6" s="7" t="s">
        <v>17</v>
      </c>
    </row>
    <row r="7" spans="1:15">
      <c r="A7" s="93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40"/>
    </row>
    <row r="8" spans="1:15">
      <c r="A8" s="17" t="s">
        <v>32</v>
      </c>
      <c r="B8" s="23">
        <f>2394318-B43-B81</f>
        <v>1556104.0232672854</v>
      </c>
      <c r="C8" s="23">
        <f>5201877-C43-C81</f>
        <v>3030132.1960010561</v>
      </c>
      <c r="D8" s="23">
        <f>14041265-D43-D81</f>
        <v>10739531.16</v>
      </c>
      <c r="E8" s="23">
        <f>3550510.21-E43-E81</f>
        <v>2160814.67</v>
      </c>
      <c r="F8" s="23">
        <f>6050066.26-F43-F81</f>
        <v>5164122.75</v>
      </c>
      <c r="G8" s="23">
        <f t="shared" ref="F8:M8" si="0">0-G43-G81</f>
        <v>0</v>
      </c>
      <c r="H8" s="23">
        <f t="shared" si="0"/>
        <v>0</v>
      </c>
      <c r="I8" s="23">
        <f t="shared" si="0"/>
        <v>0</v>
      </c>
      <c r="J8" s="23">
        <f t="shared" si="0"/>
        <v>0</v>
      </c>
      <c r="K8" s="23">
        <f t="shared" si="0"/>
        <v>0</v>
      </c>
      <c r="L8" s="23">
        <f t="shared" si="0"/>
        <v>0</v>
      </c>
      <c r="M8" s="23">
        <f t="shared" si="0"/>
        <v>0</v>
      </c>
      <c r="N8" s="10">
        <f>SUM(B8:M8)</f>
        <v>22650704.799268343</v>
      </c>
    </row>
    <row r="9" spans="1:15">
      <c r="A9" s="11" t="s">
        <v>33</v>
      </c>
      <c r="N9" s="10">
        <f>SUM(B9:M9)</f>
        <v>0</v>
      </c>
    </row>
    <row r="10" spans="1:15">
      <c r="A10" s="17" t="s">
        <v>34</v>
      </c>
      <c r="N10" s="10"/>
    </row>
    <row r="11" spans="1:15" ht="15">
      <c r="A11" s="50" t="s">
        <v>35</v>
      </c>
      <c r="B11" s="23">
        <v>800.36904792234122</v>
      </c>
      <c r="C11" s="23">
        <v>507.69554127762126</v>
      </c>
      <c r="D11" s="23">
        <v>352.68</v>
      </c>
      <c r="E11" s="23">
        <v>1269.2500000000002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10">
        <f t="shared" ref="N11:N42" si="1">SUM(B11:M11)</f>
        <v>2929.9945891999628</v>
      </c>
      <c r="O11"/>
    </row>
    <row r="12" spans="1:15" ht="15">
      <c r="A12" s="50" t="s">
        <v>36</v>
      </c>
      <c r="B12" s="23">
        <v>424.4745245866348</v>
      </c>
      <c r="C12" s="23">
        <v>4480.2092711988907</v>
      </c>
      <c r="D12" s="23">
        <v>3870.5600000000004</v>
      </c>
      <c r="E12" s="23">
        <v>3848.9399999999996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10">
        <f t="shared" si="1"/>
        <v>12624.183795785524</v>
      </c>
      <c r="O12"/>
    </row>
    <row r="13" spans="1:15" ht="15">
      <c r="A13" s="50" t="s">
        <v>37</v>
      </c>
      <c r="B13" s="23">
        <v>807.30725107230774</v>
      </c>
      <c r="C13" s="23">
        <v>533.3680448385287</v>
      </c>
      <c r="D13" s="23">
        <v>9395.4199999999983</v>
      </c>
      <c r="E13" s="23">
        <v>-8592.77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10">
        <f t="shared" si="1"/>
        <v>2143.325295910834</v>
      </c>
      <c r="O13"/>
    </row>
    <row r="14" spans="1:15" ht="15">
      <c r="A14" s="50" t="s">
        <v>38</v>
      </c>
      <c r="B14" s="23">
        <v>773.00014397073687</v>
      </c>
      <c r="C14" s="23">
        <v>1422.6133263750696</v>
      </c>
      <c r="D14" s="23">
        <v>544.57999999999993</v>
      </c>
      <c r="E14" s="23">
        <v>560.61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10">
        <f t="shared" si="1"/>
        <v>3300.8034703458065</v>
      </c>
      <c r="O14"/>
    </row>
    <row r="15" spans="1:15" ht="15">
      <c r="A15" s="50" t="s">
        <v>39</v>
      </c>
      <c r="B15" s="23">
        <v>58515.077602257421</v>
      </c>
      <c r="C15" s="23">
        <v>-15655.063457124474</v>
      </c>
      <c r="D15" s="23">
        <v>3385.8799999999997</v>
      </c>
      <c r="E15" s="23">
        <v>4989.3599999999997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10">
        <f t="shared" si="1"/>
        <v>51235.254145132945</v>
      </c>
      <c r="O15"/>
    </row>
    <row r="16" spans="1:15" ht="15">
      <c r="A16" s="50" t="s">
        <v>40</v>
      </c>
      <c r="B16" s="23">
        <v>387.83059954713269</v>
      </c>
      <c r="C16" s="23">
        <v>564.94079098125883</v>
      </c>
      <c r="D16" s="23">
        <v>590.25</v>
      </c>
      <c r="E16" s="23">
        <v>557.57999999999993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10">
        <f t="shared" si="1"/>
        <v>2100.6013905283917</v>
      </c>
      <c r="O16"/>
    </row>
    <row r="17" spans="1:15" ht="15">
      <c r="A17" s="50" t="s">
        <v>41</v>
      </c>
      <c r="B17" s="23">
        <v>314.1569284757436</v>
      </c>
      <c r="C17" s="23">
        <v>437.67879365232181</v>
      </c>
      <c r="D17" s="23">
        <v>351.59</v>
      </c>
      <c r="E17" s="23">
        <v>237.62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10">
        <f t="shared" si="1"/>
        <v>1341.0457221280653</v>
      </c>
      <c r="O17"/>
    </row>
    <row r="18" spans="1:15" ht="15">
      <c r="A18" s="50" t="s">
        <v>42</v>
      </c>
      <c r="B18" s="23">
        <v>314.1569284757436</v>
      </c>
      <c r="C18" s="23">
        <v>437.67879365232181</v>
      </c>
      <c r="D18" s="23">
        <v>351.59</v>
      </c>
      <c r="E18" s="23">
        <v>237.62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10">
        <f t="shared" si="1"/>
        <v>1341.0457221280653</v>
      </c>
      <c r="O18"/>
    </row>
    <row r="19" spans="1:15" ht="17.25" customHeight="1">
      <c r="A19" s="50" t="s">
        <v>43</v>
      </c>
      <c r="B19" s="23">
        <v>37.511661836120716</v>
      </c>
      <c r="C19" s="23">
        <v>18.666674709716993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10">
        <f t="shared" si="1"/>
        <v>56.178336545837709</v>
      </c>
      <c r="O19"/>
    </row>
    <row r="20" spans="1:15" ht="17.25" customHeight="1">
      <c r="A20" s="50" t="s">
        <v>44</v>
      </c>
      <c r="B20" s="23">
        <v>530.42775560342693</v>
      </c>
      <c r="C20" s="23">
        <v>633.69006233627806</v>
      </c>
      <c r="D20" s="23">
        <v>11438.25</v>
      </c>
      <c r="E20" s="23">
        <v>557.57999999999993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10">
        <f t="shared" si="1"/>
        <v>13159.947817939705</v>
      </c>
      <c r="O20"/>
    </row>
    <row r="21" spans="1:15" ht="17.25" customHeight="1">
      <c r="A21" s="50" t="s">
        <v>45</v>
      </c>
      <c r="B21" s="23">
        <v>786.81875255149566</v>
      </c>
      <c r="C21" s="23">
        <v>560.426757052315</v>
      </c>
      <c r="D21" s="23">
        <v>32767.110000000008</v>
      </c>
      <c r="E21" s="23">
        <v>-11806.470000000001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10">
        <f t="shared" si="1"/>
        <v>22307.885509603817</v>
      </c>
      <c r="O21"/>
    </row>
    <row r="22" spans="1:15" ht="17.25" customHeight="1">
      <c r="A22" s="50" t="s">
        <v>46</v>
      </c>
      <c r="B22" s="23">
        <v>4397.6842255780557</v>
      </c>
      <c r="C22" s="23">
        <v>47451.350788345277</v>
      </c>
      <c r="D22" s="23">
        <v>31475.830000000005</v>
      </c>
      <c r="E22" s="23">
        <v>11876.959999999997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10">
        <f t="shared" si="1"/>
        <v>95201.825013923328</v>
      </c>
      <c r="O22"/>
    </row>
    <row r="23" spans="1:15" ht="17.25" customHeight="1">
      <c r="A23" s="50" t="s">
        <v>47</v>
      </c>
      <c r="B23" s="23">
        <v>3003.149346097809</v>
      </c>
      <c r="C23" s="23">
        <v>7730.397149826882</v>
      </c>
      <c r="D23" s="23">
        <v>9068.0399999999991</v>
      </c>
      <c r="E23" s="23">
        <v>3374.79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10">
        <f t="shared" si="1"/>
        <v>23176.376495924691</v>
      </c>
      <c r="O23"/>
    </row>
    <row r="24" spans="1:15" ht="17.25" customHeight="1">
      <c r="A24" s="50" t="s">
        <v>48</v>
      </c>
      <c r="B24" s="23">
        <v>853.61337594073757</v>
      </c>
      <c r="C24" s="23">
        <v>3761.8982918728043</v>
      </c>
      <c r="D24" s="23">
        <v>4320.47</v>
      </c>
      <c r="E24" s="23">
        <v>740.31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10">
        <f t="shared" si="1"/>
        <v>9676.2916678135425</v>
      </c>
      <c r="O24"/>
    </row>
    <row r="25" spans="1:15" ht="15">
      <c r="A25" s="50" t="s">
        <v>49</v>
      </c>
      <c r="B25" s="23">
        <v>0</v>
      </c>
      <c r="C25" s="23">
        <v>0</v>
      </c>
      <c r="D25" s="23">
        <v>0</v>
      </c>
      <c r="E25" s="23">
        <v>0</v>
      </c>
      <c r="F25" s="23">
        <v>3344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7">
        <f>SUM(B25:M25)</f>
        <v>3344</v>
      </c>
      <c r="O25"/>
    </row>
    <row r="26" spans="1:15" ht="15">
      <c r="A26" s="50" t="s">
        <v>50</v>
      </c>
      <c r="B26" s="23">
        <v>803.59626612587886</v>
      </c>
      <c r="C26" s="23">
        <v>546.71817822888329</v>
      </c>
      <c r="D26" s="23">
        <v>6270.1500000000015</v>
      </c>
      <c r="E26" s="23">
        <v>-1560.0500000000002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10">
        <f t="shared" si="1"/>
        <v>6060.4144443547639</v>
      </c>
      <c r="O26"/>
    </row>
    <row r="27" spans="1:15" ht="15">
      <c r="A27" s="50" t="s">
        <v>51</v>
      </c>
      <c r="B27" s="23">
        <v>786.81875255149566</v>
      </c>
      <c r="C27" s="23">
        <v>565.45715274227223</v>
      </c>
      <c r="D27" s="23">
        <v>418.02000000000004</v>
      </c>
      <c r="E27" s="23">
        <v>284.84000000000003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10">
        <f t="shared" ref="N27" si="2">SUM(B27:M27)</f>
        <v>2055.1359052937678</v>
      </c>
      <c r="O27"/>
    </row>
    <row r="28" spans="1:15" ht="15">
      <c r="A28" s="50" t="s">
        <v>52</v>
      </c>
      <c r="B28" s="23">
        <v>1305.1038034921107</v>
      </c>
      <c r="C28" s="23">
        <v>1039.1137521252354</v>
      </c>
      <c r="D28" s="23">
        <v>909.2299999999999</v>
      </c>
      <c r="E28" s="23">
        <v>903.44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10">
        <f t="shared" si="1"/>
        <v>4156.8875556173462</v>
      </c>
      <c r="O28"/>
    </row>
    <row r="29" spans="1:15" ht="15">
      <c r="A29" s="50" t="s">
        <v>53</v>
      </c>
      <c r="B29" s="23">
        <v>1469.9887999863336</v>
      </c>
      <c r="C29" s="23">
        <v>3646.0992257220055</v>
      </c>
      <c r="D29" s="23">
        <v>2516.1999999999998</v>
      </c>
      <c r="E29" s="23">
        <v>2465.6300000000006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10">
        <f t="shared" si="1"/>
        <v>10097.918025708339</v>
      </c>
      <c r="O29"/>
    </row>
    <row r="30" spans="1:15" ht="15">
      <c r="A30" s="50" t="s">
        <v>54</v>
      </c>
      <c r="B30" s="23">
        <v>788.53163183958804</v>
      </c>
      <c r="C30" s="23">
        <v>994.15799291839403</v>
      </c>
      <c r="D30" s="23">
        <v>321.93</v>
      </c>
      <c r="E30" s="23">
        <v>279.34000000000003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10">
        <f t="shared" si="1"/>
        <v>2383.9596247579821</v>
      </c>
      <c r="O30"/>
    </row>
    <row r="31" spans="1:15" ht="15">
      <c r="A31" s="50" t="s">
        <v>55</v>
      </c>
      <c r="B31" s="23">
        <v>736.81194401444623</v>
      </c>
      <c r="C31" s="23">
        <v>607.8874281105825</v>
      </c>
      <c r="D31" s="23">
        <v>599.39</v>
      </c>
      <c r="E31" s="23">
        <v>376.82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10">
        <f t="shared" si="1"/>
        <v>2320.9093721250288</v>
      </c>
      <c r="O31"/>
    </row>
    <row r="32" spans="1:15" ht="15">
      <c r="A32" s="50" t="s">
        <v>56</v>
      </c>
      <c r="B32" s="23">
        <v>877.18351934479756</v>
      </c>
      <c r="C32" s="23">
        <v>628.09563201936021</v>
      </c>
      <c r="D32" s="23">
        <v>477.17999999999995</v>
      </c>
      <c r="E32" s="23">
        <v>386.21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10">
        <f t="shared" si="1"/>
        <v>2368.6691513641576</v>
      </c>
      <c r="O32"/>
    </row>
    <row r="33" spans="1:15" ht="15">
      <c r="A33" s="50" t="s">
        <v>57</v>
      </c>
      <c r="B33" s="23">
        <v>404.19851165580576</v>
      </c>
      <c r="C33" s="23">
        <v>345.95962450792695</v>
      </c>
      <c r="D33" s="23">
        <v>228.93</v>
      </c>
      <c r="E33" s="23">
        <v>439.52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10">
        <f t="shared" si="1"/>
        <v>1418.6081361637328</v>
      </c>
      <c r="O33"/>
    </row>
    <row r="34" spans="1:15" ht="15">
      <c r="A34" s="50" t="s">
        <v>58</v>
      </c>
      <c r="B34" s="23">
        <v>1496.6484448838125</v>
      </c>
      <c r="C34" s="23">
        <v>1124.2808096739152</v>
      </c>
      <c r="D34" s="23">
        <v>723.12</v>
      </c>
      <c r="E34" s="23">
        <v>957.73</v>
      </c>
      <c r="F34" s="23">
        <v>699.34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10">
        <f>SUM(B34:M34)</f>
        <v>5001.1192545577278</v>
      </c>
      <c r="O34"/>
    </row>
    <row r="35" spans="1:15" ht="15">
      <c r="A35" s="50" t="s">
        <v>59</v>
      </c>
      <c r="B35" s="23">
        <v>42.70770127460905</v>
      </c>
      <c r="C35" s="23">
        <v>97398.418452703263</v>
      </c>
      <c r="D35" s="23">
        <v>26322.35</v>
      </c>
      <c r="E35" s="23">
        <v>26322.35</v>
      </c>
      <c r="F35" s="23">
        <v>26322.35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10">
        <f t="shared" si="1"/>
        <v>176408.1761539779</v>
      </c>
      <c r="O35"/>
    </row>
    <row r="36" spans="1:15" ht="15">
      <c r="A36" s="50" t="s">
        <v>60</v>
      </c>
      <c r="B36" s="23">
        <v>42.70770127460905</v>
      </c>
      <c r="C36" s="23">
        <v>94619.420094081681</v>
      </c>
      <c r="D36" s="23">
        <v>25870.880000000001</v>
      </c>
      <c r="E36" s="23">
        <v>25870.880000000001</v>
      </c>
      <c r="F36" s="23">
        <v>25870.880000000001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10">
        <f t="shared" si="1"/>
        <v>172274.76779535631</v>
      </c>
      <c r="O36"/>
    </row>
    <row r="37" spans="1:15" ht="17.25" customHeight="1">
      <c r="A37" s="50" t="s">
        <v>61</v>
      </c>
      <c r="B37" s="23">
        <v>9.4024095008747466</v>
      </c>
      <c r="C37" s="23">
        <v>64118.128192586635</v>
      </c>
      <c r="D37" s="23">
        <v>27067.3</v>
      </c>
      <c r="E37" s="23">
        <v>27067.3</v>
      </c>
      <c r="F37" s="23">
        <v>27067.3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10">
        <f t="shared" si="1"/>
        <v>145329.43060208749</v>
      </c>
      <c r="O37"/>
    </row>
    <row r="38" spans="1:15" ht="17.25" customHeight="1">
      <c r="A38" s="50" t="s">
        <v>62</v>
      </c>
      <c r="B38" s="23">
        <v>10307.729102854653</v>
      </c>
      <c r="C38" s="23">
        <v>1470.3127331134929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10">
        <f t="shared" si="1"/>
        <v>11778.041835968146</v>
      </c>
      <c r="O38"/>
    </row>
    <row r="39" spans="1:15" ht="15">
      <c r="A39" s="50" t="s">
        <v>63</v>
      </c>
      <c r="C39" s="23">
        <v>4.6639014161260217</v>
      </c>
      <c r="N39" s="10"/>
      <c r="O39"/>
    </row>
    <row r="40" spans="1:15" ht="15">
      <c r="A40" s="50" t="s">
        <v>64</v>
      </c>
      <c r="B40" s="23">
        <v>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7">
        <f>SUM(B40:M40)</f>
        <v>0</v>
      </c>
      <c r="O40"/>
    </row>
    <row r="41" spans="1:15" ht="17.25" customHeight="1">
      <c r="A41" s="50" t="s">
        <v>65</v>
      </c>
      <c r="B41" s="23">
        <v>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10">
        <f t="shared" si="1"/>
        <v>0</v>
      </c>
      <c r="O41"/>
    </row>
    <row r="42" spans="1:15" ht="17.25" customHeight="1">
      <c r="A42" s="50" t="s">
        <v>66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10">
        <f t="shared" si="1"/>
        <v>0</v>
      </c>
      <c r="O42"/>
    </row>
    <row r="43" spans="1:15">
      <c r="A43" s="11" t="s">
        <v>67</v>
      </c>
      <c r="B43" s="23">
        <f t="shared" ref="B43:N43" si="3">SUM(B11:B42)</f>
        <v>91017.006732714741</v>
      </c>
      <c r="C43" s="23">
        <f t="shared" si="3"/>
        <v>319994.2639989446</v>
      </c>
      <c r="D43" s="23">
        <f t="shared" si="3"/>
        <v>199636.92999999996</v>
      </c>
      <c r="E43" s="23">
        <f t="shared" si="3"/>
        <v>91645.39</v>
      </c>
      <c r="F43" s="23">
        <f>SUM(F11:F42)</f>
        <v>83303.87</v>
      </c>
      <c r="G43" s="23">
        <f t="shared" si="3"/>
        <v>0</v>
      </c>
      <c r="H43" s="23">
        <f t="shared" si="3"/>
        <v>0</v>
      </c>
      <c r="I43" s="23">
        <f t="shared" si="3"/>
        <v>0</v>
      </c>
      <c r="J43" s="23">
        <f t="shared" si="3"/>
        <v>0</v>
      </c>
      <c r="K43" s="23">
        <f t="shared" si="3"/>
        <v>0</v>
      </c>
      <c r="L43" s="23">
        <f t="shared" si="3"/>
        <v>0</v>
      </c>
      <c r="M43" s="23">
        <f t="shared" si="3"/>
        <v>0</v>
      </c>
      <c r="N43" s="10">
        <f t="shared" si="3"/>
        <v>785592.79683024331</v>
      </c>
    </row>
    <row r="44" spans="1:15">
      <c r="A44" s="11"/>
      <c r="N44" s="10"/>
    </row>
    <row r="45" spans="1:15">
      <c r="A45" s="17" t="s">
        <v>68</v>
      </c>
      <c r="N45" s="10"/>
    </row>
    <row r="46" spans="1:15" ht="15">
      <c r="A46" s="50" t="s">
        <v>35</v>
      </c>
      <c r="B46" s="23">
        <v>4164.3000000000011</v>
      </c>
      <c r="C46" s="23">
        <v>4570.8900000000012</v>
      </c>
      <c r="D46" s="23">
        <v>4703.2099999999991</v>
      </c>
      <c r="E46" s="23">
        <v>225040.71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7">
        <f>SUM(B46:M46)</f>
        <v>238479.11</v>
      </c>
      <c r="O46"/>
    </row>
    <row r="47" spans="1:15" ht="15">
      <c r="A47" s="50" t="s">
        <v>36</v>
      </c>
      <c r="B47" s="23">
        <v>0</v>
      </c>
      <c r="C47" s="23">
        <v>3412.36</v>
      </c>
      <c r="D47" s="23">
        <v>47275.200000000004</v>
      </c>
      <c r="E47" s="23">
        <v>32663.399999999998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7">
        <f t="shared" ref="N47:N78" si="4">SUM(B47:M47)</f>
        <v>83350.960000000006</v>
      </c>
      <c r="O47"/>
    </row>
    <row r="48" spans="1:15" ht="15">
      <c r="A48" s="50" t="s">
        <v>37</v>
      </c>
      <c r="B48" s="23">
        <v>3489.3900000000003</v>
      </c>
      <c r="C48" s="23">
        <v>3623.2400000000007</v>
      </c>
      <c r="D48" s="23">
        <v>145336.51999999996</v>
      </c>
      <c r="E48" s="23">
        <v>-137877.32000000004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7">
        <f t="shared" si="4"/>
        <v>14571.829999999929</v>
      </c>
      <c r="O48"/>
    </row>
    <row r="49" spans="1:15" ht="15">
      <c r="A49" s="50" t="s">
        <v>38</v>
      </c>
      <c r="B49" s="23">
        <v>1994.31</v>
      </c>
      <c r="C49" s="23">
        <v>13635.46</v>
      </c>
      <c r="D49" s="23">
        <v>16678.34</v>
      </c>
      <c r="E49" s="23">
        <v>15742.400000000001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7">
        <f t="shared" si="4"/>
        <v>48050.51</v>
      </c>
      <c r="O49"/>
    </row>
    <row r="50" spans="1:15" ht="15">
      <c r="A50" s="50" t="s">
        <v>39</v>
      </c>
      <c r="B50" s="23">
        <v>509425.42</v>
      </c>
      <c r="C50" s="23">
        <v>18693.139999999839</v>
      </c>
      <c r="D50" s="23">
        <v>21601.96</v>
      </c>
      <c r="E50" s="23">
        <v>35373.94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7">
        <f t="shared" si="4"/>
        <v>585094.45999999973</v>
      </c>
      <c r="O50"/>
    </row>
    <row r="51" spans="1:15" ht="15">
      <c r="A51" s="50" t="s">
        <v>40</v>
      </c>
      <c r="B51" s="23">
        <v>0</v>
      </c>
      <c r="C51" s="23">
        <v>0</v>
      </c>
      <c r="D51" s="23">
        <v>353250</v>
      </c>
      <c r="E51" s="23">
        <v>353250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7">
        <f t="shared" si="4"/>
        <v>706500</v>
      </c>
      <c r="O51"/>
    </row>
    <row r="52" spans="1:15" ht="15">
      <c r="A52" s="50" t="s">
        <v>41</v>
      </c>
      <c r="B52" s="23">
        <v>387.9500000000001</v>
      </c>
      <c r="C52" s="23">
        <v>375.1699999999999</v>
      </c>
      <c r="D52" s="23">
        <v>228.11999999999998</v>
      </c>
      <c r="E52" s="23">
        <v>74.58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7">
        <f t="shared" si="4"/>
        <v>1065.82</v>
      </c>
      <c r="O52"/>
    </row>
    <row r="53" spans="1:15" ht="15">
      <c r="A53" s="50" t="s">
        <v>42</v>
      </c>
      <c r="B53" s="23">
        <v>387.9500000000001</v>
      </c>
      <c r="C53" s="23">
        <v>375.1699999999999</v>
      </c>
      <c r="D53" s="23">
        <v>159.54</v>
      </c>
      <c r="E53" s="23">
        <v>107.07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7">
        <f t="shared" si="4"/>
        <v>1029.73</v>
      </c>
      <c r="O53"/>
    </row>
    <row r="54" spans="1:15" ht="15">
      <c r="A54" s="50" t="s">
        <v>43</v>
      </c>
      <c r="B54" s="23">
        <v>340.75000000000006</v>
      </c>
      <c r="C54" s="23">
        <v>464.00000000000017</v>
      </c>
      <c r="D54" s="23">
        <v>469.39</v>
      </c>
      <c r="E54" s="23">
        <v>407.99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7">
        <f t="shared" si="4"/>
        <v>1682.1300000000003</v>
      </c>
      <c r="O54"/>
    </row>
    <row r="55" spans="1:15" ht="15">
      <c r="A55" s="50" t="s">
        <v>65</v>
      </c>
      <c r="B55" s="23">
        <v>39185.46</v>
      </c>
      <c r="C55" s="23">
        <v>-11600.16</v>
      </c>
      <c r="D55" s="23">
        <v>0</v>
      </c>
      <c r="E55" s="23">
        <v>-39185.46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7">
        <f>SUM(B55:M55)</f>
        <v>-11600.16</v>
      </c>
      <c r="O55"/>
    </row>
    <row r="56" spans="1:15" ht="15">
      <c r="A56" s="50" t="s">
        <v>64</v>
      </c>
      <c r="B56" s="23">
        <v>27585.3</v>
      </c>
      <c r="C56" s="23">
        <v>11600.16</v>
      </c>
      <c r="D56" s="23">
        <v>0</v>
      </c>
      <c r="E56" s="23">
        <v>-27585.3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7">
        <f>SUM(B56:M56)</f>
        <v>11600.16</v>
      </c>
      <c r="O56"/>
    </row>
    <row r="57" spans="1:15" ht="15">
      <c r="A57" s="50" t="s">
        <v>66</v>
      </c>
      <c r="B57" s="23">
        <v>24875.74</v>
      </c>
      <c r="C57" s="23">
        <v>0</v>
      </c>
      <c r="D57" s="23">
        <v>0</v>
      </c>
      <c r="E57" s="23">
        <v>-24875.74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7">
        <f>SUM(B57:M57)</f>
        <v>0</v>
      </c>
      <c r="O57"/>
    </row>
    <row r="58" spans="1:15" ht="17.25" customHeight="1">
      <c r="A58" s="50" t="s">
        <v>69</v>
      </c>
      <c r="D58" s="23">
        <v>20834.09</v>
      </c>
      <c r="E58" s="23">
        <v>6966.67</v>
      </c>
      <c r="F58" s="23">
        <v>23134.639999999999</v>
      </c>
      <c r="N58" s="27"/>
      <c r="O58"/>
    </row>
    <row r="59" spans="1:15" ht="15">
      <c r="A59" s="50" t="s">
        <v>44</v>
      </c>
      <c r="B59" s="23">
        <v>1295.33</v>
      </c>
      <c r="C59" s="23">
        <v>1732.19</v>
      </c>
      <c r="D59" s="23">
        <v>240963.08999999997</v>
      </c>
      <c r="E59" s="23">
        <v>1596.3799999999997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7">
        <f t="shared" si="4"/>
        <v>245586.98999999996</v>
      </c>
      <c r="O59"/>
    </row>
    <row r="60" spans="1:15" ht="17.25" customHeight="1">
      <c r="A60" s="50" t="s">
        <v>70</v>
      </c>
      <c r="D60" s="23">
        <v>22533.59</v>
      </c>
      <c r="E60" s="23">
        <v>8600.25</v>
      </c>
      <c r="N60" s="27"/>
      <c r="O60"/>
    </row>
    <row r="61" spans="1:15" ht="15">
      <c r="A61" s="50" t="s">
        <v>62</v>
      </c>
      <c r="B61" s="23">
        <v>93633.78</v>
      </c>
      <c r="C61" s="23">
        <v>75085.69</v>
      </c>
      <c r="D61" s="23">
        <v>113338.90999999999</v>
      </c>
      <c r="E61" s="23">
        <v>92603.62999999999</v>
      </c>
      <c r="F61" s="23">
        <v>93790.23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7">
        <f>SUM(B61:M61)</f>
        <v>468452.24</v>
      </c>
      <c r="O61"/>
    </row>
    <row r="62" spans="1:15" ht="15">
      <c r="A62" s="50" t="s">
        <v>45</v>
      </c>
      <c r="B62" s="23">
        <v>3652.5799999999995</v>
      </c>
      <c r="C62" s="23">
        <v>4248.08</v>
      </c>
      <c r="D62" s="23">
        <v>262511.92000000004</v>
      </c>
      <c r="E62" s="23">
        <v>-83273.130000000019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7">
        <f>SUM(B62:M62)</f>
        <v>187139.45</v>
      </c>
      <c r="O62"/>
    </row>
    <row r="63" spans="1:15" ht="15">
      <c r="A63" s="50" t="s">
        <v>46</v>
      </c>
      <c r="B63" s="23">
        <v>1435.76</v>
      </c>
      <c r="C63" s="23">
        <v>371431.56</v>
      </c>
      <c r="D63" s="23">
        <v>688916.98999999987</v>
      </c>
      <c r="E63" s="23">
        <v>220920.90000000008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7">
        <f>SUM(B63:M63)</f>
        <v>1282705.21</v>
      </c>
      <c r="O63" s="39"/>
    </row>
    <row r="64" spans="1:15" ht="15">
      <c r="A64" s="50" t="s">
        <v>47</v>
      </c>
      <c r="B64" s="23">
        <v>535.97</v>
      </c>
      <c r="C64" s="23">
        <v>43803.89</v>
      </c>
      <c r="D64" s="23">
        <v>181085.84000000003</v>
      </c>
      <c r="E64" s="23">
        <v>17747.399999999998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7">
        <f t="shared" si="4"/>
        <v>243173.1</v>
      </c>
      <c r="O64" s="39"/>
    </row>
    <row r="65" spans="1:15" ht="15">
      <c r="A65" s="50" t="s">
        <v>48</v>
      </c>
      <c r="B65" s="23">
        <v>356.28000000000003</v>
      </c>
      <c r="C65" s="23">
        <v>19567.870000000003</v>
      </c>
      <c r="D65" s="23">
        <v>68095.98</v>
      </c>
      <c r="E65" s="23">
        <v>-5652.130000000001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7">
        <f t="shared" si="4"/>
        <v>82368</v>
      </c>
      <c r="O65" s="39"/>
    </row>
    <row r="66" spans="1:15" ht="15">
      <c r="A66" s="50" t="s">
        <v>50</v>
      </c>
      <c r="B66" s="23">
        <v>3455.6800000000003</v>
      </c>
      <c r="C66" s="23">
        <v>3795.0300000000007</v>
      </c>
      <c r="D66" s="23">
        <v>192143.58999999994</v>
      </c>
      <c r="E66" s="23">
        <v>-58126.589999999982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10">
        <f t="shared" si="4"/>
        <v>141267.70999999996</v>
      </c>
      <c r="O66"/>
    </row>
    <row r="67" spans="1:15" ht="15">
      <c r="A67" s="50" t="s">
        <v>49</v>
      </c>
      <c r="B67" s="23">
        <v>0</v>
      </c>
      <c r="C67" s="23">
        <v>0</v>
      </c>
      <c r="D67" s="23">
        <v>0</v>
      </c>
      <c r="E67" s="23">
        <v>0</v>
      </c>
      <c r="F67" s="23">
        <v>48569.95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7">
        <f>SUM(B67:M67)</f>
        <v>48569.95</v>
      </c>
      <c r="O67"/>
    </row>
    <row r="68" spans="1:15" ht="17.25" customHeight="1">
      <c r="A68" s="50" t="s">
        <v>51</v>
      </c>
      <c r="B68" s="23">
        <v>3652.5799999999995</v>
      </c>
      <c r="C68" s="23">
        <v>4320.1400000000012</v>
      </c>
      <c r="D68" s="23">
        <v>4396.46</v>
      </c>
      <c r="E68" s="23">
        <v>10054.150000000001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7">
        <f t="shared" si="4"/>
        <v>22423.33</v>
      </c>
      <c r="O68"/>
    </row>
    <row r="69" spans="1:15" ht="17.25" customHeight="1">
      <c r="A69" s="50" t="s">
        <v>52</v>
      </c>
      <c r="B69" s="23">
        <v>4273.82</v>
      </c>
      <c r="C69" s="23">
        <v>4898.6000000000004</v>
      </c>
      <c r="D69" s="23">
        <v>5460.37</v>
      </c>
      <c r="E69" s="23">
        <v>5327.78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7">
        <f t="shared" si="4"/>
        <v>19960.57</v>
      </c>
      <c r="O69"/>
    </row>
    <row r="70" spans="1:15" ht="17.25" customHeight="1">
      <c r="A70" s="50" t="s">
        <v>53</v>
      </c>
      <c r="B70" s="23">
        <v>6547.46</v>
      </c>
      <c r="C70" s="23">
        <v>19663.77</v>
      </c>
      <c r="D70" s="23">
        <v>75380.53</v>
      </c>
      <c r="E70" s="23">
        <v>11724.99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7">
        <f t="shared" si="4"/>
        <v>113316.75</v>
      </c>
      <c r="O70"/>
    </row>
    <row r="71" spans="1:15" ht="17.25" customHeight="1">
      <c r="A71" s="50" t="s">
        <v>54</v>
      </c>
      <c r="B71" s="23">
        <v>4305.6400000000003</v>
      </c>
      <c r="C71" s="23">
        <v>5269.88</v>
      </c>
      <c r="D71" s="23">
        <v>5029.8999999999987</v>
      </c>
      <c r="E71" s="23">
        <v>4846.4400000000005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7">
        <f t="shared" si="4"/>
        <v>19451.86</v>
      </c>
      <c r="O71"/>
    </row>
    <row r="72" spans="1:15" ht="17.25" customHeight="1">
      <c r="A72" s="50" t="s">
        <v>55</v>
      </c>
      <c r="B72" s="23">
        <v>2218.58</v>
      </c>
      <c r="C72" s="23">
        <v>2520.09</v>
      </c>
      <c r="D72" s="23">
        <v>2996.8900000000003</v>
      </c>
      <c r="E72" s="23">
        <v>1884.1799999999998</v>
      </c>
      <c r="F72" s="23">
        <v>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7">
        <f t="shared" si="4"/>
        <v>9619.74</v>
      </c>
      <c r="O72"/>
    </row>
    <row r="73" spans="1:15" ht="17.25" customHeight="1">
      <c r="A73" s="50" t="s">
        <v>56</v>
      </c>
      <c r="B73" s="23">
        <v>3810.83</v>
      </c>
      <c r="C73" s="23">
        <v>4239.2700000000013</v>
      </c>
      <c r="D73" s="23">
        <v>4219.99</v>
      </c>
      <c r="E73" s="23">
        <v>4105.2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7">
        <f t="shared" si="4"/>
        <v>16375.29</v>
      </c>
      <c r="O73"/>
    </row>
    <row r="74" spans="1:15" ht="17.25" customHeight="1">
      <c r="A74" s="50" t="s">
        <v>57</v>
      </c>
      <c r="B74" s="23">
        <v>607.69999999999993</v>
      </c>
      <c r="C74" s="23">
        <v>632.82000000000005</v>
      </c>
      <c r="D74" s="23">
        <v>457.86</v>
      </c>
      <c r="E74" s="23">
        <v>879.04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7">
        <f t="shared" si="4"/>
        <v>2577.42</v>
      </c>
      <c r="O74"/>
    </row>
    <row r="75" spans="1:15" ht="15">
      <c r="A75" s="50" t="s">
        <v>58</v>
      </c>
      <c r="B75" s="23">
        <v>4717.0999999999995</v>
      </c>
      <c r="C75" s="23">
        <v>5024.1099999999997</v>
      </c>
      <c r="D75" s="23">
        <v>3948.63</v>
      </c>
      <c r="E75" s="23">
        <v>4738.67</v>
      </c>
      <c r="F75" s="23">
        <v>3312.79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7">
        <f>SUM(B75:M75)</f>
        <v>21741.300000000003</v>
      </c>
      <c r="O75"/>
    </row>
    <row r="76" spans="1:15" ht="15">
      <c r="A76" s="50" t="s">
        <v>59</v>
      </c>
      <c r="B76" s="23">
        <v>387.9500000000001</v>
      </c>
      <c r="C76" s="23">
        <v>588672.42999999993</v>
      </c>
      <c r="D76" s="23">
        <v>294302.32999999996</v>
      </c>
      <c r="E76" s="23">
        <v>294237.83999999997</v>
      </c>
      <c r="F76" s="23">
        <v>294229.87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7">
        <f t="shared" si="4"/>
        <v>1471830.42</v>
      </c>
      <c r="O76"/>
    </row>
    <row r="77" spans="1:15" ht="15">
      <c r="A77" s="50" t="s">
        <v>60</v>
      </c>
      <c r="B77" s="23">
        <v>387.9500000000001</v>
      </c>
      <c r="C77" s="23">
        <v>562700.99</v>
      </c>
      <c r="D77" s="23">
        <v>281316.61</v>
      </c>
      <c r="E77" s="23">
        <v>281252.12</v>
      </c>
      <c r="F77" s="23">
        <v>281244.15000000002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7">
        <f t="shared" si="4"/>
        <v>1406901.8199999998</v>
      </c>
      <c r="O77"/>
    </row>
    <row r="78" spans="1:15" ht="15">
      <c r="A78" s="50" t="s">
        <v>61</v>
      </c>
      <c r="B78" s="23">
        <v>85.41</v>
      </c>
      <c r="C78" s="23">
        <v>88927.890000000014</v>
      </c>
      <c r="D78" s="23">
        <v>44480.090000000004</v>
      </c>
      <c r="E78" s="23">
        <v>44480.090000000004</v>
      </c>
      <c r="F78" s="23">
        <v>51391.340000000004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7">
        <f t="shared" si="4"/>
        <v>229364.82</v>
      </c>
      <c r="O78"/>
    </row>
    <row r="79" spans="1:15" ht="15">
      <c r="A79" s="50" t="s">
        <v>70</v>
      </c>
      <c r="B79" s="23">
        <v>0</v>
      </c>
      <c r="C79" s="23">
        <v>0</v>
      </c>
      <c r="D79" s="23">
        <v>0</v>
      </c>
      <c r="E79" s="23">
        <v>0</v>
      </c>
      <c r="F79" s="23">
        <v>6966.67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7">
        <f>SUM(B79:M79)</f>
        <v>6966.67</v>
      </c>
      <c r="O79"/>
    </row>
    <row r="80" spans="1:15" ht="15">
      <c r="A80" s="50" t="s">
        <v>63</v>
      </c>
      <c r="C80" s="23">
        <v>66.81</v>
      </c>
      <c r="D80" s="23">
        <v>-19.03</v>
      </c>
      <c r="N80" s="27"/>
      <c r="O80"/>
    </row>
    <row r="81" spans="1:15">
      <c r="A81" s="11" t="s">
        <v>67</v>
      </c>
      <c r="B81" s="23">
        <f t="shared" ref="B81:N81" si="5">SUM(B46:B80)</f>
        <v>747196.96999999974</v>
      </c>
      <c r="C81" s="23">
        <f t="shared" si="5"/>
        <v>1851750.5399999996</v>
      </c>
      <c r="D81" s="23">
        <f t="shared" si="5"/>
        <v>3102096.9099999992</v>
      </c>
      <c r="E81" s="23">
        <f t="shared" si="5"/>
        <v>1298050.1500000001</v>
      </c>
      <c r="F81" s="23">
        <f>SUM(F46:F80)</f>
        <v>802639.64</v>
      </c>
      <c r="G81" s="23">
        <f t="shared" si="5"/>
        <v>0</v>
      </c>
      <c r="H81" s="23">
        <f t="shared" si="5"/>
        <v>0</v>
      </c>
      <c r="I81" s="23">
        <f t="shared" si="5"/>
        <v>0</v>
      </c>
      <c r="J81" s="23">
        <f t="shared" si="5"/>
        <v>0</v>
      </c>
      <c r="K81" s="23">
        <f t="shared" si="5"/>
        <v>0</v>
      </c>
      <c r="L81" s="23">
        <f t="shared" si="5"/>
        <v>0</v>
      </c>
      <c r="M81" s="23">
        <f t="shared" si="5"/>
        <v>0</v>
      </c>
      <c r="N81" s="23">
        <f t="shared" si="5"/>
        <v>7719617.1900000013</v>
      </c>
    </row>
    <row r="82" spans="1:15">
      <c r="A82" s="11"/>
      <c r="N82" s="10"/>
    </row>
    <row r="83" spans="1:15" ht="16.5" thickBot="1">
      <c r="A83" s="14" t="s">
        <v>28</v>
      </c>
      <c r="B83" s="25">
        <f t="shared" ref="B83:M83" si="6">+B81+B43+B8</f>
        <v>2394318</v>
      </c>
      <c r="C83" s="25">
        <f t="shared" si="6"/>
        <v>5201877</v>
      </c>
      <c r="D83" s="25">
        <f t="shared" si="6"/>
        <v>14041265</v>
      </c>
      <c r="E83" s="25">
        <f t="shared" si="6"/>
        <v>3550510.21</v>
      </c>
      <c r="F83" s="25">
        <f t="shared" si="6"/>
        <v>6050066.2599999998</v>
      </c>
      <c r="G83" s="25">
        <f t="shared" si="6"/>
        <v>0</v>
      </c>
      <c r="H83" s="25">
        <f t="shared" si="6"/>
        <v>0</v>
      </c>
      <c r="I83" s="25">
        <f t="shared" si="6"/>
        <v>0</v>
      </c>
      <c r="J83" s="25">
        <f t="shared" si="6"/>
        <v>0</v>
      </c>
      <c r="K83" s="25">
        <f t="shared" si="6"/>
        <v>0</v>
      </c>
      <c r="L83" s="25">
        <f t="shared" si="6"/>
        <v>0</v>
      </c>
      <c r="M83" s="25">
        <f t="shared" si="6"/>
        <v>0</v>
      </c>
      <c r="N83" s="15">
        <f>+N81+N9+N43+N8</f>
        <v>31155914.786098585</v>
      </c>
    </row>
    <row r="84" spans="1:15" ht="16.5" thickBot="1">
      <c r="A84" s="4"/>
    </row>
    <row r="85" spans="1:15">
      <c r="A85" s="87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92" t="s">
        <v>3</v>
      </c>
    </row>
    <row r="86" spans="1:15" ht="13.5" thickBot="1">
      <c r="A86" s="16" t="s">
        <v>71</v>
      </c>
      <c r="B86" s="24" t="s">
        <v>5</v>
      </c>
      <c r="C86" s="24" t="s">
        <v>6</v>
      </c>
      <c r="D86" s="24" t="s">
        <v>7</v>
      </c>
      <c r="E86" s="24" t="s">
        <v>8</v>
      </c>
      <c r="F86" s="24" t="s">
        <v>9</v>
      </c>
      <c r="G86" s="24" t="s">
        <v>10</v>
      </c>
      <c r="H86" s="24" t="s">
        <v>11</v>
      </c>
      <c r="I86" s="24" t="s">
        <v>12</v>
      </c>
      <c r="J86" s="24" t="s">
        <v>13</v>
      </c>
      <c r="K86" s="24" t="s">
        <v>14</v>
      </c>
      <c r="L86" s="24" t="s">
        <v>15</v>
      </c>
      <c r="M86" s="24" t="s">
        <v>16</v>
      </c>
      <c r="N86" s="7" t="s">
        <v>17</v>
      </c>
    </row>
    <row r="87" spans="1:15">
      <c r="A87" s="93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40"/>
    </row>
    <row r="88" spans="1:15">
      <c r="A88" s="17" t="s">
        <v>32</v>
      </c>
      <c r="B88" s="23">
        <f>-274301-B121-B157</f>
        <v>384352.76999999944</v>
      </c>
      <c r="C88" s="23">
        <f>-2326875-C121-C157</f>
        <v>-1998416.5999999999</v>
      </c>
      <c r="D88" s="23">
        <f>2935778-D121-D157</f>
        <v>2340040.0900000003</v>
      </c>
      <c r="E88" s="23">
        <f>-3860361.64-E121-E157</f>
        <v>-3864311.0300000003</v>
      </c>
      <c r="F88" s="23">
        <f>-261941.55-F121-F157</f>
        <v>187337.37</v>
      </c>
      <c r="G88" s="23">
        <f t="shared" ref="F88:M88" si="7">0-G121-G157</f>
        <v>0</v>
      </c>
      <c r="H88" s="23">
        <f t="shared" si="7"/>
        <v>0</v>
      </c>
      <c r="I88" s="23">
        <f t="shared" si="7"/>
        <v>0</v>
      </c>
      <c r="J88" s="23">
        <f t="shared" si="7"/>
        <v>0</v>
      </c>
      <c r="K88" s="23">
        <f t="shared" si="7"/>
        <v>0</v>
      </c>
      <c r="L88" s="23">
        <f t="shared" si="7"/>
        <v>0</v>
      </c>
      <c r="M88" s="23">
        <f t="shared" si="7"/>
        <v>0</v>
      </c>
      <c r="N88" s="10">
        <f>SUM(B88:M88)</f>
        <v>-2950997.4000000004</v>
      </c>
    </row>
    <row r="89" spans="1:15">
      <c r="A89" s="11" t="s">
        <v>33</v>
      </c>
      <c r="N89" s="10">
        <f>SUM(B89:M89)</f>
        <v>0</v>
      </c>
    </row>
    <row r="90" spans="1:15">
      <c r="A90" s="17" t="s">
        <v>34</v>
      </c>
      <c r="N90" s="10"/>
    </row>
    <row r="91" spans="1:15" ht="15">
      <c r="A91" s="50" t="s">
        <v>35</v>
      </c>
      <c r="B91" s="23">
        <v>-38.11999999999999</v>
      </c>
      <c r="C91" s="23">
        <v>0</v>
      </c>
      <c r="D91" s="23">
        <v>0</v>
      </c>
      <c r="E91" s="23">
        <v>0</v>
      </c>
      <c r="F91" s="23">
        <v>965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10">
        <f t="shared" ref="N91:N116" si="8">SUM(B91:M91)</f>
        <v>926.88</v>
      </c>
      <c r="O91"/>
    </row>
    <row r="92" spans="1:15" ht="15">
      <c r="A92" s="50" t="s">
        <v>36</v>
      </c>
      <c r="B92" s="23">
        <v>-58.840000000000146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10">
        <f t="shared" si="8"/>
        <v>-58.840000000000146</v>
      </c>
      <c r="O92"/>
    </row>
    <row r="93" spans="1:15" ht="15">
      <c r="A93" s="50" t="s">
        <v>37</v>
      </c>
      <c r="B93" s="23">
        <v>9946.4299999999985</v>
      </c>
      <c r="C93" s="23">
        <v>-10640</v>
      </c>
      <c r="D93" s="23">
        <v>8366.08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10">
        <f t="shared" si="8"/>
        <v>7672.5099999999984</v>
      </c>
      <c r="O93"/>
    </row>
    <row r="94" spans="1:15" ht="15">
      <c r="A94" s="50" t="s">
        <v>38</v>
      </c>
      <c r="B94" s="23">
        <v>-25.7</v>
      </c>
      <c r="C94" s="23">
        <v>0</v>
      </c>
      <c r="D94" s="23">
        <v>0</v>
      </c>
      <c r="E94" s="23">
        <v>0</v>
      </c>
      <c r="F94" s="23">
        <v>659.75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10">
        <f t="shared" si="8"/>
        <v>634.04999999999995</v>
      </c>
      <c r="O94"/>
    </row>
    <row r="95" spans="1:15" ht="15">
      <c r="A95" s="50" t="s">
        <v>39</v>
      </c>
      <c r="B95" s="23">
        <v>-381.73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10">
        <f t="shared" si="8"/>
        <v>-381.73</v>
      </c>
      <c r="O95"/>
    </row>
    <row r="96" spans="1:15" ht="15">
      <c r="A96" s="50" t="s">
        <v>40</v>
      </c>
      <c r="C96" s="23">
        <v>0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10">
        <f t="shared" si="8"/>
        <v>0</v>
      </c>
      <c r="O96"/>
    </row>
    <row r="97" spans="1:15" ht="15">
      <c r="A97" s="50" t="s">
        <v>72</v>
      </c>
      <c r="B97" s="23">
        <v>-38.56</v>
      </c>
      <c r="C97" s="23">
        <v>0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10">
        <f t="shared" si="8"/>
        <v>-38.56</v>
      </c>
      <c r="O97"/>
    </row>
    <row r="98" spans="1:15" ht="15">
      <c r="A98" s="50" t="s">
        <v>73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10">
        <f t="shared" si="8"/>
        <v>0</v>
      </c>
      <c r="O98"/>
    </row>
    <row r="99" spans="1:15" ht="17.25" customHeight="1">
      <c r="A99" s="50" t="s">
        <v>41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10">
        <f t="shared" si="8"/>
        <v>0</v>
      </c>
      <c r="O99"/>
    </row>
    <row r="100" spans="1:15" ht="17.25" customHeight="1">
      <c r="A100" s="50" t="s">
        <v>42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10">
        <f t="shared" si="8"/>
        <v>0</v>
      </c>
      <c r="O100"/>
    </row>
    <row r="101" spans="1:15" ht="17.25" customHeight="1">
      <c r="A101" s="50" t="s">
        <v>43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10">
        <f t="shared" si="8"/>
        <v>0</v>
      </c>
      <c r="O101"/>
    </row>
    <row r="102" spans="1:15" ht="17.25" customHeight="1">
      <c r="A102" s="50" t="s">
        <v>74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23">
        <v>0</v>
      </c>
      <c r="N102" s="10">
        <f t="shared" si="8"/>
        <v>0</v>
      </c>
      <c r="O102"/>
    </row>
    <row r="103" spans="1:15" ht="17.25" customHeight="1">
      <c r="A103" s="50" t="s">
        <v>75</v>
      </c>
      <c r="B103" s="23">
        <v>-78.250000000000014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10">
        <f t="shared" si="8"/>
        <v>-78.250000000000014</v>
      </c>
      <c r="O103"/>
    </row>
    <row r="104" spans="1:15" ht="17.25" customHeight="1">
      <c r="A104" s="50" t="s">
        <v>44</v>
      </c>
      <c r="B104" s="23">
        <v>-1</v>
      </c>
      <c r="C104" s="23">
        <v>-34563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10">
        <f t="shared" si="8"/>
        <v>-34564</v>
      </c>
      <c r="O104"/>
    </row>
    <row r="105" spans="1:15" ht="15">
      <c r="A105" s="50" t="s">
        <v>49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10">
        <f t="shared" si="8"/>
        <v>0</v>
      </c>
      <c r="O105"/>
    </row>
    <row r="106" spans="1:15" ht="15">
      <c r="A106" s="50" t="s">
        <v>76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10">
        <f t="shared" si="8"/>
        <v>0</v>
      </c>
      <c r="O106"/>
    </row>
    <row r="107" spans="1:15" ht="15">
      <c r="A107" s="50" t="s">
        <v>77</v>
      </c>
      <c r="B107" s="23">
        <v>36633.599999999991</v>
      </c>
      <c r="C107" s="23">
        <v>3704.98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10">
        <f t="shared" si="8"/>
        <v>40338.579999999994</v>
      </c>
      <c r="O107"/>
    </row>
    <row r="108" spans="1:15" ht="15">
      <c r="A108" s="50" t="s">
        <v>78</v>
      </c>
      <c r="B108" s="23">
        <v>49.449999999999989</v>
      </c>
      <c r="C108" s="23">
        <v>15649.13</v>
      </c>
      <c r="D108" s="23">
        <v>5942.69</v>
      </c>
      <c r="E108" s="23">
        <v>2754.22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10">
        <f t="shared" si="8"/>
        <v>24395.49</v>
      </c>
      <c r="O108"/>
    </row>
    <row r="109" spans="1:15" ht="15">
      <c r="A109" s="50" t="s">
        <v>79</v>
      </c>
      <c r="B109" s="23">
        <v>306.64999999999964</v>
      </c>
      <c r="C109" s="23">
        <v>427.28</v>
      </c>
      <c r="D109" s="23">
        <v>88.48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10">
        <f t="shared" si="8"/>
        <v>822.40999999999963</v>
      </c>
      <c r="O109"/>
    </row>
    <row r="110" spans="1:15" ht="15">
      <c r="A110" s="50" t="s">
        <v>80</v>
      </c>
      <c r="B110" s="23">
        <v>347.57999999999993</v>
      </c>
      <c r="C110" s="23">
        <v>0</v>
      </c>
      <c r="D110" s="23">
        <v>0</v>
      </c>
      <c r="E110" s="23">
        <v>197.04</v>
      </c>
      <c r="F110" s="23">
        <v>-5.91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10">
        <f t="shared" si="8"/>
        <v>538.70999999999992</v>
      </c>
      <c r="O110"/>
    </row>
    <row r="111" spans="1:15" ht="15">
      <c r="A111" s="50" t="s">
        <v>81</v>
      </c>
      <c r="B111" s="23">
        <v>-24580.629999999997</v>
      </c>
      <c r="C111" s="23">
        <v>677.52</v>
      </c>
      <c r="D111" s="23">
        <v>8389.7999999999993</v>
      </c>
      <c r="E111" s="23">
        <v>4292.53</v>
      </c>
      <c r="F111" s="23">
        <v>-15.76999999999498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10">
        <f t="shared" si="8"/>
        <v>-11236.549999999994</v>
      </c>
      <c r="O111"/>
    </row>
    <row r="112" spans="1:15" ht="15">
      <c r="A112" s="50" t="s">
        <v>82</v>
      </c>
      <c r="B112" s="23">
        <v>-66.56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10">
        <f t="shared" si="8"/>
        <v>-66.56</v>
      </c>
      <c r="O112"/>
    </row>
    <row r="113" spans="1:15" ht="15">
      <c r="A113" s="50" t="s">
        <v>83</v>
      </c>
      <c r="B113" s="23">
        <v>-11688</v>
      </c>
      <c r="C113" s="23">
        <v>16012.76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10">
        <f t="shared" si="8"/>
        <v>4324.76</v>
      </c>
      <c r="O113"/>
    </row>
    <row r="114" spans="1:15" ht="15">
      <c r="A114" s="50" t="s">
        <v>84</v>
      </c>
      <c r="B114" s="23">
        <v>3173.24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10">
        <f t="shared" si="8"/>
        <v>3173.24</v>
      </c>
      <c r="O114"/>
    </row>
    <row r="115" spans="1:15" ht="17.25" customHeight="1">
      <c r="A115" s="50" t="s">
        <v>85</v>
      </c>
      <c r="B115" s="23">
        <v>406.88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10">
        <f t="shared" si="8"/>
        <v>406.88</v>
      </c>
      <c r="O115"/>
    </row>
    <row r="116" spans="1:15" ht="17.25" customHeight="1">
      <c r="A116" s="50" t="s">
        <v>86</v>
      </c>
      <c r="B116" s="23">
        <v>19348.990000000002</v>
      </c>
      <c r="C116" s="23">
        <v>0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10">
        <f t="shared" si="8"/>
        <v>19348.990000000002</v>
      </c>
      <c r="O116"/>
    </row>
    <row r="117" spans="1:15" ht="15">
      <c r="A117" s="50" t="s">
        <v>87</v>
      </c>
      <c r="B117" s="23">
        <v>-53.79</v>
      </c>
      <c r="C117" s="23">
        <v>0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10">
        <f>SUM(B117:M117)</f>
        <v>-53.79</v>
      </c>
      <c r="O117"/>
    </row>
    <row r="118" spans="1:15" ht="15">
      <c r="A118" s="50" t="s">
        <v>88</v>
      </c>
      <c r="B118" s="23">
        <v>0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7">
        <f>SUM(B118:M118)</f>
        <v>0</v>
      </c>
      <c r="O118"/>
    </row>
    <row r="119" spans="1:15" ht="17.25" customHeight="1">
      <c r="A119" s="50" t="s">
        <v>89</v>
      </c>
      <c r="B119" s="23">
        <v>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10">
        <f t="shared" ref="N119:N120" si="9">SUM(B119:M119)</f>
        <v>0</v>
      </c>
      <c r="O119"/>
    </row>
    <row r="120" spans="1:15" ht="17.25" customHeight="1">
      <c r="A120" s="50" t="s">
        <v>90</v>
      </c>
      <c r="B120" s="23">
        <v>0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10">
        <f t="shared" si="9"/>
        <v>0</v>
      </c>
      <c r="O120"/>
    </row>
    <row r="121" spans="1:15">
      <c r="A121" s="11" t="s">
        <v>67</v>
      </c>
      <c r="B121" s="23">
        <f t="shared" ref="B121:N121" si="10">SUM(B91:B120)</f>
        <v>33201.639999999992</v>
      </c>
      <c r="C121" s="23">
        <f>SUM(C91:C120)</f>
        <v>-8731.33</v>
      </c>
      <c r="D121" s="23">
        <f t="shared" si="10"/>
        <v>22787.05</v>
      </c>
      <c r="E121" s="23">
        <f t="shared" si="10"/>
        <v>7243.7899999999991</v>
      </c>
      <c r="F121" s="23">
        <f t="shared" si="10"/>
        <v>1603.0700000000049</v>
      </c>
      <c r="G121" s="23">
        <f t="shared" si="10"/>
        <v>0</v>
      </c>
      <c r="H121" s="23">
        <f t="shared" si="10"/>
        <v>0</v>
      </c>
      <c r="I121" s="23">
        <f t="shared" si="10"/>
        <v>0</v>
      </c>
      <c r="J121" s="23">
        <f t="shared" si="10"/>
        <v>0</v>
      </c>
      <c r="K121" s="23">
        <f t="shared" si="10"/>
        <v>0</v>
      </c>
      <c r="L121" s="23">
        <f t="shared" si="10"/>
        <v>0</v>
      </c>
      <c r="M121" s="23">
        <f t="shared" si="10"/>
        <v>0</v>
      </c>
      <c r="N121" s="10">
        <f t="shared" si="10"/>
        <v>56104.219999999979</v>
      </c>
    </row>
    <row r="122" spans="1:15">
      <c r="A122" s="11"/>
      <c r="N122" s="10"/>
    </row>
    <row r="123" spans="1:15">
      <c r="A123" s="17" t="s">
        <v>68</v>
      </c>
      <c r="N123" s="10"/>
    </row>
    <row r="124" spans="1:15" ht="15">
      <c r="A124" s="50" t="s">
        <v>91</v>
      </c>
      <c r="B124" s="23">
        <v>-39707.900000000009</v>
      </c>
      <c r="C124" s="23">
        <v>0</v>
      </c>
      <c r="D124" s="23">
        <v>0.02</v>
      </c>
      <c r="E124" s="23">
        <v>-218169</v>
      </c>
      <c r="F124" s="23">
        <v>22558.129999999997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7">
        <f>SUM(B124:M124)</f>
        <v>-235318.75</v>
      </c>
      <c r="O124"/>
    </row>
    <row r="125" spans="1:15" ht="15">
      <c r="A125" s="50" t="s">
        <v>92</v>
      </c>
      <c r="B125" s="23">
        <v>-343.55999999999995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7">
        <f t="shared" ref="N125:N152" si="11">SUM(B125:M125)</f>
        <v>-343.55999999999995</v>
      </c>
      <c r="O125"/>
    </row>
    <row r="126" spans="1:15" ht="15">
      <c r="A126" s="50" t="s">
        <v>93</v>
      </c>
      <c r="B126" s="23">
        <v>157343.98000000001</v>
      </c>
      <c r="C126" s="23">
        <v>-168000</v>
      </c>
      <c r="D126" s="23">
        <v>132096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7">
        <f t="shared" si="11"/>
        <v>121439.98000000001</v>
      </c>
      <c r="O126"/>
    </row>
    <row r="127" spans="1:15" ht="15">
      <c r="A127" s="50" t="s">
        <v>94</v>
      </c>
      <c r="B127" s="23">
        <v>-488.30000000000058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7">
        <f t="shared" si="11"/>
        <v>-488.30000000000058</v>
      </c>
      <c r="O127"/>
    </row>
    <row r="128" spans="1:15" ht="15">
      <c r="A128" s="50" t="s">
        <v>95</v>
      </c>
      <c r="B128" s="23">
        <v>-290458.77999999985</v>
      </c>
      <c r="C128" s="23">
        <v>25625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7">
        <f t="shared" si="11"/>
        <v>-264833.77999999985</v>
      </c>
      <c r="O128"/>
    </row>
    <row r="129" spans="1:15" ht="15">
      <c r="A129" s="50" t="s">
        <v>96</v>
      </c>
      <c r="B129" s="23">
        <v>2365.56</v>
      </c>
      <c r="C129" s="23">
        <v>2359.7199999999998</v>
      </c>
      <c r="D129" s="23">
        <v>2352.15</v>
      </c>
      <c r="E129" s="23">
        <v>2345.5700000000002</v>
      </c>
      <c r="F129" s="23">
        <v>473.04999999999995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7">
        <f t="shared" si="11"/>
        <v>9896.0499999999993</v>
      </c>
      <c r="O129"/>
    </row>
    <row r="130" spans="1:15" ht="15">
      <c r="A130" s="50" t="s">
        <v>97</v>
      </c>
      <c r="B130" s="23">
        <v>-16362.689999999988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7">
        <f t="shared" si="11"/>
        <v>-16362.689999999988</v>
      </c>
      <c r="O130"/>
    </row>
    <row r="131" spans="1:15" ht="15">
      <c r="A131" s="50" t="s">
        <v>98</v>
      </c>
      <c r="B131" s="23">
        <v>0</v>
      </c>
      <c r="C131" s="23">
        <v>0</v>
      </c>
      <c r="D131" s="23">
        <v>-514.08000000000004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7">
        <f t="shared" si="11"/>
        <v>-514.08000000000004</v>
      </c>
      <c r="O131"/>
    </row>
    <row r="132" spans="1:15" ht="15">
      <c r="A132" s="50" t="s">
        <v>99</v>
      </c>
      <c r="B132" s="23">
        <v>317.94</v>
      </c>
      <c r="C132" s="23">
        <v>0</v>
      </c>
      <c r="D132" s="23">
        <v>17958.47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7">
        <f t="shared" si="11"/>
        <v>18276.41</v>
      </c>
      <c r="O132"/>
    </row>
    <row r="133" spans="1:15" ht="15">
      <c r="A133" s="50" t="s">
        <v>100</v>
      </c>
      <c r="B133" s="23">
        <v>317.94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7">
        <f t="shared" si="11"/>
        <v>317.94</v>
      </c>
      <c r="O133"/>
    </row>
    <row r="134" spans="1:15" ht="15">
      <c r="A134" s="50" t="s">
        <v>101</v>
      </c>
      <c r="B134" s="23">
        <v>842.31999999999994</v>
      </c>
      <c r="C134" s="23">
        <v>-318.39</v>
      </c>
      <c r="D134" s="23">
        <v>-1008.24</v>
      </c>
      <c r="E134" s="23">
        <v>477.6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7">
        <f t="shared" si="11"/>
        <v>-6.7100000000000364</v>
      </c>
      <c r="O134"/>
    </row>
    <row r="135" spans="1:15" ht="15">
      <c r="A135" s="50" t="s">
        <v>102</v>
      </c>
      <c r="B135" s="23">
        <v>-22.53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7">
        <f t="shared" si="11"/>
        <v>-22.53</v>
      </c>
      <c r="O135" s="39"/>
    </row>
    <row r="136" spans="1:15" ht="15">
      <c r="A136" s="50" t="s">
        <v>103</v>
      </c>
      <c r="B136" s="23">
        <v>-704.21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7">
        <f t="shared" si="11"/>
        <v>-704.21</v>
      </c>
      <c r="O136" s="39"/>
    </row>
    <row r="137" spans="1:15" ht="15">
      <c r="A137" s="50" t="s">
        <v>104</v>
      </c>
      <c r="B137" s="23">
        <v>11484.48</v>
      </c>
      <c r="C137" s="23">
        <v>-767505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7">
        <f t="shared" si="11"/>
        <v>-756020.52</v>
      </c>
      <c r="O137" s="39"/>
    </row>
    <row r="138" spans="1:15" ht="15">
      <c r="A138" s="50" t="s">
        <v>105</v>
      </c>
      <c r="B138" s="23">
        <v>-104.30999999999999</v>
      </c>
      <c r="C138" s="23">
        <v>35.92</v>
      </c>
      <c r="D138" s="23">
        <v>0</v>
      </c>
      <c r="E138" s="23">
        <v>0</v>
      </c>
      <c r="F138" s="23">
        <v>-17514.7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10">
        <f t="shared" si="11"/>
        <v>-17583.09</v>
      </c>
      <c r="O138"/>
    </row>
    <row r="139" spans="1:15" ht="17.25" customHeight="1">
      <c r="A139" s="50" t="s">
        <v>106</v>
      </c>
      <c r="B139" s="23">
        <v>-749.81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7">
        <f t="shared" si="11"/>
        <v>-749.81</v>
      </c>
      <c r="O139"/>
    </row>
    <row r="140" spans="1:15" ht="15">
      <c r="A140" s="50" t="s">
        <v>70</v>
      </c>
      <c r="C140" s="23">
        <v>0</v>
      </c>
      <c r="D140" s="23">
        <v>0</v>
      </c>
      <c r="E140" s="23">
        <v>0</v>
      </c>
      <c r="F140" s="23">
        <v>-41661.18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7">
        <f>SUM(B140:M140)</f>
        <v>-41661.18</v>
      </c>
      <c r="O140"/>
    </row>
    <row r="141" spans="1:15" ht="15">
      <c r="A141" s="50" t="s">
        <v>69</v>
      </c>
      <c r="B141" s="23">
        <v>0</v>
      </c>
      <c r="C141" s="23">
        <v>0</v>
      </c>
      <c r="D141" s="23">
        <v>0</v>
      </c>
      <c r="E141" s="23">
        <v>0</v>
      </c>
      <c r="F141" s="23">
        <v>-69427.75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7">
        <f t="shared" ref="N141" si="12">SUM(B141:M141)</f>
        <v>-69427.75</v>
      </c>
      <c r="O141"/>
    </row>
    <row r="142" spans="1:15" ht="15">
      <c r="A142" s="50" t="s">
        <v>62</v>
      </c>
      <c r="C142" s="23">
        <v>0</v>
      </c>
      <c r="D142" s="23">
        <v>0</v>
      </c>
      <c r="E142" s="23">
        <v>0</v>
      </c>
      <c r="F142" s="23">
        <v>-346002.46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7">
        <f>SUM(B142:M142)</f>
        <v>-346002.46</v>
      </c>
      <c r="O142"/>
    </row>
    <row r="143" spans="1:15" ht="17.25" customHeight="1">
      <c r="A143" s="50" t="s">
        <v>77</v>
      </c>
      <c r="B143" s="23">
        <v>262335.97000000003</v>
      </c>
      <c r="C143" s="23">
        <v>34592.339999999997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7">
        <f t="shared" si="11"/>
        <v>296928.31000000006</v>
      </c>
      <c r="O143"/>
    </row>
    <row r="144" spans="1:15" ht="17.25" customHeight="1">
      <c r="A144" s="50" t="s">
        <v>78</v>
      </c>
      <c r="B144" s="23">
        <v>0</v>
      </c>
      <c r="C144" s="23">
        <v>450065.59</v>
      </c>
      <c r="D144" s="23">
        <v>148667.9</v>
      </c>
      <c r="E144" s="23">
        <v>69615.73000000001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7">
        <f t="shared" si="11"/>
        <v>668349.22</v>
      </c>
      <c r="O144"/>
    </row>
    <row r="145" spans="1:15" ht="17.25" customHeight="1">
      <c r="A145" s="50" t="s">
        <v>79</v>
      </c>
      <c r="B145" s="23">
        <v>64059.66</v>
      </c>
      <c r="C145" s="23">
        <v>34079.99</v>
      </c>
      <c r="D145" s="23">
        <v>2127.34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7">
        <f t="shared" si="11"/>
        <v>100266.98999999999</v>
      </c>
      <c r="O145"/>
    </row>
    <row r="146" spans="1:15" ht="17.25" customHeight="1">
      <c r="A146" s="50" t="s">
        <v>80</v>
      </c>
      <c r="B146" s="23">
        <v>2917.1399999999981</v>
      </c>
      <c r="C146" s="23">
        <v>0</v>
      </c>
      <c r="D146" s="23">
        <v>0</v>
      </c>
      <c r="E146" s="23">
        <v>3610.0699999999997</v>
      </c>
      <c r="F146" s="23">
        <v>-108.3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7">
        <f t="shared" si="11"/>
        <v>6418.9099999999971</v>
      </c>
      <c r="O146"/>
    </row>
    <row r="147" spans="1:15" ht="17.25" customHeight="1">
      <c r="A147" s="50" t="s">
        <v>81</v>
      </c>
      <c r="B147" s="23">
        <v>-793796.59999999974</v>
      </c>
      <c r="C147" s="23">
        <v>21909.85</v>
      </c>
      <c r="D147" s="23">
        <v>271271.3</v>
      </c>
      <c r="E147" s="23">
        <v>138792.32000000001</v>
      </c>
      <c r="F147" s="23">
        <v>-510.18000000002121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7">
        <f t="shared" si="11"/>
        <v>-362333.30999999976</v>
      </c>
      <c r="O147"/>
    </row>
    <row r="148" spans="1:15" ht="17.25" customHeight="1">
      <c r="A148" s="50" t="s">
        <v>82</v>
      </c>
      <c r="B148" s="23">
        <v>-3688.1899999999996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7">
        <f t="shared" si="11"/>
        <v>-3688.1899999999996</v>
      </c>
      <c r="O148"/>
    </row>
    <row r="149" spans="1:15" ht="15">
      <c r="A149" s="50" t="s">
        <v>83</v>
      </c>
      <c r="B149" s="23">
        <v>-53920</v>
      </c>
      <c r="C149" s="23">
        <v>47313.69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7">
        <f t="shared" si="11"/>
        <v>-6606.3099999999977</v>
      </c>
      <c r="O149"/>
    </row>
    <row r="150" spans="1:15" ht="15">
      <c r="A150" s="50" t="s">
        <v>84</v>
      </c>
      <c r="B150" s="23">
        <v>7461.7199999999993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7">
        <f t="shared" si="11"/>
        <v>7461.7199999999993</v>
      </c>
      <c r="O150"/>
    </row>
    <row r="151" spans="1:15" ht="15">
      <c r="A151" s="50" t="s">
        <v>85</v>
      </c>
      <c r="B151" s="23">
        <v>-305.65999999999997</v>
      </c>
      <c r="C151" s="23">
        <v>114.22</v>
      </c>
      <c r="D151" s="23">
        <v>0</v>
      </c>
      <c r="E151" s="23">
        <v>33.31</v>
      </c>
      <c r="F151" s="23">
        <v>1311.3999999999999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7">
        <f t="shared" si="11"/>
        <v>1153.27</v>
      </c>
      <c r="O151"/>
    </row>
    <row r="152" spans="1:15" ht="15">
      <c r="A152" s="50" t="s">
        <v>86</v>
      </c>
      <c r="B152" s="23">
        <v>-255.01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7">
        <f t="shared" si="11"/>
        <v>-255.01</v>
      </c>
      <c r="O152"/>
    </row>
    <row r="153" spans="1:15" ht="15">
      <c r="A153" s="50" t="s">
        <v>87</v>
      </c>
      <c r="B153" s="23">
        <v>-394.56999999999994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7">
        <f>SUM(B153:M153)</f>
        <v>-394.56999999999994</v>
      </c>
      <c r="O153"/>
    </row>
    <row r="154" spans="1:15" ht="15">
      <c r="A154" s="50" t="s">
        <v>88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7">
        <f>SUM(B154:M154)</f>
        <v>0</v>
      </c>
      <c r="O154"/>
    </row>
    <row r="155" spans="1:15" ht="15">
      <c r="A155" s="50" t="s">
        <v>89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7">
        <f t="shared" ref="N155:N156" si="13">SUM(B155:M155)</f>
        <v>0</v>
      </c>
      <c r="O155"/>
    </row>
    <row r="156" spans="1:15" ht="15">
      <c r="A156" s="50" t="s">
        <v>90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7">
        <f t="shared" si="13"/>
        <v>0</v>
      </c>
      <c r="O156"/>
    </row>
    <row r="157" spans="1:15">
      <c r="A157" s="11" t="s">
        <v>67</v>
      </c>
      <c r="B157" s="23">
        <f>SUM(B124:B156)</f>
        <v>-691855.40999999945</v>
      </c>
      <c r="C157" s="23">
        <f>SUM(C124:C156)</f>
        <v>-319727.07000000007</v>
      </c>
      <c r="D157" s="23">
        <f>SUM(D124:D156)</f>
        <v>572950.86</v>
      </c>
      <c r="E157" s="23">
        <f t="shared" ref="E157:N157" si="14">SUM(E124:E156)</f>
        <v>-3294.3999999999628</v>
      </c>
      <c r="F157" s="23">
        <f t="shared" si="14"/>
        <v>-450881.99</v>
      </c>
      <c r="G157" s="23">
        <f t="shared" si="14"/>
        <v>0</v>
      </c>
      <c r="H157" s="23">
        <f t="shared" si="14"/>
        <v>0</v>
      </c>
      <c r="I157" s="23">
        <f t="shared" si="14"/>
        <v>0</v>
      </c>
      <c r="J157" s="23">
        <f t="shared" si="14"/>
        <v>0</v>
      </c>
      <c r="K157" s="23">
        <f t="shared" si="14"/>
        <v>0</v>
      </c>
      <c r="L157" s="23">
        <f t="shared" si="14"/>
        <v>0</v>
      </c>
      <c r="M157" s="23">
        <f t="shared" si="14"/>
        <v>0</v>
      </c>
      <c r="N157" s="27">
        <f t="shared" si="14"/>
        <v>-892808.00999999966</v>
      </c>
    </row>
    <row r="158" spans="1:15">
      <c r="A158" s="11"/>
      <c r="N158" s="10"/>
    </row>
    <row r="159" spans="1:15" ht="16.5" thickBot="1">
      <c r="A159" s="14" t="s">
        <v>28</v>
      </c>
      <c r="B159" s="25">
        <f t="shared" ref="B159:M159" si="15">+B157+B121+B88</f>
        <v>-274301</v>
      </c>
      <c r="C159" s="25">
        <f t="shared" si="15"/>
        <v>-2326875</v>
      </c>
      <c r="D159" s="25">
        <f t="shared" si="15"/>
        <v>2935778.0000000005</v>
      </c>
      <c r="E159" s="25">
        <f t="shared" si="15"/>
        <v>-3860361.64</v>
      </c>
      <c r="F159" s="25">
        <f t="shared" si="15"/>
        <v>-261941.55</v>
      </c>
      <c r="G159" s="25">
        <f t="shared" si="15"/>
        <v>0</v>
      </c>
      <c r="H159" s="25">
        <f t="shared" si="15"/>
        <v>0</v>
      </c>
      <c r="I159" s="25">
        <f t="shared" si="15"/>
        <v>0</v>
      </c>
      <c r="J159" s="25">
        <f t="shared" si="15"/>
        <v>0</v>
      </c>
      <c r="K159" s="25">
        <f t="shared" si="15"/>
        <v>0</v>
      </c>
      <c r="L159" s="25">
        <f t="shared" si="15"/>
        <v>0</v>
      </c>
      <c r="M159" s="25">
        <f t="shared" si="15"/>
        <v>0</v>
      </c>
      <c r="N159" s="15">
        <f>+N157+N89+N121+N88</f>
        <v>-3787701.19</v>
      </c>
    </row>
    <row r="160" spans="1:15" ht="16.5" thickBot="1">
      <c r="A160" s="4"/>
    </row>
    <row r="161" spans="1:15">
      <c r="A161" s="87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92" t="s">
        <v>3</v>
      </c>
    </row>
    <row r="162" spans="1:15" ht="13.5" thickBot="1">
      <c r="A162" s="16" t="s">
        <v>107</v>
      </c>
      <c r="B162" s="24" t="s">
        <v>5</v>
      </c>
      <c r="C162" s="24" t="s">
        <v>6</v>
      </c>
      <c r="D162" s="24" t="s">
        <v>7</v>
      </c>
      <c r="E162" s="24" t="s">
        <v>8</v>
      </c>
      <c r="F162" s="24" t="s">
        <v>9</v>
      </c>
      <c r="G162" s="24" t="s">
        <v>10</v>
      </c>
      <c r="H162" s="24" t="s">
        <v>11</v>
      </c>
      <c r="I162" s="24" t="s">
        <v>12</v>
      </c>
      <c r="J162" s="24" t="s">
        <v>13</v>
      </c>
      <c r="K162" s="24" t="s">
        <v>14</v>
      </c>
      <c r="L162" s="24" t="s">
        <v>15</v>
      </c>
      <c r="M162" s="24" t="s">
        <v>16</v>
      </c>
      <c r="N162" s="7" t="s">
        <v>17</v>
      </c>
    </row>
    <row r="163" spans="1:15">
      <c r="A163" s="93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40"/>
    </row>
    <row r="164" spans="1:15">
      <c r="A164" s="17" t="s">
        <v>32</v>
      </c>
      <c r="B164" s="23">
        <f>365841-B195-B226</f>
        <v>365841</v>
      </c>
      <c r="C164" s="23">
        <f>342829.77-C195-C226</f>
        <v>342829.77</v>
      </c>
      <c r="D164" s="23">
        <f>46887-D195-D226</f>
        <v>46887</v>
      </c>
      <c r="E164" s="23">
        <f>-315417.51-E195-E226</f>
        <v>-315417.51</v>
      </c>
      <c r="F164" s="23">
        <f>-6761778.17-F195-F226</f>
        <v>-6761778.1699999999</v>
      </c>
      <c r="G164" s="23">
        <f t="shared" ref="F164:M164" si="16">0-G195-G226</f>
        <v>0</v>
      </c>
      <c r="H164" s="23">
        <f t="shared" si="16"/>
        <v>0</v>
      </c>
      <c r="I164" s="23">
        <f t="shared" si="16"/>
        <v>0</v>
      </c>
      <c r="J164" s="23">
        <f t="shared" si="16"/>
        <v>0</v>
      </c>
      <c r="K164" s="23">
        <f t="shared" si="16"/>
        <v>0</v>
      </c>
      <c r="L164" s="23">
        <f t="shared" si="16"/>
        <v>0</v>
      </c>
      <c r="M164" s="23">
        <f t="shared" si="16"/>
        <v>0</v>
      </c>
      <c r="N164" s="10">
        <f>SUM(B164:M164)</f>
        <v>-6321637.9100000001</v>
      </c>
    </row>
    <row r="165" spans="1:15">
      <c r="A165" s="11" t="s">
        <v>33</v>
      </c>
      <c r="N165" s="10">
        <f>SUM(B165:M165)</f>
        <v>0</v>
      </c>
    </row>
    <row r="166" spans="1:15">
      <c r="A166" s="17" t="s">
        <v>34</v>
      </c>
      <c r="N166" s="10"/>
    </row>
    <row r="167" spans="1:15" ht="15">
      <c r="A167" s="50" t="s">
        <v>35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10">
        <f t="shared" ref="N167:N192" si="17">SUM(B167:M167)</f>
        <v>0</v>
      </c>
      <c r="O167"/>
    </row>
    <row r="168" spans="1:15" ht="15">
      <c r="A168" s="50" t="s">
        <v>36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10">
        <f t="shared" ref="N168:N188" si="18">SUM(B168:M168)</f>
        <v>0</v>
      </c>
      <c r="O168"/>
    </row>
    <row r="169" spans="1:15" ht="15">
      <c r="A169" s="50" t="s">
        <v>108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10">
        <f t="shared" si="18"/>
        <v>0</v>
      </c>
      <c r="O169"/>
    </row>
    <row r="170" spans="1:15" ht="15">
      <c r="A170" s="50" t="s">
        <v>109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10">
        <f t="shared" si="18"/>
        <v>0</v>
      </c>
      <c r="O170"/>
    </row>
    <row r="171" spans="1:15" ht="15">
      <c r="A171" s="50" t="s">
        <v>37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10">
        <f t="shared" si="18"/>
        <v>0</v>
      </c>
      <c r="O171"/>
    </row>
    <row r="172" spans="1:15" ht="15">
      <c r="A172" s="50" t="s">
        <v>110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10">
        <f t="shared" si="18"/>
        <v>0</v>
      </c>
      <c r="O172"/>
    </row>
    <row r="173" spans="1:15" ht="15">
      <c r="A173" s="50" t="s">
        <v>111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10">
        <f t="shared" si="18"/>
        <v>0</v>
      </c>
      <c r="O173"/>
    </row>
    <row r="174" spans="1:15" ht="15">
      <c r="A174" s="50" t="s">
        <v>112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10">
        <f t="shared" si="18"/>
        <v>0</v>
      </c>
      <c r="O174"/>
    </row>
    <row r="175" spans="1:15" ht="15">
      <c r="A175" s="50" t="s">
        <v>113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10">
        <f t="shared" si="18"/>
        <v>0</v>
      </c>
      <c r="O175"/>
    </row>
    <row r="176" spans="1:15" ht="17.25" customHeight="1">
      <c r="A176" s="50" t="s">
        <v>114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10">
        <f t="shared" si="18"/>
        <v>0</v>
      </c>
      <c r="O176"/>
    </row>
    <row r="177" spans="1:15" ht="17.25" customHeight="1">
      <c r="A177" s="50" t="s">
        <v>38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10">
        <f t="shared" si="18"/>
        <v>0</v>
      </c>
      <c r="O177"/>
    </row>
    <row r="178" spans="1:15" ht="17.25" customHeight="1">
      <c r="A178" s="50" t="s">
        <v>115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10">
        <f t="shared" si="18"/>
        <v>0</v>
      </c>
      <c r="O178"/>
    </row>
    <row r="179" spans="1:15" ht="17.25" customHeight="1">
      <c r="A179" s="50" t="s">
        <v>116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10">
        <f t="shared" si="18"/>
        <v>0</v>
      </c>
      <c r="O179"/>
    </row>
    <row r="180" spans="1:15" ht="17.25" customHeight="1">
      <c r="A180" s="50" t="s">
        <v>117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10">
        <f t="shared" si="18"/>
        <v>0</v>
      </c>
      <c r="O180"/>
    </row>
    <row r="181" spans="1:15" ht="17.25" customHeight="1">
      <c r="A181" s="50" t="s">
        <v>39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10">
        <f t="shared" si="18"/>
        <v>0</v>
      </c>
      <c r="O181"/>
    </row>
    <row r="182" spans="1:15" ht="15">
      <c r="A182" s="50" t="s">
        <v>40</v>
      </c>
      <c r="B182" s="23">
        <v>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10">
        <f t="shared" si="18"/>
        <v>0</v>
      </c>
      <c r="O182"/>
    </row>
    <row r="183" spans="1:15" ht="15">
      <c r="A183" s="50" t="s">
        <v>73</v>
      </c>
      <c r="B183" s="23">
        <v>0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10">
        <f t="shared" si="18"/>
        <v>0</v>
      </c>
      <c r="O183"/>
    </row>
    <row r="184" spans="1:15" ht="15">
      <c r="A184" s="50" t="s">
        <v>41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10">
        <f t="shared" si="18"/>
        <v>0</v>
      </c>
      <c r="O184"/>
    </row>
    <row r="185" spans="1:15" ht="15">
      <c r="A185" s="50" t="s">
        <v>42</v>
      </c>
      <c r="B185" s="23">
        <v>0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10">
        <f t="shared" si="18"/>
        <v>0</v>
      </c>
      <c r="O185"/>
    </row>
    <row r="186" spans="1:15" ht="15">
      <c r="A186" s="50" t="s">
        <v>43</v>
      </c>
      <c r="B186" s="23">
        <v>0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10">
        <f t="shared" si="18"/>
        <v>0</v>
      </c>
      <c r="O186"/>
    </row>
    <row r="187" spans="1:15" ht="15">
      <c r="A187" s="50" t="s">
        <v>74</v>
      </c>
      <c r="B187" s="23">
        <v>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10">
        <f t="shared" si="18"/>
        <v>0</v>
      </c>
      <c r="O187"/>
    </row>
    <row r="188" spans="1:15" ht="15">
      <c r="A188" s="50" t="s">
        <v>118</v>
      </c>
      <c r="B188" s="23">
        <v>0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10">
        <f t="shared" si="18"/>
        <v>0</v>
      </c>
      <c r="O188"/>
    </row>
    <row r="189" spans="1:15" ht="15">
      <c r="A189" s="50" t="s">
        <v>119</v>
      </c>
      <c r="B189" s="23">
        <v>0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10">
        <f t="shared" si="17"/>
        <v>0</v>
      </c>
      <c r="O189"/>
    </row>
    <row r="190" spans="1:15" ht="15">
      <c r="A190" s="50" t="s">
        <v>120</v>
      </c>
      <c r="B190" s="23">
        <v>0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10">
        <f t="shared" si="17"/>
        <v>0</v>
      </c>
      <c r="O190"/>
    </row>
    <row r="191" spans="1:15" ht="17.25" customHeight="1">
      <c r="A191" s="50" t="s">
        <v>121</v>
      </c>
      <c r="B191" s="23">
        <v>0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10">
        <f t="shared" si="17"/>
        <v>0</v>
      </c>
      <c r="O191"/>
    </row>
    <row r="192" spans="1:15" ht="17.25" customHeight="1">
      <c r="A192" s="50" t="s">
        <v>122</v>
      </c>
      <c r="B192" s="23">
        <v>0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10">
        <f t="shared" si="17"/>
        <v>0</v>
      </c>
      <c r="O192"/>
    </row>
    <row r="193" spans="1:15" ht="17.25" customHeight="1">
      <c r="A193" s="50" t="s">
        <v>89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10">
        <f t="shared" ref="N193:N194" si="19">SUM(B193:M193)</f>
        <v>0</v>
      </c>
      <c r="O193"/>
    </row>
    <row r="194" spans="1:15" ht="17.25" customHeight="1">
      <c r="A194" s="50" t="s">
        <v>90</v>
      </c>
      <c r="B194" s="23">
        <v>0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10">
        <f t="shared" si="19"/>
        <v>0</v>
      </c>
      <c r="O194"/>
    </row>
    <row r="195" spans="1:15">
      <c r="A195" s="11" t="s">
        <v>67</v>
      </c>
      <c r="B195" s="23">
        <f>SUM(B167:B194)</f>
        <v>0</v>
      </c>
      <c r="C195" s="23">
        <f t="shared" ref="C195:M195" si="20">SUM(C167:C194)</f>
        <v>0</v>
      </c>
      <c r="D195" s="23">
        <f>SUM(D167:D194)</f>
        <v>0</v>
      </c>
      <c r="E195" s="23">
        <f>SUM(E167:E194)</f>
        <v>0</v>
      </c>
      <c r="F195" s="23">
        <f t="shared" si="20"/>
        <v>0</v>
      </c>
      <c r="G195" s="23">
        <f>SUM(G167:G194)</f>
        <v>0</v>
      </c>
      <c r="H195" s="23">
        <f t="shared" si="20"/>
        <v>0</v>
      </c>
      <c r="I195" s="23">
        <f t="shared" si="20"/>
        <v>0</v>
      </c>
      <c r="J195" s="23">
        <f t="shared" si="20"/>
        <v>0</v>
      </c>
      <c r="K195" s="23">
        <f t="shared" si="20"/>
        <v>0</v>
      </c>
      <c r="L195" s="23">
        <f t="shared" si="20"/>
        <v>0</v>
      </c>
      <c r="M195" s="23">
        <f t="shared" si="20"/>
        <v>0</v>
      </c>
      <c r="N195" s="10">
        <f>SUM(N167:N194)</f>
        <v>0</v>
      </c>
    </row>
    <row r="196" spans="1:15">
      <c r="A196" s="11"/>
      <c r="N196" s="10"/>
    </row>
    <row r="197" spans="1:15">
      <c r="A197" s="17" t="s">
        <v>68</v>
      </c>
      <c r="N197" s="10"/>
    </row>
    <row r="198" spans="1:15" ht="15">
      <c r="A198" s="50" t="s">
        <v>35</v>
      </c>
      <c r="B198" s="23">
        <v>0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7">
        <f>SUM(B198:M198)</f>
        <v>0</v>
      </c>
      <c r="O198"/>
    </row>
    <row r="199" spans="1:15" ht="15">
      <c r="A199" s="50" t="s">
        <v>36</v>
      </c>
      <c r="B199" s="23">
        <v>0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7">
        <f t="shared" ref="N199:N225" si="21">SUM(B199:M199)</f>
        <v>0</v>
      </c>
      <c r="O199"/>
    </row>
    <row r="200" spans="1:15" ht="15">
      <c r="A200" s="50" t="s">
        <v>108</v>
      </c>
      <c r="B200" s="23">
        <v>0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7">
        <f t="shared" si="21"/>
        <v>0</v>
      </c>
      <c r="O200"/>
    </row>
    <row r="201" spans="1:15" ht="15">
      <c r="A201" s="50" t="s">
        <v>109</v>
      </c>
      <c r="B201" s="23">
        <v>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7">
        <f t="shared" si="21"/>
        <v>0</v>
      </c>
      <c r="O201"/>
    </row>
    <row r="202" spans="1:15" ht="15">
      <c r="A202" s="50" t="s">
        <v>37</v>
      </c>
      <c r="B202" s="23">
        <v>0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7">
        <f t="shared" si="21"/>
        <v>0</v>
      </c>
      <c r="O202"/>
    </row>
    <row r="203" spans="1:15" ht="15">
      <c r="A203" s="50" t="s">
        <v>110</v>
      </c>
      <c r="B203" s="23">
        <v>0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7">
        <f t="shared" si="21"/>
        <v>0</v>
      </c>
      <c r="O203"/>
    </row>
    <row r="204" spans="1:15" ht="15">
      <c r="A204" s="50" t="s">
        <v>111</v>
      </c>
      <c r="B204" s="23">
        <v>0</v>
      </c>
      <c r="C204" s="23">
        <v>0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7">
        <f t="shared" si="21"/>
        <v>0</v>
      </c>
      <c r="O204"/>
    </row>
    <row r="205" spans="1:15" ht="15">
      <c r="A205" s="50" t="s">
        <v>112</v>
      </c>
      <c r="B205" s="23">
        <v>0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7">
        <f t="shared" si="21"/>
        <v>0</v>
      </c>
      <c r="O205"/>
    </row>
    <row r="206" spans="1:15" ht="15">
      <c r="A206" s="50" t="s">
        <v>113</v>
      </c>
      <c r="B206" s="23">
        <v>0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7">
        <f t="shared" si="21"/>
        <v>0</v>
      </c>
      <c r="O206"/>
    </row>
    <row r="207" spans="1:15" ht="15">
      <c r="A207" s="50" t="s">
        <v>114</v>
      </c>
      <c r="B207" s="23">
        <v>0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7">
        <f t="shared" si="21"/>
        <v>0</v>
      </c>
      <c r="O207"/>
    </row>
    <row r="208" spans="1:15" ht="15">
      <c r="A208" s="50" t="s">
        <v>38</v>
      </c>
      <c r="B208" s="23">
        <v>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7">
        <f t="shared" si="21"/>
        <v>0</v>
      </c>
      <c r="O208"/>
    </row>
    <row r="209" spans="1:15" ht="15">
      <c r="A209" s="50" t="s">
        <v>115</v>
      </c>
      <c r="B209" s="23">
        <v>0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7">
        <f t="shared" si="21"/>
        <v>0</v>
      </c>
      <c r="O209"/>
    </row>
    <row r="210" spans="1:15" ht="15">
      <c r="A210" s="50" t="s">
        <v>116</v>
      </c>
      <c r="B210" s="23">
        <v>0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7">
        <f t="shared" si="21"/>
        <v>0</v>
      </c>
      <c r="O210" s="39"/>
    </row>
    <row r="211" spans="1:15" ht="15">
      <c r="A211" s="50" t="s">
        <v>117</v>
      </c>
      <c r="B211" s="23">
        <v>0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7">
        <f t="shared" si="21"/>
        <v>0</v>
      </c>
      <c r="O211" s="39"/>
    </row>
    <row r="212" spans="1:15" ht="15">
      <c r="A212" s="50" t="s">
        <v>39</v>
      </c>
      <c r="B212" s="23">
        <v>0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7">
        <f t="shared" si="21"/>
        <v>0</v>
      </c>
      <c r="O212" s="39"/>
    </row>
    <row r="213" spans="1:15" ht="17.25" customHeight="1">
      <c r="A213" s="50" t="s">
        <v>40</v>
      </c>
      <c r="B213" s="23">
        <v>0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7">
        <f t="shared" si="21"/>
        <v>0</v>
      </c>
      <c r="O213"/>
    </row>
    <row r="214" spans="1:15" ht="17.25" customHeight="1">
      <c r="A214" s="50" t="s">
        <v>73</v>
      </c>
      <c r="B214" s="23">
        <v>0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7">
        <f t="shared" si="21"/>
        <v>0</v>
      </c>
      <c r="O214"/>
    </row>
    <row r="215" spans="1:15" ht="17.25" customHeight="1">
      <c r="A215" s="50" t="s">
        <v>41</v>
      </c>
      <c r="B215" s="23">
        <v>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7">
        <f t="shared" si="21"/>
        <v>0</v>
      </c>
      <c r="O215"/>
    </row>
    <row r="216" spans="1:15" ht="17.25" customHeight="1">
      <c r="A216" s="50" t="s">
        <v>42</v>
      </c>
      <c r="B216" s="23">
        <v>0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7">
        <f t="shared" si="21"/>
        <v>0</v>
      </c>
      <c r="O216"/>
    </row>
    <row r="217" spans="1:15" ht="17.25" customHeight="1">
      <c r="A217" s="50" t="s">
        <v>43</v>
      </c>
      <c r="B217" s="23">
        <v>0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7">
        <f t="shared" si="21"/>
        <v>0</v>
      </c>
      <c r="O217"/>
    </row>
    <row r="218" spans="1:15" ht="17.25" customHeight="1">
      <c r="A218" s="50" t="s">
        <v>74</v>
      </c>
      <c r="B218" s="23">
        <v>0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7">
        <f t="shared" si="21"/>
        <v>0</v>
      </c>
      <c r="O218"/>
    </row>
    <row r="219" spans="1:15" ht="17.25" customHeight="1">
      <c r="A219" s="50" t="s">
        <v>118</v>
      </c>
      <c r="B219" s="23">
        <v>0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7">
        <f t="shared" si="21"/>
        <v>0</v>
      </c>
      <c r="O219"/>
    </row>
    <row r="220" spans="1:15" ht="15">
      <c r="A220" s="50" t="s">
        <v>119</v>
      </c>
      <c r="B220" s="23">
        <v>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7">
        <f t="shared" si="21"/>
        <v>0</v>
      </c>
      <c r="O220"/>
    </row>
    <row r="221" spans="1:15" ht="15">
      <c r="A221" s="50" t="s">
        <v>120</v>
      </c>
      <c r="B221" s="23">
        <v>0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7">
        <f t="shared" si="21"/>
        <v>0</v>
      </c>
      <c r="O221"/>
    </row>
    <row r="222" spans="1:15" ht="15">
      <c r="A222" s="50" t="s">
        <v>121</v>
      </c>
      <c r="B222" s="23">
        <v>0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7">
        <f t="shared" si="21"/>
        <v>0</v>
      </c>
      <c r="O222"/>
    </row>
    <row r="223" spans="1:15" ht="15">
      <c r="A223" s="50" t="s">
        <v>122</v>
      </c>
      <c r="B223" s="23">
        <v>0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7">
        <f t="shared" si="21"/>
        <v>0</v>
      </c>
      <c r="O223"/>
    </row>
    <row r="224" spans="1:15" ht="15">
      <c r="A224" s="50" t="s">
        <v>89</v>
      </c>
      <c r="B224" s="23">
        <v>0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7">
        <f t="shared" si="21"/>
        <v>0</v>
      </c>
      <c r="O224"/>
    </row>
    <row r="225" spans="1:15" ht="15">
      <c r="A225" s="50" t="s">
        <v>90</v>
      </c>
      <c r="B225" s="23">
        <v>0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7">
        <f t="shared" si="21"/>
        <v>0</v>
      </c>
      <c r="O225"/>
    </row>
    <row r="226" spans="1:15">
      <c r="A226" s="11" t="s">
        <v>67</v>
      </c>
      <c r="B226" s="23">
        <f>SUM(B198:B225)</f>
        <v>0</v>
      </c>
      <c r="C226" s="23">
        <f t="shared" ref="C226" si="22">SUM(C198:C219)</f>
        <v>0</v>
      </c>
      <c r="D226" s="23">
        <f>SUM(D198:D225)</f>
        <v>0</v>
      </c>
      <c r="E226" s="23">
        <f t="shared" ref="E226:M226" si="23">SUM(E198:E225)</f>
        <v>0</v>
      </c>
      <c r="F226" s="23">
        <f>SUM(F198:F225)</f>
        <v>0</v>
      </c>
      <c r="G226" s="23">
        <f t="shared" si="23"/>
        <v>0</v>
      </c>
      <c r="H226" s="23">
        <f t="shared" si="23"/>
        <v>0</v>
      </c>
      <c r="I226" s="23">
        <f t="shared" si="23"/>
        <v>0</v>
      </c>
      <c r="J226" s="23">
        <f t="shared" si="23"/>
        <v>0</v>
      </c>
      <c r="K226" s="23">
        <f t="shared" si="23"/>
        <v>0</v>
      </c>
      <c r="L226" s="23">
        <f t="shared" si="23"/>
        <v>0</v>
      </c>
      <c r="M226" s="23">
        <f t="shared" si="23"/>
        <v>0</v>
      </c>
      <c r="N226" s="27">
        <f>SUM(N198:N225)</f>
        <v>0</v>
      </c>
    </row>
    <row r="227" spans="1:15">
      <c r="A227" s="11"/>
      <c r="N227" s="10"/>
    </row>
    <row r="228" spans="1:15" ht="16.5" thickBot="1">
      <c r="A228" s="14" t="s">
        <v>28</v>
      </c>
      <c r="B228" s="25">
        <f>+B226+B195+B164</f>
        <v>365841</v>
      </c>
      <c r="C228" s="25">
        <f t="shared" ref="C228:M228" si="24">+C226+C195+C164</f>
        <v>342829.77</v>
      </c>
      <c r="D228" s="25">
        <f t="shared" si="24"/>
        <v>46887</v>
      </c>
      <c r="E228" s="25">
        <f t="shared" si="24"/>
        <v>-315417.51</v>
      </c>
      <c r="F228" s="25">
        <f>+F226+F195+F164</f>
        <v>-6761778.1699999999</v>
      </c>
      <c r="G228" s="25">
        <f t="shared" si="24"/>
        <v>0</v>
      </c>
      <c r="H228" s="25">
        <f t="shared" si="24"/>
        <v>0</v>
      </c>
      <c r="I228" s="25">
        <f t="shared" si="24"/>
        <v>0</v>
      </c>
      <c r="J228" s="25">
        <f t="shared" si="24"/>
        <v>0</v>
      </c>
      <c r="K228" s="25">
        <f t="shared" si="24"/>
        <v>0</v>
      </c>
      <c r="L228" s="25">
        <f t="shared" si="24"/>
        <v>0</v>
      </c>
      <c r="M228" s="25">
        <f t="shared" si="24"/>
        <v>0</v>
      </c>
      <c r="N228" s="15">
        <f>+N226+N165+N195+N164</f>
        <v>-6321637.9100000001</v>
      </c>
    </row>
    <row r="229" spans="1:15">
      <c r="A229" s="87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92" t="s">
        <v>3</v>
      </c>
    </row>
    <row r="230" spans="1:15" ht="13.5" thickBot="1">
      <c r="A230" s="16" t="s">
        <v>123</v>
      </c>
      <c r="B230" s="24" t="s">
        <v>5</v>
      </c>
      <c r="C230" s="24" t="s">
        <v>6</v>
      </c>
      <c r="D230" s="24" t="s">
        <v>7</v>
      </c>
      <c r="E230" s="24" t="s">
        <v>8</v>
      </c>
      <c r="F230" s="24" t="s">
        <v>9</v>
      </c>
      <c r="G230" s="24" t="s">
        <v>10</v>
      </c>
      <c r="H230" s="24" t="s">
        <v>11</v>
      </c>
      <c r="I230" s="24" t="s">
        <v>12</v>
      </c>
      <c r="J230" s="24" t="s">
        <v>13</v>
      </c>
      <c r="K230" s="24" t="s">
        <v>14</v>
      </c>
      <c r="L230" s="24" t="s">
        <v>15</v>
      </c>
      <c r="M230" s="24" t="s">
        <v>16</v>
      </c>
      <c r="N230" s="7" t="s">
        <v>17</v>
      </c>
    </row>
    <row r="231" spans="1:15">
      <c r="A231" s="93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40"/>
    </row>
    <row r="232" spans="1:15">
      <c r="A232" s="17" t="s">
        <v>32</v>
      </c>
      <c r="B232" s="23">
        <f>29815-B266-B300</f>
        <v>29815</v>
      </c>
      <c r="C232" s="23">
        <f>123629.86-C266-C300</f>
        <v>123629.86</v>
      </c>
      <c r="D232" s="23">
        <f>147719-D266-D300</f>
        <v>147719</v>
      </c>
      <c r="E232" s="23">
        <f>-101163.14-E266-E300</f>
        <v>73054.240000000005</v>
      </c>
      <c r="F232" s="23">
        <f>90929.82-F266-F300</f>
        <v>88920.3</v>
      </c>
      <c r="G232" s="23">
        <f t="shared" ref="F232:M232" si="25">0-G266-G300</f>
        <v>0</v>
      </c>
      <c r="H232" s="23">
        <f t="shared" si="25"/>
        <v>0</v>
      </c>
      <c r="I232" s="23">
        <f t="shared" si="25"/>
        <v>0</v>
      </c>
      <c r="J232" s="23">
        <f t="shared" si="25"/>
        <v>0</v>
      </c>
      <c r="K232" s="23">
        <f t="shared" si="25"/>
        <v>0</v>
      </c>
      <c r="L232" s="23">
        <f t="shared" si="25"/>
        <v>0</v>
      </c>
      <c r="M232" s="23">
        <f t="shared" si="25"/>
        <v>0</v>
      </c>
      <c r="N232" s="10">
        <f>SUM(B232:M232)</f>
        <v>463138.39999999997</v>
      </c>
    </row>
    <row r="233" spans="1:15">
      <c r="A233" s="11" t="s">
        <v>33</v>
      </c>
      <c r="N233" s="10">
        <f>SUM(B233:M233)</f>
        <v>0</v>
      </c>
    </row>
    <row r="234" spans="1:15">
      <c r="A234" s="17" t="s">
        <v>34</v>
      </c>
      <c r="N234" s="10"/>
    </row>
    <row r="235" spans="1:15" ht="15">
      <c r="A235" s="50" t="s">
        <v>35</v>
      </c>
      <c r="B235" s="23">
        <v>0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10">
        <f>SUM(B235:M235)</f>
        <v>0</v>
      </c>
      <c r="O235"/>
    </row>
    <row r="236" spans="1:15" ht="15">
      <c r="A236" s="50" t="s">
        <v>124</v>
      </c>
      <c r="B236" s="23">
        <v>0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10">
        <f t="shared" ref="N236:N250" si="26">SUM(B236:M236)</f>
        <v>0</v>
      </c>
      <c r="O236"/>
    </row>
    <row r="237" spans="1:15" ht="15">
      <c r="A237" s="50" t="s">
        <v>125</v>
      </c>
      <c r="B237" s="23">
        <v>0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10">
        <f t="shared" si="26"/>
        <v>0</v>
      </c>
      <c r="O237"/>
    </row>
    <row r="238" spans="1:15" ht="15">
      <c r="A238" s="50" t="s">
        <v>36</v>
      </c>
      <c r="B238" s="23">
        <v>0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10">
        <f t="shared" si="26"/>
        <v>0</v>
      </c>
      <c r="O238"/>
    </row>
    <row r="239" spans="1:15" ht="15">
      <c r="A239" s="50" t="s">
        <v>108</v>
      </c>
      <c r="B239" s="23">
        <v>0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10">
        <f t="shared" si="26"/>
        <v>0</v>
      </c>
      <c r="O239"/>
    </row>
    <row r="240" spans="1:15" ht="15">
      <c r="A240" s="50" t="s">
        <v>109</v>
      </c>
      <c r="B240" s="23">
        <v>0</v>
      </c>
      <c r="C240" s="23">
        <v>0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10">
        <f t="shared" si="26"/>
        <v>0</v>
      </c>
      <c r="O240"/>
    </row>
    <row r="241" spans="1:15" ht="15">
      <c r="A241" s="50" t="s">
        <v>37</v>
      </c>
      <c r="B241" s="23">
        <v>0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10">
        <f t="shared" si="26"/>
        <v>0</v>
      </c>
      <c r="O241"/>
    </row>
    <row r="242" spans="1:15" ht="15">
      <c r="A242" s="50" t="s">
        <v>110</v>
      </c>
      <c r="B242" s="23">
        <v>0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10">
        <f t="shared" si="26"/>
        <v>0</v>
      </c>
      <c r="O242"/>
    </row>
    <row r="243" spans="1:15" ht="15">
      <c r="A243" s="50" t="s">
        <v>111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10">
        <f t="shared" si="26"/>
        <v>0</v>
      </c>
      <c r="O243"/>
    </row>
    <row r="244" spans="1:15" ht="15">
      <c r="A244" s="50" t="s">
        <v>112</v>
      </c>
      <c r="B244" s="23">
        <v>0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10">
        <f t="shared" si="26"/>
        <v>0</v>
      </c>
      <c r="O244"/>
    </row>
    <row r="245" spans="1:15" ht="15">
      <c r="A245" s="50" t="s">
        <v>126</v>
      </c>
      <c r="B245" s="23">
        <v>0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10">
        <f t="shared" si="26"/>
        <v>0</v>
      </c>
      <c r="O245"/>
    </row>
    <row r="246" spans="1:15" ht="15">
      <c r="A246" s="50" t="s">
        <v>113</v>
      </c>
      <c r="B246" s="23">
        <v>0</v>
      </c>
      <c r="C246" s="23">
        <v>0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10">
        <f t="shared" si="26"/>
        <v>0</v>
      </c>
      <c r="O246"/>
    </row>
    <row r="247" spans="1:15" ht="17.25" customHeight="1">
      <c r="A247" s="50" t="s">
        <v>127</v>
      </c>
      <c r="B247" s="23">
        <v>0</v>
      </c>
      <c r="C247" s="23">
        <v>0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10">
        <f t="shared" si="26"/>
        <v>0</v>
      </c>
      <c r="O247"/>
    </row>
    <row r="248" spans="1:15" ht="17.25" customHeight="1">
      <c r="A248" s="50" t="s">
        <v>128</v>
      </c>
      <c r="B248" s="23">
        <v>0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10">
        <f t="shared" si="26"/>
        <v>0</v>
      </c>
      <c r="O248"/>
    </row>
    <row r="249" spans="1:15" ht="17.25" customHeight="1">
      <c r="A249" s="50" t="s">
        <v>114</v>
      </c>
      <c r="B249" s="23">
        <v>0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10">
        <f t="shared" si="26"/>
        <v>0</v>
      </c>
      <c r="O249"/>
    </row>
    <row r="250" spans="1:15" ht="17.25" customHeight="1">
      <c r="A250" s="50" t="s">
        <v>38</v>
      </c>
      <c r="B250" s="23">
        <v>0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10">
        <f t="shared" si="26"/>
        <v>0</v>
      </c>
      <c r="O250"/>
    </row>
    <row r="251" spans="1:15" ht="17.25" customHeight="1">
      <c r="A251" s="50" t="s">
        <v>115</v>
      </c>
      <c r="B251" s="23">
        <v>0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10">
        <f>SUM(B251:M251)</f>
        <v>0</v>
      </c>
      <c r="O251"/>
    </row>
    <row r="252" spans="1:15" ht="17.25" customHeight="1">
      <c r="A252" s="50" t="s">
        <v>116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10">
        <f t="shared" ref="N252:N265" si="27">SUM(B252:M252)</f>
        <v>0</v>
      </c>
      <c r="O252"/>
    </row>
    <row r="253" spans="1:15" ht="17.25" customHeight="1">
      <c r="A253" s="50" t="s">
        <v>117</v>
      </c>
      <c r="B253" s="23">
        <v>0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10">
        <f t="shared" si="27"/>
        <v>0</v>
      </c>
      <c r="O253"/>
    </row>
    <row r="254" spans="1:15" ht="17.25" customHeight="1">
      <c r="A254" s="50" t="s">
        <v>129</v>
      </c>
      <c r="B254" s="23">
        <v>0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10">
        <f t="shared" si="27"/>
        <v>0</v>
      </c>
      <c r="O254"/>
    </row>
    <row r="255" spans="1:15" ht="17.25" customHeight="1">
      <c r="A255" s="50" t="s">
        <v>39</v>
      </c>
      <c r="B255" s="23">
        <v>0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10">
        <f t="shared" si="27"/>
        <v>0</v>
      </c>
      <c r="O255"/>
    </row>
    <row r="256" spans="1:15" ht="17.25" customHeight="1">
      <c r="A256" s="50" t="s">
        <v>130</v>
      </c>
      <c r="B256" s="23">
        <v>0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10">
        <f t="shared" si="27"/>
        <v>0</v>
      </c>
      <c r="O256"/>
    </row>
    <row r="257" spans="1:15" ht="15">
      <c r="A257" s="50" t="s">
        <v>131</v>
      </c>
      <c r="B257" s="23">
        <v>0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10">
        <f t="shared" si="27"/>
        <v>0</v>
      </c>
      <c r="O257"/>
    </row>
    <row r="258" spans="1:15" ht="15">
      <c r="A258" s="50" t="s">
        <v>132</v>
      </c>
      <c r="B258" s="23">
        <v>0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10">
        <f t="shared" si="27"/>
        <v>0</v>
      </c>
      <c r="O258"/>
    </row>
    <row r="259" spans="1:15" ht="15">
      <c r="A259" s="50" t="s">
        <v>40</v>
      </c>
      <c r="B259" s="23">
        <v>0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10">
        <f t="shared" si="27"/>
        <v>0</v>
      </c>
      <c r="O259"/>
    </row>
    <row r="260" spans="1:15" ht="15">
      <c r="A260" s="50" t="s">
        <v>73</v>
      </c>
      <c r="B260" s="23">
        <v>0</v>
      </c>
      <c r="C260" s="23">
        <v>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10">
        <f t="shared" si="27"/>
        <v>0</v>
      </c>
      <c r="O260"/>
    </row>
    <row r="261" spans="1:15" ht="15">
      <c r="A261" s="50" t="s">
        <v>41</v>
      </c>
      <c r="B261" s="23">
        <v>0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10">
        <f t="shared" si="27"/>
        <v>0</v>
      </c>
      <c r="O261"/>
    </row>
    <row r="262" spans="1:15" ht="15">
      <c r="A262" s="50" t="s">
        <v>42</v>
      </c>
      <c r="B262" s="23">
        <v>0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10">
        <f t="shared" si="27"/>
        <v>0</v>
      </c>
      <c r="O262"/>
    </row>
    <row r="263" spans="1:15" ht="15">
      <c r="A263" s="50" t="s">
        <v>43</v>
      </c>
      <c r="B263" s="23">
        <v>0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10">
        <f t="shared" si="27"/>
        <v>0</v>
      </c>
      <c r="O263"/>
    </row>
    <row r="264" spans="1:15" ht="15">
      <c r="A264" s="50" t="s">
        <v>74</v>
      </c>
      <c r="B264" s="23">
        <v>0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10">
        <f t="shared" si="27"/>
        <v>0</v>
      </c>
      <c r="O264"/>
    </row>
    <row r="265" spans="1:15" ht="15">
      <c r="A265" s="50" t="s">
        <v>118</v>
      </c>
      <c r="B265" s="23">
        <v>0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10">
        <f t="shared" si="27"/>
        <v>0</v>
      </c>
      <c r="O265"/>
    </row>
    <row r="266" spans="1:15">
      <c r="A266" s="11" t="s">
        <v>67</v>
      </c>
      <c r="B266" s="23">
        <f>SUM(B235:B265)</f>
        <v>0</v>
      </c>
      <c r="C266" s="23">
        <f>SUM(C235:C265)</f>
        <v>0</v>
      </c>
      <c r="D266" s="23">
        <f t="shared" ref="D266:M266" si="28">SUM(D235:D265)</f>
        <v>0</v>
      </c>
      <c r="E266" s="23">
        <f t="shared" si="28"/>
        <v>0</v>
      </c>
      <c r="F266" s="23">
        <f t="shared" si="28"/>
        <v>0</v>
      </c>
      <c r="G266" s="23">
        <f t="shared" si="28"/>
        <v>0</v>
      </c>
      <c r="H266" s="23">
        <f t="shared" si="28"/>
        <v>0</v>
      </c>
      <c r="I266" s="23">
        <f t="shared" si="28"/>
        <v>0</v>
      </c>
      <c r="J266" s="23">
        <f t="shared" si="28"/>
        <v>0</v>
      </c>
      <c r="K266" s="23">
        <f t="shared" si="28"/>
        <v>0</v>
      </c>
      <c r="L266" s="23">
        <f t="shared" si="28"/>
        <v>0</v>
      </c>
      <c r="M266" s="23">
        <f t="shared" si="28"/>
        <v>0</v>
      </c>
      <c r="N266" s="10">
        <f>SUM(N235:N265)</f>
        <v>0</v>
      </c>
    </row>
    <row r="267" spans="1:15">
      <c r="A267" s="11"/>
      <c r="N267" s="10"/>
    </row>
    <row r="268" spans="1:15">
      <c r="A268" s="17" t="s">
        <v>68</v>
      </c>
      <c r="N268" s="10"/>
    </row>
    <row r="269" spans="1:15" ht="15">
      <c r="A269" s="50" t="s">
        <v>35</v>
      </c>
      <c r="B269" s="23">
        <v>0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10">
        <f>SUM(B269:M269)</f>
        <v>0</v>
      </c>
      <c r="O269"/>
    </row>
    <row r="270" spans="1:15" ht="15">
      <c r="A270" s="50" t="s">
        <v>124</v>
      </c>
      <c r="B270" s="23">
        <v>0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10">
        <f t="shared" ref="N270:N300" si="29">SUM(B270:M270)</f>
        <v>0</v>
      </c>
      <c r="O270"/>
    </row>
    <row r="271" spans="1:15" ht="15">
      <c r="A271" s="50" t="s">
        <v>125</v>
      </c>
      <c r="B271" s="23">
        <v>0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10">
        <f t="shared" si="29"/>
        <v>0</v>
      </c>
      <c r="O271"/>
    </row>
    <row r="272" spans="1:15" ht="15">
      <c r="A272" s="50" t="s">
        <v>36</v>
      </c>
      <c r="B272" s="23">
        <v>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10">
        <f t="shared" si="29"/>
        <v>0</v>
      </c>
      <c r="O272"/>
    </row>
    <row r="273" spans="1:15" ht="15">
      <c r="A273" s="50" t="s">
        <v>108</v>
      </c>
      <c r="B273" s="23">
        <v>0</v>
      </c>
      <c r="C273" s="23">
        <v>0</v>
      </c>
      <c r="D273" s="23">
        <v>0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10">
        <f t="shared" si="29"/>
        <v>0</v>
      </c>
      <c r="O273"/>
    </row>
    <row r="274" spans="1:15" ht="15">
      <c r="A274" s="50" t="s">
        <v>109</v>
      </c>
      <c r="B274" s="23">
        <v>0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10">
        <f t="shared" si="29"/>
        <v>0</v>
      </c>
      <c r="O274"/>
    </row>
    <row r="275" spans="1:15" ht="15">
      <c r="A275" s="50" t="s">
        <v>37</v>
      </c>
      <c r="B275" s="23">
        <v>0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10">
        <f t="shared" si="29"/>
        <v>0</v>
      </c>
      <c r="O275"/>
    </row>
    <row r="276" spans="1:15" ht="15">
      <c r="A276" s="50" t="s">
        <v>110</v>
      </c>
      <c r="B276" s="23">
        <v>0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10">
        <f t="shared" si="29"/>
        <v>0</v>
      </c>
      <c r="O276"/>
    </row>
    <row r="277" spans="1:15" ht="15">
      <c r="A277" s="50" t="s">
        <v>111</v>
      </c>
      <c r="B277" s="23">
        <v>0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10">
        <f t="shared" si="29"/>
        <v>0</v>
      </c>
      <c r="O277"/>
    </row>
    <row r="278" spans="1:15" ht="15">
      <c r="A278" s="50" t="s">
        <v>112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10">
        <f t="shared" si="29"/>
        <v>0</v>
      </c>
      <c r="O278"/>
    </row>
    <row r="279" spans="1:15" ht="15">
      <c r="A279" s="50" t="s">
        <v>126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10">
        <f t="shared" si="29"/>
        <v>0</v>
      </c>
      <c r="O279"/>
    </row>
    <row r="280" spans="1:15" ht="15">
      <c r="A280" s="50" t="s">
        <v>113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10">
        <f t="shared" si="29"/>
        <v>0</v>
      </c>
      <c r="O280"/>
    </row>
    <row r="281" spans="1:15" ht="15">
      <c r="A281" s="50" t="s">
        <v>127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10">
        <f t="shared" si="29"/>
        <v>0</v>
      </c>
      <c r="O281" s="39"/>
    </row>
    <row r="282" spans="1:15" ht="15">
      <c r="A282" s="50" t="s">
        <v>128</v>
      </c>
      <c r="B282" s="23">
        <v>0</v>
      </c>
      <c r="C282" s="23">
        <v>0</v>
      </c>
      <c r="D282" s="23">
        <v>0</v>
      </c>
      <c r="E282" s="23">
        <v>-174284</v>
      </c>
      <c r="F282" s="23">
        <v>1967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10">
        <f t="shared" si="29"/>
        <v>-172317</v>
      </c>
      <c r="O282" s="39"/>
    </row>
    <row r="283" spans="1:15" ht="15">
      <c r="A283" s="50" t="s">
        <v>114</v>
      </c>
      <c r="B283" s="23">
        <v>0</v>
      </c>
      <c r="C283" s="23">
        <v>0</v>
      </c>
      <c r="D283" s="23">
        <v>0</v>
      </c>
      <c r="E283" s="23">
        <v>66.62</v>
      </c>
      <c r="F283" s="23">
        <v>42.519999999999996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10">
        <f t="shared" si="29"/>
        <v>109.14</v>
      </c>
      <c r="O283" s="39"/>
    </row>
    <row r="284" spans="1:15" ht="17.25" customHeight="1">
      <c r="A284" s="50" t="s">
        <v>38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10">
        <f t="shared" si="29"/>
        <v>0</v>
      </c>
      <c r="O284"/>
    </row>
    <row r="285" spans="1:15" ht="17.25" customHeight="1">
      <c r="A285" s="50" t="s">
        <v>115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10">
        <f t="shared" si="29"/>
        <v>0</v>
      </c>
      <c r="O285"/>
    </row>
    <row r="286" spans="1:15" ht="17.25" customHeight="1">
      <c r="A286" s="50" t="s">
        <v>116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10">
        <f t="shared" si="29"/>
        <v>0</v>
      </c>
      <c r="O286"/>
    </row>
    <row r="287" spans="1:15" ht="17.25" customHeight="1">
      <c r="A287" s="50" t="s">
        <v>117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10">
        <f t="shared" si="29"/>
        <v>0</v>
      </c>
      <c r="O287"/>
    </row>
    <row r="288" spans="1:15" ht="17.25" customHeight="1">
      <c r="A288" s="50" t="s">
        <v>129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10">
        <f t="shared" si="29"/>
        <v>0</v>
      </c>
      <c r="O288"/>
    </row>
    <row r="289" spans="1:15" ht="17.25" customHeight="1">
      <c r="A289" s="50" t="s">
        <v>39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10">
        <f t="shared" si="29"/>
        <v>0</v>
      </c>
      <c r="O289"/>
    </row>
    <row r="290" spans="1:15" ht="17.25" customHeight="1">
      <c r="A290" s="50" t="s">
        <v>130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10">
        <f t="shared" si="29"/>
        <v>0</v>
      </c>
      <c r="O290"/>
    </row>
    <row r="291" spans="1:15" ht="15">
      <c r="A291" s="50" t="s">
        <v>131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10">
        <f t="shared" si="29"/>
        <v>0</v>
      </c>
      <c r="O291"/>
    </row>
    <row r="292" spans="1:15" ht="15">
      <c r="A292" s="50" t="s">
        <v>132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10">
        <f t="shared" si="29"/>
        <v>0</v>
      </c>
      <c r="O292"/>
    </row>
    <row r="293" spans="1:15" ht="15">
      <c r="A293" s="50" t="s">
        <v>40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10">
        <f t="shared" si="29"/>
        <v>0</v>
      </c>
      <c r="O293"/>
    </row>
    <row r="294" spans="1:15" ht="15">
      <c r="A294" s="50" t="s">
        <v>73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10">
        <f t="shared" si="29"/>
        <v>0</v>
      </c>
      <c r="O294"/>
    </row>
    <row r="295" spans="1:15" ht="15">
      <c r="A295" s="50" t="s">
        <v>41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10">
        <f t="shared" si="29"/>
        <v>0</v>
      </c>
      <c r="O295"/>
    </row>
    <row r="296" spans="1:15" ht="15">
      <c r="A296" s="50" t="s">
        <v>42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10">
        <f t="shared" si="29"/>
        <v>0</v>
      </c>
      <c r="O296"/>
    </row>
    <row r="297" spans="1:15" ht="15">
      <c r="A297" s="50" t="s">
        <v>43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10">
        <f t="shared" si="29"/>
        <v>0</v>
      </c>
      <c r="O297"/>
    </row>
    <row r="298" spans="1:15" ht="15">
      <c r="A298" s="50" t="s">
        <v>74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10">
        <f t="shared" si="29"/>
        <v>0</v>
      </c>
      <c r="O298"/>
    </row>
    <row r="299" spans="1:15" ht="15">
      <c r="A299" s="50" t="s">
        <v>118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10">
        <f t="shared" si="29"/>
        <v>0</v>
      </c>
      <c r="O299"/>
    </row>
    <row r="300" spans="1:15">
      <c r="A300" s="11" t="s">
        <v>67</v>
      </c>
      <c r="B300" s="23">
        <f>SUM(B269:B299)</f>
        <v>0</v>
      </c>
      <c r="C300" s="23">
        <f t="shared" ref="C300:M300" si="30">SUM(C269:C299)</f>
        <v>0</v>
      </c>
      <c r="D300" s="23">
        <f t="shared" si="30"/>
        <v>0</v>
      </c>
      <c r="E300" s="23">
        <f t="shared" si="30"/>
        <v>-174217.38</v>
      </c>
      <c r="F300" s="23">
        <f t="shared" si="30"/>
        <v>2009.52</v>
      </c>
      <c r="G300" s="23">
        <f t="shared" si="30"/>
        <v>0</v>
      </c>
      <c r="H300" s="23">
        <f t="shared" si="30"/>
        <v>0</v>
      </c>
      <c r="I300" s="23">
        <f t="shared" si="30"/>
        <v>0</v>
      </c>
      <c r="J300" s="23">
        <f t="shared" si="30"/>
        <v>0</v>
      </c>
      <c r="K300" s="23">
        <f t="shared" si="30"/>
        <v>0</v>
      </c>
      <c r="L300" s="23">
        <f t="shared" si="30"/>
        <v>0</v>
      </c>
      <c r="M300" s="23">
        <f t="shared" si="30"/>
        <v>0</v>
      </c>
      <c r="N300" s="10">
        <f t="shared" si="29"/>
        <v>-172207.86000000002</v>
      </c>
    </row>
    <row r="301" spans="1:15">
      <c r="A301" s="11"/>
      <c r="N301" s="10"/>
    </row>
    <row r="302" spans="1:15" ht="16.5" thickBot="1">
      <c r="A302" s="14" t="s">
        <v>28</v>
      </c>
      <c r="B302" s="25">
        <f t="shared" ref="B302:M302" si="31">+B300+B266+B232</f>
        <v>29815</v>
      </c>
      <c r="C302" s="25">
        <f t="shared" si="31"/>
        <v>123629.86</v>
      </c>
      <c r="D302" s="25">
        <f t="shared" si="31"/>
        <v>147719</v>
      </c>
      <c r="E302" s="25">
        <f t="shared" si="31"/>
        <v>-101163.14</v>
      </c>
      <c r="F302" s="25">
        <f t="shared" si="31"/>
        <v>90929.82</v>
      </c>
      <c r="G302" s="25">
        <f t="shared" si="31"/>
        <v>0</v>
      </c>
      <c r="H302" s="25">
        <f t="shared" si="31"/>
        <v>0</v>
      </c>
      <c r="I302" s="25">
        <f t="shared" si="31"/>
        <v>0</v>
      </c>
      <c r="J302" s="25">
        <f t="shared" si="31"/>
        <v>0</v>
      </c>
      <c r="K302" s="25">
        <f t="shared" si="31"/>
        <v>0</v>
      </c>
      <c r="L302" s="25">
        <f t="shared" si="31"/>
        <v>0</v>
      </c>
      <c r="M302" s="25">
        <f t="shared" si="31"/>
        <v>0</v>
      </c>
      <c r="N302" s="15">
        <f>+N300+N233+N266+N232</f>
        <v>290930.53999999992</v>
      </c>
    </row>
    <row r="303" spans="1:15" ht="16.5" thickBot="1">
      <c r="A303" s="4"/>
    </row>
    <row r="304" spans="1:15">
      <c r="A304" s="87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92" t="s">
        <v>3</v>
      </c>
    </row>
    <row r="305" spans="1:15" ht="13.5" thickBot="1">
      <c r="A305" s="16" t="s">
        <v>133</v>
      </c>
      <c r="B305" s="24" t="s">
        <v>5</v>
      </c>
      <c r="C305" s="24" t="s">
        <v>6</v>
      </c>
      <c r="D305" s="24" t="s">
        <v>7</v>
      </c>
      <c r="E305" s="24" t="s">
        <v>8</v>
      </c>
      <c r="F305" s="24" t="s">
        <v>9</v>
      </c>
      <c r="G305" s="24" t="s">
        <v>10</v>
      </c>
      <c r="H305" s="24" t="s">
        <v>11</v>
      </c>
      <c r="I305" s="24" t="s">
        <v>12</v>
      </c>
      <c r="J305" s="24" t="s">
        <v>13</v>
      </c>
      <c r="K305" s="24" t="s">
        <v>14</v>
      </c>
      <c r="L305" s="24" t="s">
        <v>15</v>
      </c>
      <c r="M305" s="24" t="s">
        <v>16</v>
      </c>
      <c r="N305" s="7" t="s">
        <v>17</v>
      </c>
    </row>
    <row r="306" spans="1:15">
      <c r="A306" s="93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40"/>
    </row>
    <row r="307" spans="1:15">
      <c r="A307" s="17" t="s">
        <v>32</v>
      </c>
      <c r="B307" s="23">
        <f>-383-B332-B357</f>
        <v>-383</v>
      </c>
      <c r="C307" s="23">
        <f>23567.25-C332-C357</f>
        <v>23567.25</v>
      </c>
      <c r="D307" s="23">
        <f>17858-D332-D357</f>
        <v>17858</v>
      </c>
      <c r="E307" s="23">
        <f>182893.52-E332-E357</f>
        <v>182893.52</v>
      </c>
      <c r="F307" s="23">
        <f>995357.86-F332-F357</f>
        <v>995357.86</v>
      </c>
      <c r="G307" s="23">
        <f t="shared" ref="F307:M307" si="32">0-G332-G357</f>
        <v>0</v>
      </c>
      <c r="H307" s="23">
        <f t="shared" si="32"/>
        <v>0</v>
      </c>
      <c r="I307" s="23">
        <f t="shared" si="32"/>
        <v>0</v>
      </c>
      <c r="J307" s="23">
        <f t="shared" si="32"/>
        <v>0</v>
      </c>
      <c r="K307" s="23">
        <f t="shared" si="32"/>
        <v>0</v>
      </c>
      <c r="L307" s="23">
        <f t="shared" si="32"/>
        <v>0</v>
      </c>
      <c r="M307" s="23">
        <f t="shared" si="32"/>
        <v>0</v>
      </c>
      <c r="N307" s="10">
        <f>SUM(B307:M307)</f>
        <v>1219293.6299999999</v>
      </c>
    </row>
    <row r="308" spans="1:15">
      <c r="A308" s="11" t="s">
        <v>33</v>
      </c>
      <c r="N308" s="10">
        <f>SUM(B308:M308)</f>
        <v>0</v>
      </c>
    </row>
    <row r="309" spans="1:15">
      <c r="A309" s="17" t="s">
        <v>34</v>
      </c>
      <c r="N309" s="10"/>
    </row>
    <row r="310" spans="1:15" ht="15">
      <c r="A310" s="50" t="s">
        <v>134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10">
        <f t="shared" ref="N310:N325" si="33">SUM(B310:M310)</f>
        <v>0</v>
      </c>
      <c r="O310"/>
    </row>
    <row r="311" spans="1:15" ht="15">
      <c r="A311" s="50" t="s">
        <v>135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10">
        <f t="shared" si="33"/>
        <v>0</v>
      </c>
      <c r="O311"/>
    </row>
    <row r="312" spans="1:15" ht="15">
      <c r="A312" s="50" t="s">
        <v>136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10">
        <f t="shared" si="33"/>
        <v>0</v>
      </c>
      <c r="O312"/>
    </row>
    <row r="313" spans="1:15" ht="15">
      <c r="A313" s="50" t="s">
        <v>137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10">
        <f t="shared" si="33"/>
        <v>0</v>
      </c>
      <c r="O313"/>
    </row>
    <row r="314" spans="1:15" ht="15">
      <c r="A314" s="50" t="s">
        <v>138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10">
        <f t="shared" si="33"/>
        <v>0</v>
      </c>
      <c r="O314"/>
    </row>
    <row r="315" spans="1:15" ht="15">
      <c r="A315" s="50" t="s">
        <v>139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10">
        <f t="shared" si="33"/>
        <v>0</v>
      </c>
      <c r="O315"/>
    </row>
    <row r="316" spans="1:15" ht="15">
      <c r="A316" s="50" t="s">
        <v>140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10">
        <f t="shared" si="33"/>
        <v>0</v>
      </c>
      <c r="O316"/>
    </row>
    <row r="317" spans="1:15" ht="15">
      <c r="A317" s="50" t="s">
        <v>141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10">
        <f t="shared" si="33"/>
        <v>0</v>
      </c>
      <c r="O317"/>
    </row>
    <row r="318" spans="1:15" ht="15">
      <c r="A318" s="50" t="s">
        <v>142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10">
        <f t="shared" si="33"/>
        <v>0</v>
      </c>
      <c r="O318"/>
    </row>
    <row r="319" spans="1:15" ht="15">
      <c r="A319" s="50" t="s">
        <v>143</v>
      </c>
      <c r="B319" s="23">
        <v>0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10">
        <f t="shared" si="33"/>
        <v>0</v>
      </c>
      <c r="O319"/>
    </row>
    <row r="320" spans="1:15" ht="15">
      <c r="A320" s="50" t="s">
        <v>144</v>
      </c>
      <c r="B320" s="23">
        <v>0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10">
        <f t="shared" si="33"/>
        <v>0</v>
      </c>
      <c r="O320"/>
    </row>
    <row r="321" spans="1:15" ht="15">
      <c r="A321" s="50" t="s">
        <v>145</v>
      </c>
      <c r="B321" s="23">
        <v>0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10">
        <f t="shared" si="33"/>
        <v>0</v>
      </c>
      <c r="O321"/>
    </row>
    <row r="322" spans="1:15" ht="17.25" customHeight="1">
      <c r="A322" s="50" t="s">
        <v>146</v>
      </c>
      <c r="B322" s="23">
        <v>0</v>
      </c>
      <c r="C322" s="23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10">
        <f t="shared" si="33"/>
        <v>0</v>
      </c>
      <c r="O322"/>
    </row>
    <row r="323" spans="1:15" ht="17.25" customHeight="1">
      <c r="A323" s="50" t="s">
        <v>147</v>
      </c>
      <c r="B323" s="23">
        <v>0</v>
      </c>
      <c r="C323" s="23">
        <v>0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10">
        <f t="shared" si="33"/>
        <v>0</v>
      </c>
      <c r="O323"/>
    </row>
    <row r="324" spans="1:15" ht="17.25" customHeight="1">
      <c r="A324" s="50" t="s">
        <v>148</v>
      </c>
      <c r="B324" s="23">
        <v>0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10">
        <f t="shared" si="33"/>
        <v>0</v>
      </c>
      <c r="O324"/>
    </row>
    <row r="325" spans="1:15" ht="17.25" customHeight="1">
      <c r="A325" s="50" t="s">
        <v>149</v>
      </c>
      <c r="B325" s="23">
        <v>0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10">
        <f t="shared" si="33"/>
        <v>0</v>
      </c>
      <c r="O325"/>
    </row>
    <row r="326" spans="1:15" ht="17.25" customHeight="1">
      <c r="A326" s="50" t="s">
        <v>150</v>
      </c>
      <c r="B326" s="23">
        <v>0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10">
        <f>SUM(B326:M326)</f>
        <v>0</v>
      </c>
      <c r="O326"/>
    </row>
    <row r="327" spans="1:15" ht="17.25" customHeight="1">
      <c r="A327" s="50" t="s">
        <v>151</v>
      </c>
      <c r="B327" s="23">
        <v>0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10">
        <f t="shared" ref="N327:N331" si="34">SUM(B327:M327)</f>
        <v>0</v>
      </c>
      <c r="O327"/>
    </row>
    <row r="328" spans="1:15" ht="17.25" customHeight="1">
      <c r="A328" s="50" t="s">
        <v>152</v>
      </c>
      <c r="B328" s="23">
        <v>0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10">
        <f t="shared" si="34"/>
        <v>0</v>
      </c>
      <c r="O328"/>
    </row>
    <row r="329" spans="1:15" ht="17.25" customHeight="1">
      <c r="A329" s="50" t="s">
        <v>153</v>
      </c>
      <c r="B329" s="23">
        <v>0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10">
        <f t="shared" si="34"/>
        <v>0</v>
      </c>
      <c r="O329"/>
    </row>
    <row r="330" spans="1:15" ht="17.25" customHeight="1">
      <c r="A330" s="50" t="s">
        <v>154</v>
      </c>
      <c r="B330" s="23">
        <v>0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10">
        <f t="shared" si="34"/>
        <v>0</v>
      </c>
      <c r="O330"/>
    </row>
    <row r="331" spans="1:15" ht="17.25" customHeight="1">
      <c r="A331" s="50" t="s">
        <v>155</v>
      </c>
      <c r="B331" s="23">
        <v>0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10">
        <f t="shared" si="34"/>
        <v>0</v>
      </c>
      <c r="O331"/>
    </row>
    <row r="332" spans="1:15">
      <c r="A332" s="11" t="s">
        <v>67</v>
      </c>
      <c r="B332" s="23">
        <f>SUM(B310:B331)</f>
        <v>0</v>
      </c>
      <c r="C332" s="23">
        <f t="shared" ref="C332:N332" si="35">SUM(C310:C331)</f>
        <v>0</v>
      </c>
      <c r="D332" s="23">
        <f t="shared" si="35"/>
        <v>0</v>
      </c>
      <c r="E332" s="23">
        <f t="shared" si="35"/>
        <v>0</v>
      </c>
      <c r="F332" s="23">
        <f t="shared" si="35"/>
        <v>0</v>
      </c>
      <c r="G332" s="23">
        <f t="shared" si="35"/>
        <v>0</v>
      </c>
      <c r="H332" s="23">
        <f t="shared" si="35"/>
        <v>0</v>
      </c>
      <c r="I332" s="23">
        <f t="shared" si="35"/>
        <v>0</v>
      </c>
      <c r="J332" s="23">
        <f t="shared" si="35"/>
        <v>0</v>
      </c>
      <c r="K332" s="23">
        <f t="shared" si="35"/>
        <v>0</v>
      </c>
      <c r="L332" s="23">
        <f t="shared" si="35"/>
        <v>0</v>
      </c>
      <c r="M332" s="23">
        <f t="shared" si="35"/>
        <v>0</v>
      </c>
      <c r="N332" s="10">
        <f t="shared" si="35"/>
        <v>0</v>
      </c>
    </row>
    <row r="333" spans="1:15">
      <c r="A333" s="11"/>
      <c r="N333" s="10"/>
    </row>
    <row r="334" spans="1:15">
      <c r="A334" s="17" t="s">
        <v>68</v>
      </c>
      <c r="N334" s="10"/>
    </row>
    <row r="335" spans="1:15" ht="15">
      <c r="A335" s="50" t="s">
        <v>134</v>
      </c>
      <c r="B335" s="23">
        <v>0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10">
        <f t="shared" ref="N335:N349" si="36">SUM(B335:M335)</f>
        <v>0</v>
      </c>
      <c r="O335"/>
    </row>
    <row r="336" spans="1:15" ht="15">
      <c r="A336" s="50" t="s">
        <v>135</v>
      </c>
      <c r="B336" s="23">
        <v>0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10">
        <f t="shared" si="36"/>
        <v>0</v>
      </c>
      <c r="O336"/>
    </row>
    <row r="337" spans="1:15" ht="15">
      <c r="A337" s="50" t="s">
        <v>136</v>
      </c>
      <c r="B337" s="23">
        <v>0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10">
        <f t="shared" si="36"/>
        <v>0</v>
      </c>
      <c r="O337"/>
    </row>
    <row r="338" spans="1:15" ht="15">
      <c r="A338" s="50" t="s">
        <v>137</v>
      </c>
      <c r="B338" s="23">
        <v>0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10">
        <f t="shared" si="36"/>
        <v>0</v>
      </c>
      <c r="O338"/>
    </row>
    <row r="339" spans="1:15" ht="15">
      <c r="A339" s="50" t="s">
        <v>138</v>
      </c>
      <c r="B339" s="23">
        <v>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10">
        <f t="shared" si="36"/>
        <v>0</v>
      </c>
      <c r="O339"/>
    </row>
    <row r="340" spans="1:15" ht="15">
      <c r="A340" s="50" t="s">
        <v>139</v>
      </c>
      <c r="B340" s="23">
        <v>0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10">
        <f t="shared" si="36"/>
        <v>0</v>
      </c>
      <c r="O340"/>
    </row>
    <row r="341" spans="1:15" ht="15">
      <c r="A341" s="50" t="s">
        <v>140</v>
      </c>
      <c r="B341" s="23">
        <v>0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10">
        <f t="shared" si="36"/>
        <v>0</v>
      </c>
      <c r="O341"/>
    </row>
    <row r="342" spans="1:15" ht="15">
      <c r="A342" s="50" t="s">
        <v>141</v>
      </c>
      <c r="B342" s="23">
        <v>0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10">
        <f t="shared" si="36"/>
        <v>0</v>
      </c>
      <c r="O342"/>
    </row>
    <row r="343" spans="1:15" ht="15">
      <c r="A343" s="50" t="s">
        <v>142</v>
      </c>
      <c r="B343" s="23">
        <v>0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0</v>
      </c>
      <c r="N343" s="10">
        <f t="shared" si="36"/>
        <v>0</v>
      </c>
      <c r="O343"/>
    </row>
    <row r="344" spans="1:15" ht="15">
      <c r="A344" s="50" t="s">
        <v>143</v>
      </c>
      <c r="B344" s="23">
        <v>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10">
        <f t="shared" si="36"/>
        <v>0</v>
      </c>
      <c r="O344"/>
    </row>
    <row r="345" spans="1:15" ht="15">
      <c r="A345" s="50" t="s">
        <v>144</v>
      </c>
      <c r="B345" s="23">
        <v>0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10">
        <f t="shared" si="36"/>
        <v>0</v>
      </c>
      <c r="O345"/>
    </row>
    <row r="346" spans="1:15" ht="15">
      <c r="A346" s="50" t="s">
        <v>145</v>
      </c>
      <c r="B346" s="23">
        <v>0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10">
        <f t="shared" si="36"/>
        <v>0</v>
      </c>
      <c r="O346"/>
    </row>
    <row r="347" spans="1:15" ht="15">
      <c r="A347" s="50" t="s">
        <v>146</v>
      </c>
      <c r="B347" s="23">
        <v>0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10">
        <f t="shared" si="36"/>
        <v>0</v>
      </c>
      <c r="O347" s="39"/>
    </row>
    <row r="348" spans="1:15" ht="15">
      <c r="A348" s="50" t="s">
        <v>147</v>
      </c>
      <c r="B348" s="23">
        <v>0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10">
        <f t="shared" si="36"/>
        <v>0</v>
      </c>
      <c r="O348" s="39"/>
    </row>
    <row r="349" spans="1:15" ht="15">
      <c r="A349" s="50" t="s">
        <v>148</v>
      </c>
      <c r="B349" s="23">
        <v>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10">
        <f t="shared" si="36"/>
        <v>0</v>
      </c>
      <c r="O349" s="39"/>
    </row>
    <row r="350" spans="1:15" ht="17.25" customHeight="1">
      <c r="A350" s="50" t="s">
        <v>149</v>
      </c>
      <c r="B350" s="23">
        <v>0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10">
        <f>SUM(B350:M350)</f>
        <v>0</v>
      </c>
      <c r="O350"/>
    </row>
    <row r="351" spans="1:15" ht="17.25" customHeight="1">
      <c r="A351" s="50" t="s">
        <v>150</v>
      </c>
      <c r="B351" s="23">
        <v>0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10">
        <f>SUM(B351:M351)</f>
        <v>0</v>
      </c>
      <c r="O351"/>
    </row>
    <row r="352" spans="1:15" ht="17.25" customHeight="1">
      <c r="A352" s="50" t="s">
        <v>151</v>
      </c>
      <c r="B352" s="23">
        <v>0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10">
        <f>SUM(B352:M352)</f>
        <v>0</v>
      </c>
      <c r="O352"/>
    </row>
    <row r="353" spans="1:15" ht="17.25" customHeight="1">
      <c r="A353" s="50" t="s">
        <v>152</v>
      </c>
      <c r="B353" s="23">
        <v>0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10">
        <f t="shared" ref="N353:N356" si="37">SUM(B353:M353)</f>
        <v>0</v>
      </c>
      <c r="O353"/>
    </row>
    <row r="354" spans="1:15" ht="17.25" customHeight="1">
      <c r="A354" s="50" t="s">
        <v>153</v>
      </c>
      <c r="B354" s="23">
        <v>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10">
        <f t="shared" si="37"/>
        <v>0</v>
      </c>
      <c r="O354"/>
    </row>
    <row r="355" spans="1:15" ht="17.25" customHeight="1">
      <c r="A355" s="50" t="s">
        <v>154</v>
      </c>
      <c r="B355" s="23">
        <v>0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10">
        <f t="shared" si="37"/>
        <v>0</v>
      </c>
      <c r="O355"/>
    </row>
    <row r="356" spans="1:15" ht="17.25" customHeight="1">
      <c r="A356" s="50" t="s">
        <v>155</v>
      </c>
      <c r="B356" s="23">
        <v>0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10">
        <f t="shared" si="37"/>
        <v>0</v>
      </c>
      <c r="O356"/>
    </row>
    <row r="357" spans="1:15">
      <c r="A357" s="11" t="s">
        <v>67</v>
      </c>
      <c r="B357" s="23">
        <f>SUM(B335:B356)</f>
        <v>0</v>
      </c>
      <c r="C357" s="23">
        <f t="shared" ref="C357:N357" si="38">SUM(C335:C356)</f>
        <v>0</v>
      </c>
      <c r="D357" s="23">
        <f t="shared" si="38"/>
        <v>0</v>
      </c>
      <c r="E357" s="23">
        <f t="shared" si="38"/>
        <v>0</v>
      </c>
      <c r="F357" s="23">
        <f t="shared" si="38"/>
        <v>0</v>
      </c>
      <c r="G357" s="23">
        <f t="shared" si="38"/>
        <v>0</v>
      </c>
      <c r="H357" s="23">
        <f t="shared" si="38"/>
        <v>0</v>
      </c>
      <c r="I357" s="23">
        <f t="shared" si="38"/>
        <v>0</v>
      </c>
      <c r="J357" s="23">
        <f t="shared" si="38"/>
        <v>0</v>
      </c>
      <c r="K357" s="23">
        <f t="shared" si="38"/>
        <v>0</v>
      </c>
      <c r="L357" s="23">
        <f t="shared" si="38"/>
        <v>0</v>
      </c>
      <c r="M357" s="23">
        <f t="shared" si="38"/>
        <v>0</v>
      </c>
      <c r="N357" s="10">
        <f t="shared" si="38"/>
        <v>0</v>
      </c>
    </row>
    <row r="358" spans="1:15">
      <c r="A358" s="11"/>
      <c r="N358" s="10"/>
    </row>
    <row r="359" spans="1:15" ht="16.5" thickBot="1">
      <c r="A359" s="14" t="s">
        <v>28</v>
      </c>
      <c r="B359" s="25">
        <f t="shared" ref="B359:M359" si="39">+B357+B332+B307</f>
        <v>-383</v>
      </c>
      <c r="C359" s="25">
        <f t="shared" si="39"/>
        <v>23567.25</v>
      </c>
      <c r="D359" s="25">
        <f t="shared" si="39"/>
        <v>17858</v>
      </c>
      <c r="E359" s="25">
        <f t="shared" si="39"/>
        <v>182893.52</v>
      </c>
      <c r="F359" s="25">
        <f t="shared" si="39"/>
        <v>995357.86</v>
      </c>
      <c r="G359" s="25">
        <f t="shared" si="39"/>
        <v>0</v>
      </c>
      <c r="H359" s="25">
        <f t="shared" si="39"/>
        <v>0</v>
      </c>
      <c r="I359" s="25">
        <f t="shared" si="39"/>
        <v>0</v>
      </c>
      <c r="J359" s="25">
        <f t="shared" si="39"/>
        <v>0</v>
      </c>
      <c r="K359" s="25">
        <f t="shared" si="39"/>
        <v>0</v>
      </c>
      <c r="L359" s="25">
        <f t="shared" si="39"/>
        <v>0</v>
      </c>
      <c r="M359" s="25">
        <f t="shared" si="39"/>
        <v>0</v>
      </c>
      <c r="N359" s="15">
        <f>+N357+N308+N332+N307</f>
        <v>1219293.6299999999</v>
      </c>
    </row>
    <row r="360" spans="1:15">
      <c r="A360" s="87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92" t="s">
        <v>3</v>
      </c>
    </row>
    <row r="361" spans="1:15" ht="13.5" thickBot="1">
      <c r="A361" s="16" t="s">
        <v>156</v>
      </c>
      <c r="B361" s="24" t="s">
        <v>5</v>
      </c>
      <c r="C361" s="24" t="s">
        <v>6</v>
      </c>
      <c r="D361" s="24" t="s">
        <v>7</v>
      </c>
      <c r="E361" s="24" t="s">
        <v>8</v>
      </c>
      <c r="F361" s="24" t="s">
        <v>9</v>
      </c>
      <c r="G361" s="24" t="s">
        <v>10</v>
      </c>
      <c r="H361" s="24" t="s">
        <v>11</v>
      </c>
      <c r="I361" s="24" t="s">
        <v>12</v>
      </c>
      <c r="J361" s="24" t="s">
        <v>13</v>
      </c>
      <c r="K361" s="24" t="s">
        <v>14</v>
      </c>
      <c r="L361" s="24" t="s">
        <v>15</v>
      </c>
      <c r="M361" s="24" t="s">
        <v>16</v>
      </c>
      <c r="N361" s="7" t="s">
        <v>17</v>
      </c>
    </row>
    <row r="362" spans="1:15">
      <c r="A362" s="93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40"/>
    </row>
    <row r="363" spans="1:15">
      <c r="A363" s="17" t="s">
        <v>32</v>
      </c>
      <c r="B363" s="23">
        <f>162830-B390-B417</f>
        <v>162830</v>
      </c>
      <c r="C363" s="23">
        <f>258150.81-C390-C417</f>
        <v>258150.81</v>
      </c>
      <c r="D363" s="23">
        <f>194781-D390-D417</f>
        <v>194781</v>
      </c>
      <c r="E363" s="23">
        <f>12061.42-E390-E417</f>
        <v>12061.42</v>
      </c>
      <c r="F363" s="23">
        <f>-16870.42-F390-F417</f>
        <v>-16870.419999999998</v>
      </c>
      <c r="G363" s="23">
        <f t="shared" ref="F363:M363" si="40">0-G390-G417</f>
        <v>0</v>
      </c>
      <c r="H363" s="23">
        <f t="shared" si="40"/>
        <v>0</v>
      </c>
      <c r="I363" s="23">
        <f t="shared" si="40"/>
        <v>0</v>
      </c>
      <c r="J363" s="23">
        <f t="shared" si="40"/>
        <v>0</v>
      </c>
      <c r="K363" s="23">
        <f t="shared" si="40"/>
        <v>0</v>
      </c>
      <c r="L363" s="23">
        <f t="shared" si="40"/>
        <v>0</v>
      </c>
      <c r="M363" s="23">
        <f t="shared" si="40"/>
        <v>0</v>
      </c>
      <c r="N363" s="10">
        <f>SUM(B363:M363)</f>
        <v>610952.81000000006</v>
      </c>
    </row>
    <row r="364" spans="1:15">
      <c r="A364" s="11" t="s">
        <v>33</v>
      </c>
      <c r="N364" s="10">
        <f>SUM(B364:M364)</f>
        <v>0</v>
      </c>
    </row>
    <row r="365" spans="1:15">
      <c r="A365" s="17" t="s">
        <v>34</v>
      </c>
      <c r="N365" s="10"/>
    </row>
    <row r="366" spans="1:15" ht="15">
      <c r="A366" s="50" t="s">
        <v>157</v>
      </c>
      <c r="B366" s="23">
        <v>0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23">
        <v>0</v>
      </c>
      <c r="N366" s="10">
        <f t="shared" ref="N366:N379" si="41">SUM(B366:M366)</f>
        <v>0</v>
      </c>
      <c r="O366"/>
    </row>
    <row r="367" spans="1:15" ht="15">
      <c r="A367" s="50" t="s">
        <v>134</v>
      </c>
      <c r="B367" s="23">
        <v>0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10">
        <f t="shared" si="41"/>
        <v>0</v>
      </c>
      <c r="O367"/>
    </row>
    <row r="368" spans="1:15" ht="15">
      <c r="A368" s="50" t="s">
        <v>135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10">
        <f t="shared" si="41"/>
        <v>0</v>
      </c>
      <c r="O368"/>
    </row>
    <row r="369" spans="1:15" ht="15">
      <c r="A369" s="50" t="s">
        <v>136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10">
        <f t="shared" si="41"/>
        <v>0</v>
      </c>
      <c r="O369"/>
    </row>
    <row r="370" spans="1:15" ht="15">
      <c r="A370" s="50" t="s">
        <v>137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10">
        <f t="shared" si="41"/>
        <v>0</v>
      </c>
      <c r="O370"/>
    </row>
    <row r="371" spans="1:15" ht="15">
      <c r="A371" s="50" t="s">
        <v>138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10">
        <f t="shared" si="41"/>
        <v>0</v>
      </c>
      <c r="O371"/>
    </row>
    <row r="372" spans="1:15" ht="15">
      <c r="A372" s="50" t="s">
        <v>139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10">
        <f t="shared" si="41"/>
        <v>0</v>
      </c>
      <c r="O372"/>
    </row>
    <row r="373" spans="1:15" ht="15">
      <c r="A373" s="50" t="s">
        <v>140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10">
        <f t="shared" si="41"/>
        <v>0</v>
      </c>
      <c r="O373"/>
    </row>
    <row r="374" spans="1:15" ht="15">
      <c r="A374" s="50" t="s">
        <v>141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10">
        <f t="shared" si="41"/>
        <v>0</v>
      </c>
      <c r="O374"/>
    </row>
    <row r="375" spans="1:15" ht="15">
      <c r="A375" s="50" t="s">
        <v>142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10">
        <f t="shared" si="41"/>
        <v>0</v>
      </c>
      <c r="O375"/>
    </row>
    <row r="376" spans="1:15" ht="15">
      <c r="A376" s="50" t="s">
        <v>158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10">
        <f t="shared" si="41"/>
        <v>0</v>
      </c>
      <c r="O376"/>
    </row>
    <row r="377" spans="1:15" ht="15">
      <c r="A377" s="50" t="s">
        <v>143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10">
        <f t="shared" si="41"/>
        <v>0</v>
      </c>
      <c r="O377"/>
    </row>
    <row r="378" spans="1:15" ht="15">
      <c r="A378" s="50" t="s">
        <v>144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10">
        <f t="shared" si="41"/>
        <v>0</v>
      </c>
      <c r="O378"/>
    </row>
    <row r="379" spans="1:15" ht="15">
      <c r="A379" s="50" t="s">
        <v>145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10">
        <f t="shared" si="41"/>
        <v>0</v>
      </c>
      <c r="O379"/>
    </row>
    <row r="380" spans="1:15" ht="17.25" customHeight="1">
      <c r="A380" s="50" t="s">
        <v>146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10">
        <f t="shared" ref="N380:N383" si="42">SUM(B380:M380)</f>
        <v>0</v>
      </c>
      <c r="O380"/>
    </row>
    <row r="381" spans="1:15" ht="17.25" customHeight="1">
      <c r="A381" s="50" t="s">
        <v>147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10">
        <f t="shared" si="42"/>
        <v>0</v>
      </c>
      <c r="O381"/>
    </row>
    <row r="382" spans="1:15" ht="17.25" customHeight="1">
      <c r="A382" s="50" t="s">
        <v>148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10">
        <f t="shared" si="42"/>
        <v>0</v>
      </c>
      <c r="O382"/>
    </row>
    <row r="383" spans="1:15" ht="17.25" customHeight="1">
      <c r="A383" s="50" t="s">
        <v>149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10">
        <f t="shared" si="42"/>
        <v>0</v>
      </c>
      <c r="O383"/>
    </row>
    <row r="384" spans="1:15" ht="17.25" customHeight="1">
      <c r="A384" s="50" t="s">
        <v>150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10">
        <f>SUM(B384:M384)</f>
        <v>0</v>
      </c>
      <c r="O384"/>
    </row>
    <row r="385" spans="1:15" ht="17.25" customHeight="1">
      <c r="A385" s="50" t="s">
        <v>151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10">
        <f t="shared" ref="N385:N386" si="43">SUM(B385:M385)</f>
        <v>0</v>
      </c>
      <c r="O385"/>
    </row>
    <row r="386" spans="1:15" ht="17.25" customHeight="1">
      <c r="A386" s="50" t="s">
        <v>152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10">
        <f t="shared" si="43"/>
        <v>0</v>
      </c>
      <c r="O386"/>
    </row>
    <row r="387" spans="1:15" ht="17.25" customHeight="1">
      <c r="A387" s="50" t="s">
        <v>153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10">
        <f t="shared" ref="N387" si="44">SUM(B387:M387)</f>
        <v>0</v>
      </c>
      <c r="O387"/>
    </row>
    <row r="388" spans="1:15" ht="17.25" customHeight="1">
      <c r="A388" s="50" t="s">
        <v>154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10">
        <f t="shared" ref="N388" si="45">SUM(B388:M388)</f>
        <v>0</v>
      </c>
      <c r="O388"/>
    </row>
    <row r="389" spans="1:15" ht="17.25" customHeight="1">
      <c r="A389" s="50" t="s">
        <v>159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10">
        <f t="shared" ref="N389" si="46">SUM(B389:M389)</f>
        <v>0</v>
      </c>
      <c r="O389"/>
    </row>
    <row r="390" spans="1:15">
      <c r="A390" s="11" t="s">
        <v>67</v>
      </c>
      <c r="B390" s="23">
        <f t="shared" ref="B390:N390" si="47">SUM(B366:B389)</f>
        <v>0</v>
      </c>
      <c r="C390" s="23">
        <f t="shared" si="47"/>
        <v>0</v>
      </c>
      <c r="D390" s="23">
        <f t="shared" si="47"/>
        <v>0</v>
      </c>
      <c r="E390" s="23">
        <f t="shared" si="47"/>
        <v>0</v>
      </c>
      <c r="F390" s="23">
        <f t="shared" si="47"/>
        <v>0</v>
      </c>
      <c r="G390" s="23">
        <f t="shared" si="47"/>
        <v>0</v>
      </c>
      <c r="H390" s="23">
        <f t="shared" si="47"/>
        <v>0</v>
      </c>
      <c r="I390" s="23">
        <f t="shared" si="47"/>
        <v>0</v>
      </c>
      <c r="J390" s="23">
        <f t="shared" si="47"/>
        <v>0</v>
      </c>
      <c r="K390" s="23">
        <f t="shared" si="47"/>
        <v>0</v>
      </c>
      <c r="L390" s="23">
        <f t="shared" si="47"/>
        <v>0</v>
      </c>
      <c r="M390" s="23">
        <f t="shared" si="47"/>
        <v>0</v>
      </c>
      <c r="N390" s="10">
        <f t="shared" si="47"/>
        <v>0</v>
      </c>
    </row>
    <row r="391" spans="1:15">
      <c r="A391" s="11"/>
      <c r="N391" s="10"/>
    </row>
    <row r="392" spans="1:15">
      <c r="A392" s="17" t="s">
        <v>68</v>
      </c>
      <c r="N392" s="10"/>
    </row>
    <row r="393" spans="1:15" ht="15">
      <c r="A393" s="50" t="s">
        <v>157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10">
        <f t="shared" ref="N393:N407" si="48">SUM(B393:M393)</f>
        <v>0</v>
      </c>
      <c r="O393"/>
    </row>
    <row r="394" spans="1:15" ht="15">
      <c r="A394" s="50" t="s">
        <v>134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10">
        <f t="shared" si="48"/>
        <v>0</v>
      </c>
      <c r="O394"/>
    </row>
    <row r="395" spans="1:15" ht="15">
      <c r="A395" s="50" t="s">
        <v>135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10">
        <f t="shared" si="48"/>
        <v>0</v>
      </c>
      <c r="O395"/>
    </row>
    <row r="396" spans="1:15" ht="15">
      <c r="A396" s="50" t="s">
        <v>136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10">
        <f t="shared" si="48"/>
        <v>0</v>
      </c>
      <c r="O396"/>
    </row>
    <row r="397" spans="1:15" ht="15">
      <c r="A397" s="50" t="s">
        <v>137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10">
        <f t="shared" si="48"/>
        <v>0</v>
      </c>
      <c r="O397"/>
    </row>
    <row r="398" spans="1:15" ht="15">
      <c r="A398" s="50" t="s">
        <v>138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10">
        <f t="shared" si="48"/>
        <v>0</v>
      </c>
      <c r="O398"/>
    </row>
    <row r="399" spans="1:15" ht="15">
      <c r="A399" s="50" t="s">
        <v>139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10">
        <f t="shared" si="48"/>
        <v>0</v>
      </c>
      <c r="O399"/>
    </row>
    <row r="400" spans="1:15" ht="15">
      <c r="A400" s="50" t="s">
        <v>140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10">
        <f t="shared" si="48"/>
        <v>0</v>
      </c>
      <c r="O400"/>
    </row>
    <row r="401" spans="1:15" ht="15">
      <c r="A401" s="50" t="s">
        <v>141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10">
        <f t="shared" si="48"/>
        <v>0</v>
      </c>
      <c r="O401"/>
    </row>
    <row r="402" spans="1:15" ht="15">
      <c r="A402" s="50" t="s">
        <v>142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10">
        <f t="shared" si="48"/>
        <v>0</v>
      </c>
      <c r="O402"/>
    </row>
    <row r="403" spans="1:15" ht="15">
      <c r="A403" s="50" t="s">
        <v>158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10">
        <f t="shared" si="48"/>
        <v>0</v>
      </c>
      <c r="O403"/>
    </row>
    <row r="404" spans="1:15" ht="15">
      <c r="A404" s="50" t="s">
        <v>143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10">
        <f t="shared" si="48"/>
        <v>0</v>
      </c>
      <c r="O404"/>
    </row>
    <row r="405" spans="1:15" ht="15">
      <c r="A405" s="50" t="s">
        <v>144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10">
        <f t="shared" si="48"/>
        <v>0</v>
      </c>
      <c r="O405"/>
    </row>
    <row r="406" spans="1:15" ht="15">
      <c r="A406" s="50" t="s">
        <v>145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10">
        <f t="shared" si="48"/>
        <v>0</v>
      </c>
      <c r="O406"/>
    </row>
    <row r="407" spans="1:15" ht="15">
      <c r="A407" s="50" t="s">
        <v>146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10">
        <f t="shared" si="48"/>
        <v>0</v>
      </c>
      <c r="O407" s="39"/>
    </row>
    <row r="408" spans="1:15" ht="15">
      <c r="A408" s="50" t="s">
        <v>147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10">
        <f t="shared" ref="N408" si="49">SUM(B408:M408)</f>
        <v>0</v>
      </c>
      <c r="O408" s="39"/>
    </row>
    <row r="409" spans="1:15" ht="15">
      <c r="A409" s="50" t="s">
        <v>148</v>
      </c>
      <c r="B409" s="23">
        <v>0</v>
      </c>
      <c r="C409" s="23">
        <v>0</v>
      </c>
      <c r="D409" s="23">
        <v>0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  <c r="M409" s="23">
        <v>0</v>
      </c>
      <c r="N409" s="10">
        <f t="shared" ref="N409" si="50">SUM(B409:M409)</f>
        <v>0</v>
      </c>
      <c r="O409" s="39"/>
    </row>
    <row r="410" spans="1:15" ht="17.25" customHeight="1">
      <c r="A410" s="50" t="s">
        <v>149</v>
      </c>
      <c r="B410" s="23">
        <v>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10">
        <f>SUM(B410:M410)</f>
        <v>0</v>
      </c>
      <c r="O410"/>
    </row>
    <row r="411" spans="1:15" ht="17.25" customHeight="1">
      <c r="A411" s="50" t="s">
        <v>150</v>
      </c>
      <c r="B411" s="23">
        <v>0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10">
        <f>SUM(B411:M411)</f>
        <v>0</v>
      </c>
      <c r="O411"/>
    </row>
    <row r="412" spans="1:15" ht="17.25" customHeight="1">
      <c r="A412" s="50" t="s">
        <v>151</v>
      </c>
      <c r="B412" s="23">
        <v>0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0</v>
      </c>
      <c r="N412" s="10">
        <f>SUM(B412:M412)</f>
        <v>0</v>
      </c>
      <c r="O412"/>
    </row>
    <row r="413" spans="1:15" ht="17.25" customHeight="1">
      <c r="A413" s="50" t="s">
        <v>152</v>
      </c>
      <c r="B413" s="23">
        <v>0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10">
        <f t="shared" ref="N413" si="51">SUM(B413:M413)</f>
        <v>0</v>
      </c>
      <c r="O413"/>
    </row>
    <row r="414" spans="1:15" ht="17.25" customHeight="1">
      <c r="A414" s="50" t="s">
        <v>153</v>
      </c>
      <c r="B414" s="23">
        <v>0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10">
        <f t="shared" ref="N414:N416" si="52">SUM(B414:M414)</f>
        <v>0</v>
      </c>
      <c r="O414"/>
    </row>
    <row r="415" spans="1:15" ht="17.25" customHeight="1">
      <c r="A415" s="50" t="s">
        <v>154</v>
      </c>
      <c r="B415" s="23">
        <v>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0</v>
      </c>
      <c r="N415" s="10">
        <f t="shared" si="52"/>
        <v>0</v>
      </c>
      <c r="O415"/>
    </row>
    <row r="416" spans="1:15" ht="17.25" customHeight="1">
      <c r="A416" s="50" t="s">
        <v>155</v>
      </c>
      <c r="B416" s="23">
        <v>0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10">
        <f t="shared" si="52"/>
        <v>0</v>
      </c>
      <c r="O416"/>
    </row>
    <row r="417" spans="1:15">
      <c r="A417" s="11" t="s">
        <v>67</v>
      </c>
      <c r="B417" s="23">
        <f t="shared" ref="B417:N417" si="53">SUM(B393:B416)</f>
        <v>0</v>
      </c>
      <c r="C417" s="23">
        <f t="shared" si="53"/>
        <v>0</v>
      </c>
      <c r="D417" s="23">
        <f t="shared" si="53"/>
        <v>0</v>
      </c>
      <c r="E417" s="23">
        <f t="shared" si="53"/>
        <v>0</v>
      </c>
      <c r="F417" s="23">
        <f t="shared" si="53"/>
        <v>0</v>
      </c>
      <c r="G417" s="23">
        <f t="shared" si="53"/>
        <v>0</v>
      </c>
      <c r="H417" s="23">
        <f t="shared" si="53"/>
        <v>0</v>
      </c>
      <c r="I417" s="23">
        <f t="shared" si="53"/>
        <v>0</v>
      </c>
      <c r="J417" s="23">
        <f t="shared" si="53"/>
        <v>0</v>
      </c>
      <c r="K417" s="23">
        <f t="shared" si="53"/>
        <v>0</v>
      </c>
      <c r="L417" s="23">
        <f t="shared" si="53"/>
        <v>0</v>
      </c>
      <c r="M417" s="23">
        <f t="shared" si="53"/>
        <v>0</v>
      </c>
      <c r="N417" s="10">
        <f t="shared" si="53"/>
        <v>0</v>
      </c>
    </row>
    <row r="418" spans="1:15">
      <c r="A418" s="11"/>
      <c r="N418" s="10"/>
    </row>
    <row r="419" spans="1:15" ht="16.5" thickBot="1">
      <c r="A419" s="14" t="s">
        <v>28</v>
      </c>
      <c r="B419" s="25">
        <f t="shared" ref="B419:M419" si="54">+B417+B390+B363</f>
        <v>162830</v>
      </c>
      <c r="C419" s="25">
        <f t="shared" si="54"/>
        <v>258150.81</v>
      </c>
      <c r="D419" s="25">
        <f t="shared" si="54"/>
        <v>194781</v>
      </c>
      <c r="E419" s="25">
        <f t="shared" si="54"/>
        <v>12061.42</v>
      </c>
      <c r="F419" s="25">
        <f t="shared" si="54"/>
        <v>-16870.419999999998</v>
      </c>
      <c r="G419" s="25">
        <f t="shared" si="54"/>
        <v>0</v>
      </c>
      <c r="H419" s="25">
        <f t="shared" si="54"/>
        <v>0</v>
      </c>
      <c r="I419" s="25">
        <f t="shared" si="54"/>
        <v>0</v>
      </c>
      <c r="J419" s="25">
        <f t="shared" si="54"/>
        <v>0</v>
      </c>
      <c r="K419" s="25">
        <f>+K417+K390+K363</f>
        <v>0</v>
      </c>
      <c r="L419" s="25">
        <f t="shared" si="54"/>
        <v>0</v>
      </c>
      <c r="M419" s="25">
        <f t="shared" si="54"/>
        <v>0</v>
      </c>
      <c r="N419" s="15">
        <f>+N417+N364+N390+N363</f>
        <v>610952.81000000006</v>
      </c>
    </row>
    <row r="420" spans="1:15" ht="16.5" thickBot="1">
      <c r="A420" s="4"/>
    </row>
    <row r="421" spans="1:15">
      <c r="A421" s="87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92" t="s">
        <v>3</v>
      </c>
    </row>
    <row r="422" spans="1:15" ht="13.5" thickBot="1">
      <c r="A422" s="16" t="s">
        <v>160</v>
      </c>
      <c r="B422" s="24" t="s">
        <v>5</v>
      </c>
      <c r="C422" s="24" t="s">
        <v>6</v>
      </c>
      <c r="D422" s="24" t="s">
        <v>7</v>
      </c>
      <c r="E422" s="24" t="s">
        <v>8</v>
      </c>
      <c r="F422" s="24" t="s">
        <v>9</v>
      </c>
      <c r="G422" s="24" t="s">
        <v>10</v>
      </c>
      <c r="H422" s="24" t="s">
        <v>11</v>
      </c>
      <c r="I422" s="24" t="s">
        <v>12</v>
      </c>
      <c r="J422" s="24" t="s">
        <v>13</v>
      </c>
      <c r="K422" s="24" t="s">
        <v>14</v>
      </c>
      <c r="L422" s="24" t="s">
        <v>15</v>
      </c>
      <c r="M422" s="24" t="s">
        <v>16</v>
      </c>
      <c r="N422" s="7" t="s">
        <v>17</v>
      </c>
    </row>
    <row r="423" spans="1:15">
      <c r="A423" s="93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40"/>
    </row>
    <row r="424" spans="1:15">
      <c r="A424" s="17" t="s">
        <v>32</v>
      </c>
      <c r="B424" s="23">
        <f>0-B445-B466</f>
        <v>0</v>
      </c>
      <c r="C424" s="23">
        <f t="shared" ref="C424:E424" si="55">0-C445-C466</f>
        <v>0</v>
      </c>
      <c r="D424" s="23">
        <f t="shared" si="55"/>
        <v>0</v>
      </c>
      <c r="E424" s="23">
        <f t="shared" si="55"/>
        <v>0</v>
      </c>
      <c r="F424" s="23">
        <f t="shared" ref="F424:L424" si="56">0-F445-F466</f>
        <v>0</v>
      </c>
      <c r="G424" s="23">
        <f t="shared" si="56"/>
        <v>0</v>
      </c>
      <c r="H424" s="23">
        <f t="shared" si="56"/>
        <v>0</v>
      </c>
      <c r="I424" s="23">
        <f t="shared" si="56"/>
        <v>0</v>
      </c>
      <c r="J424" s="23">
        <f t="shared" si="56"/>
        <v>0</v>
      </c>
      <c r="K424" s="23">
        <f t="shared" si="56"/>
        <v>0</v>
      </c>
      <c r="L424" s="23">
        <f t="shared" si="56"/>
        <v>0</v>
      </c>
      <c r="M424" s="23">
        <f t="shared" ref="M424" si="57">0-M445-M466</f>
        <v>0</v>
      </c>
      <c r="N424" s="10">
        <f>SUM(B424:M424)</f>
        <v>0</v>
      </c>
    </row>
    <row r="425" spans="1:15">
      <c r="A425" s="11" t="s">
        <v>33</v>
      </c>
      <c r="N425" s="10"/>
    </row>
    <row r="426" spans="1:15">
      <c r="A426" s="17" t="s">
        <v>34</v>
      </c>
      <c r="N426" s="10"/>
    </row>
    <row r="427" spans="1:15">
      <c r="A427" s="11" t="s">
        <v>161</v>
      </c>
      <c r="B427" s="23">
        <v>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23">
        <v>0</v>
      </c>
      <c r="N427" s="10">
        <f t="shared" ref="N427:N440" si="58">SUM(B427:M427)</f>
        <v>0</v>
      </c>
      <c r="O427"/>
    </row>
    <row r="428" spans="1:15">
      <c r="A428" s="11" t="s">
        <v>162</v>
      </c>
      <c r="B428" s="23">
        <v>0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23">
        <v>0</v>
      </c>
      <c r="N428" s="10">
        <f t="shared" si="58"/>
        <v>0</v>
      </c>
      <c r="O428"/>
    </row>
    <row r="429" spans="1:15">
      <c r="A429" s="11" t="s">
        <v>163</v>
      </c>
      <c r="B429" s="23">
        <v>0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10">
        <f t="shared" si="58"/>
        <v>0</v>
      </c>
      <c r="O429"/>
    </row>
    <row r="430" spans="1:15">
      <c r="A430" s="11" t="s">
        <v>164</v>
      </c>
      <c r="B430" s="23">
        <v>0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23">
        <v>0</v>
      </c>
      <c r="N430" s="10">
        <f t="shared" si="58"/>
        <v>0</v>
      </c>
      <c r="O430"/>
    </row>
    <row r="431" spans="1:15">
      <c r="A431" s="11" t="s">
        <v>165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10">
        <f t="shared" si="58"/>
        <v>0</v>
      </c>
      <c r="O431"/>
    </row>
    <row r="432" spans="1:15">
      <c r="A432" s="11" t="s">
        <v>166</v>
      </c>
      <c r="B432" s="23">
        <v>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10">
        <f t="shared" si="58"/>
        <v>0</v>
      </c>
      <c r="O432"/>
    </row>
    <row r="433" spans="1:15">
      <c r="A433" s="11" t="s">
        <v>167</v>
      </c>
      <c r="B433" s="23">
        <v>0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23">
        <v>0</v>
      </c>
      <c r="N433" s="10">
        <f t="shared" si="58"/>
        <v>0</v>
      </c>
      <c r="O433"/>
    </row>
    <row r="434" spans="1:15">
      <c r="A434" s="11" t="s">
        <v>168</v>
      </c>
      <c r="B434" s="23">
        <v>0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10">
        <f t="shared" si="58"/>
        <v>0</v>
      </c>
      <c r="O434"/>
    </row>
    <row r="435" spans="1:15">
      <c r="A435" s="11" t="s">
        <v>169</v>
      </c>
      <c r="B435" s="23">
        <v>0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10">
        <f t="shared" si="58"/>
        <v>0</v>
      </c>
      <c r="O435"/>
    </row>
    <row r="436" spans="1:15">
      <c r="A436" s="11" t="s">
        <v>170</v>
      </c>
      <c r="B436" s="23">
        <v>0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10">
        <f t="shared" si="58"/>
        <v>0</v>
      </c>
      <c r="O436"/>
    </row>
    <row r="437" spans="1:15">
      <c r="A437" s="11" t="s">
        <v>171</v>
      </c>
      <c r="B437" s="23">
        <v>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10">
        <f t="shared" si="58"/>
        <v>0</v>
      </c>
      <c r="O437"/>
    </row>
    <row r="438" spans="1:15">
      <c r="A438" s="11" t="s">
        <v>172</v>
      </c>
      <c r="B438" s="23">
        <v>0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10">
        <f t="shared" si="58"/>
        <v>0</v>
      </c>
      <c r="O438"/>
    </row>
    <row r="439" spans="1:15">
      <c r="A439" s="11" t="s">
        <v>173</v>
      </c>
      <c r="B439" s="23">
        <v>0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10">
        <f t="shared" si="58"/>
        <v>0</v>
      </c>
      <c r="O439"/>
    </row>
    <row r="440" spans="1:15">
      <c r="A440" s="11" t="s">
        <v>174</v>
      </c>
      <c r="B440" s="23">
        <v>0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10">
        <f t="shared" si="58"/>
        <v>0</v>
      </c>
      <c r="O440"/>
    </row>
    <row r="441" spans="1:15">
      <c r="A441" s="11" t="s">
        <v>175</v>
      </c>
      <c r="B441" s="23">
        <v>0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10">
        <f>SUM(B441:M441)</f>
        <v>0</v>
      </c>
      <c r="O441"/>
    </row>
    <row r="442" spans="1:15">
      <c r="A442" s="11" t="s">
        <v>176</v>
      </c>
      <c r="B442" s="23">
        <v>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10">
        <f>SUM(B442:M442)</f>
        <v>0</v>
      </c>
      <c r="O442" s="39"/>
    </row>
    <row r="443" spans="1:15">
      <c r="A443" s="11" t="s">
        <v>177</v>
      </c>
      <c r="B443" s="23">
        <v>0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10">
        <f>SUM(B443:M443)</f>
        <v>0</v>
      </c>
      <c r="O443"/>
    </row>
    <row r="444" spans="1:15">
      <c r="A444" s="11" t="s">
        <v>178</v>
      </c>
      <c r="B444" s="23">
        <v>0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0</v>
      </c>
      <c r="K444" s="23">
        <v>0</v>
      </c>
      <c r="L444" s="23">
        <v>0</v>
      </c>
      <c r="M444" s="23">
        <v>0</v>
      </c>
      <c r="N444" s="10">
        <f>SUM(B444:M444)</f>
        <v>0</v>
      </c>
      <c r="O444"/>
    </row>
    <row r="445" spans="1:15">
      <c r="A445" s="11" t="s">
        <v>67</v>
      </c>
      <c r="B445" s="23">
        <f t="shared" ref="B445:M445" si="59">SUM(B427:B444)</f>
        <v>0</v>
      </c>
      <c r="C445" s="23">
        <f t="shared" si="59"/>
        <v>0</v>
      </c>
      <c r="D445" s="23">
        <f t="shared" si="59"/>
        <v>0</v>
      </c>
      <c r="E445" s="23">
        <f t="shared" si="59"/>
        <v>0</v>
      </c>
      <c r="F445" s="23">
        <f t="shared" si="59"/>
        <v>0</v>
      </c>
      <c r="G445" s="23">
        <f t="shared" si="59"/>
        <v>0</v>
      </c>
      <c r="H445" s="23">
        <f t="shared" si="59"/>
        <v>0</v>
      </c>
      <c r="I445" s="23">
        <f t="shared" si="59"/>
        <v>0</v>
      </c>
      <c r="J445" s="23">
        <f t="shared" si="59"/>
        <v>0</v>
      </c>
      <c r="K445" s="23">
        <f t="shared" si="59"/>
        <v>0</v>
      </c>
      <c r="L445" s="23">
        <f t="shared" si="59"/>
        <v>0</v>
      </c>
      <c r="M445" s="23">
        <f t="shared" si="59"/>
        <v>0</v>
      </c>
      <c r="N445" s="10">
        <f>SUM(B445:M445)</f>
        <v>0</v>
      </c>
    </row>
    <row r="446" spans="1:15">
      <c r="A446" s="11"/>
      <c r="N446" s="10"/>
    </row>
    <row r="447" spans="1:15">
      <c r="A447" s="17" t="s">
        <v>68</v>
      </c>
      <c r="N447" s="10"/>
    </row>
    <row r="448" spans="1:15">
      <c r="A448" s="11" t="s">
        <v>161</v>
      </c>
      <c r="B448" s="23">
        <v>0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0</v>
      </c>
      <c r="K448" s="23">
        <v>0</v>
      </c>
      <c r="L448" s="23">
        <v>0</v>
      </c>
      <c r="M448" s="23">
        <v>0</v>
      </c>
      <c r="N448" s="10">
        <f t="shared" ref="N448:N466" si="60">SUM(B448:M448)</f>
        <v>0</v>
      </c>
      <c r="O448"/>
    </row>
    <row r="449" spans="1:15">
      <c r="A449" s="11" t="s">
        <v>162</v>
      </c>
      <c r="B449" s="23">
        <v>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10">
        <f t="shared" si="60"/>
        <v>0</v>
      </c>
      <c r="O449"/>
    </row>
    <row r="450" spans="1:15">
      <c r="A450" s="11" t="s">
        <v>163</v>
      </c>
      <c r="B450" s="23">
        <v>0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10">
        <f t="shared" si="60"/>
        <v>0</v>
      </c>
      <c r="O450"/>
    </row>
    <row r="451" spans="1:15">
      <c r="A451" s="11" t="s">
        <v>164</v>
      </c>
      <c r="B451" s="23">
        <v>0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23">
        <v>0</v>
      </c>
      <c r="N451" s="10">
        <f t="shared" si="60"/>
        <v>0</v>
      </c>
      <c r="O451"/>
    </row>
    <row r="452" spans="1:15">
      <c r="A452" s="11" t="s">
        <v>165</v>
      </c>
      <c r="B452" s="23">
        <v>0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10">
        <f t="shared" si="60"/>
        <v>0</v>
      </c>
      <c r="O452"/>
    </row>
    <row r="453" spans="1:15">
      <c r="A453" s="11" t="s">
        <v>166</v>
      </c>
      <c r="B453" s="23">
        <v>0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0</v>
      </c>
      <c r="K453" s="23">
        <v>0</v>
      </c>
      <c r="L453" s="23">
        <v>0</v>
      </c>
      <c r="M453" s="23">
        <v>0</v>
      </c>
      <c r="N453" s="10">
        <f t="shared" si="60"/>
        <v>0</v>
      </c>
      <c r="O453"/>
    </row>
    <row r="454" spans="1:15">
      <c r="A454" s="11" t="s">
        <v>167</v>
      </c>
      <c r="B454" s="23">
        <v>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0</v>
      </c>
      <c r="N454" s="10">
        <f t="shared" si="60"/>
        <v>0</v>
      </c>
      <c r="O454"/>
    </row>
    <row r="455" spans="1:15">
      <c r="A455" s="11" t="s">
        <v>168</v>
      </c>
      <c r="B455" s="23">
        <v>0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10">
        <f t="shared" si="60"/>
        <v>0</v>
      </c>
      <c r="O455"/>
    </row>
    <row r="456" spans="1:15">
      <c r="A456" s="11" t="s">
        <v>169</v>
      </c>
      <c r="B456" s="23">
        <v>0</v>
      </c>
      <c r="C456" s="23">
        <v>0</v>
      </c>
      <c r="D456" s="23">
        <v>0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10">
        <f t="shared" si="60"/>
        <v>0</v>
      </c>
      <c r="O456"/>
    </row>
    <row r="457" spans="1:15">
      <c r="A457" s="11" t="s">
        <v>170</v>
      </c>
      <c r="B457" s="23">
        <v>0</v>
      </c>
      <c r="C457" s="23">
        <v>0</v>
      </c>
      <c r="D457" s="23">
        <v>0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10">
        <f t="shared" si="60"/>
        <v>0</v>
      </c>
      <c r="O457"/>
    </row>
    <row r="458" spans="1:15">
      <c r="A458" s="11" t="s">
        <v>171</v>
      </c>
      <c r="B458" s="23">
        <v>0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10">
        <f t="shared" si="60"/>
        <v>0</v>
      </c>
      <c r="O458"/>
    </row>
    <row r="459" spans="1:15">
      <c r="A459" s="11" t="s">
        <v>172</v>
      </c>
      <c r="B459" s="23">
        <v>0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23">
        <v>0</v>
      </c>
      <c r="N459" s="10">
        <f t="shared" si="60"/>
        <v>0</v>
      </c>
      <c r="O459"/>
    </row>
    <row r="460" spans="1:15">
      <c r="A460" s="11" t="s">
        <v>173</v>
      </c>
      <c r="B460" s="23">
        <v>0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10">
        <f t="shared" si="60"/>
        <v>0</v>
      </c>
      <c r="O460"/>
    </row>
    <row r="461" spans="1:15">
      <c r="A461" s="11" t="s">
        <v>174</v>
      </c>
      <c r="B461" s="23">
        <v>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10">
        <f t="shared" si="60"/>
        <v>0</v>
      </c>
      <c r="O461"/>
    </row>
    <row r="462" spans="1:15">
      <c r="A462" s="11" t="s">
        <v>175</v>
      </c>
      <c r="B462" s="23">
        <v>0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0</v>
      </c>
      <c r="N462" s="10">
        <f t="shared" si="60"/>
        <v>0</v>
      </c>
      <c r="O462" s="39"/>
    </row>
    <row r="463" spans="1:15">
      <c r="A463" s="11" t="s">
        <v>176</v>
      </c>
      <c r="B463" s="23">
        <v>0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10">
        <f t="shared" si="60"/>
        <v>0</v>
      </c>
      <c r="O463" s="39"/>
    </row>
    <row r="464" spans="1:15">
      <c r="A464" s="11" t="s">
        <v>177</v>
      </c>
      <c r="B464" s="23">
        <v>0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10">
        <f t="shared" si="60"/>
        <v>0</v>
      </c>
      <c r="O464" s="39"/>
    </row>
    <row r="465" spans="1:15">
      <c r="A465" s="11" t="s">
        <v>178</v>
      </c>
      <c r="B465" s="23">
        <v>0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10">
        <f t="shared" si="60"/>
        <v>0</v>
      </c>
      <c r="O465" s="39"/>
    </row>
    <row r="466" spans="1:15">
      <c r="A466" s="11" t="s">
        <v>67</v>
      </c>
      <c r="B466" s="23">
        <f t="shared" ref="B466:M466" si="61">SUM(B448:B465)</f>
        <v>0</v>
      </c>
      <c r="C466" s="23">
        <f t="shared" si="61"/>
        <v>0</v>
      </c>
      <c r="D466" s="23">
        <f t="shared" si="61"/>
        <v>0</v>
      </c>
      <c r="E466" s="23">
        <f t="shared" si="61"/>
        <v>0</v>
      </c>
      <c r="F466" s="23">
        <f t="shared" si="61"/>
        <v>0</v>
      </c>
      <c r="G466" s="23">
        <f t="shared" si="61"/>
        <v>0</v>
      </c>
      <c r="H466" s="23">
        <f t="shared" si="61"/>
        <v>0</v>
      </c>
      <c r="I466" s="23">
        <f t="shared" si="61"/>
        <v>0</v>
      </c>
      <c r="J466" s="23">
        <f t="shared" si="61"/>
        <v>0</v>
      </c>
      <c r="K466" s="23">
        <f t="shared" si="61"/>
        <v>0</v>
      </c>
      <c r="L466" s="23">
        <f t="shared" si="61"/>
        <v>0</v>
      </c>
      <c r="M466" s="23">
        <f t="shared" si="61"/>
        <v>0</v>
      </c>
      <c r="N466" s="10">
        <f t="shared" si="60"/>
        <v>0</v>
      </c>
    </row>
    <row r="467" spans="1:15">
      <c r="A467" s="11"/>
      <c r="N467" s="10"/>
    </row>
    <row r="468" spans="1:15" ht="16.5" thickBot="1">
      <c r="A468" s="14" t="s">
        <v>28</v>
      </c>
      <c r="B468" s="25">
        <f t="shared" ref="B468:M468" si="62">+B466+B445+B424</f>
        <v>0</v>
      </c>
      <c r="C468" s="25">
        <f t="shared" si="62"/>
        <v>0</v>
      </c>
      <c r="D468" s="25">
        <f t="shared" si="62"/>
        <v>0</v>
      </c>
      <c r="E468" s="25">
        <f t="shared" si="62"/>
        <v>0</v>
      </c>
      <c r="F468" s="25">
        <f t="shared" si="62"/>
        <v>0</v>
      </c>
      <c r="G468" s="25">
        <f t="shared" si="62"/>
        <v>0</v>
      </c>
      <c r="H468" s="25">
        <f t="shared" si="62"/>
        <v>0</v>
      </c>
      <c r="I468" s="25">
        <f t="shared" si="62"/>
        <v>0</v>
      </c>
      <c r="J468" s="25">
        <f t="shared" si="62"/>
        <v>0</v>
      </c>
      <c r="K468" s="25">
        <f t="shared" si="62"/>
        <v>0</v>
      </c>
      <c r="L468" s="25">
        <f t="shared" si="62"/>
        <v>0</v>
      </c>
      <c r="M468" s="25">
        <f t="shared" si="62"/>
        <v>0</v>
      </c>
      <c r="N468" s="15">
        <f>+N466+N425+N445+N424</f>
        <v>0</v>
      </c>
    </row>
    <row r="469" spans="1:15">
      <c r="A469" s="2" t="s">
        <v>179</v>
      </c>
    </row>
    <row r="470" spans="1:15">
      <c r="A470" s="2" t="s">
        <v>180</v>
      </c>
    </row>
    <row r="471" spans="1:15">
      <c r="A471" s="2" t="s">
        <v>181</v>
      </c>
    </row>
    <row r="472" spans="1:15">
      <c r="A472" s="2" t="s">
        <v>182</v>
      </c>
    </row>
    <row r="473" spans="1:15">
      <c r="A473" s="2" t="s">
        <v>183</v>
      </c>
    </row>
  </sheetData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tabSelected="1" zoomScaleNormal="100" workbookViewId="0">
      <pane xSplit="1" ySplit="7" topLeftCell="B8" activePane="bottomRight" state="frozen"/>
      <selection pane="bottomRight" activeCell="N37" sqref="N37"/>
      <selection pane="bottomLeft" activeCell="A8" sqref="A8"/>
      <selection pane="topRight" activeCell="B1" sqref="B1"/>
    </sheetView>
  </sheetViews>
  <sheetFormatPr defaultColWidth="9.140625" defaultRowHeight="12.75"/>
  <cols>
    <col min="1" max="1" width="36.85546875" style="2" bestFit="1" customWidth="1"/>
    <col min="2" max="2" width="15.5703125" style="23" bestFit="1" customWidth="1"/>
    <col min="3" max="3" width="12.85546875" style="23" bestFit="1" customWidth="1"/>
    <col min="4" max="5" width="15.5703125" style="23" customWidth="1"/>
    <col min="6" max="6" width="14.5703125" style="23" customWidth="1"/>
    <col min="7" max="10" width="15.5703125" style="23" customWidth="1"/>
    <col min="11" max="13" width="14.5703125" style="23" customWidth="1"/>
    <col min="14" max="14" width="16.5703125" style="23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184</v>
      </c>
    </row>
    <row r="2" spans="1:14" ht="15.75" customHeight="1">
      <c r="A2" s="3" t="s">
        <v>185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87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90" t="s">
        <v>3</v>
      </c>
    </row>
    <row r="7" spans="1:14" ht="16.5" thickBot="1">
      <c r="A7" s="5" t="s">
        <v>3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186</v>
      </c>
      <c r="K7" s="38" t="s">
        <v>187</v>
      </c>
      <c r="L7" s="24" t="s">
        <v>188</v>
      </c>
      <c r="M7" s="24" t="s">
        <v>189</v>
      </c>
      <c r="N7" s="26" t="s">
        <v>17</v>
      </c>
    </row>
    <row r="8" spans="1:14" ht="15.75">
      <c r="A8" s="8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34"/>
    </row>
    <row r="9" spans="1:14" ht="14.25">
      <c r="A9" s="19" t="s">
        <v>190</v>
      </c>
      <c r="B9" s="94"/>
      <c r="N9" s="27"/>
    </row>
    <row r="10" spans="1:14">
      <c r="A10" s="11" t="s">
        <v>191</v>
      </c>
      <c r="B10" s="94">
        <v>-54464774.040000007</v>
      </c>
      <c r="C10" s="94">
        <f>B25</f>
        <v>-30414341.690000009</v>
      </c>
      <c r="D10" s="94">
        <f>C25</f>
        <v>-40100245.360000014</v>
      </c>
      <c r="E10" s="94">
        <f>D25</f>
        <v>-42840424.517788023</v>
      </c>
      <c r="F10" s="94">
        <f>E25</f>
        <v>-10970998.260000017</v>
      </c>
      <c r="G10" s="94">
        <v>0</v>
      </c>
      <c r="H10" s="94">
        <f t="shared" ref="H10:M10" si="0">G25</f>
        <v>0</v>
      </c>
      <c r="I10" s="94">
        <f t="shared" si="0"/>
        <v>0</v>
      </c>
      <c r="J10" s="94">
        <f t="shared" si="0"/>
        <v>0</v>
      </c>
      <c r="K10" s="94">
        <f t="shared" si="0"/>
        <v>0</v>
      </c>
      <c r="L10" s="94">
        <f t="shared" si="0"/>
        <v>0</v>
      </c>
      <c r="M10" s="94">
        <f t="shared" si="0"/>
        <v>0</v>
      </c>
      <c r="N10" s="27" t="s">
        <v>192</v>
      </c>
    </row>
    <row r="11" spans="1:14">
      <c r="A11" s="11" t="s">
        <v>193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27">
        <f>SUM(B11:M11)</f>
        <v>0</v>
      </c>
    </row>
    <row r="12" spans="1:14">
      <c r="A12" s="51" t="s">
        <v>194</v>
      </c>
      <c r="B12" s="30">
        <f>'Table G-1'!B20</f>
        <v>13840012.85</v>
      </c>
      <c r="C12" s="30">
        <f>'Table G-1'!C20</f>
        <v>12073924.850000001</v>
      </c>
      <c r="D12" s="30">
        <f>'Table G-1'!D20</f>
        <v>10156977.120000001</v>
      </c>
      <c r="E12" s="30">
        <f>'Table G-1'!E20</f>
        <v>8377063.1799999997</v>
      </c>
      <c r="F12" s="30">
        <f>'Table G-1'!F20</f>
        <v>7545681.0488053439</v>
      </c>
      <c r="G12" s="30">
        <f>'Table G-1'!G20</f>
        <v>0</v>
      </c>
      <c r="H12" s="30">
        <f>'Table G-1'!H20</f>
        <v>0</v>
      </c>
      <c r="I12" s="30">
        <f>'Table G-1'!I20</f>
        <v>0</v>
      </c>
      <c r="J12" s="30">
        <f>'Table G-1'!J20</f>
        <v>0</v>
      </c>
      <c r="K12" s="30">
        <f>'Table G-1'!K20</f>
        <v>0</v>
      </c>
      <c r="L12" s="30">
        <f>'Table G-1'!L20</f>
        <v>0</v>
      </c>
      <c r="M12" s="30">
        <f>'Table G-1'!M20</f>
        <v>0</v>
      </c>
      <c r="N12" s="95">
        <f>SUM(B12:M12)</f>
        <v>51993659.048805349</v>
      </c>
    </row>
    <row r="13" spans="1:14">
      <c r="A13" s="22" t="s">
        <v>195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95">
        <f t="shared" ref="N13:N24" si="1">SUM(B13:M13)</f>
        <v>0</v>
      </c>
    </row>
    <row r="14" spans="1:14">
      <c r="A14" s="11" t="s">
        <v>196</v>
      </c>
      <c r="B14" s="30">
        <f>'Table G-4'!B20+'Table G-4'!B11</f>
        <v>-27532316</v>
      </c>
      <c r="C14" s="30">
        <f>'Table G-4'!C20+'Table G-4'!C11</f>
        <v>0</v>
      </c>
      <c r="D14" s="30">
        <f>'Table G-4'!D20+'Table G-4'!D11</f>
        <v>0</v>
      </c>
      <c r="E14" s="30">
        <f>'Table G-4'!E20+'Table G-4'!E11</f>
        <v>-36070915</v>
      </c>
      <c r="F14" s="30">
        <f>'Table G-4'!F20+'Table G-4'!F11</f>
        <v>0</v>
      </c>
      <c r="G14" s="30">
        <f>'Table G-4'!G20+'Table G-4'!G11</f>
        <v>0</v>
      </c>
      <c r="H14" s="30">
        <f>'Table G-4'!H20+'Table G-4'!H11</f>
        <v>0</v>
      </c>
      <c r="I14" s="30">
        <f>'Table G-4'!I20+'Table G-4'!I11</f>
        <v>0</v>
      </c>
      <c r="J14" s="30">
        <f>'Table G-4'!J20+'Table G-4'!J11</f>
        <v>0</v>
      </c>
      <c r="K14" s="30">
        <f>'Table G-4'!K20+'Table G-4'!K11</f>
        <v>0</v>
      </c>
      <c r="L14" s="30">
        <f>'Table G-4'!L20+'Table G-4'!L11</f>
        <v>0</v>
      </c>
      <c r="M14" s="30">
        <f>'Table G-4'!M20+'Table G-4'!M11</f>
        <v>0</v>
      </c>
      <c r="N14" s="95">
        <f t="shared" si="1"/>
        <v>-63603231</v>
      </c>
    </row>
    <row r="15" spans="1:14">
      <c r="A15" s="51" t="s">
        <v>197</v>
      </c>
      <c r="B15" s="30">
        <v>-6073</v>
      </c>
      <c r="C15" s="30">
        <v>-7736</v>
      </c>
      <c r="D15" s="30">
        <v>-13348</v>
      </c>
      <c r="E15" s="30">
        <v>-38252</v>
      </c>
      <c r="F15" s="30">
        <v>-45706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95">
        <f t="shared" si="1"/>
        <v>-111115</v>
      </c>
    </row>
    <row r="16" spans="1:14">
      <c r="A16" s="11" t="s">
        <v>198</v>
      </c>
      <c r="B16" s="56">
        <f>'Table G-2'!B83+'Table G-2'!B159+'Table G-2'!B228+'Table G-2'!B302+'Table G-2'!B359+'Table G-2'!B419+'Table G-2'!B468</f>
        <v>2678120</v>
      </c>
      <c r="C16" s="56">
        <f>'Table G-2'!C83+'Table G-2'!C159+'Table G-2'!C228+'Table G-2'!C302+'Table G-2'!C359+'Table G-2'!C419+'Table G-2'!C468</f>
        <v>3623179.69</v>
      </c>
      <c r="D16" s="56">
        <f>'Table G-2'!D83+'Table G-2'!D159+'Table G-2'!D228+'Table G-2'!D302+'Table G-2'!D359+'Table G-2'!D419+'Table G-2'!D468</f>
        <v>17384288</v>
      </c>
      <c r="E16" s="56">
        <f>'Table G-2'!E83+'Table G-2'!E159+'Table G-2'!E228+'Table G-2'!E302+'Table G-2'!E359+'Table G-2'!E419+'Table G-2'!E468</f>
        <v>-531477.14000000013</v>
      </c>
      <c r="F16" s="56">
        <f>'Table G-2'!F83+'Table G-2'!F159+'Table G-2'!F228+'Table G-2'!F302+'Table G-2'!F359+'Table G-2'!F419+'Table G-2'!F468</f>
        <v>95763.80000000009</v>
      </c>
      <c r="G16" s="56">
        <f>'Table G-2'!G83+'Table G-2'!G159+'Table G-2'!G228+'Table G-2'!G302+'Table G-2'!G359+'Table G-2'!G419+'Table G-2'!G468</f>
        <v>0</v>
      </c>
      <c r="H16" s="56">
        <f>'Table G-2'!H83+'Table G-2'!H159+'Table G-2'!H228+'Table G-2'!H302+'Table G-2'!H359+'Table G-2'!H419+'Table G-2'!H468</f>
        <v>0</v>
      </c>
      <c r="I16" s="56">
        <f>'Table G-2'!I83+'Table G-2'!I159+'Table G-2'!I228+'Table G-2'!I302+'Table G-2'!I359+'Table G-2'!I419+'Table G-2'!I468</f>
        <v>0</v>
      </c>
      <c r="J16" s="56">
        <f>'Table G-2'!J83+'Table G-2'!J159+'Table G-2'!J228+'Table G-2'!J302+'Table G-2'!J359+'Table G-2'!J419+'Table G-2'!J468</f>
        <v>0</v>
      </c>
      <c r="K16" s="56">
        <f>'Table G-2'!K83+'Table G-2'!K159+'Table G-2'!K228+'Table G-2'!K302+'Table G-2'!K359+'Table G-2'!K419+'Table G-2'!K468</f>
        <v>0</v>
      </c>
      <c r="L16" s="56">
        <f>'Table G-2'!L83+'Table G-2'!L159+'Table G-2'!L228+'Table G-2'!L302+'Table G-2'!L359+'Table G-2'!L419+'Table G-2'!L468</f>
        <v>0</v>
      </c>
      <c r="M16" s="56">
        <f>'Table G-2'!M83+'Table G-2'!M159+'Table G-2'!M228+'Table G-2'!M302+'Table G-2'!M359+'Table G-2'!M419+'Table G-2'!M468</f>
        <v>0</v>
      </c>
      <c r="N16" s="95">
        <f t="shared" si="1"/>
        <v>23249874.349999998</v>
      </c>
    </row>
    <row r="17" spans="1:16">
      <c r="A17" s="51" t="s">
        <v>199</v>
      </c>
      <c r="B17" s="30">
        <f>'Table G-4'!B9+'Table G-4'!B18</f>
        <v>19564752</v>
      </c>
      <c r="C17" s="30">
        <f>'Table G-4'!C9+'Table G-4'!C18</f>
        <v>0</v>
      </c>
      <c r="D17" s="30">
        <f>'Table G-4'!D9+'Table G-4'!D18</f>
        <v>27532316</v>
      </c>
      <c r="E17" s="30">
        <f>'Table G-4'!E9+'Table G-4'!E18</f>
        <v>0</v>
      </c>
      <c r="F17" s="30">
        <f>'Table G-4'!F9+'Table G-4'!F18</f>
        <v>0</v>
      </c>
      <c r="G17" s="30">
        <f>'Table G-4'!G9+'Table G-4'!G18</f>
        <v>0</v>
      </c>
      <c r="H17" s="30">
        <f>'Table G-4'!H9+'Table G-4'!H18</f>
        <v>0</v>
      </c>
      <c r="I17" s="30">
        <f>'Table G-4'!I9+'Table G-4'!I18</f>
        <v>0</v>
      </c>
      <c r="J17" s="30">
        <f>'Table G-4'!J9+'Table G-4'!J18</f>
        <v>0</v>
      </c>
      <c r="K17" s="30">
        <f>'Table G-4'!K9+'Table G-4'!K18</f>
        <v>0</v>
      </c>
      <c r="L17" s="30">
        <f>'Table G-4'!L9+'Table G-4'!L18</f>
        <v>0</v>
      </c>
      <c r="M17" s="30">
        <f>'Table G-4'!M9+'Table G-4'!M18</f>
        <v>0</v>
      </c>
      <c r="N17" s="95">
        <f t="shared" si="1"/>
        <v>47097068</v>
      </c>
      <c r="O17" s="58"/>
      <c r="P17"/>
    </row>
    <row r="18" spans="1:16" ht="14.25">
      <c r="A18" s="49" t="s">
        <v>200</v>
      </c>
      <c r="B18" s="30">
        <v>6021482.75</v>
      </c>
      <c r="C18" s="30">
        <v>-1024043</v>
      </c>
      <c r="D18" s="30">
        <v>-4511499.0999999996</v>
      </c>
      <c r="E18" s="30">
        <v>5008235.18</v>
      </c>
      <c r="F18" s="30"/>
      <c r="G18" s="30"/>
      <c r="H18" s="30"/>
      <c r="I18" s="30"/>
      <c r="J18" s="30"/>
      <c r="K18" s="30"/>
      <c r="L18" s="30"/>
      <c r="M18" s="30"/>
      <c r="N18" s="27">
        <f t="shared" ref="N18:N20" si="2">SUM(B18:M18)</f>
        <v>5494175.8300000001</v>
      </c>
      <c r="O18" s="58"/>
      <c r="P18"/>
    </row>
    <row r="19" spans="1:16" ht="14.25">
      <c r="A19" s="49" t="s">
        <v>201</v>
      </c>
      <c r="B19" s="30">
        <v>0</v>
      </c>
      <c r="C19" s="30">
        <f>'Table G-4'!C10+'Table G-4'!C19</f>
        <v>0</v>
      </c>
      <c r="D19" s="30">
        <v>22697406.722211994</v>
      </c>
      <c r="E19" s="30">
        <v>-55391.722211994231</v>
      </c>
      <c r="F19" s="30">
        <v>-370100.27778800204</v>
      </c>
      <c r="G19" s="30">
        <f>'Table G-4'!G10+'Table G-4'!G19</f>
        <v>0</v>
      </c>
      <c r="H19" s="30">
        <f>'Table G-4'!H10+'Table G-4'!H19</f>
        <v>0</v>
      </c>
      <c r="I19" s="30">
        <f>'Table G-4'!I10+'Table G-4'!I19</f>
        <v>0</v>
      </c>
      <c r="J19" s="30">
        <f>'Table G-4'!J10+'Table G-4'!J19</f>
        <v>0</v>
      </c>
      <c r="K19" s="30">
        <f>'Table G-4'!K10+'Table G-4'!K19</f>
        <v>0</v>
      </c>
      <c r="L19" s="30">
        <f>'Table G-4'!L10+'Table G-4'!L19</f>
        <v>0</v>
      </c>
      <c r="M19" s="30">
        <f>'Table G-4'!M10+'Table G-4'!M19</f>
        <v>0</v>
      </c>
      <c r="N19" s="27">
        <f t="shared" si="2"/>
        <v>22271914.722211998</v>
      </c>
      <c r="P19" s="57"/>
    </row>
    <row r="20" spans="1:16" ht="14.25">
      <c r="A20" s="49" t="s">
        <v>202</v>
      </c>
      <c r="B20" s="30">
        <v>5718251.9900000002</v>
      </c>
      <c r="C20" s="30">
        <v>50670</v>
      </c>
      <c r="D20" s="30">
        <v>-430976.11000000034</v>
      </c>
      <c r="E20" s="30">
        <v>-207539.87999999989</v>
      </c>
      <c r="F20" s="30">
        <v>2232366.7000000002</v>
      </c>
      <c r="G20" s="30">
        <f>'Table G-4'!G11+'Table G-4'!G20</f>
        <v>0</v>
      </c>
      <c r="H20" s="30">
        <f>'Table G-4'!H11+'Table G-4'!H20</f>
        <v>0</v>
      </c>
      <c r="I20" s="30">
        <f>'Table G-4'!I11+'Table G-4'!I20</f>
        <v>0</v>
      </c>
      <c r="J20" s="30">
        <f>'Table G-4'!J11+'Table G-4'!J20</f>
        <v>0</v>
      </c>
      <c r="K20" s="30">
        <f>'Table G-4'!K11+'Table G-4'!K20</f>
        <v>0</v>
      </c>
      <c r="L20" s="30">
        <f>'Table G-4'!L11+'Table G-4'!L20</f>
        <v>0</v>
      </c>
      <c r="M20" s="30">
        <f>'Table G-4'!M11+'Table G-4'!M20</f>
        <v>0</v>
      </c>
      <c r="N20" s="27">
        <f t="shared" si="2"/>
        <v>7362772.7000000002</v>
      </c>
      <c r="P20" s="57"/>
    </row>
    <row r="21" spans="1:16" ht="14.25">
      <c r="A21" s="49" t="s">
        <v>203</v>
      </c>
      <c r="B21" s="30">
        <v>386166.58999999997</v>
      </c>
      <c r="C21" s="30">
        <f>'Table G-4'!C12+'Table G-4'!C21</f>
        <v>0</v>
      </c>
      <c r="D21" s="30">
        <f>'Table G-4'!D12+'Table G-4'!D21</f>
        <v>0</v>
      </c>
      <c r="E21" s="30">
        <f>'Table G-4'!E12+'Table G-4'!E21</f>
        <v>0</v>
      </c>
      <c r="F21" s="30">
        <v>-179877.49999999997</v>
      </c>
      <c r="G21" s="30">
        <f>'Table G-4'!G12+'Table G-4'!G21</f>
        <v>0</v>
      </c>
      <c r="H21" s="30">
        <f>'Table G-4'!H12+'Table G-4'!H21</f>
        <v>0</v>
      </c>
      <c r="I21" s="30">
        <f>'Table G-4'!I12+'Table G-4'!I21</f>
        <v>0</v>
      </c>
      <c r="J21" s="30">
        <f>'Table G-4'!J12+'Table G-4'!J21</f>
        <v>0</v>
      </c>
      <c r="K21" s="30">
        <f>'Table G-4'!K12+'Table G-4'!K21</f>
        <v>0</v>
      </c>
      <c r="L21" s="30">
        <f>'Table G-4'!L12+'Table G-4'!L21</f>
        <v>0</v>
      </c>
      <c r="M21" s="30">
        <f>'Table G-4'!M12+'Table G-4'!M21</f>
        <v>0</v>
      </c>
      <c r="N21" s="27">
        <f t="shared" ref="N21" si="3">SUM(B21:M21)</f>
        <v>206289.09</v>
      </c>
      <c r="O21" s="39"/>
    </row>
    <row r="22" spans="1:16" ht="14.25">
      <c r="A22" s="49" t="s">
        <v>204</v>
      </c>
      <c r="B22" s="30">
        <v>1450092.5499999998</v>
      </c>
      <c r="C22" s="30">
        <f>'Table G-4'!C13+'Table G-4'!C22</f>
        <v>0</v>
      </c>
      <c r="D22" s="30">
        <f>'Table G-4'!D13+'Table G-4'!D22</f>
        <v>0</v>
      </c>
      <c r="E22" s="30">
        <v>0</v>
      </c>
      <c r="F22" s="30">
        <v>-1152065.1399999997</v>
      </c>
      <c r="G22" s="30">
        <f>'Table G-4'!G13+'Table G-4'!G22</f>
        <v>0</v>
      </c>
      <c r="H22" s="30">
        <f>'Table G-4'!H13+'Table G-4'!H22</f>
        <v>0</v>
      </c>
      <c r="I22" s="30">
        <f>'Table G-4'!I13+'Table G-4'!I22</f>
        <v>0</v>
      </c>
      <c r="J22" s="30">
        <f>'Table G-4'!J13+'Table G-4'!J22</f>
        <v>0</v>
      </c>
      <c r="K22" s="30">
        <f>'Table G-4'!K13+'Table G-4'!K22</f>
        <v>0</v>
      </c>
      <c r="L22" s="30">
        <f>'Table G-4'!L13+'Table G-4'!L22</f>
        <v>0</v>
      </c>
      <c r="M22" s="30">
        <f>'Table G-4'!M13+'Table G-4'!M22</f>
        <v>0</v>
      </c>
      <c r="N22" s="27">
        <f t="shared" ref="N22" si="4">SUM(B22:M22)</f>
        <v>298027.41000000015</v>
      </c>
    </row>
    <row r="23" spans="1:16" ht="14.25">
      <c r="A23" s="49" t="s">
        <v>205</v>
      </c>
      <c r="B23" s="30">
        <v>12336051.209999997</v>
      </c>
      <c r="C23" s="30">
        <v>-254049.51000000164</v>
      </c>
      <c r="D23" s="30">
        <v>-176757.54999999888</v>
      </c>
      <c r="E23" s="30">
        <v>0</v>
      </c>
      <c r="F23" s="30">
        <v>-6638660.6199999973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27">
        <f t="shared" si="1"/>
        <v>5266583.5299999993</v>
      </c>
    </row>
    <row r="24" spans="1:16" ht="15" thickBot="1">
      <c r="A24" s="49" t="s">
        <v>206</v>
      </c>
      <c r="B24" s="31">
        <v>1338789.1100000003</v>
      </c>
      <c r="C24" s="31">
        <v>0</v>
      </c>
      <c r="D24" s="31">
        <v>0</v>
      </c>
      <c r="E24" s="31">
        <v>0</v>
      </c>
      <c r="F24" s="31">
        <v>-1338789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27">
        <f t="shared" si="1"/>
        <v>0.11000000033527613</v>
      </c>
    </row>
    <row r="25" spans="1:16">
      <c r="A25" s="87" t="s">
        <v>207</v>
      </c>
      <c r="B25" s="30">
        <f>B10+B16-(B12+B14+B17)+B15+B18+B19+B20+B21+B22+B23+B24</f>
        <v>-30414341.690000009</v>
      </c>
      <c r="C25" s="30">
        <f t="shared" ref="C25:M25" si="5">C10+C16-(C12+C14+C17)+C15+C18+C19+C20+C21+C22+C23+C24</f>
        <v>-40100245.360000014</v>
      </c>
      <c r="D25" s="30">
        <f t="shared" si="5"/>
        <v>-42840424.517788023</v>
      </c>
      <c r="E25" s="30">
        <f t="shared" si="5"/>
        <v>-10970998.260000017</v>
      </c>
      <c r="F25" s="30">
        <f t="shared" si="5"/>
        <v>-25913747.346593361</v>
      </c>
      <c r="G25" s="30">
        <f t="shared" si="5"/>
        <v>0</v>
      </c>
      <c r="H25" s="30">
        <f t="shared" si="5"/>
        <v>0</v>
      </c>
      <c r="I25" s="30">
        <f t="shared" si="5"/>
        <v>0</v>
      </c>
      <c r="J25" s="30">
        <f t="shared" si="5"/>
        <v>0</v>
      </c>
      <c r="K25" s="30">
        <f t="shared" si="5"/>
        <v>0</v>
      </c>
      <c r="L25" s="30">
        <f t="shared" si="5"/>
        <v>0</v>
      </c>
      <c r="M25" s="30">
        <f t="shared" si="5"/>
        <v>0</v>
      </c>
      <c r="N25" s="96" t="s">
        <v>192</v>
      </c>
    </row>
    <row r="26" spans="1:16" ht="13.5" thickBot="1">
      <c r="A26" s="47"/>
      <c r="B26" s="48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7"/>
    </row>
    <row r="27" spans="1:16">
      <c r="A27" s="12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</row>
    <row r="28" spans="1:16">
      <c r="A28" s="54" t="s">
        <v>208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</row>
    <row r="29" spans="1:16">
      <c r="A29" s="52" t="s">
        <v>209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</row>
    <row r="30" spans="1:16">
      <c r="A30" s="52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</row>
    <row r="31" spans="1:16">
      <c r="A31" s="54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</row>
    <row r="32" spans="1:16">
      <c r="A32" s="21"/>
      <c r="B32" s="30"/>
      <c r="C32" s="30"/>
      <c r="D32" s="30"/>
      <c r="E32" s="30"/>
      <c r="F32"/>
      <c r="G32" s="30"/>
      <c r="H32" s="30"/>
      <c r="I32" s="30"/>
      <c r="J32" s="30"/>
      <c r="K32" s="30"/>
      <c r="L32" s="30"/>
      <c r="M32" s="30"/>
      <c r="N32" s="30"/>
    </row>
    <row r="33" spans="1:17" customFormat="1">
      <c r="A33" s="54"/>
      <c r="B33" s="30"/>
      <c r="C33" s="30"/>
      <c r="D33" s="30"/>
      <c r="E33" s="39"/>
      <c r="F33" s="32"/>
      <c r="G33" s="32"/>
      <c r="H33" s="32"/>
      <c r="I33" s="32"/>
      <c r="J33" s="32"/>
      <c r="K33" s="32"/>
      <c r="L33" s="32"/>
      <c r="M33" s="32"/>
      <c r="N33" s="32"/>
      <c r="Q33" s="2"/>
    </row>
    <row r="34" spans="1:17">
      <c r="A34" s="46"/>
      <c r="B34" s="41"/>
      <c r="C34" s="41"/>
      <c r="D34" s="42"/>
      <c r="E34" s="42"/>
      <c r="F34" s="42"/>
      <c r="G34" s="30"/>
      <c r="H34" s="30"/>
      <c r="I34" s="30"/>
      <c r="J34" s="30"/>
      <c r="K34" s="30"/>
      <c r="L34" s="30"/>
      <c r="M34" s="30"/>
      <c r="N34" s="30"/>
    </row>
    <row r="35" spans="1:17">
      <c r="A35" s="43"/>
      <c r="B35" s="41"/>
      <c r="C35" s="41"/>
      <c r="D35" s="42"/>
      <c r="E35" s="44"/>
      <c r="F35" s="45"/>
      <c r="G35" s="30"/>
      <c r="H35" s="30"/>
      <c r="I35" s="30"/>
      <c r="J35" s="30"/>
      <c r="K35" s="30"/>
      <c r="L35" s="30"/>
      <c r="M35" s="30"/>
      <c r="N35" s="30"/>
    </row>
    <row r="36" spans="1:17" ht="12.75" customHeight="1">
      <c r="A36" s="43"/>
      <c r="B36" s="41"/>
      <c r="C36" s="41"/>
      <c r="D36" s="42"/>
      <c r="E36" s="55"/>
      <c r="F36" s="42"/>
      <c r="G36" s="12"/>
      <c r="H36" s="30"/>
      <c r="I36" s="30"/>
      <c r="J36" s="30"/>
      <c r="K36" s="30"/>
      <c r="L36" s="30"/>
      <c r="M36" s="30"/>
      <c r="N36" s="30"/>
    </row>
    <row r="37" spans="1:17" ht="12.75" customHeight="1">
      <c r="A37" s="43"/>
      <c r="B37" s="41"/>
      <c r="C37" s="41"/>
      <c r="D37" s="42"/>
      <c r="E37" s="44"/>
      <c r="F37" s="45"/>
      <c r="G37" s="30"/>
      <c r="H37" s="30"/>
      <c r="I37" s="30"/>
      <c r="J37" s="30"/>
      <c r="K37" s="30"/>
      <c r="L37" s="30"/>
      <c r="M37" s="30"/>
      <c r="N37" s="30"/>
    </row>
    <row r="38" spans="1:17" ht="12.75" customHeight="1">
      <c r="A38" s="43"/>
      <c r="B38" s="41"/>
      <c r="C38" s="41"/>
      <c r="D38" s="42"/>
      <c r="E38" s="44"/>
      <c r="F38" s="45"/>
      <c r="G38" s="30"/>
      <c r="H38" s="30"/>
      <c r="I38" s="30"/>
      <c r="J38" s="30"/>
      <c r="K38" s="30"/>
      <c r="L38" s="30"/>
      <c r="M38" s="30"/>
      <c r="N38" s="30"/>
    </row>
    <row r="39" spans="1:17" ht="12.75" customHeight="1">
      <c r="A39" s="43"/>
      <c r="B39" s="41"/>
      <c r="C39" s="41"/>
      <c r="D39" s="42"/>
      <c r="E39" s="44"/>
      <c r="F39" s="45"/>
      <c r="G39" s="30"/>
      <c r="H39" s="30"/>
      <c r="I39" s="30"/>
      <c r="J39" s="30"/>
      <c r="K39" s="30"/>
      <c r="L39" s="30"/>
      <c r="M39" s="30"/>
      <c r="N39" s="30"/>
    </row>
    <row r="40" spans="1:17" ht="12.75" customHeight="1">
      <c r="A40" s="43"/>
      <c r="B40" s="41"/>
      <c r="C40" s="41"/>
      <c r="D40" s="42"/>
      <c r="E40" s="44"/>
      <c r="F40" s="45"/>
      <c r="G40" s="30"/>
      <c r="H40" s="30"/>
      <c r="I40" s="30"/>
      <c r="J40" s="30"/>
      <c r="K40" s="30"/>
      <c r="L40" s="30"/>
      <c r="M40" s="30"/>
      <c r="N40" s="30"/>
    </row>
    <row r="41" spans="1:17" ht="12.75" customHeight="1">
      <c r="A41" s="43"/>
      <c r="B41" s="41"/>
      <c r="C41" s="41"/>
      <c r="D41" s="42"/>
      <c r="E41" s="44"/>
      <c r="F41" s="45"/>
      <c r="G41" s="30"/>
      <c r="H41" s="30"/>
      <c r="I41" s="30"/>
      <c r="J41" s="30"/>
      <c r="K41" s="30"/>
      <c r="L41" s="30"/>
      <c r="M41" s="30"/>
      <c r="N41" s="30"/>
    </row>
    <row r="42" spans="1:17" ht="12.75" customHeight="1">
      <c r="A42" s="12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</row>
    <row r="43" spans="1:17" ht="12.75" customHeight="1">
      <c r="A43" s="12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</row>
    <row r="44" spans="1:17" ht="12.75" customHeight="1">
      <c r="A44" s="1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</row>
    <row r="45" spans="1:17" ht="12.75" customHeight="1">
      <c r="A45" s="12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</row>
    <row r="46" spans="1:17" ht="12.75" customHeight="1">
      <c r="A46" s="12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</row>
    <row r="47" spans="1:17" ht="12.75" customHeight="1">
      <c r="A47" s="12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</row>
    <row r="48" spans="1:17" ht="12.75" customHeight="1">
      <c r="A48" s="12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</row>
    <row r="49" spans="1:14" ht="12.75" customHeight="1">
      <c r="A49" s="12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</row>
    <row r="50" spans="1:14" ht="12.75" customHeight="1">
      <c r="A50" s="12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</row>
    <row r="51" spans="1:14" ht="12.75" customHeight="1">
      <c r="A51" s="12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</row>
    <row r="52" spans="1:14" ht="12.75" customHeight="1">
      <c r="A52" s="12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</row>
    <row r="53" spans="1:14" ht="12.75" customHeight="1">
      <c r="A53" s="12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</row>
    <row r="54" spans="1:14" ht="12.75" customHeight="1">
      <c r="A54" s="12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</row>
    <row r="55" spans="1:14" ht="12.75" customHeight="1">
      <c r="A55" s="12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</row>
    <row r="56" spans="1:14" ht="12.75" customHeight="1">
      <c r="A56" s="12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</row>
    <row r="57" spans="1:14" ht="12.75" customHeight="1">
      <c r="A57" s="12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</row>
    <row r="58" spans="1:14" ht="12.75" customHeight="1">
      <c r="A58" s="12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</row>
    <row r="59" spans="1:14" ht="12.75" customHeight="1">
      <c r="A59" s="12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</row>
    <row r="60" spans="1:14" ht="12.75" customHeight="1">
      <c r="A60" s="12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</row>
    <row r="61" spans="1:14" ht="12.75" customHeight="1">
      <c r="A61" s="12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</row>
    <row r="62" spans="1:14" ht="12.75" customHeight="1">
      <c r="A62" s="12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</row>
    <row r="63" spans="1:14" ht="12.75" customHeight="1">
      <c r="A63" s="12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</row>
    <row r="64" spans="1:14" ht="12.75" customHeight="1">
      <c r="A64" s="12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B8" activePane="bottomRight" state="frozen"/>
      <selection pane="bottomRight" activeCell="E12" sqref="E12"/>
      <selection pane="bottomLeft" activeCell="A8" sqref="A8"/>
      <selection pane="topRight" activeCell="B1" sqref="B1"/>
    </sheetView>
  </sheetViews>
  <sheetFormatPr defaultColWidth="9.140625" defaultRowHeight="12.75"/>
  <cols>
    <col min="1" max="1" width="28.42578125" style="2" customWidth="1"/>
    <col min="2" max="2" width="14" style="23" bestFit="1" customWidth="1"/>
    <col min="3" max="3" width="11.42578125" style="23" bestFit="1" customWidth="1"/>
    <col min="4" max="4" width="11.85546875" style="23" bestFit="1" customWidth="1"/>
    <col min="5" max="5" width="14.42578125" style="23" bestFit="1" customWidth="1"/>
    <col min="6" max="8" width="11.85546875" style="23" bestFit="1" customWidth="1"/>
    <col min="9" max="9" width="10.85546875" style="23" bestFit="1" customWidth="1"/>
    <col min="10" max="10" width="11.42578125" style="23" bestFit="1" customWidth="1"/>
    <col min="11" max="12" width="11.85546875" style="23" bestFit="1" customWidth="1"/>
    <col min="13" max="13" width="11.42578125" style="23" bestFit="1" customWidth="1"/>
    <col min="14" max="14" width="12.42578125" style="23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210</v>
      </c>
    </row>
    <row r="2" spans="1:14" ht="15.75">
      <c r="A2" s="3" t="s">
        <v>211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87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90" t="s">
        <v>3</v>
      </c>
    </row>
    <row r="7" spans="1:14">
      <c r="A7" s="19" t="s">
        <v>212</v>
      </c>
      <c r="B7" s="29" t="s">
        <v>5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I7" s="29" t="s">
        <v>12</v>
      </c>
      <c r="J7" s="29" t="s">
        <v>13</v>
      </c>
      <c r="K7" s="29" t="s">
        <v>14</v>
      </c>
      <c r="L7" s="29" t="s">
        <v>15</v>
      </c>
      <c r="M7" s="29" t="s">
        <v>16</v>
      </c>
      <c r="N7" s="34" t="s">
        <v>17</v>
      </c>
    </row>
    <row r="8" spans="1:14">
      <c r="A8" s="11" t="s">
        <v>3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27"/>
    </row>
    <row r="9" spans="1:14">
      <c r="A9" s="9" t="s">
        <v>213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27">
        <f>SUM(B9:M9)</f>
        <v>0</v>
      </c>
    </row>
    <row r="10" spans="1:14">
      <c r="A10" s="11" t="s">
        <v>3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27"/>
    </row>
    <row r="11" spans="1:14">
      <c r="A11" s="9" t="s">
        <v>214</v>
      </c>
      <c r="B11" s="23">
        <v>0</v>
      </c>
      <c r="C11" s="30">
        <v>0</v>
      </c>
      <c r="D11" s="30">
        <v>0</v>
      </c>
      <c r="E11" s="30">
        <v>-36070915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27">
        <f>SUM(B11:M11)</f>
        <v>-36070915</v>
      </c>
    </row>
    <row r="12" spans="1:14">
      <c r="A12" s="11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27"/>
    </row>
    <row r="13" spans="1:14" ht="13.5" thickBot="1">
      <c r="A13" s="18" t="s">
        <v>215</v>
      </c>
      <c r="B13" s="33">
        <f>SUM(B9:B12)</f>
        <v>0</v>
      </c>
      <c r="C13" s="33">
        <f>SUM(C9:C11)</f>
        <v>0</v>
      </c>
      <c r="D13" s="33">
        <f>SUM(D10:D11)</f>
        <v>0</v>
      </c>
      <c r="E13" s="33">
        <f t="shared" ref="E13:M13" si="0">SUM(E9:E11)</f>
        <v>-36070915</v>
      </c>
      <c r="F13" s="33">
        <f t="shared" si="0"/>
        <v>0</v>
      </c>
      <c r="G13" s="33">
        <f t="shared" si="0"/>
        <v>0</v>
      </c>
      <c r="H13" s="33">
        <f t="shared" si="0"/>
        <v>0</v>
      </c>
      <c r="I13" s="33">
        <f t="shared" si="0"/>
        <v>0</v>
      </c>
      <c r="J13" s="33">
        <f t="shared" si="0"/>
        <v>0</v>
      </c>
      <c r="K13" s="33">
        <f t="shared" si="0"/>
        <v>0</v>
      </c>
      <c r="L13" s="33">
        <f t="shared" si="0"/>
        <v>0</v>
      </c>
      <c r="M13" s="33">
        <f t="shared" si="0"/>
        <v>0</v>
      </c>
      <c r="N13" s="35">
        <f>SUM(B13:M13)</f>
        <v>-36070915</v>
      </c>
    </row>
    <row r="14" spans="1:14" ht="16.5" thickBot="1">
      <c r="A14" s="4"/>
    </row>
    <row r="15" spans="1:14">
      <c r="A15" s="87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90" t="s">
        <v>3</v>
      </c>
    </row>
    <row r="16" spans="1:14">
      <c r="A16" s="19" t="s">
        <v>216</v>
      </c>
      <c r="B16" s="29" t="s">
        <v>5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I16" s="29" t="s">
        <v>12</v>
      </c>
      <c r="J16" s="29" t="s">
        <v>13</v>
      </c>
      <c r="K16" s="29" t="s">
        <v>14</v>
      </c>
      <c r="L16" s="29" t="s">
        <v>15</v>
      </c>
      <c r="M16" s="29" t="s">
        <v>16</v>
      </c>
      <c r="N16" s="34" t="s">
        <v>17</v>
      </c>
    </row>
    <row r="17" spans="1:14">
      <c r="A17" s="11" t="s">
        <v>3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7"/>
    </row>
    <row r="18" spans="1:14">
      <c r="A18" s="9" t="s">
        <v>213</v>
      </c>
      <c r="B18" s="30">
        <v>19564752</v>
      </c>
      <c r="C18" s="30">
        <v>0</v>
      </c>
      <c r="D18" s="30">
        <v>27532316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27">
        <f>SUM(B18:M18)</f>
        <v>47097068</v>
      </c>
    </row>
    <row r="19" spans="1:14">
      <c r="A19" s="11" t="s">
        <v>3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27"/>
    </row>
    <row r="20" spans="1:14">
      <c r="A20" s="9" t="s">
        <v>214</v>
      </c>
      <c r="B20" s="30">
        <v>-27532316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27">
        <f>SUM(B20:M20)</f>
        <v>-27532316</v>
      </c>
    </row>
    <row r="21" spans="1:14">
      <c r="A21" s="1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27"/>
    </row>
    <row r="22" spans="1:14" ht="13.5" thickBot="1">
      <c r="A22" s="18" t="s">
        <v>215</v>
      </c>
      <c r="B22" s="33">
        <f>SUM(B18:B20)</f>
        <v>-7967564</v>
      </c>
      <c r="C22" s="33">
        <f>SUM(C18:C20)</f>
        <v>0</v>
      </c>
      <c r="D22" s="33">
        <f>SUM(D19:D20)</f>
        <v>0</v>
      </c>
      <c r="E22" s="33">
        <f t="shared" ref="E22:M22" si="1">SUM(E18:E20)</f>
        <v>0</v>
      </c>
      <c r="F22" s="33">
        <f t="shared" si="1"/>
        <v>0</v>
      </c>
      <c r="G22" s="33">
        <f t="shared" si="1"/>
        <v>0</v>
      </c>
      <c r="H22" s="33">
        <f t="shared" si="1"/>
        <v>0</v>
      </c>
      <c r="I22" s="33">
        <f t="shared" si="1"/>
        <v>0</v>
      </c>
      <c r="J22" s="33">
        <f t="shared" si="1"/>
        <v>0</v>
      </c>
      <c r="K22" s="33">
        <f t="shared" si="1"/>
        <v>0</v>
      </c>
      <c r="L22" s="33">
        <f t="shared" si="1"/>
        <v>0</v>
      </c>
      <c r="M22" s="33">
        <f t="shared" si="1"/>
        <v>0</v>
      </c>
      <c r="N22" s="35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workbookViewId="0">
      <selection activeCell="A4" sqref="A4"/>
    </sheetView>
  </sheetViews>
  <sheetFormatPr defaultColWidth="9.140625" defaultRowHeight="14.25"/>
  <cols>
    <col min="1" max="1" width="41" style="61" bestFit="1" customWidth="1"/>
    <col min="2" max="2" width="13.42578125" style="60" customWidth="1"/>
    <col min="3" max="3" width="13.42578125" style="61" customWidth="1"/>
    <col min="4" max="4" width="13.42578125" style="60" customWidth="1"/>
    <col min="5" max="13" width="13.42578125" style="61" customWidth="1"/>
    <col min="14" max="14" width="13.42578125" style="60" customWidth="1"/>
    <col min="15" max="16384" width="9.140625" style="61"/>
  </cols>
  <sheetData>
    <row r="1" spans="1:14" ht="15">
      <c r="A1" s="59" t="s">
        <v>217</v>
      </c>
    </row>
    <row r="2" spans="1:14" ht="15">
      <c r="A2" s="59" t="s">
        <v>218</v>
      </c>
      <c r="C2" s="60"/>
      <c r="E2" s="62"/>
      <c r="F2" s="63"/>
    </row>
    <row r="3" spans="1:14" ht="15">
      <c r="A3" s="59" t="s">
        <v>2</v>
      </c>
      <c r="C3" s="60"/>
      <c r="E3" s="62"/>
      <c r="J3" s="64"/>
    </row>
    <row r="4" spans="1:14" ht="15.75">
      <c r="A4" s="65"/>
      <c r="C4" s="60"/>
      <c r="E4" s="66"/>
    </row>
    <row r="5" spans="1:14" ht="16.5" thickBot="1">
      <c r="A5" s="65"/>
      <c r="N5" s="67"/>
    </row>
    <row r="6" spans="1:14">
      <c r="A6" s="97"/>
      <c r="B6" s="98"/>
      <c r="C6" s="99"/>
      <c r="D6" s="98"/>
      <c r="E6" s="99"/>
      <c r="F6" s="99"/>
      <c r="G6" s="99"/>
      <c r="H6" s="99"/>
      <c r="I6" s="99"/>
      <c r="J6" s="99"/>
      <c r="K6" s="99"/>
      <c r="L6" s="99"/>
      <c r="M6" s="99"/>
      <c r="N6" s="100" t="s">
        <v>3</v>
      </c>
    </row>
    <row r="7" spans="1:14" ht="16.5" thickBot="1">
      <c r="A7" s="68" t="s">
        <v>3</v>
      </c>
      <c r="B7" s="69" t="s">
        <v>5</v>
      </c>
      <c r="C7" s="70" t="s">
        <v>6</v>
      </c>
      <c r="D7" s="69" t="s">
        <v>7</v>
      </c>
      <c r="E7" s="70" t="s">
        <v>8</v>
      </c>
      <c r="F7" s="70" t="s">
        <v>9</v>
      </c>
      <c r="G7" s="70" t="s">
        <v>10</v>
      </c>
      <c r="H7" s="70" t="s">
        <v>11</v>
      </c>
      <c r="I7" s="70" t="s">
        <v>12</v>
      </c>
      <c r="J7" s="70" t="s">
        <v>13</v>
      </c>
      <c r="K7" s="70" t="s">
        <v>14</v>
      </c>
      <c r="L7" s="70" t="s">
        <v>15</v>
      </c>
      <c r="M7" s="70" t="s">
        <v>16</v>
      </c>
      <c r="N7" s="71" t="s">
        <v>17</v>
      </c>
    </row>
    <row r="8" spans="1:14" ht="15.75">
      <c r="A8" s="72"/>
      <c r="B8" s="73"/>
      <c r="C8" s="74"/>
      <c r="D8" s="73"/>
      <c r="E8" s="74"/>
      <c r="F8" s="74"/>
      <c r="G8" s="74"/>
      <c r="H8" s="74"/>
      <c r="I8" s="74"/>
      <c r="J8" s="74"/>
      <c r="K8" s="74"/>
      <c r="L8" s="74"/>
      <c r="M8" s="74"/>
      <c r="N8" s="75"/>
    </row>
    <row r="9" spans="1:14" ht="12.75">
      <c r="A9" s="76" t="s">
        <v>219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8"/>
    </row>
    <row r="10" spans="1:14" ht="12.75">
      <c r="A10" s="79" t="s">
        <v>191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1">
        <f>B10</f>
        <v>0</v>
      </c>
    </row>
    <row r="11" spans="1:14" ht="12.75">
      <c r="A11" s="79" t="s">
        <v>220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1">
        <f>SUM(B11:M11)</f>
        <v>0</v>
      </c>
    </row>
    <row r="12" spans="1:14" ht="12.75">
      <c r="A12" s="79" t="s">
        <v>221</v>
      </c>
      <c r="B12" s="80">
        <v>0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1">
        <f>SUM(B12:M12)</f>
        <v>0</v>
      </c>
    </row>
    <row r="13" spans="1:14" ht="12.75">
      <c r="A13" s="79" t="s">
        <v>222</v>
      </c>
      <c r="B13" s="80">
        <v>0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1">
        <f>SUM(B13:M13)</f>
        <v>0</v>
      </c>
    </row>
    <row r="14" spans="1:14" ht="12.75">
      <c r="A14" s="79" t="s">
        <v>223</v>
      </c>
      <c r="B14" s="80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1">
        <f>SUM(B14:M14)</f>
        <v>0</v>
      </c>
    </row>
    <row r="15" spans="1:14" ht="12.75">
      <c r="A15" s="79" t="s">
        <v>224</v>
      </c>
      <c r="B15" s="80">
        <f t="shared" ref="B15:C15" si="0">SUM(B10:B14)</f>
        <v>0</v>
      </c>
      <c r="C15" s="80">
        <f t="shared" si="0"/>
        <v>0</v>
      </c>
      <c r="D15" s="80">
        <f>SUM(D10:D14)</f>
        <v>0</v>
      </c>
      <c r="E15" s="80">
        <f t="shared" ref="E15:M15" si="1">SUM(E10:E14)</f>
        <v>0</v>
      </c>
      <c r="F15" s="80">
        <f t="shared" si="1"/>
        <v>0</v>
      </c>
      <c r="G15" s="80">
        <f t="shared" si="1"/>
        <v>0</v>
      </c>
      <c r="H15" s="80">
        <f t="shared" si="1"/>
        <v>0</v>
      </c>
      <c r="I15" s="80">
        <f t="shared" si="1"/>
        <v>0</v>
      </c>
      <c r="J15" s="80">
        <f t="shared" si="1"/>
        <v>0</v>
      </c>
      <c r="K15" s="80">
        <f t="shared" si="1"/>
        <v>0</v>
      </c>
      <c r="L15" s="80">
        <f t="shared" si="1"/>
        <v>0</v>
      </c>
      <c r="M15" s="80">
        <f t="shared" si="1"/>
        <v>0</v>
      </c>
      <c r="N15" s="81">
        <f>SUM(B15:M15)</f>
        <v>0</v>
      </c>
    </row>
    <row r="16" spans="1:14" ht="12.75">
      <c r="A16" s="82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83"/>
    </row>
    <row r="17" spans="1:14" ht="12.75"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</row>
    <row r="18" spans="1:14" ht="12.75">
      <c r="A18" s="86" t="s">
        <v>225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</row>
    <row r="19" spans="1:14" ht="12.75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</row>
    <row r="20" spans="1:14">
      <c r="A20" s="85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8" ma:contentTypeDescription="Create a new document." ma:contentTypeScope="" ma:versionID="18155b359942468c403debf2716da125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ea49855f8b1acab49bac8032573291ea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99577F-D01C-41AA-9633-EDE80B6D8B89}"/>
</file>

<file path=customXml/itemProps2.xml><?xml version="1.0" encoding="utf-8"?>
<ds:datastoreItem xmlns:ds="http://schemas.openxmlformats.org/officeDocument/2006/customXml" ds:itemID="{60BBDF77-952F-4FE5-9C93-08A683CA1F7F}"/>
</file>

<file path=customXml/itemProps3.xml><?xml version="1.0" encoding="utf-8"?>
<ds:datastoreItem xmlns:ds="http://schemas.openxmlformats.org/officeDocument/2006/customXml" ds:itemID="{3F62563A-F842-4773-8A63-3DAEB794B8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Sempra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Chien, Clinton C</cp:lastModifiedBy>
  <cp:revision/>
  <dcterms:created xsi:type="dcterms:W3CDTF">2002-02-21T22:40:26Z</dcterms:created>
  <dcterms:modified xsi:type="dcterms:W3CDTF">2022-06-18T01:46:05Z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