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0" documentId="13_ncr:1_{DFA721B0-BEDC-4DE1-9BB2-9E1D69106637}" xr6:coauthVersionLast="47" xr6:coauthVersionMax="47" xr10:uidLastSave="{00000000-0000-0000-0000-000000000000}"/>
  <bookViews>
    <workbookView xWindow="38475" yWindow="45" windowWidth="14265" windowHeight="15105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8" i="6" l="1"/>
  <c r="J232" i="6"/>
  <c r="J157" i="6"/>
  <c r="J89" i="6"/>
  <c r="J8" i="6"/>
  <c r="J10" i="5" l="1"/>
  <c r="N15" i="9" l="1"/>
  <c r="B15" i="9"/>
  <c r="C15" i="9"/>
  <c r="E15" i="9"/>
  <c r="F15" i="9"/>
  <c r="G15" i="9"/>
  <c r="H15" i="9"/>
  <c r="I15" i="9"/>
  <c r="J15" i="9"/>
  <c r="K15" i="9"/>
  <c r="L15" i="9"/>
  <c r="M15" i="9"/>
  <c r="D15" i="9"/>
  <c r="I82" i="6" l="1"/>
  <c r="J82" i="6"/>
  <c r="K82" i="6"/>
  <c r="L82" i="6"/>
  <c r="M82" i="6"/>
  <c r="N81" i="6"/>
  <c r="N22" i="6"/>
  <c r="N12" i="9" l="1"/>
  <c r="H82" i="6" l="1"/>
  <c r="N80" i="6"/>
  <c r="N72" i="6" l="1"/>
  <c r="N71" i="6"/>
  <c r="N70" i="6"/>
  <c r="N69" i="6"/>
  <c r="N68" i="6"/>
  <c r="N65" i="6"/>
  <c r="N29" i="6"/>
  <c r="N31" i="6"/>
  <c r="N32" i="6"/>
  <c r="N33" i="6"/>
  <c r="F17" i="5" l="1"/>
  <c r="G17" i="5"/>
  <c r="H17" i="5"/>
  <c r="I17" i="5"/>
  <c r="J17" i="5"/>
  <c r="K17" i="5"/>
  <c r="L17" i="5"/>
  <c r="M17" i="5"/>
  <c r="E17" i="5"/>
  <c r="F14" i="5"/>
  <c r="G14" i="5"/>
  <c r="H14" i="5"/>
  <c r="I14" i="5"/>
  <c r="J14" i="5"/>
  <c r="K14" i="5"/>
  <c r="L14" i="5"/>
  <c r="M14" i="5"/>
  <c r="E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G82" i="6" l="1"/>
  <c r="N79" i="6"/>
  <c r="N38" i="6"/>
  <c r="N74" i="6"/>
  <c r="F151" i="6" l="1"/>
  <c r="N76" i="6" l="1"/>
  <c r="N75" i="6"/>
  <c r="C40" i="6"/>
  <c r="D40" i="6"/>
  <c r="E40" i="6"/>
  <c r="B40" i="6"/>
  <c r="N35" i="6"/>
  <c r="N34" i="6"/>
  <c r="N14" i="9" l="1"/>
  <c r="N13" i="9"/>
  <c r="N11" i="9"/>
  <c r="N10" i="9"/>
  <c r="N78" i="6"/>
  <c r="N73" i="6"/>
  <c r="N39" i="6"/>
  <c r="C151" i="6" l="1"/>
  <c r="E82" i="6"/>
  <c r="D82" i="6"/>
  <c r="C82" i="6"/>
  <c r="B82" i="6"/>
  <c r="E8" i="6" l="1"/>
  <c r="E84" i="6" s="1"/>
  <c r="C8" i="6"/>
  <c r="C84" i="6" s="1"/>
  <c r="D151" i="6"/>
  <c r="E151" i="6"/>
  <c r="G151" i="6"/>
  <c r="H151" i="6"/>
  <c r="I151" i="6"/>
  <c r="J151" i="6"/>
  <c r="K151" i="6"/>
  <c r="L151" i="6"/>
  <c r="M151" i="6"/>
  <c r="B151" i="6"/>
  <c r="B120" i="6" l="1"/>
  <c r="N67" i="6" l="1"/>
  <c r="N53" i="6"/>
  <c r="C17" i="5" l="1"/>
  <c r="D17" i="5"/>
  <c r="D18" i="5"/>
  <c r="E18" i="5"/>
  <c r="G18" i="5"/>
  <c r="H18" i="5"/>
  <c r="K18" i="5"/>
  <c r="L18" i="5"/>
  <c r="M18" i="5"/>
  <c r="N19" i="5"/>
  <c r="K19" i="5"/>
  <c r="L19" i="5"/>
  <c r="M19" i="5"/>
  <c r="K20" i="5"/>
  <c r="L20" i="5"/>
  <c r="M20" i="5"/>
  <c r="K22" i="5"/>
  <c r="L22" i="5"/>
  <c r="M22" i="5"/>
  <c r="E23" i="5"/>
  <c r="F23" i="5"/>
  <c r="G23" i="5"/>
  <c r="H23" i="5"/>
  <c r="I23" i="5"/>
  <c r="K23" i="5"/>
  <c r="L23" i="5"/>
  <c r="M23" i="5"/>
  <c r="F82" i="6"/>
  <c r="B8" i="6"/>
  <c r="B84" i="6" s="1"/>
  <c r="N64" i="6"/>
  <c r="N63" i="6"/>
  <c r="N62" i="6"/>
  <c r="N61" i="6"/>
  <c r="N58" i="6"/>
  <c r="N57" i="6"/>
  <c r="N56" i="6"/>
  <c r="N55" i="6"/>
  <c r="N54" i="6"/>
  <c r="N52" i="6"/>
  <c r="N51" i="6"/>
  <c r="N77" i="6"/>
  <c r="N49" i="6"/>
  <c r="N48" i="6"/>
  <c r="N47" i="6"/>
  <c r="N46" i="6"/>
  <c r="N45" i="6"/>
  <c r="N66" i="6"/>
  <c r="N44" i="6"/>
  <c r="N43" i="6"/>
  <c r="M40" i="6"/>
  <c r="L40" i="6"/>
  <c r="K40" i="6"/>
  <c r="K8" i="6" s="1"/>
  <c r="K84" i="6" s="1"/>
  <c r="J40" i="6"/>
  <c r="I40" i="6"/>
  <c r="I8" i="6" s="1"/>
  <c r="H40" i="6"/>
  <c r="H8" i="6" s="1"/>
  <c r="G40" i="6"/>
  <c r="F40" i="6"/>
  <c r="D8" i="6"/>
  <c r="D84" i="6" s="1"/>
  <c r="N37" i="6"/>
  <c r="N28" i="6"/>
  <c r="N27" i="6"/>
  <c r="N26" i="6"/>
  <c r="N25" i="6"/>
  <c r="N21" i="6"/>
  <c r="N20" i="6"/>
  <c r="N19" i="6"/>
  <c r="N18" i="6"/>
  <c r="N36" i="6"/>
  <c r="N16" i="6"/>
  <c r="N15" i="6"/>
  <c r="N14" i="6"/>
  <c r="N13" i="6"/>
  <c r="N30" i="6"/>
  <c r="N12" i="6"/>
  <c r="N11" i="6"/>
  <c r="N9" i="6"/>
  <c r="N82" i="6" l="1"/>
  <c r="G8" i="6"/>
  <c r="G84" i="6" s="1"/>
  <c r="F8" i="6"/>
  <c r="F84" i="6" s="1"/>
  <c r="J84" i="6"/>
  <c r="I84" i="6"/>
  <c r="M8" i="6"/>
  <c r="M84" i="6" s="1"/>
  <c r="N40" i="6"/>
  <c r="H84" i="6"/>
  <c r="L8" i="6"/>
  <c r="L84" i="6" s="1"/>
  <c r="G120" i="6"/>
  <c r="G89" i="6" s="1"/>
  <c r="N8" i="6" l="1"/>
  <c r="N84" i="6" s="1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194" i="6"/>
  <c r="C225" i="6"/>
  <c r="D225" i="6"/>
  <c r="E225" i="6"/>
  <c r="F225" i="6"/>
  <c r="G225" i="6"/>
  <c r="H225" i="6"/>
  <c r="I225" i="6"/>
  <c r="J225" i="6"/>
  <c r="K225" i="6"/>
  <c r="L225" i="6"/>
  <c r="M225" i="6"/>
  <c r="B225" i="6"/>
  <c r="N160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23" i="6"/>
  <c r="N151" i="6" l="1"/>
  <c r="N225" i="6"/>
  <c r="E120" i="6" l="1"/>
  <c r="E89" i="6" s="1"/>
  <c r="D120" i="6"/>
  <c r="D89" i="6" s="1"/>
  <c r="N18" i="5" l="1"/>
  <c r="B17" i="5" l="1"/>
  <c r="B282" i="6" l="1"/>
  <c r="B257" i="6"/>
  <c r="D191" i="6"/>
  <c r="D157" i="6" s="1"/>
  <c r="E191" i="6"/>
  <c r="E157" i="6" s="1"/>
  <c r="F191" i="6"/>
  <c r="F157" i="6" s="1"/>
  <c r="G191" i="6"/>
  <c r="G157" i="6" s="1"/>
  <c r="H191" i="6"/>
  <c r="H157" i="6" s="1"/>
  <c r="I191" i="6"/>
  <c r="I157" i="6" s="1"/>
  <c r="J191" i="6"/>
  <c r="K191" i="6"/>
  <c r="K157" i="6" s="1"/>
  <c r="L191" i="6"/>
  <c r="L157" i="6" s="1"/>
  <c r="M191" i="6"/>
  <c r="M157" i="6" s="1"/>
  <c r="B191" i="6"/>
  <c r="B157" i="6" s="1"/>
  <c r="C191" i="6"/>
  <c r="C157" i="6" s="1"/>
  <c r="B232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20" i="6"/>
  <c r="M89" i="6" s="1"/>
  <c r="L120" i="6"/>
  <c r="L89" i="6" s="1"/>
  <c r="K120" i="6"/>
  <c r="K89" i="6" s="1"/>
  <c r="J120" i="6"/>
  <c r="I120" i="6"/>
  <c r="I89" i="6" s="1"/>
  <c r="H120" i="6"/>
  <c r="H89" i="6" s="1"/>
  <c r="F120" i="6"/>
  <c r="F89" i="6" s="1"/>
  <c r="C120" i="6"/>
  <c r="C89" i="6" s="1"/>
  <c r="B89" i="6"/>
  <c r="B153" i="6" s="1"/>
  <c r="N113" i="6"/>
  <c r="N112" i="6"/>
  <c r="N111" i="6"/>
  <c r="N110" i="6"/>
  <c r="N109" i="6"/>
  <c r="N108" i="6"/>
  <c r="N107" i="6"/>
  <c r="N119" i="6"/>
  <c r="N106" i="6"/>
  <c r="N118" i="6"/>
  <c r="N105" i="6"/>
  <c r="N104" i="6"/>
  <c r="N103" i="6"/>
  <c r="N102" i="6"/>
  <c r="N101" i="6"/>
  <c r="N117" i="6"/>
  <c r="N116" i="6"/>
  <c r="N100" i="6"/>
  <c r="N115" i="6"/>
  <c r="N99" i="6"/>
  <c r="N98" i="6"/>
  <c r="N97" i="6"/>
  <c r="N96" i="6"/>
  <c r="N95" i="6"/>
  <c r="N94" i="6"/>
  <c r="N93" i="6"/>
  <c r="N114" i="6"/>
  <c r="N92" i="6"/>
  <c r="N90" i="6"/>
  <c r="J153" i="6" l="1"/>
  <c r="N120" i="6"/>
  <c r="F153" i="6"/>
  <c r="D153" i="6"/>
  <c r="H153" i="6"/>
  <c r="L153" i="6"/>
  <c r="M153" i="6"/>
  <c r="E153" i="6"/>
  <c r="I153" i="6"/>
  <c r="C153" i="6"/>
  <c r="K153" i="6"/>
  <c r="G153" i="6"/>
  <c r="N190" i="6"/>
  <c r="N189" i="6"/>
  <c r="N188" i="6"/>
  <c r="N187" i="6"/>
  <c r="N186" i="6"/>
  <c r="N185" i="6"/>
  <c r="N184" i="6"/>
  <c r="N183" i="6"/>
  <c r="N182" i="6"/>
  <c r="N89" i="6" l="1"/>
  <c r="N153" i="6" s="1"/>
  <c r="M282" i="6"/>
  <c r="L282" i="6"/>
  <c r="K282" i="6"/>
  <c r="J282" i="6"/>
  <c r="I282" i="6"/>
  <c r="H282" i="6"/>
  <c r="G282" i="6"/>
  <c r="F282" i="6"/>
  <c r="E282" i="6"/>
  <c r="D282" i="6"/>
  <c r="C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M257" i="6"/>
  <c r="L257" i="6"/>
  <c r="L232" i="6" s="1"/>
  <c r="K257" i="6"/>
  <c r="J257" i="6"/>
  <c r="I257" i="6"/>
  <c r="I232" i="6" s="1"/>
  <c r="H257" i="6"/>
  <c r="H232" i="6" s="1"/>
  <c r="G257" i="6"/>
  <c r="F257" i="6"/>
  <c r="F232" i="6" s="1"/>
  <c r="E257" i="6"/>
  <c r="E232" i="6" s="1"/>
  <c r="D257" i="6"/>
  <c r="D232" i="6" s="1"/>
  <c r="C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3" i="6"/>
  <c r="C14" i="5"/>
  <c r="D14" i="5"/>
  <c r="B14" i="5"/>
  <c r="G232" i="6" l="1"/>
  <c r="G284" i="6" s="1"/>
  <c r="I284" i="6"/>
  <c r="M232" i="6"/>
  <c r="M284" i="6" s="1"/>
  <c r="C232" i="6"/>
  <c r="C284" i="6" s="1"/>
  <c r="K232" i="6"/>
  <c r="K284" i="6" s="1"/>
  <c r="D284" i="6"/>
  <c r="H284" i="6"/>
  <c r="F284" i="6"/>
  <c r="L284" i="6"/>
  <c r="E284" i="6"/>
  <c r="J284" i="6"/>
  <c r="N282" i="6"/>
  <c r="N257" i="6"/>
  <c r="N232" i="6" l="1"/>
  <c r="N284" i="6" s="1"/>
  <c r="B284" i="6"/>
  <c r="N20" i="5" l="1"/>
  <c r="N23" i="5"/>
  <c r="N181" i="6" l="1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58" i="6"/>
  <c r="N191" i="6" l="1"/>
  <c r="J227" i="6"/>
  <c r="L227" i="6"/>
  <c r="C227" i="6"/>
  <c r="E227" i="6"/>
  <c r="I227" i="6"/>
  <c r="M227" i="6"/>
  <c r="B227" i="6"/>
  <c r="G227" i="6"/>
  <c r="K227" i="6"/>
  <c r="F227" i="6"/>
  <c r="H227" i="6" l="1"/>
  <c r="N157" i="6"/>
  <c r="N227" i="6" s="1"/>
  <c r="D227" i="6"/>
  <c r="C20" i="7"/>
  <c r="C342" i="6" l="1"/>
  <c r="D342" i="6"/>
  <c r="E342" i="6"/>
  <c r="F342" i="6"/>
  <c r="G342" i="6"/>
  <c r="H342" i="6"/>
  <c r="I342" i="6"/>
  <c r="J342" i="6"/>
  <c r="K342" i="6"/>
  <c r="L342" i="6"/>
  <c r="M342" i="6"/>
  <c r="B342" i="6"/>
  <c r="N341" i="6"/>
  <c r="B315" i="6"/>
  <c r="C315" i="6"/>
  <c r="C288" i="6" s="1"/>
  <c r="D315" i="6"/>
  <c r="E315" i="6"/>
  <c r="F315" i="6"/>
  <c r="G315" i="6"/>
  <c r="G288" i="6" s="1"/>
  <c r="H315" i="6"/>
  <c r="H288" i="6" s="1"/>
  <c r="I315" i="6"/>
  <c r="J315" i="6"/>
  <c r="K315" i="6"/>
  <c r="L315" i="6"/>
  <c r="M315" i="6"/>
  <c r="N314" i="6"/>
  <c r="I288" i="6" l="1"/>
  <c r="F288" i="6"/>
  <c r="E288" i="6"/>
  <c r="D288" i="6"/>
  <c r="M288" i="6"/>
  <c r="B288" i="6"/>
  <c r="L288" i="6"/>
  <c r="K288" i="6"/>
  <c r="K344" i="6" s="1"/>
  <c r="N19" i="7" l="1"/>
  <c r="N17" i="7"/>
  <c r="N18" i="7"/>
  <c r="C344" i="6" l="1"/>
  <c r="N22" i="5" l="1"/>
  <c r="N340" i="6" l="1"/>
  <c r="N313" i="6"/>
  <c r="M344" i="6" l="1"/>
  <c r="N339" i="6" l="1"/>
  <c r="N312" i="6"/>
  <c r="J344" i="6" l="1"/>
  <c r="G344" i="6" l="1"/>
  <c r="H344" i="6"/>
  <c r="I344" i="6"/>
  <c r="L344" i="6"/>
  <c r="F344" i="6"/>
  <c r="N336" i="6"/>
  <c r="N338" i="6"/>
  <c r="N311" i="6"/>
  <c r="N310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37" i="6" l="1"/>
  <c r="N309" i="6"/>
  <c r="N335" i="6"/>
  <c r="N308" i="6"/>
  <c r="N334" i="6" l="1"/>
  <c r="N307" i="6"/>
  <c r="N333" i="6" l="1"/>
  <c r="N306" i="6"/>
  <c r="E344" i="6" l="1"/>
  <c r="M23" i="8"/>
  <c r="M21" i="5" s="1"/>
  <c r="L23" i="8"/>
  <c r="L21" i="5" s="1"/>
  <c r="K23" i="8"/>
  <c r="K21" i="5" s="1"/>
  <c r="J23" i="8"/>
  <c r="I23" i="8"/>
  <c r="H23" i="8"/>
  <c r="G23" i="8"/>
  <c r="F23" i="8"/>
  <c r="E23" i="8"/>
  <c r="D23" i="8"/>
  <c r="C23" i="8"/>
  <c r="B23" i="8"/>
  <c r="N21" i="8"/>
  <c r="N19" i="8"/>
  <c r="M391" i="6"/>
  <c r="L391" i="6"/>
  <c r="K391" i="6"/>
  <c r="J391" i="6"/>
  <c r="I391" i="6"/>
  <c r="H391" i="6"/>
  <c r="G391" i="6"/>
  <c r="F391" i="6"/>
  <c r="E391" i="6"/>
  <c r="D391" i="6"/>
  <c r="C391" i="6"/>
  <c r="B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M370" i="6"/>
  <c r="L370" i="6"/>
  <c r="L349" i="6" s="1"/>
  <c r="K370" i="6"/>
  <c r="K349" i="6" s="1"/>
  <c r="J370" i="6"/>
  <c r="I370" i="6"/>
  <c r="H370" i="6"/>
  <c r="H349" i="6" s="1"/>
  <c r="G370" i="6"/>
  <c r="G349" i="6" s="1"/>
  <c r="F370" i="6"/>
  <c r="E370" i="6"/>
  <c r="D370" i="6"/>
  <c r="D349" i="6" s="1"/>
  <c r="C370" i="6"/>
  <c r="C349" i="6" s="1"/>
  <c r="B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B442" i="6"/>
  <c r="C495" i="6"/>
  <c r="C480" i="6" s="1"/>
  <c r="D495" i="6"/>
  <c r="D480" i="6" s="1"/>
  <c r="E495" i="6"/>
  <c r="E480" i="6" s="1"/>
  <c r="F495" i="6"/>
  <c r="F480" i="6" s="1"/>
  <c r="G495" i="6"/>
  <c r="G480" i="6" s="1"/>
  <c r="H495" i="6"/>
  <c r="H480" i="6" s="1"/>
  <c r="I495" i="6"/>
  <c r="I480" i="6" s="1"/>
  <c r="J495" i="6"/>
  <c r="J480" i="6" s="1"/>
  <c r="K495" i="6"/>
  <c r="K480" i="6" s="1"/>
  <c r="L495" i="6"/>
  <c r="L480" i="6" s="1"/>
  <c r="M495" i="6"/>
  <c r="M480" i="6" s="1"/>
  <c r="B420" i="6"/>
  <c r="N289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B461" i="6"/>
  <c r="B473" i="6"/>
  <c r="C442" i="6"/>
  <c r="C420" i="6"/>
  <c r="D442" i="6"/>
  <c r="D420" i="6"/>
  <c r="E442" i="6"/>
  <c r="E420" i="6"/>
  <c r="F442" i="6"/>
  <c r="F420" i="6"/>
  <c r="G442" i="6"/>
  <c r="G420" i="6"/>
  <c r="H442" i="6"/>
  <c r="H420" i="6"/>
  <c r="I442" i="6"/>
  <c r="I420" i="6"/>
  <c r="J442" i="6"/>
  <c r="J420" i="6"/>
  <c r="K442" i="6"/>
  <c r="K420" i="6"/>
  <c r="L442" i="6"/>
  <c r="L420" i="6"/>
  <c r="M442" i="6"/>
  <c r="M420" i="6"/>
  <c r="C510" i="6"/>
  <c r="D510" i="6"/>
  <c r="E510" i="6"/>
  <c r="F510" i="6"/>
  <c r="G510" i="6"/>
  <c r="H510" i="6"/>
  <c r="I510" i="6"/>
  <c r="J510" i="6"/>
  <c r="K510" i="6"/>
  <c r="L510" i="6"/>
  <c r="M510" i="6"/>
  <c r="C461" i="6"/>
  <c r="C473" i="6"/>
  <c r="D461" i="6"/>
  <c r="D473" i="6"/>
  <c r="E461" i="6"/>
  <c r="E473" i="6"/>
  <c r="F461" i="6"/>
  <c r="F473" i="6"/>
  <c r="G461" i="6"/>
  <c r="G473" i="6"/>
  <c r="H461" i="6"/>
  <c r="H473" i="6"/>
  <c r="I461" i="6"/>
  <c r="I473" i="6"/>
  <c r="J461" i="6"/>
  <c r="J473" i="6"/>
  <c r="K461" i="6"/>
  <c r="K473" i="6"/>
  <c r="L461" i="6"/>
  <c r="L473" i="6"/>
  <c r="M461" i="6"/>
  <c r="M473" i="6"/>
  <c r="B510" i="6"/>
  <c r="B495" i="6"/>
  <c r="B480" i="6" s="1"/>
  <c r="N416" i="6"/>
  <c r="N438" i="6"/>
  <c r="N418" i="6"/>
  <c r="N417" i="6"/>
  <c r="N440" i="6"/>
  <c r="N439" i="6"/>
  <c r="N441" i="6"/>
  <c r="N415" i="6"/>
  <c r="N436" i="6"/>
  <c r="N419" i="6"/>
  <c r="N414" i="6"/>
  <c r="A3" i="5"/>
  <c r="A3" i="6"/>
  <c r="A3" i="8"/>
  <c r="N449" i="6"/>
  <c r="N399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35" i="6"/>
  <c r="N434" i="6"/>
  <c r="N433" i="6"/>
  <c r="N432" i="6"/>
  <c r="N413" i="6"/>
  <c r="N412" i="6"/>
  <c r="N411" i="6"/>
  <c r="N410" i="6"/>
  <c r="N431" i="6"/>
  <c r="N430" i="6"/>
  <c r="N429" i="6"/>
  <c r="N428" i="6"/>
  <c r="N427" i="6"/>
  <c r="N426" i="6"/>
  <c r="N425" i="6"/>
  <c r="N424" i="6"/>
  <c r="N423" i="6"/>
  <c r="N409" i="6"/>
  <c r="N408" i="6"/>
  <c r="N407" i="6"/>
  <c r="N406" i="6"/>
  <c r="N405" i="6"/>
  <c r="N404" i="6"/>
  <c r="N403" i="6"/>
  <c r="N402" i="6"/>
  <c r="N401" i="6"/>
  <c r="N15" i="5"/>
  <c r="N452" i="6"/>
  <c r="N453" i="6"/>
  <c r="N454" i="6"/>
  <c r="N455" i="6"/>
  <c r="N456" i="6"/>
  <c r="N457" i="6"/>
  <c r="N458" i="6"/>
  <c r="N459" i="6"/>
  <c r="N460" i="6"/>
  <c r="N464" i="6"/>
  <c r="N465" i="6"/>
  <c r="N466" i="6"/>
  <c r="N467" i="6"/>
  <c r="N468" i="6"/>
  <c r="N469" i="6"/>
  <c r="N470" i="6"/>
  <c r="N471" i="6"/>
  <c r="N472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8" i="7"/>
  <c r="N9" i="7"/>
  <c r="N10" i="7"/>
  <c r="N11" i="7"/>
  <c r="N12" i="7"/>
  <c r="N13" i="7"/>
  <c r="N15" i="7"/>
  <c r="N16" i="7"/>
  <c r="N437" i="6"/>
  <c r="N21" i="5" l="1"/>
  <c r="E349" i="6"/>
  <c r="B349" i="6"/>
  <c r="B393" i="6" s="1"/>
  <c r="H448" i="6"/>
  <c r="H475" i="6" s="1"/>
  <c r="F448" i="6"/>
  <c r="F475" i="6" s="1"/>
  <c r="H512" i="6"/>
  <c r="D512" i="6"/>
  <c r="I349" i="6"/>
  <c r="I393" i="6" s="1"/>
  <c r="M349" i="6"/>
  <c r="F349" i="6"/>
  <c r="F393" i="6" s="1"/>
  <c r="J349" i="6"/>
  <c r="J393" i="6" s="1"/>
  <c r="I448" i="6"/>
  <c r="I475" i="6" s="1"/>
  <c r="G448" i="6"/>
  <c r="G475" i="6" s="1"/>
  <c r="E448" i="6"/>
  <c r="E475" i="6" s="1"/>
  <c r="C448" i="6"/>
  <c r="C475" i="6" s="1"/>
  <c r="M512" i="6"/>
  <c r="I512" i="6"/>
  <c r="E512" i="6"/>
  <c r="D448" i="6"/>
  <c r="D475" i="6" s="1"/>
  <c r="G512" i="6"/>
  <c r="F512" i="6"/>
  <c r="J512" i="6"/>
  <c r="M448" i="6"/>
  <c r="M475" i="6" s="1"/>
  <c r="K448" i="6"/>
  <c r="K475" i="6" s="1"/>
  <c r="M398" i="6"/>
  <c r="M444" i="6" s="1"/>
  <c r="K398" i="6"/>
  <c r="K444" i="6" s="1"/>
  <c r="I398" i="6"/>
  <c r="I444" i="6" s="1"/>
  <c r="C398" i="6"/>
  <c r="C444" i="6" s="1"/>
  <c r="N510" i="6"/>
  <c r="L448" i="6"/>
  <c r="L475" i="6" s="1"/>
  <c r="J448" i="6"/>
  <c r="J475" i="6" s="1"/>
  <c r="K512" i="6"/>
  <c r="J398" i="6"/>
  <c r="J444" i="6" s="1"/>
  <c r="H398" i="6"/>
  <c r="H444" i="6" s="1"/>
  <c r="B448" i="6"/>
  <c r="B475" i="6" s="1"/>
  <c r="N442" i="6"/>
  <c r="N342" i="6"/>
  <c r="N315" i="6"/>
  <c r="D344" i="6"/>
  <c r="N480" i="6"/>
  <c r="B512" i="6"/>
  <c r="L512" i="6"/>
  <c r="G398" i="6"/>
  <c r="G444" i="6" s="1"/>
  <c r="E398" i="6"/>
  <c r="E444" i="6" s="1"/>
  <c r="N495" i="6"/>
  <c r="C512" i="6"/>
  <c r="B398" i="6"/>
  <c r="N420" i="6"/>
  <c r="N461" i="6"/>
  <c r="L398" i="6"/>
  <c r="L444" i="6" s="1"/>
  <c r="F398" i="6"/>
  <c r="F444" i="6" s="1"/>
  <c r="D398" i="6"/>
  <c r="D444" i="6" s="1"/>
  <c r="B344" i="6"/>
  <c r="H393" i="6"/>
  <c r="L393" i="6"/>
  <c r="M393" i="6"/>
  <c r="D393" i="6"/>
  <c r="K393" i="6"/>
  <c r="E393" i="6"/>
  <c r="C393" i="6"/>
  <c r="N41" i="8"/>
  <c r="N391" i="6"/>
  <c r="N473" i="6"/>
  <c r="N14" i="5"/>
  <c r="N17" i="5"/>
  <c r="N23" i="8"/>
  <c r="G393" i="6"/>
  <c r="N370" i="6"/>
  <c r="N12" i="5"/>
  <c r="N20" i="7"/>
  <c r="E16" i="5" l="1"/>
  <c r="G16" i="5"/>
  <c r="F16" i="5"/>
  <c r="M16" i="5"/>
  <c r="K16" i="5"/>
  <c r="H16" i="5"/>
  <c r="I16" i="5"/>
  <c r="L16" i="5"/>
  <c r="D16" i="5"/>
  <c r="J16" i="5"/>
  <c r="C16" i="5"/>
  <c r="N448" i="6"/>
  <c r="N475" i="6" s="1"/>
  <c r="N398" i="6"/>
  <c r="N444" i="6" s="1"/>
  <c r="N512" i="6"/>
  <c r="B444" i="6"/>
  <c r="B16" i="5" s="1"/>
  <c r="N349" i="6"/>
  <c r="N393" i="6" s="1"/>
  <c r="N288" i="6"/>
  <c r="N344" i="6" s="1"/>
  <c r="B24" i="5" l="1"/>
  <c r="C10" i="5" l="1"/>
  <c r="C24" i="5" s="1"/>
  <c r="N16" i="5"/>
  <c r="D10" i="5" l="1"/>
  <c r="D24" i="5" s="1"/>
  <c r="E10" i="5" l="1"/>
  <c r="E24" i="5" s="1"/>
  <c r="F10" i="5" l="1"/>
  <c r="F24" i="5" s="1"/>
  <c r="G10" i="5" s="1"/>
  <c r="G24" i="5" s="1"/>
  <c r="H10" i="5" l="1"/>
  <c r="H24" i="5" s="1"/>
  <c r="I10" i="5" l="1"/>
  <c r="I24" i="5" s="1"/>
  <c r="J24" i="5" s="1"/>
  <c r="K24" i="5" s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<sst xmlns="http://schemas.openxmlformats.org/spreadsheetml/2006/main" count="775" uniqueCount="232">
  <si>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</si>
  <si>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</si>
  <si>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</si>
  <si>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</si>
  <si>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</si>
  <si>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</si>
  <si>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</si>
  <si>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</si>
  <si>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</si>
  <si>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</si>
  <si>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</si>
  <si>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</si>
  <si>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</si>
  <si>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</si>
  <si>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</si>
  <si>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</si>
  <si>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</si>
  <si>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</si>
  <si>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</si>
  <si>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</si>
  <si>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</si>
  <si>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</si>
  <si>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</si>
  <si>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</si>
  <si>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</si>
  <si>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</si>
  <si>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</si>
  <si>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</si>
  <si>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</si>
  <si>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</si>
  <si>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</si>
  <si>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</si>
  <si>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</si>
  <si>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</si>
  <si>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</si>
  <si>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</si>
  <si>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</si>
  <si>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</si>
  <si>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</si>
  <si>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</si>
  <si>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</si>
  <si>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</si>
  <si>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</si>
  <si>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</si>
  <si>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</si>
  <si>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</si>
  <si>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</si>
  <si>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</si>
  <si>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</si>
  <si>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</si>
  <si>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</si>
  <si>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</si>
  <si>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</si>
  <si>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</si>
  <si>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</si>
  <si>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</si>
  <si>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</si>
  <si>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</si>
  <si>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</si>
  <si>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</si>
  <si>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</si>
  <si>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</si>
  <si>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</si>
  <si>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</si>
  <si>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</si>
  <si>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</si>
  <si>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</si>
  <si>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</si>
  <si>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</si>
  <si>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</si>
  <si>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</si>
  <si>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</si>
  <si>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</si>
  <si>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</si>
  <si>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</si>
  <si>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</si>
  <si>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</si>
  <si>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</si>
  <si>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</si>
  <si>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</si>
  <si>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</si>
  <si>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</si>
  <si>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</si>
  <si>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</si>
  <si>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</si>
  <si>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</si>
  <si>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</si>
  <si>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</si>
  <si>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</si>
  <si>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</si>
  <si>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</si>
  <si>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</si>
  <si>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</si>
  <si>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</si>
  <si>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</si>
  <si>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</si>
  <si>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</si>
  <si>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</si>
  <si>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</si>
  <si>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</si>
  <si>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</si>
  <si>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</si>
  <si>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</si>
  <si>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</si>
  <si>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</si>
  <si>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</si>
  <si>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</si>
  <si>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</si>
  <si>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</si>
  <si>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</si>
  <si>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</si>
  <si>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</si>
  <si>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</si>
  <si>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</si>
  <si>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</si>
  <si>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</si>
  <si>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</si>
  <si>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</si>
  <si>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</si>
  <si>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</si>
  <si>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</si>
  <si>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</si>
  <si>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</si>
  <si>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</si>
  <si>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</si>
  <si>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</si>
  <si>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</si>
  <si>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</si>
  <si>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</si>
  <si>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</si>
  <si>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</si>
  <si>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</si>
  <si>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</si>
  <si>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</si>
  <si>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</si>
  <si>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</si>
  <si>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</si>
  <si>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</si>
  <si>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</si>
  <si>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</si>
  <si>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</si>
  <si>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</si>
  <si>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</si>
  <si>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</si>
  <si>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</si>
  <si>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</si>
  <si>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</si>
  <si>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</si>
  <si>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</si>
  <si>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</si>
  <si>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</si>
  <si>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</si>
  <si>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</si>
  <si>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</si>
  <si>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</si>
  <si>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</si>
  <si>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</si>
  <si>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</si>
  <si>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</si>
  <si>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</si>
  <si>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</si>
  <si>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</si>
  <si>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</si>
  <si>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</si>
  <si>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</si>
  <si>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</si>
  <si>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</si>
  <si>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</si>
  <si>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</si>
  <si>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</si>
  <si>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</si>
  <si>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</si>
  <si>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</si>
  <si>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</si>
  <si>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</si>
  <si>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</si>
  <si>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</si>
  <si>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</si>
  <si>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</si>
  <si>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</si>
  <si>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</si>
  <si>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</si>
  <si>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</si>
  <si>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</si>
  <si>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</si>
  <si>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</si>
  <si>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</si>
  <si>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</si>
  <si>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</si>
  <si>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</si>
  <si>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</si>
  <si>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</si>
  <si>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</si>
  <si>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</si>
  <si>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</si>
  <si>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</si>
  <si>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</si>
  <si>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</si>
  <si>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</si>
  <si>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</si>
  <si>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</si>
  <si>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</si>
  <si>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</si>
  <si>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</si>
  <si>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</si>
  <si>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</si>
  <si>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</si>
  <si>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</si>
  <si>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Disbursements to CEC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</si>
  <si>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</si>
  <si>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</si>
  <si>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</si>
  <si>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</si>
  <si>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</si>
  <si>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</si>
  <si>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</si>
  <si>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</si>
  <si>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</si>
  <si>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</si>
  <si>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</si>
  <si>
    <t xml:space="preserve">Service RCx+ Program </t>
  </si>
  <si>
    <t>COM SMB Solicitation</t>
  </si>
  <si>
    <t>PUB Small/Medium Solicitaion</t>
  </si>
  <si>
    <t>RES-SW-New Construction</t>
  </si>
  <si>
    <t>COM-SW-Midstream Food Service</t>
  </si>
  <si>
    <t>COM-SW-Midstream Commercial Water Heating</t>
  </si>
  <si>
    <t>PUB-SW-Institutional Partnership: DGS &amp; DoC</t>
  </si>
  <si>
    <t>RES-SW-Plug Load and Appliance</t>
  </si>
  <si>
    <t>COM-SW-Upstream HVAC</t>
  </si>
  <si>
    <t xml:space="preserve">Large Commercial Program </t>
  </si>
  <si>
    <t xml:space="preserve">     Transfers from EE Balancing Account</t>
  </si>
  <si>
    <t xml:space="preserve">     Interest Accrued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</si>
</sst>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39" fillId="0" borderId="0" xfId="52" applyFont="1"/>
    <xf numFmtId="165" fontId="0" fillId="0" borderId="0" xfId="29" applyNumberFormat="1" applyFont="1" applyFill="1" applyBorder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="110" zoomScaleNormal="11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J25" sqref="J25"/>
    </sheetView>
  </sheetViews>
  <sheetFormatPr defaultColWidth="9.1328125" defaultRowHeight="12.75" x14ac:dyDescent="0.35"/>
  <cols>
    <col min="1" max="1" width="33.3984375" style="2" customWidth="1"/>
    <col min="2" max="2" width="11.3984375" style="31" bestFit="1" customWidth="1"/>
    <col min="3" max="3" width="13.3984375" style="31" bestFit="1" customWidth="1"/>
    <col min="4" max="5" width="11.3984375" style="31" bestFit="1" customWidth="1"/>
    <col min="6" max="8" width="11.3984375" style="2" bestFit="1" customWidth="1"/>
    <col min="9" max="9" width="12.86328125" style="2" bestFit="1" customWidth="1"/>
    <col min="10" max="10" width="12.1328125" style="31" bestFit="1" customWidth="1"/>
    <col min="11" max="11" width="11.3984375" style="31" bestFit="1" customWidth="1"/>
    <col min="12" max="12" width="11.3984375" style="2" bestFit="1" customWidth="1"/>
    <col min="13" max="13" width="12.86328125" style="2" bestFit="1" customWidth="1"/>
    <col min="14" max="14" width="12.86328125" style="31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44</v>
      </c>
    </row>
    <row r="3" spans="1:14" ht="15" x14ac:dyDescent="0.4">
      <c r="A3" s="1" t="s">
        <v>197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5.4" thickBot="1" x14ac:dyDescent="0.45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35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35">
      <c r="A9" s="18" t="s">
        <v>36</v>
      </c>
      <c r="B9" s="32">
        <v>4504069.51</v>
      </c>
      <c r="C9" s="32">
        <v>4432875.99</v>
      </c>
      <c r="D9" s="32">
        <v>3944379.82</v>
      </c>
      <c r="E9" s="32">
        <v>2885519.33</v>
      </c>
      <c r="F9" s="32">
        <v>2127677.75</v>
      </c>
      <c r="G9" s="32">
        <v>1882201.77</v>
      </c>
      <c r="H9" s="32">
        <v>1508594.28</v>
      </c>
      <c r="I9" s="32">
        <v>1340309.57</v>
      </c>
      <c r="J9" s="32">
        <v>1466178.76</v>
      </c>
      <c r="K9" s="32">
        <v>0</v>
      </c>
      <c r="L9" s="32">
        <v>0</v>
      </c>
      <c r="M9" s="32">
        <v>0</v>
      </c>
      <c r="N9" s="38">
        <f t="shared" ref="N9:N19" si="0">SUM(B9:M9)</f>
        <v>24091806.780000001</v>
      </c>
    </row>
    <row r="10" spans="1:14" x14ac:dyDescent="0.35">
      <c r="A10" s="18" t="s">
        <v>37</v>
      </c>
      <c r="B10" s="32">
        <v>4949509.28</v>
      </c>
      <c r="C10" s="32">
        <v>5774080.0599999996</v>
      </c>
      <c r="D10" s="32">
        <v>5225425.95</v>
      </c>
      <c r="E10" s="32">
        <v>4818563.1100000003</v>
      </c>
      <c r="F10" s="32">
        <v>4272263.21</v>
      </c>
      <c r="G10" s="32">
        <v>4113204.6</v>
      </c>
      <c r="H10" s="32">
        <v>3682626.58</v>
      </c>
      <c r="I10" s="32">
        <v>3509064.1</v>
      </c>
      <c r="J10" s="32">
        <v>3947644.15</v>
      </c>
      <c r="K10" s="32">
        <v>0</v>
      </c>
      <c r="L10" s="32">
        <v>0</v>
      </c>
      <c r="M10" s="32">
        <v>0</v>
      </c>
      <c r="N10" s="38">
        <f t="shared" si="0"/>
        <v>40292381.039999999</v>
      </c>
    </row>
    <row r="11" spans="1:14" x14ac:dyDescent="0.35">
      <c r="A11" s="18" t="s">
        <v>38</v>
      </c>
      <c r="B11" s="32">
        <v>491.53</v>
      </c>
      <c r="C11" s="32">
        <v>1569.79</v>
      </c>
      <c r="D11" s="32">
        <v>249.24</v>
      </c>
      <c r="E11" s="32">
        <v>1014.43</v>
      </c>
      <c r="F11" s="32">
        <v>1952.96</v>
      </c>
      <c r="G11" s="32">
        <v>2158.87</v>
      </c>
      <c r="H11" s="32">
        <v>3504.31</v>
      </c>
      <c r="I11" s="32">
        <v>3691.01</v>
      </c>
      <c r="J11" s="32">
        <v>3385.08</v>
      </c>
      <c r="K11" s="32">
        <v>0</v>
      </c>
      <c r="L11" s="32">
        <v>0</v>
      </c>
      <c r="M11" s="32">
        <v>0</v>
      </c>
      <c r="N11" s="38">
        <f t="shared" si="0"/>
        <v>18017.22</v>
      </c>
    </row>
    <row r="12" spans="1:14" x14ac:dyDescent="0.35">
      <c r="A12" s="18" t="s">
        <v>39</v>
      </c>
      <c r="B12" s="32">
        <v>42435.42</v>
      </c>
      <c r="C12" s="32">
        <v>51254.49</v>
      </c>
      <c r="D12" s="32">
        <v>61254.09</v>
      </c>
      <c r="E12" s="32">
        <v>78842.53</v>
      </c>
      <c r="F12" s="32">
        <v>102406.51</v>
      </c>
      <c r="G12" s="32">
        <v>135592.92000000001</v>
      </c>
      <c r="H12" s="32">
        <v>149018.14000000001</v>
      </c>
      <c r="I12" s="32">
        <v>142429.68</v>
      </c>
      <c r="J12" s="32">
        <v>119271.71</v>
      </c>
      <c r="K12" s="32">
        <v>0</v>
      </c>
      <c r="L12" s="32">
        <v>0</v>
      </c>
      <c r="M12" s="32">
        <v>0</v>
      </c>
      <c r="N12" s="38">
        <f t="shared" si="0"/>
        <v>882505.49</v>
      </c>
    </row>
    <row r="13" spans="1:14" x14ac:dyDescent="0.35">
      <c r="A13" s="18" t="s">
        <v>40</v>
      </c>
      <c r="B13" s="32">
        <v>599273.85</v>
      </c>
      <c r="C13" s="32">
        <v>795357.84</v>
      </c>
      <c r="D13" s="32">
        <v>632819.29</v>
      </c>
      <c r="E13" s="32">
        <v>790836</v>
      </c>
      <c r="F13" s="32">
        <v>732825.63</v>
      </c>
      <c r="G13" s="32">
        <v>697622.36</v>
      </c>
      <c r="H13" s="32">
        <v>712874.37</v>
      </c>
      <c r="I13" s="32">
        <v>682446.47</v>
      </c>
      <c r="J13" s="32">
        <v>749571.13</v>
      </c>
      <c r="K13" s="32">
        <v>0</v>
      </c>
      <c r="L13" s="32">
        <v>0</v>
      </c>
      <c r="M13" s="32">
        <v>0</v>
      </c>
      <c r="N13" s="38">
        <f t="shared" si="0"/>
        <v>6393626.9399999995</v>
      </c>
    </row>
    <row r="14" spans="1:14" x14ac:dyDescent="0.3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35">
      <c r="A15" s="18" t="s">
        <v>41</v>
      </c>
      <c r="B15" s="32">
        <v>1415103.34</v>
      </c>
      <c r="C15" s="32">
        <v>1431482.93</v>
      </c>
      <c r="D15" s="32">
        <v>1280583.6499999999</v>
      </c>
      <c r="E15" s="32">
        <v>943921.76</v>
      </c>
      <c r="F15" s="32">
        <v>725866.68</v>
      </c>
      <c r="G15" s="32">
        <v>657020.68000000005</v>
      </c>
      <c r="H15" s="32">
        <v>551047.38</v>
      </c>
      <c r="I15" s="32">
        <v>500091.19</v>
      </c>
      <c r="J15" s="32">
        <v>545180.37</v>
      </c>
      <c r="K15" s="32">
        <v>0</v>
      </c>
      <c r="L15" s="32">
        <v>0</v>
      </c>
      <c r="M15" s="32">
        <v>0</v>
      </c>
      <c r="N15" s="38">
        <f t="shared" si="0"/>
        <v>8050297.9799999995</v>
      </c>
    </row>
    <row r="16" spans="1:14" x14ac:dyDescent="0.35">
      <c r="A16" s="18" t="s">
        <v>42</v>
      </c>
      <c r="B16" s="32">
        <v>17434.47</v>
      </c>
      <c r="C16" s="32">
        <v>19257.61</v>
      </c>
      <c r="D16" s="32">
        <v>17527.990000000002</v>
      </c>
      <c r="E16" s="32">
        <v>13990.65</v>
      </c>
      <c r="F16" s="32">
        <v>11903.41</v>
      </c>
      <c r="G16" s="32">
        <v>10845.99</v>
      </c>
      <c r="H16" s="32">
        <v>9172.23</v>
      </c>
      <c r="I16" s="32">
        <v>8320.11</v>
      </c>
      <c r="J16" s="32">
        <v>9067.93</v>
      </c>
      <c r="K16" s="32">
        <v>0</v>
      </c>
      <c r="L16" s="32">
        <v>0</v>
      </c>
      <c r="M16" s="32">
        <v>0</v>
      </c>
      <c r="N16" s="38">
        <f t="shared" si="0"/>
        <v>117520.39000000001</v>
      </c>
    </row>
    <row r="17" spans="1:14" x14ac:dyDescent="0.35">
      <c r="A17" s="18" t="s">
        <v>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35">
      <c r="A18" s="25" t="s">
        <v>68</v>
      </c>
      <c r="B18" s="32">
        <v>-12539.49</v>
      </c>
      <c r="C18" s="32">
        <v>-12866.07</v>
      </c>
      <c r="D18" s="32">
        <v>-15274.59</v>
      </c>
      <c r="E18" s="32">
        <v>-18174.48</v>
      </c>
      <c r="F18" s="32">
        <v>-17543.359302096698</v>
      </c>
      <c r="G18" s="32">
        <v>-21420.89</v>
      </c>
      <c r="H18" s="32">
        <v>-21442.67</v>
      </c>
      <c r="I18" s="32">
        <v>-28690.29</v>
      </c>
      <c r="J18" s="32">
        <v>-28604.26</v>
      </c>
      <c r="K18" s="32">
        <v>0</v>
      </c>
      <c r="L18" s="32">
        <v>0</v>
      </c>
      <c r="M18" s="32">
        <v>0</v>
      </c>
      <c r="N18" s="38">
        <f t="shared" si="0"/>
        <v>-176556.0993020967</v>
      </c>
    </row>
    <row r="19" spans="1:14" x14ac:dyDescent="0.35">
      <c r="A19" s="73" t="s">
        <v>134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5.4" thickBot="1" x14ac:dyDescent="0.45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M20" si="1">SUM(E8:E19)</f>
        <v>9514513.3300000001</v>
      </c>
      <c r="F20" s="35">
        <f t="shared" si="1"/>
        <v>7957352.7906979024</v>
      </c>
      <c r="G20" s="35">
        <f t="shared" si="1"/>
        <v>7477226.3000000007</v>
      </c>
      <c r="H20" s="35">
        <f t="shared" si="1"/>
        <v>6595394.6200000001</v>
      </c>
      <c r="I20" s="35">
        <f t="shared" si="1"/>
        <v>6157661.8399999999</v>
      </c>
      <c r="J20" s="35">
        <f t="shared" si="1"/>
        <v>6811694.8700000001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9">
        <f>SUM(B20:M20)</f>
        <v>79669599.740697891</v>
      </c>
    </row>
    <row r="21" spans="1:14" x14ac:dyDescent="0.35">
      <c r="I21" s="31"/>
    </row>
    <row r="22" spans="1:14" x14ac:dyDescent="0.35">
      <c r="A22" s="74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17"/>
  <sheetViews>
    <sheetView zoomScaleNormal="100" workbookViewId="0">
      <pane xSplit="1" ySplit="6" topLeftCell="G493" activePane="bottomRight" state="frozen"/>
      <selection pane="topRight" activeCell="B1" sqref="B1"/>
      <selection pane="bottomLeft" activeCell="A7" sqref="A7"/>
      <selection pane="bottomRight" activeCell="J344" activeCellId="4" sqref="J84 J153 J227 J284 J344"/>
    </sheetView>
  </sheetViews>
  <sheetFormatPr defaultColWidth="9.1328125" defaultRowHeight="12.75" x14ac:dyDescent="0.35"/>
  <cols>
    <col min="1" max="1" width="38.3984375" style="2" customWidth="1"/>
    <col min="2" max="2" width="12.86328125" style="31" customWidth="1"/>
    <col min="3" max="3" width="11.86328125" style="31" customWidth="1"/>
    <col min="4" max="7" width="12.86328125" style="31" customWidth="1"/>
    <col min="8" max="9" width="13.59765625" style="31" customWidth="1"/>
    <col min="10" max="10" width="12.1328125" style="31" bestFit="1" customWidth="1"/>
    <col min="11" max="11" width="13.59765625" style="31" bestFit="1" customWidth="1"/>
    <col min="12" max="12" width="12.3984375" style="31" bestFit="1" customWidth="1"/>
    <col min="13" max="13" width="11.86328125" style="31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45</v>
      </c>
    </row>
    <row r="3" spans="1:15" ht="15" x14ac:dyDescent="0.4">
      <c r="A3" s="1" t="str">
        <f>'Table G-1'!A3</f>
        <v>Calendar Year 2021</v>
      </c>
    </row>
    <row r="4" spans="1:15" ht="15.4" thickBot="1" x14ac:dyDescent="0.45">
      <c r="A4" s="4"/>
    </row>
    <row r="5" spans="1:15" ht="13.15" x14ac:dyDescent="0.4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45">
      <c r="A6" s="21" t="s">
        <v>196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ht="13.15" x14ac:dyDescent="0.4">
      <c r="A7" s="65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3"/>
    </row>
    <row r="8" spans="1:15" x14ac:dyDescent="0.35">
      <c r="A8" s="22" t="s">
        <v>31</v>
      </c>
      <c r="B8" s="31">
        <f>2443095.03-B40-B82</f>
        <v>1363735.25</v>
      </c>
      <c r="C8" s="31">
        <f>2698318-C40-C82</f>
        <v>1586328.1999999997</v>
      </c>
      <c r="D8" s="31">
        <f>7096601-D40-D82</f>
        <v>5379034.419999999</v>
      </c>
      <c r="E8" s="31">
        <f>10815847.46-E40-E82</f>
        <v>9788860.3399999999</v>
      </c>
      <c r="F8" s="31">
        <f>7314186.33-F40-F82</f>
        <v>5179990.4000000004</v>
      </c>
      <c r="G8" s="31">
        <f>8092285.63-G40-G82</f>
        <v>5018065.8900000006</v>
      </c>
      <c r="H8" s="31">
        <f>5664020.8-H40-H82</f>
        <v>-5753526.910000002</v>
      </c>
      <c r="I8" s="31">
        <f>5692710-I40-I82</f>
        <v>4585553.8199999994</v>
      </c>
      <c r="J8" s="31">
        <f>10242730.42-J40-J82</f>
        <v>5501514.2699999996</v>
      </c>
      <c r="K8" s="31">
        <f>0-K40-K82</f>
        <v>0</v>
      </c>
      <c r="L8" s="31">
        <f>0-L40-L82</f>
        <v>0</v>
      </c>
      <c r="M8" s="31">
        <f>0-M40-M82</f>
        <v>0</v>
      </c>
      <c r="N8" s="14">
        <f>SUM(B8:M8)</f>
        <v>32649555.679999996</v>
      </c>
    </row>
    <row r="9" spans="1:15" x14ac:dyDescent="0.35">
      <c r="A9" s="15" t="s">
        <v>83</v>
      </c>
      <c r="N9" s="14">
        <f>SUM(B9:M9)</f>
        <v>0</v>
      </c>
    </row>
    <row r="10" spans="1:15" x14ac:dyDescent="0.35">
      <c r="A10" s="22" t="s">
        <v>30</v>
      </c>
      <c r="N10" s="14"/>
    </row>
    <row r="11" spans="1:15" ht="14.25" x14ac:dyDescent="0.45">
      <c r="A11" s="61" t="s">
        <v>154</v>
      </c>
      <c r="B11" s="31">
        <v>243.32</v>
      </c>
      <c r="C11" s="31">
        <v>248.03</v>
      </c>
      <c r="D11" s="31">
        <v>299.54999999999995</v>
      </c>
      <c r="E11" s="31">
        <v>341.42</v>
      </c>
      <c r="F11" s="31">
        <v>1637.4099999999996</v>
      </c>
      <c r="G11" s="31">
        <v>1894.8600000000004</v>
      </c>
      <c r="H11" s="31">
        <v>4986.0199999999986</v>
      </c>
      <c r="I11" s="31">
        <v>2235.5199999999995</v>
      </c>
      <c r="J11" s="31">
        <v>1235.3800000000001</v>
      </c>
      <c r="K11" s="31">
        <v>0</v>
      </c>
      <c r="L11" s="31">
        <v>0</v>
      </c>
      <c r="M11" s="31">
        <v>0</v>
      </c>
      <c r="N11" s="14">
        <f t="shared" ref="N11:N38" si="0">SUM(B11:M11)</f>
        <v>13121.509999999998</v>
      </c>
      <c r="O11"/>
    </row>
    <row r="12" spans="1:15" ht="14.25" x14ac:dyDescent="0.45">
      <c r="A12" s="61" t="s">
        <v>157</v>
      </c>
      <c r="B12" s="31">
        <v>36.47</v>
      </c>
      <c r="C12" s="31">
        <v>34.79</v>
      </c>
      <c r="D12" s="31">
        <v>2414.27</v>
      </c>
      <c r="E12" s="31">
        <v>4558.8100000000004</v>
      </c>
      <c r="F12" s="31">
        <v>2486.7299999999996</v>
      </c>
      <c r="G12" s="31">
        <v>41.22</v>
      </c>
      <c r="H12" s="31">
        <v>14477.070000000002</v>
      </c>
      <c r="I12" s="31">
        <v>2568.86</v>
      </c>
      <c r="J12" s="31">
        <v>2402.0599999999995</v>
      </c>
      <c r="K12" s="31">
        <v>0</v>
      </c>
      <c r="L12" s="31">
        <v>0</v>
      </c>
      <c r="M12" s="31">
        <v>0</v>
      </c>
      <c r="N12" s="14">
        <f t="shared" si="0"/>
        <v>29020.28</v>
      </c>
      <c r="O12"/>
    </row>
    <row r="13" spans="1:15" ht="14.25" x14ac:dyDescent="0.45">
      <c r="A13" s="61" t="s">
        <v>160</v>
      </c>
      <c r="B13" s="31">
        <v>136.63999999999999</v>
      </c>
      <c r="C13" s="31">
        <v>134.09</v>
      </c>
      <c r="D13" s="31">
        <v>311.95999999999998</v>
      </c>
      <c r="E13" s="31">
        <v>4131.07</v>
      </c>
      <c r="F13" s="31">
        <v>1317.3700000000001</v>
      </c>
      <c r="G13" s="31">
        <v>2979.8699999999994</v>
      </c>
      <c r="H13" s="31">
        <v>9175.269999999995</v>
      </c>
      <c r="I13" s="31">
        <v>228.63</v>
      </c>
      <c r="J13" s="31">
        <v>202.38000000000002</v>
      </c>
      <c r="K13" s="31">
        <v>0</v>
      </c>
      <c r="L13" s="31">
        <v>0</v>
      </c>
      <c r="M13" s="31">
        <v>0</v>
      </c>
      <c r="N13" s="14">
        <f t="shared" si="0"/>
        <v>18617.28</v>
      </c>
      <c r="O13"/>
    </row>
    <row r="14" spans="1:15" ht="14.25" x14ac:dyDescent="0.45">
      <c r="A14" s="61" t="s">
        <v>161</v>
      </c>
      <c r="B14" s="31">
        <v>884.62</v>
      </c>
      <c r="C14" s="31">
        <v>0</v>
      </c>
      <c r="D14" s="31">
        <v>0</v>
      </c>
      <c r="E14" s="31">
        <v>0</v>
      </c>
      <c r="F14" s="31">
        <v>0</v>
      </c>
      <c r="G14" s="31">
        <v>855</v>
      </c>
      <c r="H14" s="31">
        <v>884.62</v>
      </c>
      <c r="I14" s="31">
        <v>0</v>
      </c>
      <c r="J14" s="31">
        <v>1605.31</v>
      </c>
      <c r="K14" s="31">
        <v>0</v>
      </c>
      <c r="L14" s="31">
        <v>0</v>
      </c>
      <c r="M14" s="31">
        <v>0</v>
      </c>
      <c r="N14" s="14">
        <f t="shared" si="0"/>
        <v>4229.5499999999993</v>
      </c>
      <c r="O14"/>
    </row>
    <row r="15" spans="1:15" ht="14.25" x14ac:dyDescent="0.45">
      <c r="A15" s="61" t="s">
        <v>163</v>
      </c>
      <c r="B15" s="31">
        <v>0</v>
      </c>
      <c r="C15" s="31">
        <v>0</v>
      </c>
      <c r="D15" s="31">
        <v>0</v>
      </c>
      <c r="E15" s="31">
        <v>5578.89</v>
      </c>
      <c r="F15" s="31">
        <v>9506.25</v>
      </c>
      <c r="G15" s="31">
        <v>0</v>
      </c>
      <c r="H15" s="31">
        <v>15085.14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0"/>
        <v>30170.28</v>
      </c>
      <c r="O15"/>
    </row>
    <row r="16" spans="1:15" ht="17.25" customHeight="1" x14ac:dyDescent="0.45">
      <c r="A16" s="70" t="s">
        <v>169</v>
      </c>
      <c r="B16" s="31">
        <v>179.58</v>
      </c>
      <c r="C16" s="31">
        <v>186.03</v>
      </c>
      <c r="D16" s="31">
        <v>238.02</v>
      </c>
      <c r="E16" s="31">
        <v>149.6</v>
      </c>
      <c r="F16" s="31">
        <v>241.8</v>
      </c>
      <c r="G16" s="31">
        <v>198.89</v>
      </c>
      <c r="H16" s="31">
        <v>1359.55</v>
      </c>
      <c r="I16" s="31">
        <v>213.35000000000002</v>
      </c>
      <c r="J16" s="31">
        <v>204.23</v>
      </c>
      <c r="K16" s="31">
        <v>0</v>
      </c>
      <c r="L16" s="31">
        <v>0</v>
      </c>
      <c r="M16" s="31">
        <v>0</v>
      </c>
      <c r="N16" s="14">
        <f t="shared" si="0"/>
        <v>2971.05</v>
      </c>
      <c r="O16"/>
    </row>
    <row r="17" spans="1:15" ht="17.25" customHeight="1" x14ac:dyDescent="0.45">
      <c r="A17" s="70" t="s">
        <v>212</v>
      </c>
      <c r="E17" s="31">
        <v>15000</v>
      </c>
      <c r="H17" s="31">
        <v>25000</v>
      </c>
      <c r="I17" s="31">
        <v>10000</v>
      </c>
      <c r="N17" s="14"/>
      <c r="O17"/>
    </row>
    <row r="18" spans="1:15" ht="17.25" customHeight="1" x14ac:dyDescent="0.45">
      <c r="A18" s="70" t="s">
        <v>174</v>
      </c>
      <c r="B18" s="31">
        <v>2351.5500000000002</v>
      </c>
      <c r="C18" s="31">
        <v>2055.0700000000002</v>
      </c>
      <c r="D18" s="31">
        <v>2727.58</v>
      </c>
      <c r="E18" s="31">
        <v>2052.84</v>
      </c>
      <c r="F18" s="31">
        <v>2737.63</v>
      </c>
      <c r="G18" s="31">
        <v>2779.43</v>
      </c>
      <c r="H18" s="31">
        <v>16820.070000000007</v>
      </c>
      <c r="I18" s="31">
        <v>2199.4</v>
      </c>
      <c r="J18" s="31">
        <v>2426.71</v>
      </c>
      <c r="K18" s="31">
        <v>0</v>
      </c>
      <c r="L18" s="31">
        <v>0</v>
      </c>
      <c r="M18" s="31">
        <v>0</v>
      </c>
      <c r="N18" s="14">
        <f t="shared" si="0"/>
        <v>36150.280000000006</v>
      </c>
      <c r="O18"/>
    </row>
    <row r="19" spans="1:15" ht="14.25" x14ac:dyDescent="0.45">
      <c r="A19" s="70" t="s">
        <v>200</v>
      </c>
      <c r="B19" s="31">
        <v>347.01</v>
      </c>
      <c r="C19" s="31">
        <v>370.59</v>
      </c>
      <c r="D19" s="31">
        <v>513.15</v>
      </c>
      <c r="E19" s="31">
        <v>404.11</v>
      </c>
      <c r="F19" s="31">
        <v>357.31</v>
      </c>
      <c r="G19" s="31">
        <v>25.570000000000022</v>
      </c>
      <c r="H19" s="31">
        <v>1084.0500000000002</v>
      </c>
      <c r="I19" s="31">
        <v>-361.35</v>
      </c>
      <c r="J19" s="31">
        <v>0</v>
      </c>
      <c r="K19" s="31">
        <v>0</v>
      </c>
      <c r="L19" s="31">
        <v>0</v>
      </c>
      <c r="M19" s="31">
        <v>0</v>
      </c>
      <c r="N19" s="14">
        <f t="shared" si="0"/>
        <v>2740.44</v>
      </c>
      <c r="O19"/>
    </row>
    <row r="20" spans="1:15" ht="14.25" x14ac:dyDescent="0.45">
      <c r="A20" s="61" t="s">
        <v>180</v>
      </c>
      <c r="B20" s="31">
        <v>71.989999999999995</v>
      </c>
      <c r="C20" s="31">
        <v>0</v>
      </c>
      <c r="D20" s="31">
        <v>0</v>
      </c>
      <c r="E20" s="31">
        <v>374.47</v>
      </c>
      <c r="F20" s="31">
        <v>374.47</v>
      </c>
      <c r="G20" s="31">
        <v>326.47000000000003</v>
      </c>
      <c r="H20" s="31">
        <v>2017.7400000000002</v>
      </c>
      <c r="I20" s="31">
        <v>360.66</v>
      </c>
      <c r="J20" s="31">
        <v>0</v>
      </c>
      <c r="K20" s="31">
        <v>0</v>
      </c>
      <c r="L20" s="31">
        <v>0</v>
      </c>
      <c r="M20" s="31">
        <v>0</v>
      </c>
      <c r="N20" s="14">
        <f t="shared" si="0"/>
        <v>3525.8</v>
      </c>
      <c r="O20"/>
    </row>
    <row r="21" spans="1:15" ht="14.25" x14ac:dyDescent="0.45">
      <c r="A21" s="61" t="s">
        <v>181</v>
      </c>
      <c r="B21" s="31">
        <v>71.989999999999995</v>
      </c>
      <c r="C21" s="31">
        <v>0</v>
      </c>
      <c r="D21" s="31">
        <v>0</v>
      </c>
      <c r="E21" s="31">
        <v>374.47</v>
      </c>
      <c r="F21" s="31">
        <v>374.47</v>
      </c>
      <c r="G21" s="31">
        <v>326.47000000000003</v>
      </c>
      <c r="H21" s="31">
        <v>1545.86</v>
      </c>
      <c r="I21" s="31">
        <v>360.66</v>
      </c>
      <c r="J21" s="31">
        <v>0</v>
      </c>
      <c r="K21" s="31">
        <v>0</v>
      </c>
      <c r="L21" s="31">
        <v>0</v>
      </c>
      <c r="M21" s="31">
        <v>0</v>
      </c>
      <c r="N21" s="14">
        <f t="shared" si="0"/>
        <v>3053.92</v>
      </c>
      <c r="O21"/>
    </row>
    <row r="22" spans="1:15" ht="14.25" x14ac:dyDescent="0.45">
      <c r="A22" s="70" t="s">
        <v>183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15.150000000000002</v>
      </c>
      <c r="J22" s="31">
        <v>0</v>
      </c>
      <c r="K22" s="31">
        <v>0</v>
      </c>
      <c r="L22" s="31">
        <v>0</v>
      </c>
      <c r="M22" s="31">
        <v>0</v>
      </c>
      <c r="N22" s="14">
        <f t="shared" ref="N22" si="1">SUM(B22:M22)</f>
        <v>15.150000000000002</v>
      </c>
      <c r="O22"/>
    </row>
    <row r="23" spans="1:15" ht="14.25" x14ac:dyDescent="0.45">
      <c r="A23" s="70" t="s">
        <v>213</v>
      </c>
      <c r="E23" s="31">
        <v>2401.66</v>
      </c>
      <c r="F23" s="31">
        <v>1511.48</v>
      </c>
      <c r="G23" s="31">
        <v>4084.93</v>
      </c>
      <c r="H23" s="31">
        <v>1545.86</v>
      </c>
      <c r="J23" s="31">
        <v>-67.969999999999985</v>
      </c>
      <c r="N23" s="14"/>
      <c r="O23"/>
    </row>
    <row r="24" spans="1:15" ht="14.25" x14ac:dyDescent="0.45">
      <c r="A24" s="70" t="s">
        <v>214</v>
      </c>
      <c r="E24" s="31">
        <v>1459.39</v>
      </c>
      <c r="F24" s="31">
        <v>1640.53</v>
      </c>
      <c r="G24" s="31">
        <v>1471.23</v>
      </c>
      <c r="H24" s="31">
        <v>4325.84</v>
      </c>
      <c r="I24" s="31">
        <v>1616.1100000000001</v>
      </c>
      <c r="J24" s="31">
        <v>-67.969999999999985</v>
      </c>
      <c r="N24" s="14"/>
      <c r="O24"/>
    </row>
    <row r="25" spans="1:15" ht="14.25" x14ac:dyDescent="0.45">
      <c r="A25" s="70" t="s">
        <v>186</v>
      </c>
      <c r="B25" s="31">
        <v>729.59</v>
      </c>
      <c r="C25" s="31">
        <v>778.91</v>
      </c>
      <c r="D25" s="31">
        <v>1077.77</v>
      </c>
      <c r="E25" s="31">
        <v>0</v>
      </c>
      <c r="F25" s="31">
        <v>0</v>
      </c>
      <c r="G25" s="31">
        <v>0</v>
      </c>
      <c r="H25" s="31">
        <v>10314.259999999998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0"/>
        <v>12900.529999999999</v>
      </c>
      <c r="O25"/>
    </row>
    <row r="26" spans="1:15" ht="14.25" x14ac:dyDescent="0.45">
      <c r="A26" s="70" t="s">
        <v>187</v>
      </c>
      <c r="B26" s="31">
        <v>1318.02</v>
      </c>
      <c r="C26" s="31">
        <v>1365.31</v>
      </c>
      <c r="D26" s="31">
        <v>1715.76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1510.7</v>
      </c>
      <c r="K26" s="31">
        <v>0</v>
      </c>
      <c r="L26" s="31">
        <v>0</v>
      </c>
      <c r="M26" s="31">
        <v>0</v>
      </c>
      <c r="N26" s="14">
        <f t="shared" si="0"/>
        <v>5909.79</v>
      </c>
      <c r="O26"/>
    </row>
    <row r="27" spans="1:15" ht="17.25" customHeight="1" x14ac:dyDescent="0.45">
      <c r="A27" s="70" t="s">
        <v>221</v>
      </c>
      <c r="B27" s="31">
        <v>546.51</v>
      </c>
      <c r="C27" s="31">
        <v>536.32000000000005</v>
      </c>
      <c r="D27" s="31">
        <v>6379.37</v>
      </c>
      <c r="E27" s="31">
        <v>-138.21</v>
      </c>
      <c r="F27" s="31">
        <v>-3786.08</v>
      </c>
      <c r="G27" s="31">
        <v>0</v>
      </c>
      <c r="H27" s="31">
        <v>3537.9099999999994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0"/>
        <v>7075.82</v>
      </c>
      <c r="O27"/>
    </row>
    <row r="28" spans="1:15" ht="17.25" customHeight="1" x14ac:dyDescent="0.45">
      <c r="A28" s="70" t="s">
        <v>222</v>
      </c>
      <c r="B28" s="31">
        <v>243.32</v>
      </c>
      <c r="C28" s="31">
        <v>248.03</v>
      </c>
      <c r="D28" s="31">
        <v>10015.31</v>
      </c>
      <c r="E28" s="31">
        <v>-452.45</v>
      </c>
      <c r="F28" s="31">
        <v>0</v>
      </c>
      <c r="G28" s="31">
        <v>25.9</v>
      </c>
      <c r="H28" s="31">
        <v>10079.589999999998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0"/>
        <v>20159.699999999997</v>
      </c>
      <c r="O28"/>
    </row>
    <row r="29" spans="1:15" ht="14.25" x14ac:dyDescent="0.45">
      <c r="A29" s="70" t="s">
        <v>223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8">
        <f>SUM(B29:M29)</f>
        <v>0</v>
      </c>
      <c r="O29"/>
    </row>
    <row r="30" spans="1:15" ht="14.25" x14ac:dyDescent="0.45">
      <c r="A30" s="61" t="s">
        <v>158</v>
      </c>
      <c r="B30" s="31">
        <v>176.4</v>
      </c>
      <c r="C30" s="31">
        <v>182.73</v>
      </c>
      <c r="D30" s="31">
        <v>7456.76</v>
      </c>
      <c r="E30" s="31">
        <v>3846.28</v>
      </c>
      <c r="F30" s="31">
        <v>5022.42</v>
      </c>
      <c r="G30" s="31">
        <v>3405.94</v>
      </c>
      <c r="H30" s="31">
        <v>23403.629999999997</v>
      </c>
      <c r="I30" s="31">
        <v>3416.21</v>
      </c>
      <c r="J30" s="31">
        <v>3731.11</v>
      </c>
      <c r="K30" s="31">
        <v>0</v>
      </c>
      <c r="L30" s="31">
        <v>0</v>
      </c>
      <c r="M30" s="31">
        <v>0</v>
      </c>
      <c r="N30" s="14">
        <f>SUM(B30:M30)</f>
        <v>50641.479999999996</v>
      </c>
      <c r="O30"/>
    </row>
    <row r="31" spans="1:15" ht="14.25" x14ac:dyDescent="0.45">
      <c r="A31" s="70" t="s">
        <v>201</v>
      </c>
      <c r="B31" s="31">
        <v>0</v>
      </c>
      <c r="C31" s="31">
        <v>0</v>
      </c>
      <c r="D31" s="31">
        <v>9353.98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8">
        <f>SUM(B31:M31)</f>
        <v>9353.98</v>
      </c>
      <c r="O31"/>
    </row>
    <row r="32" spans="1:15" ht="17.25" customHeight="1" x14ac:dyDescent="0.45">
      <c r="A32" s="70" t="s">
        <v>204</v>
      </c>
      <c r="B32" s="31">
        <v>0</v>
      </c>
      <c r="C32" s="31">
        <v>0</v>
      </c>
      <c r="D32" s="31">
        <v>0</v>
      </c>
      <c r="E32" s="31">
        <v>415.11</v>
      </c>
      <c r="F32" s="31">
        <v>4044.36</v>
      </c>
      <c r="G32" s="31">
        <v>20453.480000000003</v>
      </c>
      <c r="H32" s="31">
        <v>28326.040000000008</v>
      </c>
      <c r="I32" s="31">
        <v>4949.8799999999992</v>
      </c>
      <c r="J32" s="31">
        <v>5804.54</v>
      </c>
      <c r="K32" s="31">
        <v>0</v>
      </c>
      <c r="L32" s="31">
        <v>0</v>
      </c>
      <c r="M32" s="31">
        <v>0</v>
      </c>
      <c r="N32" s="14">
        <f t="shared" ref="N32:N33" si="2">SUM(B32:M32)</f>
        <v>63993.410000000011</v>
      </c>
      <c r="O32"/>
    </row>
    <row r="33" spans="1:15" ht="17.25" customHeight="1" x14ac:dyDescent="0.45">
      <c r="A33" s="70" t="s">
        <v>217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70690</v>
      </c>
      <c r="H33" s="31">
        <v>67814.680000000008</v>
      </c>
      <c r="I33" s="31">
        <v>7336.62</v>
      </c>
      <c r="J33" s="31">
        <v>2130.1800000000003</v>
      </c>
      <c r="K33" s="31">
        <v>0</v>
      </c>
      <c r="L33" s="31">
        <v>0</v>
      </c>
      <c r="M33" s="31">
        <v>0</v>
      </c>
      <c r="N33" s="14">
        <f t="shared" si="2"/>
        <v>147971.47999999998</v>
      </c>
      <c r="O33"/>
    </row>
    <row r="34" spans="1:15" ht="14.25" x14ac:dyDescent="0.45">
      <c r="A34" s="70" t="s">
        <v>215</v>
      </c>
      <c r="B34" s="31">
        <v>0</v>
      </c>
      <c r="C34" s="31">
        <v>0</v>
      </c>
      <c r="D34" s="31">
        <v>0</v>
      </c>
      <c r="E34" s="31">
        <v>1123.4000000000001</v>
      </c>
      <c r="F34" s="31">
        <v>19875.079999999998</v>
      </c>
      <c r="G34" s="31">
        <v>11016.77</v>
      </c>
      <c r="H34" s="31">
        <v>34720.26</v>
      </c>
      <c r="I34" s="31">
        <v>6080.2000000000007</v>
      </c>
      <c r="J34" s="31">
        <v>5167.4900000000007</v>
      </c>
      <c r="K34" s="31">
        <v>0</v>
      </c>
      <c r="L34" s="31">
        <v>0</v>
      </c>
      <c r="M34" s="31">
        <v>0</v>
      </c>
      <c r="N34" s="14">
        <f t="shared" ref="N34:N35" si="3">SUM(B34:M34)</f>
        <v>77983.200000000012</v>
      </c>
      <c r="O34"/>
    </row>
    <row r="35" spans="1:15" ht="14.25" x14ac:dyDescent="0.45">
      <c r="A35" s="70" t="s">
        <v>216</v>
      </c>
      <c r="B35" s="31">
        <v>0</v>
      </c>
      <c r="C35" s="31">
        <v>0</v>
      </c>
      <c r="D35" s="31">
        <v>0</v>
      </c>
      <c r="E35" s="31">
        <v>1123.4000000000001</v>
      </c>
      <c r="F35" s="31">
        <v>2360.31</v>
      </c>
      <c r="G35" s="31">
        <v>1334.1399999999999</v>
      </c>
      <c r="H35" s="31">
        <v>6985.9000000000005</v>
      </c>
      <c r="I35" s="31">
        <v>2168.3000000000002</v>
      </c>
      <c r="J35" s="31">
        <v>456.41</v>
      </c>
      <c r="K35" s="31">
        <v>0</v>
      </c>
      <c r="L35" s="31">
        <v>0</v>
      </c>
      <c r="M35" s="31">
        <v>0</v>
      </c>
      <c r="N35" s="14">
        <f t="shared" si="3"/>
        <v>14428.46</v>
      </c>
      <c r="O35"/>
    </row>
    <row r="36" spans="1:15" ht="17.25" customHeight="1" x14ac:dyDescent="0.45">
      <c r="A36" s="70" t="s">
        <v>170</v>
      </c>
      <c r="B36" s="31">
        <v>0</v>
      </c>
      <c r="C36" s="31">
        <v>0</v>
      </c>
      <c r="D36" s="31">
        <v>0</v>
      </c>
      <c r="E36" s="31">
        <v>633.54</v>
      </c>
      <c r="F36" s="31">
        <v>353.35</v>
      </c>
      <c r="G36" s="31">
        <v>352.37</v>
      </c>
      <c r="H36" s="31">
        <v>1651.8400000000004</v>
      </c>
      <c r="I36" s="31">
        <v>363.65</v>
      </c>
      <c r="J36" s="31">
        <v>12105.499999999996</v>
      </c>
      <c r="K36" s="31">
        <v>0</v>
      </c>
      <c r="L36" s="31">
        <v>0</v>
      </c>
      <c r="M36" s="31">
        <v>0</v>
      </c>
      <c r="N36" s="14">
        <f>SUM(B36:M36)</f>
        <v>15460.249999999996</v>
      </c>
      <c r="O36"/>
    </row>
    <row r="37" spans="1:15" ht="17.25" customHeight="1" x14ac:dyDescent="0.45">
      <c r="A37" s="70" t="s">
        <v>203</v>
      </c>
      <c r="B37" s="31">
        <v>0</v>
      </c>
      <c r="C37" s="31">
        <v>0</v>
      </c>
      <c r="D37" s="31">
        <v>12444</v>
      </c>
      <c r="E37" s="31">
        <v>261.77</v>
      </c>
      <c r="F37" s="31">
        <v>430.26000000000005</v>
      </c>
      <c r="G37" s="31">
        <v>48448.47</v>
      </c>
      <c r="H37" s="31">
        <v>61381.020000000004</v>
      </c>
      <c r="I37" s="31">
        <v>375.02</v>
      </c>
      <c r="J37" s="31">
        <v>9410.6400000000012</v>
      </c>
      <c r="K37" s="31">
        <v>0</v>
      </c>
      <c r="L37" s="31">
        <v>0</v>
      </c>
      <c r="M37" s="31">
        <v>0</v>
      </c>
      <c r="N37" s="14">
        <f t="shared" si="0"/>
        <v>132751.18000000002</v>
      </c>
      <c r="O37"/>
    </row>
    <row r="38" spans="1:15" ht="17.25" customHeight="1" x14ac:dyDescent="0.45">
      <c r="A38" s="70" t="s">
        <v>218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33623</v>
      </c>
      <c r="H38" s="31">
        <v>33623</v>
      </c>
      <c r="I38" s="31">
        <v>-6950</v>
      </c>
      <c r="J38" s="31">
        <v>445</v>
      </c>
      <c r="K38" s="31">
        <v>0</v>
      </c>
      <c r="L38" s="31">
        <v>0</v>
      </c>
      <c r="M38" s="31">
        <v>0</v>
      </c>
      <c r="N38" s="14">
        <f t="shared" si="0"/>
        <v>60741</v>
      </c>
      <c r="O38"/>
    </row>
    <row r="39" spans="1:15" ht="17.25" customHeight="1" x14ac:dyDescent="0.45">
      <c r="A39" s="70" t="s">
        <v>220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579.71999999999991</v>
      </c>
      <c r="I39" s="31">
        <v>554.49</v>
      </c>
      <c r="J39" s="31">
        <v>95.77000000000001</v>
      </c>
      <c r="K39" s="31">
        <v>0</v>
      </c>
      <c r="L39" s="31">
        <v>0</v>
      </c>
      <c r="M39" s="31">
        <v>0</v>
      </c>
      <c r="N39" s="14">
        <f t="shared" ref="N39" si="4">SUM(B39:M39)</f>
        <v>1229.98</v>
      </c>
      <c r="O39"/>
    </row>
    <row r="40" spans="1:15" x14ac:dyDescent="0.35">
      <c r="A40" s="15" t="s">
        <v>28</v>
      </c>
      <c r="B40" s="31">
        <f t="shared" ref="B40:N40" si="5">SUM(B11:B39)</f>
        <v>7337.01</v>
      </c>
      <c r="C40" s="31">
        <f t="shared" si="5"/>
        <v>6139.8999999999987</v>
      </c>
      <c r="D40" s="31">
        <f t="shared" si="5"/>
        <v>54947.479999999996</v>
      </c>
      <c r="E40" s="31">
        <f t="shared" si="5"/>
        <v>43639.57</v>
      </c>
      <c r="F40" s="31">
        <f t="shared" si="5"/>
        <v>50485.149999999994</v>
      </c>
      <c r="G40" s="31">
        <f t="shared" si="5"/>
        <v>204334.01</v>
      </c>
      <c r="H40" s="31">
        <f t="shared" si="5"/>
        <v>380724.94000000006</v>
      </c>
      <c r="I40" s="31">
        <f t="shared" si="5"/>
        <v>37731.360000000008</v>
      </c>
      <c r="J40" s="31">
        <f t="shared" si="5"/>
        <v>48797.469999999994</v>
      </c>
      <c r="K40" s="31">
        <f t="shared" si="5"/>
        <v>0</v>
      </c>
      <c r="L40" s="31">
        <f t="shared" si="5"/>
        <v>0</v>
      </c>
      <c r="M40" s="31">
        <f t="shared" si="5"/>
        <v>0</v>
      </c>
      <c r="N40" s="14">
        <f t="shared" si="5"/>
        <v>764215.79999999993</v>
      </c>
    </row>
    <row r="41" spans="1:15" x14ac:dyDescent="0.35">
      <c r="A41" s="15"/>
      <c r="N41" s="14"/>
    </row>
    <row r="42" spans="1:15" x14ac:dyDescent="0.35">
      <c r="A42" s="22" t="s">
        <v>29</v>
      </c>
      <c r="N42" s="14"/>
    </row>
    <row r="43" spans="1:15" ht="14.25" x14ac:dyDescent="0.45">
      <c r="A43" s="61" t="s">
        <v>154</v>
      </c>
      <c r="B43" s="31">
        <v>3580.54</v>
      </c>
      <c r="C43" s="31">
        <v>4597.1899999999996</v>
      </c>
      <c r="D43" s="31">
        <v>5181.4599999999991</v>
      </c>
      <c r="E43" s="31">
        <v>5030.42</v>
      </c>
      <c r="F43" s="31">
        <v>5467.12</v>
      </c>
      <c r="G43" s="31">
        <v>4528.08</v>
      </c>
      <c r="H43" s="31">
        <v>45693.610000000008</v>
      </c>
      <c r="I43" s="31">
        <v>8141.3799999999992</v>
      </c>
      <c r="J43" s="31">
        <v>388245</v>
      </c>
      <c r="K43" s="31">
        <v>0</v>
      </c>
      <c r="L43" s="31">
        <v>0</v>
      </c>
      <c r="M43" s="31">
        <v>0</v>
      </c>
      <c r="N43" s="38">
        <f>SUM(B43:M43)</f>
        <v>470464.80000000005</v>
      </c>
      <c r="O43"/>
    </row>
    <row r="44" spans="1:15" ht="14.25" x14ac:dyDescent="0.45">
      <c r="A44" s="61" t="s">
        <v>157</v>
      </c>
      <c r="B44" s="31">
        <v>255.34</v>
      </c>
      <c r="C44" s="31">
        <v>243.6</v>
      </c>
      <c r="D44" s="31">
        <v>2576.21</v>
      </c>
      <c r="E44" s="31">
        <v>48961.760000000002</v>
      </c>
      <c r="F44" s="31">
        <v>24445.459999999995</v>
      </c>
      <c r="G44" s="31">
        <v>288.52999999999997</v>
      </c>
      <c r="H44" s="31">
        <v>124154.64000000001</v>
      </c>
      <c r="I44" s="31">
        <v>17158.739999999998</v>
      </c>
      <c r="J44" s="31">
        <v>19868.29</v>
      </c>
      <c r="K44" s="31">
        <v>0</v>
      </c>
      <c r="L44" s="31">
        <v>0</v>
      </c>
      <c r="M44" s="31">
        <v>0</v>
      </c>
      <c r="N44" s="38">
        <f t="shared" ref="N44:N64" si="6">SUM(B44:M44)</f>
        <v>237952.57</v>
      </c>
      <c r="O44"/>
    </row>
    <row r="45" spans="1:15" ht="14.25" x14ac:dyDescent="0.45">
      <c r="A45" s="61" t="s">
        <v>160</v>
      </c>
      <c r="B45" s="31">
        <v>774.22</v>
      </c>
      <c r="C45" s="31">
        <v>759.78</v>
      </c>
      <c r="D45" s="31">
        <v>3506.5299999999993</v>
      </c>
      <c r="E45" s="31">
        <v>63976.01</v>
      </c>
      <c r="F45" s="31">
        <v>19789.640000000003</v>
      </c>
      <c r="G45" s="31">
        <v>46312.89</v>
      </c>
      <c r="H45" s="31">
        <v>137312.62999999998</v>
      </c>
      <c r="I45" s="31">
        <v>2558.19</v>
      </c>
      <c r="J45" s="31">
        <v>2015.79</v>
      </c>
      <c r="K45" s="31">
        <v>0</v>
      </c>
      <c r="L45" s="31">
        <v>0</v>
      </c>
      <c r="M45" s="31">
        <v>0</v>
      </c>
      <c r="N45" s="38">
        <f t="shared" si="6"/>
        <v>277005.67999999993</v>
      </c>
      <c r="O45"/>
    </row>
    <row r="46" spans="1:15" ht="14.25" x14ac:dyDescent="0.45">
      <c r="A46" s="61" t="s">
        <v>161</v>
      </c>
      <c r="B46" s="31">
        <v>296.18</v>
      </c>
      <c r="C46" s="31">
        <v>1215.3800000000001</v>
      </c>
      <c r="D46" s="31">
        <v>303.63</v>
      </c>
      <c r="E46" s="31">
        <v>-0.01</v>
      </c>
      <c r="F46" s="31">
        <v>0</v>
      </c>
      <c r="G46" s="31">
        <v>14157</v>
      </c>
      <c r="H46" s="31">
        <v>1815.1800000000007</v>
      </c>
      <c r="I46" s="31">
        <v>0</v>
      </c>
      <c r="J46" s="31">
        <v>30713.690000000002</v>
      </c>
      <c r="K46" s="31">
        <v>0</v>
      </c>
      <c r="L46" s="31">
        <v>0</v>
      </c>
      <c r="M46" s="31">
        <v>0</v>
      </c>
      <c r="N46" s="38">
        <f t="shared" si="6"/>
        <v>48501.05</v>
      </c>
      <c r="O46"/>
    </row>
    <row r="47" spans="1:15" ht="14.25" x14ac:dyDescent="0.45">
      <c r="A47" s="61" t="s">
        <v>163</v>
      </c>
      <c r="B47" s="31">
        <v>0</v>
      </c>
      <c r="C47" s="31">
        <v>0</v>
      </c>
      <c r="D47" s="31">
        <v>0</v>
      </c>
      <c r="E47" s="31">
        <v>177024.7</v>
      </c>
      <c r="F47" s="31">
        <v>303696.11</v>
      </c>
      <c r="G47" s="31">
        <v>0</v>
      </c>
      <c r="H47" s="31">
        <v>480720.81000000006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8">
        <f t="shared" si="6"/>
        <v>961441.62000000011</v>
      </c>
      <c r="O47"/>
    </row>
    <row r="48" spans="1:15" ht="14.25" x14ac:dyDescent="0.45">
      <c r="A48" s="61" t="s">
        <v>168</v>
      </c>
      <c r="B48" s="31">
        <v>0</v>
      </c>
      <c r="C48" s="31">
        <v>583.70000000000005</v>
      </c>
      <c r="D48" s="31">
        <v>1018.1400000000001</v>
      </c>
      <c r="E48" s="31">
        <v>952.85</v>
      </c>
      <c r="F48" s="31">
        <v>909.52</v>
      </c>
      <c r="G48" s="31">
        <v>854.95</v>
      </c>
      <c r="H48" s="31">
        <v>5292.5899999999983</v>
      </c>
      <c r="I48" s="31">
        <v>960.36000000000013</v>
      </c>
      <c r="J48" s="31">
        <v>130.96</v>
      </c>
      <c r="K48" s="31">
        <v>0</v>
      </c>
      <c r="L48" s="31">
        <v>0</v>
      </c>
      <c r="M48" s="31">
        <v>0</v>
      </c>
      <c r="N48" s="38">
        <f t="shared" si="6"/>
        <v>10703.069999999998</v>
      </c>
      <c r="O48"/>
    </row>
    <row r="49" spans="1:15" ht="14.25" x14ac:dyDescent="0.45">
      <c r="A49" s="61" t="s">
        <v>169</v>
      </c>
      <c r="B49" s="31">
        <v>3412.02</v>
      </c>
      <c r="C49" s="31">
        <v>15034.45</v>
      </c>
      <c r="D49" s="31">
        <v>16022.509999999998</v>
      </c>
      <c r="E49" s="31">
        <v>14342.49</v>
      </c>
      <c r="F49" s="31">
        <v>16093.95</v>
      </c>
      <c r="G49" s="31">
        <v>26778.899999999994</v>
      </c>
      <c r="H49" s="31">
        <v>94831.059999999954</v>
      </c>
      <c r="I49" s="31">
        <v>15554.06</v>
      </c>
      <c r="J49" s="31">
        <v>26880.309999999998</v>
      </c>
      <c r="K49" s="31">
        <v>0</v>
      </c>
      <c r="L49" s="31">
        <v>0</v>
      </c>
      <c r="M49" s="31">
        <v>0</v>
      </c>
      <c r="N49" s="38">
        <f t="shared" si="6"/>
        <v>228949.74999999994</v>
      </c>
      <c r="O49"/>
    </row>
    <row r="50" spans="1:15" ht="17.25" customHeight="1" x14ac:dyDescent="0.45">
      <c r="A50" s="70" t="s">
        <v>212</v>
      </c>
      <c r="E50" s="31">
        <v>219223.9</v>
      </c>
      <c r="F50" s="31">
        <v>80835.899999999965</v>
      </c>
      <c r="G50" s="31">
        <v>80094.499999999942</v>
      </c>
      <c r="H50" s="31">
        <v>556279.68000000098</v>
      </c>
      <c r="I50" s="31">
        <v>59466.8</v>
      </c>
      <c r="N50" s="14"/>
      <c r="O50"/>
    </row>
    <row r="51" spans="1:15" ht="14.25" x14ac:dyDescent="0.45">
      <c r="A51" s="70" t="s">
        <v>174</v>
      </c>
      <c r="B51" s="31">
        <v>1031275.34</v>
      </c>
      <c r="C51" s="31">
        <v>1050536.3500000001</v>
      </c>
      <c r="D51" s="31">
        <v>685738.6100000001</v>
      </c>
      <c r="E51" s="31">
        <v>79590.399999999994</v>
      </c>
      <c r="F51" s="31">
        <v>974934.72000000009</v>
      </c>
      <c r="G51" s="31">
        <v>476165.07000000012</v>
      </c>
      <c r="H51" s="31">
        <v>4338303.4299999978</v>
      </c>
      <c r="I51" s="31">
        <v>1020265</v>
      </c>
      <c r="J51" s="31">
        <v>351987.66000000003</v>
      </c>
      <c r="K51" s="31">
        <v>0</v>
      </c>
      <c r="L51" s="31">
        <v>0</v>
      </c>
      <c r="M51" s="31">
        <v>0</v>
      </c>
      <c r="N51" s="38">
        <f t="shared" si="6"/>
        <v>10008796.579999998</v>
      </c>
      <c r="O51" s="52"/>
    </row>
    <row r="52" spans="1:15" ht="17.25" customHeight="1" x14ac:dyDescent="0.45">
      <c r="A52" s="70" t="s">
        <v>178</v>
      </c>
      <c r="B52" s="31">
        <v>0</v>
      </c>
      <c r="C52" s="31">
        <v>0</v>
      </c>
      <c r="D52" s="31">
        <v>270750</v>
      </c>
      <c r="E52" s="31">
        <v>270750</v>
      </c>
      <c r="F52" s="31">
        <v>0</v>
      </c>
      <c r="G52" s="31">
        <v>0</v>
      </c>
      <c r="H52" s="31">
        <v>541500</v>
      </c>
      <c r="I52" s="31">
        <v>490750</v>
      </c>
      <c r="J52" s="31">
        <v>0</v>
      </c>
      <c r="K52" s="31">
        <v>0</v>
      </c>
      <c r="L52" s="31">
        <v>0</v>
      </c>
      <c r="M52" s="31">
        <v>0</v>
      </c>
      <c r="N52" s="38">
        <f t="shared" si="6"/>
        <v>1573750</v>
      </c>
      <c r="O52"/>
    </row>
    <row r="53" spans="1:15" ht="14.25" x14ac:dyDescent="0.45">
      <c r="A53" s="70" t="s">
        <v>200</v>
      </c>
      <c r="B53" s="31">
        <v>624.63</v>
      </c>
      <c r="C53" s="31">
        <v>667.07</v>
      </c>
      <c r="D53" s="31">
        <v>102028.98</v>
      </c>
      <c r="E53" s="31">
        <v>19844.900000000001</v>
      </c>
      <c r="F53" s="31">
        <v>70200.499999999985</v>
      </c>
      <c r="G53" s="31">
        <v>9410.4800000000014</v>
      </c>
      <c r="H53" s="31">
        <v>202776.56000000006</v>
      </c>
      <c r="I53" s="31">
        <v>1811.79</v>
      </c>
      <c r="J53" s="31">
        <v>0</v>
      </c>
      <c r="K53" s="31">
        <v>0</v>
      </c>
      <c r="L53" s="31">
        <v>0</v>
      </c>
      <c r="M53" s="31">
        <v>0</v>
      </c>
      <c r="N53" s="14">
        <f>SUM(B53:M53)</f>
        <v>407364.91</v>
      </c>
      <c r="O53"/>
    </row>
    <row r="54" spans="1:15" ht="17.25" customHeight="1" x14ac:dyDescent="0.45">
      <c r="A54" s="70" t="s">
        <v>179</v>
      </c>
      <c r="B54" s="31">
        <v>0</v>
      </c>
      <c r="C54" s="31">
        <v>0</v>
      </c>
      <c r="D54" s="31">
        <v>0</v>
      </c>
      <c r="E54" s="31">
        <v>370.06</v>
      </c>
      <c r="F54" s="31">
        <v>7830</v>
      </c>
      <c r="G54" s="31">
        <v>0</v>
      </c>
      <c r="H54" s="31">
        <v>8200.06</v>
      </c>
      <c r="I54" s="31">
        <v>5426.7799999999988</v>
      </c>
      <c r="J54" s="31">
        <v>0</v>
      </c>
      <c r="K54" s="31">
        <v>0</v>
      </c>
      <c r="L54" s="31">
        <v>0</v>
      </c>
      <c r="M54" s="31">
        <v>0</v>
      </c>
      <c r="N54" s="38">
        <f t="shared" si="6"/>
        <v>21826.899999999998</v>
      </c>
      <c r="O54"/>
    </row>
    <row r="55" spans="1:15" ht="17.25" customHeight="1" x14ac:dyDescent="0.45">
      <c r="A55" s="70" t="s">
        <v>180</v>
      </c>
      <c r="B55" s="31">
        <v>614.22</v>
      </c>
      <c r="C55" s="31">
        <v>399.18</v>
      </c>
      <c r="D55" s="31">
        <v>1429.53</v>
      </c>
      <c r="E55" s="31">
        <v>-257.08999999999997</v>
      </c>
      <c r="F55" s="31">
        <v>119.21</v>
      </c>
      <c r="G55" s="31">
        <v>4027.96</v>
      </c>
      <c r="H55" s="31">
        <v>6091.6600000000008</v>
      </c>
      <c r="I55" s="31">
        <v>954.31</v>
      </c>
      <c r="J55" s="31">
        <v>18582.54</v>
      </c>
      <c r="K55" s="31">
        <v>0</v>
      </c>
      <c r="L55" s="31">
        <v>0</v>
      </c>
      <c r="M55" s="31">
        <v>0</v>
      </c>
      <c r="N55" s="38">
        <f t="shared" si="6"/>
        <v>31961.520000000004</v>
      </c>
      <c r="O55"/>
    </row>
    <row r="56" spans="1:15" ht="17.25" customHeight="1" x14ac:dyDescent="0.45">
      <c r="A56" s="70" t="s">
        <v>181</v>
      </c>
      <c r="B56" s="31">
        <v>614.22</v>
      </c>
      <c r="C56" s="31">
        <v>399.18</v>
      </c>
      <c r="D56" s="31">
        <v>1429.53</v>
      </c>
      <c r="E56" s="31">
        <v>-257.08999999999997</v>
      </c>
      <c r="F56" s="31">
        <v>119.21</v>
      </c>
      <c r="G56" s="31">
        <v>1344.17</v>
      </c>
      <c r="H56" s="31">
        <v>3407.87</v>
      </c>
      <c r="I56" s="31">
        <v>480.16000000000008</v>
      </c>
      <c r="J56" s="31">
        <v>582.54</v>
      </c>
      <c r="K56" s="31">
        <v>0</v>
      </c>
      <c r="L56" s="31">
        <v>0</v>
      </c>
      <c r="M56" s="31">
        <v>0</v>
      </c>
      <c r="N56" s="38">
        <f t="shared" si="6"/>
        <v>8119.79</v>
      </c>
      <c r="O56"/>
    </row>
    <row r="57" spans="1:15" ht="17.25" customHeight="1" x14ac:dyDescent="0.45">
      <c r="A57" s="70" t="s">
        <v>182</v>
      </c>
      <c r="B57" s="31">
        <v>0</v>
      </c>
      <c r="C57" s="31">
        <v>291.85000000000002</v>
      </c>
      <c r="D57" s="31">
        <v>509.08000000000004</v>
      </c>
      <c r="E57" s="31">
        <v>476.41</v>
      </c>
      <c r="F57" s="31">
        <v>454.77</v>
      </c>
      <c r="G57" s="31">
        <v>427.48</v>
      </c>
      <c r="H57" s="31">
        <v>2646.309999999999</v>
      </c>
      <c r="I57" s="31">
        <v>141.85</v>
      </c>
      <c r="J57" s="31">
        <v>891.26</v>
      </c>
      <c r="K57" s="31">
        <v>0</v>
      </c>
      <c r="L57" s="31">
        <v>0</v>
      </c>
      <c r="M57" s="31">
        <v>0</v>
      </c>
      <c r="N57" s="38">
        <f t="shared" si="6"/>
        <v>5839.01</v>
      </c>
      <c r="O57"/>
    </row>
    <row r="58" spans="1:15" ht="17.25" customHeight="1" x14ac:dyDescent="0.45">
      <c r="A58" s="70" t="s">
        <v>183</v>
      </c>
      <c r="B58" s="31">
        <v>110.72</v>
      </c>
      <c r="C58" s="31">
        <v>105.6</v>
      </c>
      <c r="D58" s="31">
        <v>142.51999999999998</v>
      </c>
      <c r="E58" s="31">
        <v>124.25</v>
      </c>
      <c r="F58" s="31">
        <v>119.21</v>
      </c>
      <c r="G58" s="31">
        <v>116.53</v>
      </c>
      <c r="H58" s="31">
        <v>799.57000000000016</v>
      </c>
      <c r="I58" s="31">
        <v>0</v>
      </c>
      <c r="J58" s="31">
        <v>121.63</v>
      </c>
      <c r="K58" s="31">
        <v>0</v>
      </c>
      <c r="L58" s="31">
        <v>0</v>
      </c>
      <c r="M58" s="31">
        <v>0</v>
      </c>
      <c r="N58" s="38">
        <f t="shared" si="6"/>
        <v>1640.0300000000002</v>
      </c>
      <c r="O58"/>
    </row>
    <row r="59" spans="1:15" ht="14.25" x14ac:dyDescent="0.45">
      <c r="A59" s="70" t="s">
        <v>213</v>
      </c>
      <c r="E59" s="31">
        <v>9187.2999999999993</v>
      </c>
      <c r="F59" s="31">
        <v>-2873.7200000000003</v>
      </c>
      <c r="G59" s="31">
        <v>69.829999999999984</v>
      </c>
      <c r="H59" s="31">
        <v>35887.879999999997</v>
      </c>
      <c r="N59" s="14"/>
      <c r="O59"/>
    </row>
    <row r="60" spans="1:15" ht="14.25" x14ac:dyDescent="0.45">
      <c r="A60" s="70" t="s">
        <v>214</v>
      </c>
      <c r="E60" s="31">
        <v>13134.59</v>
      </c>
      <c r="F60" s="31">
        <v>14764.65</v>
      </c>
      <c r="G60" s="31">
        <v>13240.94</v>
      </c>
      <c r="H60" s="31">
        <v>92827.869999999981</v>
      </c>
      <c r="I60" s="31">
        <v>14545.040000000003</v>
      </c>
      <c r="J60" s="31">
        <v>13596.21</v>
      </c>
      <c r="N60" s="14"/>
      <c r="O60"/>
    </row>
    <row r="61" spans="1:15" ht="14.25" x14ac:dyDescent="0.45">
      <c r="A61" s="61" t="s">
        <v>186</v>
      </c>
      <c r="B61" s="31">
        <v>11101.11</v>
      </c>
      <c r="C61" s="31">
        <v>7715.66</v>
      </c>
      <c r="D61" s="31">
        <v>10687.699999999999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8">
        <f t="shared" si="6"/>
        <v>29504.47</v>
      </c>
      <c r="O61"/>
    </row>
    <row r="62" spans="1:15" ht="14.25" x14ac:dyDescent="0.45">
      <c r="A62" s="61" t="s">
        <v>187</v>
      </c>
      <c r="B62" s="31">
        <v>11862.07</v>
      </c>
      <c r="C62" s="31">
        <v>12287.67</v>
      </c>
      <c r="D62" s="31">
        <v>15441.83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6"/>
        <v>39591.57</v>
      </c>
      <c r="O62"/>
    </row>
    <row r="63" spans="1:15" ht="14.25" x14ac:dyDescent="0.45">
      <c r="A63" s="70" t="s">
        <v>221</v>
      </c>
      <c r="B63" s="31">
        <v>4029.15</v>
      </c>
      <c r="C63" s="31">
        <v>4721.32</v>
      </c>
      <c r="D63" s="31">
        <v>158313.43</v>
      </c>
      <c r="E63" s="31">
        <v>-52014.979999999989</v>
      </c>
      <c r="F63" s="31">
        <v>-37326.050000000003</v>
      </c>
      <c r="G63" s="31">
        <v>0</v>
      </c>
      <c r="H63" s="31">
        <v>77722.87000000001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8">
        <f t="shared" si="6"/>
        <v>155445.74000000002</v>
      </c>
      <c r="O63"/>
    </row>
    <row r="64" spans="1:15" ht="14.25" x14ac:dyDescent="0.45">
      <c r="A64" s="70" t="s">
        <v>222</v>
      </c>
      <c r="B64" s="31">
        <v>2801.13</v>
      </c>
      <c r="C64" s="31">
        <v>4333.47</v>
      </c>
      <c r="D64" s="31">
        <v>319818.76</v>
      </c>
      <c r="E64" s="31">
        <v>-11818.059999999969</v>
      </c>
      <c r="F64" s="31">
        <v>0</v>
      </c>
      <c r="G64" s="31">
        <v>0</v>
      </c>
      <c r="H64" s="31">
        <v>315135.30000000016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6"/>
        <v>630270.60000000021</v>
      </c>
      <c r="O64"/>
    </row>
    <row r="65" spans="1:15" ht="14.25" x14ac:dyDescent="0.45">
      <c r="A65" s="70" t="s">
        <v>223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-8.6600000000003092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>SUM(B65:M65)</f>
        <v>-8.6600000000003092</v>
      </c>
      <c r="O65"/>
    </row>
    <row r="66" spans="1:15" ht="14.25" x14ac:dyDescent="0.45">
      <c r="A66" s="61" t="s">
        <v>158</v>
      </c>
      <c r="B66" s="31">
        <v>222.81</v>
      </c>
      <c r="C66" s="31">
        <v>1478.87</v>
      </c>
      <c r="D66" s="31">
        <v>44599.340000000004</v>
      </c>
      <c r="E66" s="31">
        <v>57137.37</v>
      </c>
      <c r="F66" s="31">
        <v>82172.240000000005</v>
      </c>
      <c r="G66" s="31">
        <v>81538.92</v>
      </c>
      <c r="H66" s="31">
        <v>324570.15000000002</v>
      </c>
      <c r="I66" s="31">
        <v>49699.700000000004</v>
      </c>
      <c r="J66" s="31">
        <v>40933.629999999997</v>
      </c>
      <c r="K66" s="31">
        <v>0</v>
      </c>
      <c r="L66" s="31">
        <v>0</v>
      </c>
      <c r="M66" s="31">
        <v>0</v>
      </c>
      <c r="N66" s="38">
        <f>SUM(B66:M66)</f>
        <v>682353.02999999991</v>
      </c>
      <c r="O66"/>
    </row>
    <row r="67" spans="1:15" ht="14.25" x14ac:dyDescent="0.45">
      <c r="A67" s="70" t="s">
        <v>201</v>
      </c>
      <c r="B67" s="31">
        <v>449.07</v>
      </c>
      <c r="C67" s="31">
        <v>479.58</v>
      </c>
      <c r="D67" s="31">
        <v>663.31</v>
      </c>
      <c r="E67" s="31">
        <v>-219.97</v>
      </c>
      <c r="F67" s="31">
        <v>0</v>
      </c>
      <c r="G67" s="31">
        <v>0</v>
      </c>
      <c r="H67" s="31">
        <v>1371.99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>SUM(B67:M67)</f>
        <v>2743.98</v>
      </c>
      <c r="O67"/>
    </row>
    <row r="68" spans="1:15" ht="14.25" x14ac:dyDescent="0.45">
      <c r="A68" s="70" t="s">
        <v>224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490943.97</v>
      </c>
      <c r="I68" s="31">
        <v>-490943.97</v>
      </c>
      <c r="J68" s="31">
        <v>1472831.91</v>
      </c>
      <c r="K68" s="31">
        <v>0</v>
      </c>
      <c r="L68" s="31">
        <v>0</v>
      </c>
      <c r="M68" s="31">
        <v>0</v>
      </c>
      <c r="N68" s="38">
        <f t="shared" ref="N68:N69" si="7">SUM(B68:M68)</f>
        <v>1472831.91</v>
      </c>
      <c r="O68"/>
    </row>
    <row r="69" spans="1:15" ht="14.25" x14ac:dyDescent="0.45">
      <c r="A69" s="70" t="s">
        <v>225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519760.8</v>
      </c>
      <c r="I69" s="31">
        <v>-519760.8</v>
      </c>
      <c r="J69" s="31">
        <v>1561823.65</v>
      </c>
      <c r="K69" s="31">
        <v>0</v>
      </c>
      <c r="L69" s="31">
        <v>0</v>
      </c>
      <c r="M69" s="31">
        <v>0</v>
      </c>
      <c r="N69" s="38">
        <f t="shared" si="7"/>
        <v>1561823.65</v>
      </c>
      <c r="O69"/>
    </row>
    <row r="70" spans="1:15" ht="14.25" x14ac:dyDescent="0.45">
      <c r="A70" s="70" t="s">
        <v>226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4497.4800000000005</v>
      </c>
      <c r="I70" s="31">
        <v>693.42</v>
      </c>
      <c r="J70" s="31">
        <v>650.75999999999988</v>
      </c>
      <c r="K70" s="31">
        <v>0</v>
      </c>
      <c r="L70" s="31">
        <v>0</v>
      </c>
      <c r="M70" s="31">
        <v>0</v>
      </c>
      <c r="N70" s="38">
        <f t="shared" ref="N70:N71" si="8">SUM(B70:M70)</f>
        <v>5841.6600000000008</v>
      </c>
      <c r="O70"/>
    </row>
    <row r="71" spans="1:15" ht="14.25" x14ac:dyDescent="0.45">
      <c r="A71" s="70" t="s">
        <v>227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39051.149999999994</v>
      </c>
      <c r="I71" s="31">
        <v>6521.6299999999992</v>
      </c>
      <c r="J71" s="31">
        <v>5958.42</v>
      </c>
      <c r="K71" s="31">
        <v>0</v>
      </c>
      <c r="L71" s="31">
        <v>0</v>
      </c>
      <c r="M71" s="31">
        <v>0</v>
      </c>
      <c r="N71" s="38">
        <f t="shared" si="8"/>
        <v>51531.19999999999</v>
      </c>
      <c r="O71"/>
    </row>
    <row r="72" spans="1:15" ht="14.25" x14ac:dyDescent="0.45">
      <c r="A72" s="70" t="s">
        <v>228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247024.38</v>
      </c>
      <c r="I72" s="31">
        <v>123512.19</v>
      </c>
      <c r="J72" s="31">
        <v>123512.19</v>
      </c>
      <c r="K72" s="31">
        <v>0</v>
      </c>
      <c r="L72" s="31">
        <v>0</v>
      </c>
      <c r="M72" s="31">
        <v>0</v>
      </c>
      <c r="N72" s="38">
        <f t="shared" ref="N72" si="9">SUM(B72:M72)</f>
        <v>494048.76</v>
      </c>
      <c r="O72"/>
    </row>
    <row r="73" spans="1:15" ht="17.25" customHeight="1" x14ac:dyDescent="0.45">
      <c r="A73" s="70" t="s">
        <v>204</v>
      </c>
      <c r="B73" s="31">
        <v>0</v>
      </c>
      <c r="C73" s="31">
        <v>0</v>
      </c>
      <c r="D73" s="31">
        <v>10458</v>
      </c>
      <c r="E73" s="31">
        <v>21213</v>
      </c>
      <c r="F73" s="31">
        <v>38789.69</v>
      </c>
      <c r="G73" s="31">
        <v>121437.07999999999</v>
      </c>
      <c r="H73" s="31">
        <v>143872.02999999997</v>
      </c>
      <c r="I73" s="31">
        <v>25107.14</v>
      </c>
      <c r="J73" s="31">
        <v>42339.95</v>
      </c>
      <c r="K73" s="31">
        <v>0</v>
      </c>
      <c r="L73" s="31">
        <v>0</v>
      </c>
      <c r="M73" s="31">
        <v>0</v>
      </c>
      <c r="N73" s="14">
        <f>SUM(B73:M73)</f>
        <v>403216.88999999996</v>
      </c>
      <c r="O73"/>
    </row>
    <row r="74" spans="1:15" ht="17.25" customHeight="1" x14ac:dyDescent="0.45">
      <c r="A74" s="70" t="s">
        <v>217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1696555</v>
      </c>
      <c r="H74" s="31">
        <v>1389604</v>
      </c>
      <c r="I74" s="31">
        <v>104257.8899999998</v>
      </c>
      <c r="J74" s="31">
        <v>39249.040000000008</v>
      </c>
      <c r="K74" s="31">
        <v>0</v>
      </c>
      <c r="L74" s="31">
        <v>0</v>
      </c>
      <c r="M74" s="31">
        <v>0</v>
      </c>
      <c r="N74" s="14">
        <f t="shared" ref="N74" si="10">SUM(B74:M74)</f>
        <v>3229665.9299999997</v>
      </c>
      <c r="O74"/>
    </row>
    <row r="75" spans="1:15" ht="14.25" x14ac:dyDescent="0.45">
      <c r="A75" s="70" t="s">
        <v>215</v>
      </c>
      <c r="B75" s="31">
        <v>0</v>
      </c>
      <c r="C75" s="31">
        <v>0</v>
      </c>
      <c r="D75" s="31">
        <v>0</v>
      </c>
      <c r="E75" s="31">
        <v>518.29</v>
      </c>
      <c r="F75" s="31">
        <v>451020.27999999997</v>
      </c>
      <c r="G75" s="31">
        <v>177264.00000000009</v>
      </c>
      <c r="H75" s="31">
        <v>617955.39999999967</v>
      </c>
      <c r="I75" s="31">
        <v>83784.060000000027</v>
      </c>
      <c r="J75" s="31">
        <v>104956.58</v>
      </c>
      <c r="K75" s="31">
        <v>0</v>
      </c>
      <c r="L75" s="31">
        <v>0</v>
      </c>
      <c r="M75" s="31">
        <v>0</v>
      </c>
      <c r="N75" s="14">
        <f t="shared" ref="N75:N79" si="11">SUM(B75:M75)</f>
        <v>1435498.6099999999</v>
      </c>
      <c r="O75"/>
    </row>
    <row r="76" spans="1:15" ht="14.25" x14ac:dyDescent="0.45">
      <c r="A76" s="70" t="s">
        <v>216</v>
      </c>
      <c r="B76" s="31">
        <v>0</v>
      </c>
      <c r="C76" s="31">
        <v>0</v>
      </c>
      <c r="D76" s="31">
        <v>0</v>
      </c>
      <c r="E76" s="31">
        <v>518.29</v>
      </c>
      <c r="F76" s="31">
        <v>22425.729999999996</v>
      </c>
      <c r="G76" s="31">
        <v>6970.0899999999992</v>
      </c>
      <c r="H76" s="31">
        <v>47785.060000000027</v>
      </c>
      <c r="I76" s="31">
        <v>20122.400000000005</v>
      </c>
      <c r="J76" s="31">
        <v>12403.16</v>
      </c>
      <c r="K76" s="31">
        <v>0</v>
      </c>
      <c r="L76" s="31">
        <v>0</v>
      </c>
      <c r="M76" s="31">
        <v>0</v>
      </c>
      <c r="N76" s="14">
        <f t="shared" si="11"/>
        <v>110224.73000000004</v>
      </c>
      <c r="O76"/>
    </row>
    <row r="77" spans="1:15" ht="14.25" x14ac:dyDescent="0.45">
      <c r="A77" s="61" t="s">
        <v>170</v>
      </c>
      <c r="B77" s="31">
        <v>0</v>
      </c>
      <c r="C77" s="31">
        <v>0</v>
      </c>
      <c r="D77" s="31">
        <v>0</v>
      </c>
      <c r="E77" s="31">
        <v>9270.3799999999992</v>
      </c>
      <c r="F77" s="31">
        <v>4991.8</v>
      </c>
      <c r="G77" s="31">
        <v>4445.29</v>
      </c>
      <c r="H77" s="31">
        <v>23685.439999999999</v>
      </c>
      <c r="I77" s="31">
        <v>5089.84</v>
      </c>
      <c r="J77" s="31">
        <v>385713.13</v>
      </c>
      <c r="K77" s="31">
        <v>0</v>
      </c>
      <c r="L77" s="31">
        <v>0</v>
      </c>
      <c r="M77" s="31">
        <v>0</v>
      </c>
      <c r="N77" s="38">
        <f>SUM(B77:M77)</f>
        <v>433195.88</v>
      </c>
      <c r="O77"/>
    </row>
    <row r="78" spans="1:15" ht="17.25" customHeight="1" x14ac:dyDescent="0.45">
      <c r="A78" s="70" t="s">
        <v>203</v>
      </c>
      <c r="B78" s="31">
        <v>0</v>
      </c>
      <c r="C78" s="31">
        <v>0</v>
      </c>
      <c r="D78" s="31">
        <v>12000</v>
      </c>
      <c r="E78" s="31">
        <v>36267.380000000005</v>
      </c>
      <c r="F78" s="31">
        <v>4730.84</v>
      </c>
      <c r="G78" s="31">
        <v>84358.040000000008</v>
      </c>
      <c r="H78" s="31">
        <v>92911.459999999992</v>
      </c>
      <c r="I78" s="31">
        <v>23716.849999999991</v>
      </c>
      <c r="J78" s="31">
        <v>35142.490000000005</v>
      </c>
      <c r="K78" s="31">
        <v>0</v>
      </c>
      <c r="L78" s="31">
        <v>0</v>
      </c>
      <c r="M78" s="31">
        <v>0</v>
      </c>
      <c r="N78" s="14">
        <f t="shared" si="11"/>
        <v>289127.06</v>
      </c>
      <c r="O78"/>
    </row>
    <row r="79" spans="1:15" ht="17.25" customHeight="1" x14ac:dyDescent="0.45">
      <c r="A79" s="70" t="s">
        <v>218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19500</v>
      </c>
      <c r="H79" s="31">
        <v>19500</v>
      </c>
      <c r="I79" s="31">
        <v>-12000</v>
      </c>
      <c r="J79" s="31">
        <v>10251.5</v>
      </c>
      <c r="K79" s="31">
        <v>0</v>
      </c>
      <c r="L79" s="31">
        <v>0</v>
      </c>
      <c r="M79" s="31">
        <v>0</v>
      </c>
      <c r="N79" s="14">
        <f t="shared" si="11"/>
        <v>37251.5</v>
      </c>
      <c r="O79"/>
    </row>
    <row r="80" spans="1:15" ht="17.25" customHeight="1" x14ac:dyDescent="0.45">
      <c r="A80" s="70" t="s">
        <v>220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2898.54</v>
      </c>
      <c r="I80" s="31">
        <v>9975.0099999999984</v>
      </c>
      <c r="J80" s="31">
        <v>1138.8899999999994</v>
      </c>
      <c r="K80" s="31">
        <v>0</v>
      </c>
      <c r="L80" s="31">
        <v>0</v>
      </c>
      <c r="M80" s="31">
        <v>0</v>
      </c>
      <c r="N80" s="14">
        <f t="shared" ref="N80" si="12">SUM(B80:M80)</f>
        <v>14012.439999999999</v>
      </c>
      <c r="O80"/>
    </row>
    <row r="81" spans="1:15" ht="17.25" customHeight="1" x14ac:dyDescent="0.45">
      <c r="A81" s="70" t="s">
        <v>229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1435</v>
      </c>
      <c r="J81" s="31">
        <v>1897.5</v>
      </c>
      <c r="K81" s="31">
        <v>0</v>
      </c>
      <c r="L81" s="31">
        <v>0</v>
      </c>
      <c r="M81" s="31">
        <v>0</v>
      </c>
      <c r="N81" s="14">
        <f t="shared" ref="N81" si="13">SUM(B81:M81)</f>
        <v>3332.5</v>
      </c>
      <c r="O81"/>
    </row>
    <row r="82" spans="1:15" x14ac:dyDescent="0.35">
      <c r="A82" s="15" t="s">
        <v>28</v>
      </c>
      <c r="B82" s="31">
        <f t="shared" ref="B82:G82" si="14">SUM(B43:B79)</f>
        <v>1072022.77</v>
      </c>
      <c r="C82" s="31">
        <f t="shared" si="14"/>
        <v>1105849.9000000004</v>
      </c>
      <c r="D82" s="31">
        <f t="shared" si="14"/>
        <v>1662619.1000000003</v>
      </c>
      <c r="E82" s="31">
        <f t="shared" si="14"/>
        <v>983347.5500000004</v>
      </c>
      <c r="F82" s="31">
        <f t="shared" si="14"/>
        <v>2083710.7799999998</v>
      </c>
      <c r="G82" s="31">
        <f t="shared" si="14"/>
        <v>2869885.73</v>
      </c>
      <c r="H82" s="31">
        <f>SUM(H43:H80)</f>
        <v>11036822.770000001</v>
      </c>
      <c r="I82" s="31">
        <f>SUM(I43:I81)</f>
        <v>1069424.82</v>
      </c>
      <c r="J82" s="31">
        <f t="shared" ref="J82:N82" si="15">SUM(J43:J81)</f>
        <v>4692418.68</v>
      </c>
      <c r="K82" s="31">
        <f t="shared" si="15"/>
        <v>0</v>
      </c>
      <c r="L82" s="31">
        <f t="shared" si="15"/>
        <v>0</v>
      </c>
      <c r="M82" s="31">
        <f t="shared" si="15"/>
        <v>0</v>
      </c>
      <c r="N82" s="14">
        <f t="shared" si="15"/>
        <v>25375820.729999993</v>
      </c>
    </row>
    <row r="83" spans="1:15" x14ac:dyDescent="0.35">
      <c r="A83" s="15"/>
      <c r="N83" s="14"/>
    </row>
    <row r="84" spans="1:15" ht="15.4" thickBot="1" x14ac:dyDescent="0.45">
      <c r="A84" s="19" t="s">
        <v>15</v>
      </c>
      <c r="B84" s="35">
        <f t="shared" ref="B84:M84" si="16">+B82+B40+B8</f>
        <v>2443095.0300000003</v>
      </c>
      <c r="C84" s="35">
        <f t="shared" si="16"/>
        <v>2698318</v>
      </c>
      <c r="D84" s="35">
        <f t="shared" si="16"/>
        <v>7096600.9999999991</v>
      </c>
      <c r="E84" s="35">
        <f t="shared" si="16"/>
        <v>10815847.460000001</v>
      </c>
      <c r="F84" s="35">
        <f t="shared" si="16"/>
        <v>7314186.3300000001</v>
      </c>
      <c r="G84" s="35">
        <f t="shared" si="16"/>
        <v>8092285.6300000008</v>
      </c>
      <c r="H84" s="35">
        <f t="shared" si="16"/>
        <v>5664020.7999999989</v>
      </c>
      <c r="I84" s="35">
        <f t="shared" si="16"/>
        <v>5692710</v>
      </c>
      <c r="J84" s="35">
        <f t="shared" si="16"/>
        <v>10242730.419999998</v>
      </c>
      <c r="K84" s="35">
        <f t="shared" si="16"/>
        <v>0</v>
      </c>
      <c r="L84" s="35">
        <f t="shared" si="16"/>
        <v>0</v>
      </c>
      <c r="M84" s="35">
        <f t="shared" si="16"/>
        <v>0</v>
      </c>
      <c r="N84" s="20">
        <f>+N82+N9+N40+N8</f>
        <v>58789592.209999993</v>
      </c>
    </row>
    <row r="85" spans="1:15" ht="15.4" thickBot="1" x14ac:dyDescent="0.45">
      <c r="A85" s="4"/>
    </row>
    <row r="86" spans="1:15" ht="13.15" x14ac:dyDescent="0.4">
      <c r="A86" s="5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7" t="s">
        <v>0</v>
      </c>
    </row>
    <row r="87" spans="1:15" ht="13.5" thickBot="1" x14ac:dyDescent="0.45">
      <c r="A87" s="21" t="s">
        <v>185</v>
      </c>
      <c r="B87" s="34" t="s">
        <v>2</v>
      </c>
      <c r="C87" s="34" t="s">
        <v>3</v>
      </c>
      <c r="D87" s="34" t="s">
        <v>4</v>
      </c>
      <c r="E87" s="34" t="s">
        <v>5</v>
      </c>
      <c r="F87" s="34" t="s">
        <v>6</v>
      </c>
      <c r="G87" s="34" t="s">
        <v>7</v>
      </c>
      <c r="H87" s="34" t="s">
        <v>8</v>
      </c>
      <c r="I87" s="34" t="s">
        <v>9</v>
      </c>
      <c r="J87" s="34" t="s">
        <v>10</v>
      </c>
      <c r="K87" s="34" t="s">
        <v>11</v>
      </c>
      <c r="L87" s="34" t="s">
        <v>12</v>
      </c>
      <c r="M87" s="34" t="s">
        <v>13</v>
      </c>
      <c r="N87" s="10" t="s">
        <v>14</v>
      </c>
    </row>
    <row r="88" spans="1:15" ht="13.15" x14ac:dyDescent="0.4">
      <c r="A88" s="65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53"/>
    </row>
    <row r="89" spans="1:15" x14ac:dyDescent="0.35">
      <c r="A89" s="22" t="s">
        <v>31</v>
      </c>
      <c r="B89" s="31">
        <f>-3859637.05-B120-B151</f>
        <v>2396483.12</v>
      </c>
      <c r="C89" s="31">
        <f>2137645-C120-C151</f>
        <v>-1406540.2200000002</v>
      </c>
      <c r="D89" s="31">
        <f>2878094-D120-D151</f>
        <v>496232.03000000026</v>
      </c>
      <c r="E89" s="31">
        <f>-2422779.02-E120-E151</f>
        <v>-1884028.26</v>
      </c>
      <c r="F89" s="31">
        <f>822480.2-F120-F151</f>
        <v>842977.30999999982</v>
      </c>
      <c r="G89" s="31">
        <f>-73669.49-G120-G151</f>
        <v>-74376.090000000011</v>
      </c>
      <c r="H89" s="31">
        <f>251266.27-H120-H151</f>
        <v>250626.16999999998</v>
      </c>
      <c r="I89" s="31">
        <f>523505.92-I120-I151</f>
        <v>413917.69999999995</v>
      </c>
      <c r="J89" s="31">
        <f>645600.48-J120-J151</f>
        <v>643378.18000000005</v>
      </c>
      <c r="K89" s="31">
        <f t="shared" ref="K89:M89" si="17">0-K120-K151</f>
        <v>0</v>
      </c>
      <c r="L89" s="31">
        <f t="shared" si="17"/>
        <v>0</v>
      </c>
      <c r="M89" s="31">
        <f t="shared" si="17"/>
        <v>0</v>
      </c>
      <c r="N89" s="14">
        <f>SUM(B89:M89)</f>
        <v>1678669.94</v>
      </c>
    </row>
    <row r="90" spans="1:15" x14ac:dyDescent="0.35">
      <c r="A90" s="15" t="s">
        <v>83</v>
      </c>
      <c r="N90" s="14">
        <f>SUM(B90:M90)</f>
        <v>0</v>
      </c>
    </row>
    <row r="91" spans="1:15" x14ac:dyDescent="0.35">
      <c r="A91" s="22" t="s">
        <v>30</v>
      </c>
      <c r="N91" s="14"/>
    </row>
    <row r="92" spans="1:15" ht="14.25" x14ac:dyDescent="0.45">
      <c r="A92" s="61" t="s">
        <v>154</v>
      </c>
      <c r="B92" s="31">
        <v>-1.9699999999999989</v>
      </c>
      <c r="C92" s="31">
        <v>0</v>
      </c>
      <c r="D92" s="31">
        <v>3980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14">
        <f t="shared" ref="N92:N117" si="18">SUM(B92:M92)</f>
        <v>3978.03</v>
      </c>
      <c r="O92"/>
    </row>
    <row r="93" spans="1:15" ht="14.25" x14ac:dyDescent="0.45">
      <c r="A93" s="61" t="s">
        <v>157</v>
      </c>
      <c r="B93" s="31">
        <v>-42.420000000000051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14">
        <f t="shared" ref="N93:N113" si="19">SUM(B93:M93)</f>
        <v>-42.420000000000051</v>
      </c>
      <c r="O93"/>
    </row>
    <row r="94" spans="1:15" ht="14.25" x14ac:dyDescent="0.45">
      <c r="A94" s="61" t="s">
        <v>158</v>
      </c>
      <c r="B94" s="31">
        <v>0.15999999999999837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14">
        <f t="shared" si="19"/>
        <v>0.15999999999999837</v>
      </c>
      <c r="O94"/>
    </row>
    <row r="95" spans="1:15" ht="14.25" x14ac:dyDescent="0.45">
      <c r="A95" s="61" t="s">
        <v>159</v>
      </c>
      <c r="B95" s="31">
        <v>-43571.929999999993</v>
      </c>
      <c r="C95" s="31">
        <v>33665.54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14">
        <f t="shared" si="19"/>
        <v>-9906.3899999999921</v>
      </c>
      <c r="O95"/>
    </row>
    <row r="96" spans="1:15" ht="14.25" x14ac:dyDescent="0.45">
      <c r="A96" s="61" t="s">
        <v>160</v>
      </c>
      <c r="B96" s="31">
        <v>-563.28000000000009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14">
        <f t="shared" si="19"/>
        <v>-563.28000000000009</v>
      </c>
      <c r="O96"/>
    </row>
    <row r="97" spans="1:15" ht="14.25" x14ac:dyDescent="0.45">
      <c r="A97" s="61" t="s">
        <v>161</v>
      </c>
      <c r="B97" s="31">
        <v>-5058.42</v>
      </c>
      <c r="C97" s="31">
        <v>-177957.89</v>
      </c>
      <c r="D97" s="31">
        <v>-192524.22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14">
        <f t="shared" si="19"/>
        <v>-375540.53</v>
      </c>
      <c r="O97"/>
    </row>
    <row r="98" spans="1:15" ht="14.25" x14ac:dyDescent="0.45">
      <c r="A98" s="61" t="s">
        <v>162</v>
      </c>
      <c r="B98" s="31">
        <v>-564.42000000000007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14">
        <f t="shared" si="19"/>
        <v>-564.42000000000007</v>
      </c>
      <c r="O98"/>
    </row>
    <row r="99" spans="1:15" ht="14.25" x14ac:dyDescent="0.45">
      <c r="A99" s="61" t="s">
        <v>163</v>
      </c>
      <c r="B99" s="31">
        <v>6485.1100000000006</v>
      </c>
      <c r="C99" s="31">
        <v>55522.99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14">
        <f t="shared" si="19"/>
        <v>62008.1</v>
      </c>
      <c r="O99"/>
    </row>
    <row r="100" spans="1:15" ht="14.25" x14ac:dyDescent="0.45">
      <c r="A100" s="61" t="s">
        <v>165</v>
      </c>
      <c r="B100" s="31">
        <v>-35675.71</v>
      </c>
      <c r="C100" s="31">
        <v>0</v>
      </c>
      <c r="D100" s="31">
        <v>33388.22</v>
      </c>
      <c r="E100" s="31">
        <v>-94.33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14">
        <f t="shared" si="19"/>
        <v>-2381.8199999999979</v>
      </c>
      <c r="O100"/>
    </row>
    <row r="101" spans="1:15" ht="17.25" customHeight="1" x14ac:dyDescent="0.45">
      <c r="A101" s="70" t="s">
        <v>168</v>
      </c>
      <c r="B101" s="31">
        <v>-49.24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2063.86</v>
      </c>
      <c r="K101" s="31">
        <v>0</v>
      </c>
      <c r="L101" s="31">
        <v>0</v>
      </c>
      <c r="M101" s="31">
        <v>0</v>
      </c>
      <c r="N101" s="14">
        <f t="shared" si="19"/>
        <v>2014.6200000000001</v>
      </c>
      <c r="O101"/>
    </row>
    <row r="102" spans="1:15" ht="17.25" customHeight="1" x14ac:dyDescent="0.45">
      <c r="A102" s="70" t="s">
        <v>169</v>
      </c>
      <c r="B102" s="31">
        <v>-4.8600000000000003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si="19"/>
        <v>-4.8600000000000003</v>
      </c>
      <c r="O102"/>
    </row>
    <row r="103" spans="1:15" ht="17.25" customHeight="1" x14ac:dyDescent="0.45">
      <c r="A103" s="70" t="s">
        <v>170</v>
      </c>
      <c r="B103" s="31">
        <v>-35456.5</v>
      </c>
      <c r="C103" s="31">
        <v>0</v>
      </c>
      <c r="D103" s="31">
        <v>28084.879999999997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si="19"/>
        <v>-7371.6200000000026</v>
      </c>
      <c r="O103"/>
    </row>
    <row r="104" spans="1:15" ht="17.25" customHeight="1" x14ac:dyDescent="0.45">
      <c r="A104" s="70" t="s">
        <v>171</v>
      </c>
      <c r="B104" s="31">
        <v>-8.009999999999998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19"/>
        <v>-8.009999999999998</v>
      </c>
      <c r="O104"/>
    </row>
    <row r="105" spans="1:15" ht="17.25" customHeight="1" x14ac:dyDescent="0.45">
      <c r="A105" s="70" t="s">
        <v>172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19"/>
        <v>0</v>
      </c>
      <c r="O105"/>
    </row>
    <row r="106" spans="1:15" ht="17.25" customHeight="1" x14ac:dyDescent="0.45">
      <c r="A106" s="70" t="s">
        <v>174</v>
      </c>
      <c r="B106" s="31">
        <v>-353.33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19"/>
        <v>-353.33</v>
      </c>
      <c r="O106"/>
    </row>
    <row r="107" spans="1:15" ht="14.25" x14ac:dyDescent="0.45">
      <c r="A107" s="61" t="s">
        <v>178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19"/>
        <v>0</v>
      </c>
      <c r="O107"/>
    </row>
    <row r="108" spans="1:15" ht="14.25" x14ac:dyDescent="0.45">
      <c r="A108" s="61" t="s">
        <v>179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19"/>
        <v>0</v>
      </c>
      <c r="O108"/>
    </row>
    <row r="109" spans="1:15" ht="14.25" x14ac:dyDescent="0.45">
      <c r="A109" s="61" t="s">
        <v>180</v>
      </c>
      <c r="B109" s="31">
        <v>0.03</v>
      </c>
      <c r="C109" s="31">
        <v>-10000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19"/>
        <v>-9999.9699999999993</v>
      </c>
      <c r="O109"/>
    </row>
    <row r="110" spans="1:15" ht="14.25" x14ac:dyDescent="0.45">
      <c r="A110" s="61" t="s">
        <v>181</v>
      </c>
      <c r="B110" s="31">
        <v>0.03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19"/>
        <v>0.03</v>
      </c>
      <c r="O110"/>
    </row>
    <row r="111" spans="1:15" ht="14.25" x14ac:dyDescent="0.45">
      <c r="A111" s="61" t="s">
        <v>182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19"/>
        <v>0</v>
      </c>
      <c r="O111"/>
    </row>
    <row r="112" spans="1:15" ht="14.25" x14ac:dyDescent="0.45">
      <c r="A112" s="61" t="s">
        <v>183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19"/>
        <v>0</v>
      </c>
      <c r="O112"/>
    </row>
    <row r="113" spans="1:15" ht="14.25" x14ac:dyDescent="0.45">
      <c r="A113" s="61" t="s">
        <v>184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19"/>
        <v>0</v>
      </c>
      <c r="O113"/>
    </row>
    <row r="114" spans="1:15" ht="14.25" x14ac:dyDescent="0.45">
      <c r="A114" s="70" t="s">
        <v>186</v>
      </c>
      <c r="B114" s="31">
        <v>3620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18"/>
        <v>3620</v>
      </c>
      <c r="O114"/>
    </row>
    <row r="115" spans="1:15" ht="14.25" x14ac:dyDescent="0.45">
      <c r="A115" s="70" t="s">
        <v>187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18"/>
        <v>0</v>
      </c>
      <c r="O115"/>
    </row>
    <row r="116" spans="1:15" ht="17.25" customHeight="1" x14ac:dyDescent="0.45">
      <c r="A116" s="70" t="s">
        <v>188</v>
      </c>
      <c r="B116" s="31">
        <v>-15767.24</v>
      </c>
      <c r="C116" s="31">
        <v>12279.24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18"/>
        <v>-3488</v>
      </c>
      <c r="O116"/>
    </row>
    <row r="117" spans="1:15" ht="17.25" customHeight="1" x14ac:dyDescent="0.45">
      <c r="A117" s="70" t="s">
        <v>189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18"/>
        <v>0</v>
      </c>
      <c r="O117"/>
    </row>
    <row r="118" spans="1:15" ht="17.25" customHeight="1" x14ac:dyDescent="0.45">
      <c r="A118" s="70" t="s">
        <v>190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ref="N118:N119" si="20">SUM(B118:M118)</f>
        <v>0</v>
      </c>
      <c r="O118"/>
    </row>
    <row r="119" spans="1:15" ht="17.25" customHeight="1" x14ac:dyDescent="0.45">
      <c r="A119" s="70" t="s">
        <v>191</v>
      </c>
      <c r="B119" s="31">
        <v>0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20"/>
        <v>0</v>
      </c>
      <c r="O119"/>
    </row>
    <row r="120" spans="1:15" x14ac:dyDescent="0.35">
      <c r="A120" s="15" t="s">
        <v>28</v>
      </c>
      <c r="B120" s="31">
        <f>SUM(B92:B119)</f>
        <v>-127012</v>
      </c>
      <c r="C120" s="31">
        <f t="shared" ref="C120:M120" si="21">SUM(C92:C119)</f>
        <v>-86490.12000000001</v>
      </c>
      <c r="D120" s="31">
        <f>SUM(D92:D119)</f>
        <v>-127071.12</v>
      </c>
      <c r="E120" s="31">
        <f>SUM(E92:E119)</f>
        <v>-94.33</v>
      </c>
      <c r="F120" s="31">
        <f t="shared" si="21"/>
        <v>0</v>
      </c>
      <c r="G120" s="31">
        <f>SUM(G92:G119)</f>
        <v>0</v>
      </c>
      <c r="H120" s="31">
        <f t="shared" si="21"/>
        <v>0</v>
      </c>
      <c r="I120" s="31">
        <f t="shared" si="21"/>
        <v>0</v>
      </c>
      <c r="J120" s="31">
        <f t="shared" si="21"/>
        <v>2063.86</v>
      </c>
      <c r="K120" s="31">
        <f t="shared" si="21"/>
        <v>0</v>
      </c>
      <c r="L120" s="31">
        <f t="shared" si="21"/>
        <v>0</v>
      </c>
      <c r="M120" s="31">
        <f t="shared" si="21"/>
        <v>0</v>
      </c>
      <c r="N120" s="14">
        <f>SUM(N92:N119)</f>
        <v>-338603.70999999996</v>
      </c>
    </row>
    <row r="121" spans="1:15" x14ac:dyDescent="0.35">
      <c r="A121" s="15"/>
      <c r="N121" s="14"/>
    </row>
    <row r="122" spans="1:15" x14ac:dyDescent="0.35">
      <c r="A122" s="22" t="s">
        <v>29</v>
      </c>
      <c r="N122" s="14"/>
    </row>
    <row r="123" spans="1:15" ht="14.25" x14ac:dyDescent="0.45">
      <c r="A123" s="61" t="s">
        <v>154</v>
      </c>
      <c r="B123" s="31">
        <v>-51453.950000000004</v>
      </c>
      <c r="C123" s="31">
        <v>-149.75</v>
      </c>
      <c r="D123" s="31">
        <v>81512.780000000013</v>
      </c>
      <c r="E123" s="31">
        <v>32.47</v>
      </c>
      <c r="F123" s="31">
        <v>32.47</v>
      </c>
      <c r="G123" s="31">
        <v>32.47</v>
      </c>
      <c r="H123" s="31">
        <v>32.409999999999997</v>
      </c>
      <c r="I123" s="31">
        <v>-1894.59</v>
      </c>
      <c r="J123" s="31">
        <v>0</v>
      </c>
      <c r="K123" s="31">
        <v>0</v>
      </c>
      <c r="L123" s="31">
        <v>0</v>
      </c>
      <c r="M123" s="31">
        <v>0</v>
      </c>
      <c r="N123" s="38">
        <f>SUM(B123:M123)</f>
        <v>28144.310000000012</v>
      </c>
      <c r="O123"/>
    </row>
    <row r="124" spans="1:15" ht="14.25" x14ac:dyDescent="0.45">
      <c r="A124" s="61" t="s">
        <v>157</v>
      </c>
      <c r="B124" s="31">
        <v>-166.4700000000004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8">
        <f t="shared" ref="N124:N150" si="22">SUM(B124:M124)</f>
        <v>-166.4700000000004</v>
      </c>
      <c r="O124"/>
    </row>
    <row r="125" spans="1:15" ht="14.25" x14ac:dyDescent="0.45">
      <c r="A125" s="61" t="s">
        <v>158</v>
      </c>
      <c r="B125" s="31">
        <v>6.2800000000000296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8">
        <f t="shared" si="22"/>
        <v>6.2800000000000296</v>
      </c>
      <c r="O125"/>
    </row>
    <row r="126" spans="1:15" ht="14.25" x14ac:dyDescent="0.45">
      <c r="A126" s="61" t="s">
        <v>159</v>
      </c>
      <c r="B126" s="31">
        <v>-696735.18</v>
      </c>
      <c r="C126" s="31">
        <v>650979.31000000006</v>
      </c>
      <c r="D126" s="31">
        <v>-90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8">
        <f t="shared" si="22"/>
        <v>-45845.869999999995</v>
      </c>
      <c r="O126"/>
    </row>
    <row r="127" spans="1:15" ht="14.25" x14ac:dyDescent="0.45">
      <c r="A127" s="61" t="s">
        <v>160</v>
      </c>
      <c r="B127" s="31">
        <v>-8876.9499999999989</v>
      </c>
      <c r="C127" s="31">
        <v>49.68</v>
      </c>
      <c r="D127" s="31">
        <v>19.920000000000002</v>
      </c>
      <c r="E127" s="31">
        <v>32.47</v>
      </c>
      <c r="F127" s="31">
        <v>32</v>
      </c>
      <c r="G127" s="31">
        <v>32.47</v>
      </c>
      <c r="H127" s="31">
        <v>32.409999999999997</v>
      </c>
      <c r="I127" s="31">
        <v>32.409999999999997</v>
      </c>
      <c r="J127" s="31">
        <v>0</v>
      </c>
      <c r="K127" s="31">
        <v>0</v>
      </c>
      <c r="L127" s="31">
        <v>0</v>
      </c>
      <c r="M127" s="31">
        <v>0</v>
      </c>
      <c r="N127" s="38">
        <f t="shared" si="22"/>
        <v>-8645.59</v>
      </c>
      <c r="O127"/>
    </row>
    <row r="128" spans="1:15" ht="14.25" x14ac:dyDescent="0.45">
      <c r="A128" s="61" t="s">
        <v>161</v>
      </c>
      <c r="B128" s="31">
        <v>126208.11</v>
      </c>
      <c r="C128" s="31">
        <v>-2465</v>
      </c>
      <c r="D128" s="31">
        <v>192583.53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8">
        <f t="shared" si="22"/>
        <v>316326.64</v>
      </c>
      <c r="O128"/>
    </row>
    <row r="129" spans="1:15" ht="14.25" x14ac:dyDescent="0.45">
      <c r="A129" s="61" t="s">
        <v>162</v>
      </c>
      <c r="B129" s="31">
        <v>30201.910000000003</v>
      </c>
      <c r="C129" s="31">
        <v>2658.74</v>
      </c>
      <c r="D129" s="31">
        <v>7976.0000000000009</v>
      </c>
      <c r="E129" s="31">
        <v>1066.68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8">
        <f t="shared" si="22"/>
        <v>41903.33</v>
      </c>
      <c r="O129"/>
    </row>
    <row r="130" spans="1:15" ht="14.25" x14ac:dyDescent="0.45">
      <c r="A130" s="61" t="s">
        <v>163</v>
      </c>
      <c r="B130" s="31">
        <v>-2716912.56</v>
      </c>
      <c r="C130" s="31">
        <v>2477940.77</v>
      </c>
      <c r="D130" s="31">
        <v>220677.08</v>
      </c>
      <c r="E130" s="31">
        <v>-220677.08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8">
        <f t="shared" si="22"/>
        <v>-238971.79000000004</v>
      </c>
      <c r="O130"/>
    </row>
    <row r="131" spans="1:15" ht="14.25" x14ac:dyDescent="0.45">
      <c r="A131" s="61" t="s">
        <v>165</v>
      </c>
      <c r="B131" s="31">
        <v>-1153154.7999999998</v>
      </c>
      <c r="C131" s="31">
        <v>805.42</v>
      </c>
      <c r="D131" s="31">
        <v>1076325.01</v>
      </c>
      <c r="E131" s="31">
        <v>-3029.02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8">
        <f t="shared" si="22"/>
        <v>-79053.389999999883</v>
      </c>
      <c r="O131"/>
    </row>
    <row r="132" spans="1:15" ht="14.25" x14ac:dyDescent="0.45">
      <c r="A132" s="61" t="s">
        <v>168</v>
      </c>
      <c r="B132" s="31">
        <v>-147.70000000000002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8">
        <f t="shared" si="22"/>
        <v>-147.70000000000002</v>
      </c>
      <c r="O132"/>
    </row>
    <row r="133" spans="1:15" ht="14.25" x14ac:dyDescent="0.45">
      <c r="A133" s="61" t="s">
        <v>169</v>
      </c>
      <c r="B133" s="31">
        <v>2576.56</v>
      </c>
      <c r="C133" s="31">
        <v>-53.38</v>
      </c>
      <c r="D133" s="31">
        <v>11500</v>
      </c>
      <c r="E133" s="31">
        <v>-11500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 t="shared" si="22"/>
        <v>2523.1800000000003</v>
      </c>
      <c r="O133"/>
    </row>
    <row r="134" spans="1:15" ht="14.25" x14ac:dyDescent="0.45">
      <c r="A134" s="61" t="s">
        <v>170</v>
      </c>
      <c r="B134" s="31">
        <v>-1146427.2899999998</v>
      </c>
      <c r="C134" s="31">
        <v>0</v>
      </c>
      <c r="D134" s="31">
        <v>905829.74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si="22"/>
        <v>-240597.54999999981</v>
      </c>
      <c r="O134"/>
    </row>
    <row r="135" spans="1:15" ht="14.25" x14ac:dyDescent="0.45">
      <c r="A135" s="70" t="s">
        <v>171</v>
      </c>
      <c r="B135" s="31">
        <v>-415662.72000000003</v>
      </c>
      <c r="C135" s="31">
        <v>397583.11</v>
      </c>
      <c r="D135" s="31">
        <v>208.55999999999767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22"/>
        <v>-17871.050000000047</v>
      </c>
      <c r="O135" s="52"/>
    </row>
    <row r="136" spans="1:15" ht="14.25" x14ac:dyDescent="0.45">
      <c r="A136" s="70" t="s">
        <v>172</v>
      </c>
      <c r="B136" s="31">
        <v>0</v>
      </c>
      <c r="C136" s="31">
        <v>0</v>
      </c>
      <c r="D136" s="31">
        <v>1258.3699999999997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22"/>
        <v>1258.3699999999997</v>
      </c>
      <c r="O136" s="52"/>
    </row>
    <row r="137" spans="1:15" ht="14.25" x14ac:dyDescent="0.45">
      <c r="A137" s="70" t="s">
        <v>174</v>
      </c>
      <c r="B137" s="31">
        <v>-3759.02</v>
      </c>
      <c r="C137" s="31">
        <v>2125.7399999999998</v>
      </c>
      <c r="D137" s="31">
        <v>1658.1000000000931</v>
      </c>
      <c r="E137" s="31">
        <v>1703.37</v>
      </c>
      <c r="F137" s="31">
        <v>-4865.9299999999994</v>
      </c>
      <c r="G137" s="31">
        <v>641.66</v>
      </c>
      <c r="H137" s="31">
        <v>575.28</v>
      </c>
      <c r="I137" s="31">
        <v>329.09</v>
      </c>
      <c r="J137" s="31">
        <v>158.44</v>
      </c>
      <c r="K137" s="31">
        <v>0</v>
      </c>
      <c r="L137" s="31">
        <v>0</v>
      </c>
      <c r="M137" s="31">
        <v>0</v>
      </c>
      <c r="N137" s="38">
        <f t="shared" si="22"/>
        <v>-1433.2699999999068</v>
      </c>
      <c r="O137" s="52"/>
    </row>
    <row r="138" spans="1:15" ht="17.25" customHeight="1" x14ac:dyDescent="0.45">
      <c r="A138" s="70" t="s">
        <v>178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22"/>
        <v>0</v>
      </c>
      <c r="O138"/>
    </row>
    <row r="139" spans="1:15" ht="17.25" customHeight="1" x14ac:dyDescent="0.45">
      <c r="A139" s="70" t="s">
        <v>179</v>
      </c>
      <c r="B139" s="31">
        <v>-42.65</v>
      </c>
      <c r="C139" s="31">
        <v>-2201.0500000000002</v>
      </c>
      <c r="D139" s="31">
        <v>0</v>
      </c>
      <c r="E139" s="31">
        <v>-310833.32</v>
      </c>
      <c r="F139" s="31">
        <v>-15695.649999999907</v>
      </c>
      <c r="G139" s="31">
        <v>0</v>
      </c>
      <c r="H139" s="31">
        <v>0</v>
      </c>
      <c r="I139" s="31">
        <v>111121.31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22"/>
        <v>-217651.35999999993</v>
      </c>
      <c r="O139"/>
    </row>
    <row r="140" spans="1:15" ht="17.25" customHeight="1" x14ac:dyDescent="0.45">
      <c r="A140" s="70" t="s">
        <v>180</v>
      </c>
      <c r="B140" s="31">
        <v>90.1</v>
      </c>
      <c r="C140" s="31">
        <v>7161.95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22"/>
        <v>7252.05</v>
      </c>
      <c r="O140"/>
    </row>
    <row r="141" spans="1:15" ht="17.25" customHeight="1" x14ac:dyDescent="0.45">
      <c r="A141" s="70" t="s">
        <v>181</v>
      </c>
      <c r="B141" s="31">
        <v>87.66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22"/>
        <v>87.66</v>
      </c>
      <c r="O141"/>
    </row>
    <row r="142" spans="1:15" ht="17.25" customHeight="1" x14ac:dyDescent="0.45">
      <c r="A142" s="70" t="s">
        <v>182</v>
      </c>
      <c r="B142" s="31">
        <v>119.22</v>
      </c>
      <c r="C142" s="31">
        <v>404.63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22"/>
        <v>523.85</v>
      </c>
      <c r="O142"/>
    </row>
    <row r="143" spans="1:15" ht="17.25" customHeight="1" x14ac:dyDescent="0.45">
      <c r="A143" s="70" t="s">
        <v>183</v>
      </c>
      <c r="B143" s="31">
        <v>0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22"/>
        <v>0</v>
      </c>
      <c r="O143"/>
    </row>
    <row r="144" spans="1:15" ht="17.25" customHeight="1" x14ac:dyDescent="0.45">
      <c r="A144" s="70" t="s">
        <v>184</v>
      </c>
      <c r="B144" s="31">
        <v>0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22"/>
        <v>0</v>
      </c>
      <c r="O144"/>
    </row>
    <row r="145" spans="1:15" ht="14.25" x14ac:dyDescent="0.45">
      <c r="A145" s="61" t="s">
        <v>186</v>
      </c>
      <c r="B145" s="31">
        <v>17925</v>
      </c>
      <c r="C145" s="31">
        <v>0</v>
      </c>
      <c r="D145" s="31">
        <v>9474</v>
      </c>
      <c r="E145" s="31">
        <v>4548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22"/>
        <v>31947</v>
      </c>
      <c r="O145"/>
    </row>
    <row r="146" spans="1:15" ht="14.25" x14ac:dyDescent="0.45">
      <c r="A146" s="61" t="s">
        <v>187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22"/>
        <v>0</v>
      </c>
      <c r="O146"/>
    </row>
    <row r="147" spans="1:15" ht="14.25" x14ac:dyDescent="0.45">
      <c r="A147" s="61" t="s">
        <v>188</v>
      </c>
      <c r="B147" s="31">
        <v>-112983.72</v>
      </c>
      <c r="C147" s="31">
        <v>95835.17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22"/>
        <v>-17148.550000000003</v>
      </c>
      <c r="O147"/>
    </row>
    <row r="148" spans="1:15" ht="14.25" x14ac:dyDescent="0.45">
      <c r="A148" s="61" t="s">
        <v>189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22"/>
        <v>0</v>
      </c>
      <c r="O148"/>
    </row>
    <row r="149" spans="1:15" ht="14.25" x14ac:dyDescent="0.45">
      <c r="A149" s="61" t="s">
        <v>190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22"/>
        <v>0</v>
      </c>
      <c r="O149"/>
    </row>
    <row r="150" spans="1:15" ht="14.25" x14ac:dyDescent="0.45">
      <c r="A150" s="61" t="s">
        <v>191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22"/>
        <v>0</v>
      </c>
      <c r="O150"/>
    </row>
    <row r="151" spans="1:15" x14ac:dyDescent="0.35">
      <c r="A151" s="15" t="s">
        <v>28</v>
      </c>
      <c r="B151" s="31">
        <f>SUM(B123:B150)</f>
        <v>-6129108.1699999999</v>
      </c>
      <c r="C151" s="31">
        <f>SUM(C123:C150)</f>
        <v>3630675.3400000003</v>
      </c>
      <c r="D151" s="31">
        <f t="shared" ref="D151:M151" si="23">SUM(D123:D150)</f>
        <v>2508933.09</v>
      </c>
      <c r="E151" s="31">
        <f t="shared" si="23"/>
        <v>-538656.42999999993</v>
      </c>
      <c r="F151" s="31">
        <f>SUM(F123:F150)</f>
        <v>-20497.109999999906</v>
      </c>
      <c r="G151" s="31">
        <f t="shared" si="23"/>
        <v>706.59999999999991</v>
      </c>
      <c r="H151" s="31">
        <f t="shared" si="23"/>
        <v>640.09999999999991</v>
      </c>
      <c r="I151" s="31">
        <f t="shared" si="23"/>
        <v>109588.22</v>
      </c>
      <c r="J151" s="31">
        <f t="shared" si="23"/>
        <v>158.44</v>
      </c>
      <c r="K151" s="31">
        <f t="shared" si="23"/>
        <v>0</v>
      </c>
      <c r="L151" s="31">
        <f t="shared" si="23"/>
        <v>0</v>
      </c>
      <c r="M151" s="31">
        <f t="shared" si="23"/>
        <v>0</v>
      </c>
      <c r="N151" s="31">
        <f>SUM(N123:N150)</f>
        <v>-437559.91999999963</v>
      </c>
    </row>
    <row r="152" spans="1:15" x14ac:dyDescent="0.35">
      <c r="A152" s="15"/>
      <c r="N152" s="14"/>
    </row>
    <row r="153" spans="1:15" ht="15.4" thickBot="1" x14ac:dyDescent="0.45">
      <c r="A153" s="19" t="s">
        <v>15</v>
      </c>
      <c r="B153" s="35">
        <f>+B151+B120+B89</f>
        <v>-3859637.05</v>
      </c>
      <c r="C153" s="35">
        <f t="shared" ref="C153:M153" si="24">+C151+C120+C89</f>
        <v>2137645</v>
      </c>
      <c r="D153" s="35">
        <f t="shared" si="24"/>
        <v>2878094</v>
      </c>
      <c r="E153" s="35">
        <f t="shared" si="24"/>
        <v>-2422779.02</v>
      </c>
      <c r="F153" s="35">
        <f>+F151+F120+F89</f>
        <v>822480.2</v>
      </c>
      <c r="G153" s="35">
        <f t="shared" si="24"/>
        <v>-73669.490000000005</v>
      </c>
      <c r="H153" s="35">
        <f t="shared" si="24"/>
        <v>251266.27</v>
      </c>
      <c r="I153" s="35">
        <f t="shared" si="24"/>
        <v>523505.91999999993</v>
      </c>
      <c r="J153" s="35">
        <f t="shared" si="24"/>
        <v>645600.4800000001</v>
      </c>
      <c r="K153" s="35">
        <f t="shared" si="24"/>
        <v>0</v>
      </c>
      <c r="L153" s="35">
        <f t="shared" si="24"/>
        <v>0</v>
      </c>
      <c r="M153" s="35">
        <f t="shared" si="24"/>
        <v>0</v>
      </c>
      <c r="N153" s="20">
        <f>+N151+N90+N120+N89</f>
        <v>902506.31000000029</v>
      </c>
    </row>
    <row r="154" spans="1:15" ht="13.15" x14ac:dyDescent="0.4">
      <c r="A154" s="5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7" t="s">
        <v>0</v>
      </c>
    </row>
    <row r="155" spans="1:15" ht="13.5" thickBot="1" x14ac:dyDescent="0.45">
      <c r="A155" s="21" t="s">
        <v>152</v>
      </c>
      <c r="B155" s="34" t="s">
        <v>2</v>
      </c>
      <c r="C155" s="34" t="s">
        <v>3</v>
      </c>
      <c r="D155" s="34" t="s">
        <v>4</v>
      </c>
      <c r="E155" s="34" t="s">
        <v>5</v>
      </c>
      <c r="F155" s="34" t="s">
        <v>6</v>
      </c>
      <c r="G155" s="34" t="s">
        <v>7</v>
      </c>
      <c r="H155" s="34" t="s">
        <v>8</v>
      </c>
      <c r="I155" s="34" t="s">
        <v>9</v>
      </c>
      <c r="J155" s="34" t="s">
        <v>10</v>
      </c>
      <c r="K155" s="34" t="s">
        <v>11</v>
      </c>
      <c r="L155" s="34" t="s">
        <v>12</v>
      </c>
      <c r="M155" s="34" t="s">
        <v>13</v>
      </c>
      <c r="N155" s="10" t="s">
        <v>14</v>
      </c>
    </row>
    <row r="156" spans="1:15" ht="13.15" x14ac:dyDescent="0.4">
      <c r="A156" s="65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53"/>
    </row>
    <row r="157" spans="1:15" x14ac:dyDescent="0.35">
      <c r="A157" s="22" t="s">
        <v>31</v>
      </c>
      <c r="B157" s="31">
        <f>77881.42-B191-B225</f>
        <v>77881.42</v>
      </c>
      <c r="C157" s="31">
        <f>2269102-C191-C225</f>
        <v>2212413</v>
      </c>
      <c r="D157" s="31">
        <f>248672-D191-D225</f>
        <v>236198</v>
      </c>
      <c r="E157" s="31">
        <f>-977595.92-E191-E225</f>
        <v>-977595.92</v>
      </c>
      <c r="F157" s="31">
        <f>13977.67-F191-F225</f>
        <v>23616.67</v>
      </c>
      <c r="G157" s="31">
        <f>1132285.68-G191-G225</f>
        <v>1112846.68</v>
      </c>
      <c r="H157" s="31">
        <f>476837.91-H191-H225</f>
        <v>476837.91</v>
      </c>
      <c r="I157" s="31">
        <f>79262.34-I191-I225</f>
        <v>78452.34</v>
      </c>
      <c r="J157" s="31">
        <f>121486.86-J191-J225</f>
        <v>108591.86</v>
      </c>
      <c r="K157" s="31">
        <f t="shared" ref="K157:M157" si="25">0-K191-K225</f>
        <v>0</v>
      </c>
      <c r="L157" s="31">
        <f t="shared" si="25"/>
        <v>0</v>
      </c>
      <c r="M157" s="31">
        <f t="shared" si="25"/>
        <v>0</v>
      </c>
      <c r="N157" s="14">
        <f>SUM(B157:M157)</f>
        <v>3349241.9599999995</v>
      </c>
    </row>
    <row r="158" spans="1:15" x14ac:dyDescent="0.35">
      <c r="A158" s="15" t="s">
        <v>83</v>
      </c>
      <c r="N158" s="14">
        <f>SUM(B158:M158)</f>
        <v>0</v>
      </c>
    </row>
    <row r="159" spans="1:15" x14ac:dyDescent="0.35">
      <c r="A159" s="22" t="s">
        <v>30</v>
      </c>
      <c r="N159" s="14"/>
    </row>
    <row r="160" spans="1:15" ht="14.25" x14ac:dyDescent="0.45">
      <c r="A160" s="61" t="s">
        <v>154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14">
        <f>SUM(B160:M160)</f>
        <v>0</v>
      </c>
      <c r="O160"/>
    </row>
    <row r="161" spans="1:15" ht="14.25" x14ac:dyDescent="0.45">
      <c r="A161" s="61" t="s">
        <v>155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14">
        <f t="shared" ref="N161:N175" si="26">SUM(B161:M161)</f>
        <v>0</v>
      </c>
      <c r="O161"/>
    </row>
    <row r="162" spans="1:15" ht="14.25" x14ac:dyDescent="0.45">
      <c r="A162" s="61" t="s">
        <v>156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14">
        <f t="shared" si="26"/>
        <v>0</v>
      </c>
      <c r="O162"/>
    </row>
    <row r="163" spans="1:15" ht="14.25" x14ac:dyDescent="0.45">
      <c r="A163" s="61" t="s">
        <v>157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14">
        <f t="shared" si="26"/>
        <v>0</v>
      </c>
      <c r="O163"/>
    </row>
    <row r="164" spans="1:15" ht="14.25" x14ac:dyDescent="0.45">
      <c r="A164" s="61" t="s">
        <v>158</v>
      </c>
      <c r="B164" s="31">
        <v>0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14">
        <f t="shared" si="26"/>
        <v>0</v>
      </c>
      <c r="O164"/>
    </row>
    <row r="165" spans="1:15" ht="14.25" x14ac:dyDescent="0.45">
      <c r="A165" s="61" t="s">
        <v>159</v>
      </c>
      <c r="B165" s="31">
        <v>0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14">
        <f t="shared" si="26"/>
        <v>0</v>
      </c>
      <c r="O165"/>
    </row>
    <row r="166" spans="1:15" ht="14.25" x14ac:dyDescent="0.45">
      <c r="A166" s="61" t="s">
        <v>160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14">
        <f t="shared" si="26"/>
        <v>0</v>
      </c>
      <c r="O166"/>
    </row>
    <row r="167" spans="1:15" ht="14.25" x14ac:dyDescent="0.45">
      <c r="A167" s="61" t="s">
        <v>161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14">
        <f t="shared" si="26"/>
        <v>0</v>
      </c>
      <c r="O167"/>
    </row>
    <row r="168" spans="1:15" ht="14.25" x14ac:dyDescent="0.45">
      <c r="A168" s="61" t="s">
        <v>162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14">
        <f t="shared" si="26"/>
        <v>0</v>
      </c>
      <c r="O168"/>
    </row>
    <row r="169" spans="1:15" ht="14.25" x14ac:dyDescent="0.45">
      <c r="A169" s="61" t="s">
        <v>163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14">
        <f t="shared" si="26"/>
        <v>0</v>
      </c>
      <c r="O169"/>
    </row>
    <row r="170" spans="1:15" ht="14.25" x14ac:dyDescent="0.45">
      <c r="A170" s="61" t="s">
        <v>164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 t="shared" si="26"/>
        <v>0</v>
      </c>
      <c r="O170"/>
    </row>
    <row r="171" spans="1:15" ht="14.25" x14ac:dyDescent="0.45">
      <c r="A171" s="61" t="s">
        <v>165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si="26"/>
        <v>0</v>
      </c>
      <c r="O171"/>
    </row>
    <row r="172" spans="1:15" ht="17.25" customHeight="1" x14ac:dyDescent="0.45">
      <c r="A172" s="70" t="s">
        <v>166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26"/>
        <v>0</v>
      </c>
      <c r="O172"/>
    </row>
    <row r="173" spans="1:15" ht="17.25" customHeight="1" x14ac:dyDescent="0.45">
      <c r="A173" s="70" t="s">
        <v>167</v>
      </c>
      <c r="B173" s="31">
        <v>0</v>
      </c>
      <c r="C173" s="31">
        <v>12000</v>
      </c>
      <c r="D173" s="31">
        <v>0</v>
      </c>
      <c r="E173" s="31">
        <v>0</v>
      </c>
      <c r="F173" s="31">
        <v>0</v>
      </c>
      <c r="G173" s="31">
        <v>3920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26"/>
        <v>15920</v>
      </c>
      <c r="O173"/>
    </row>
    <row r="174" spans="1:15" ht="17.25" customHeight="1" x14ac:dyDescent="0.45">
      <c r="A174" s="70" t="s">
        <v>168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26"/>
        <v>0</v>
      </c>
      <c r="O174"/>
    </row>
    <row r="175" spans="1:15" ht="17.25" customHeight="1" x14ac:dyDescent="0.45">
      <c r="A175" s="70" t="s">
        <v>169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26"/>
        <v>0</v>
      </c>
      <c r="O175"/>
    </row>
    <row r="176" spans="1:15" ht="17.25" customHeight="1" x14ac:dyDescent="0.45">
      <c r="A176" s="70" t="s">
        <v>170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>SUM(B176:M176)</f>
        <v>0</v>
      </c>
      <c r="O176"/>
    </row>
    <row r="177" spans="1:15" ht="17.25" customHeight="1" x14ac:dyDescent="0.45">
      <c r="A177" s="70" t="s">
        <v>171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ref="N177:N190" si="27">SUM(B177:M177)</f>
        <v>0</v>
      </c>
      <c r="O177"/>
    </row>
    <row r="178" spans="1:15" ht="17.25" customHeight="1" x14ac:dyDescent="0.45">
      <c r="A178" s="70" t="s">
        <v>172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27"/>
        <v>0</v>
      </c>
      <c r="O178"/>
    </row>
    <row r="179" spans="1:15" ht="17.25" customHeight="1" x14ac:dyDescent="0.45">
      <c r="A179" s="70" t="s">
        <v>173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27"/>
        <v>0</v>
      </c>
      <c r="O179"/>
    </row>
    <row r="180" spans="1:15" ht="17.25" customHeight="1" x14ac:dyDescent="0.45">
      <c r="A180" s="70" t="s">
        <v>174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27"/>
        <v>0</v>
      </c>
      <c r="O180"/>
    </row>
    <row r="181" spans="1:15" ht="17.25" customHeight="1" x14ac:dyDescent="0.45">
      <c r="A181" s="70" t="s">
        <v>175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27"/>
        <v>0</v>
      </c>
      <c r="O181"/>
    </row>
    <row r="182" spans="1:15" ht="14.25" x14ac:dyDescent="0.45">
      <c r="A182" s="61" t="s">
        <v>176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27"/>
        <v>0</v>
      </c>
      <c r="O182"/>
    </row>
    <row r="183" spans="1:15" ht="14.25" x14ac:dyDescent="0.45">
      <c r="A183" s="61" t="s">
        <v>177</v>
      </c>
      <c r="B183" s="31">
        <v>0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27"/>
        <v>0</v>
      </c>
      <c r="O183"/>
    </row>
    <row r="184" spans="1:15" ht="14.25" x14ac:dyDescent="0.45">
      <c r="A184" s="61" t="s">
        <v>178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27"/>
        <v>0</v>
      </c>
      <c r="O184"/>
    </row>
    <row r="185" spans="1:15" ht="14.25" x14ac:dyDescent="0.45">
      <c r="A185" s="61" t="s">
        <v>179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27"/>
        <v>0</v>
      </c>
      <c r="O185"/>
    </row>
    <row r="186" spans="1:15" ht="14.25" x14ac:dyDescent="0.45">
      <c r="A186" s="61" t="s">
        <v>180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 t="shared" si="27"/>
        <v>0</v>
      </c>
      <c r="O186"/>
    </row>
    <row r="187" spans="1:15" ht="14.25" x14ac:dyDescent="0.45">
      <c r="A187" s="61" t="s">
        <v>181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si="27"/>
        <v>0</v>
      </c>
      <c r="O187"/>
    </row>
    <row r="188" spans="1:15" ht="14.25" x14ac:dyDescent="0.45">
      <c r="A188" s="61" t="s">
        <v>182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27"/>
        <v>0</v>
      </c>
      <c r="O188"/>
    </row>
    <row r="189" spans="1:15" ht="14.25" x14ac:dyDescent="0.45">
      <c r="A189" s="61" t="s">
        <v>183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27"/>
        <v>0</v>
      </c>
      <c r="O189"/>
    </row>
    <row r="190" spans="1:15" ht="14.25" x14ac:dyDescent="0.45">
      <c r="A190" s="61" t="s">
        <v>184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27"/>
        <v>0</v>
      </c>
      <c r="O190"/>
    </row>
    <row r="191" spans="1:15" x14ac:dyDescent="0.35">
      <c r="A191" s="15" t="s">
        <v>28</v>
      </c>
      <c r="B191" s="31">
        <f>SUM(B160:B190)</f>
        <v>0</v>
      </c>
      <c r="C191" s="31">
        <f>SUM(C160:C190)</f>
        <v>12000</v>
      </c>
      <c r="D191" s="31">
        <f t="shared" ref="D191:M191" si="28">SUM(D160:D190)</f>
        <v>0</v>
      </c>
      <c r="E191" s="31">
        <f t="shared" si="28"/>
        <v>0</v>
      </c>
      <c r="F191" s="31">
        <f t="shared" si="28"/>
        <v>0</v>
      </c>
      <c r="G191" s="31">
        <f t="shared" si="28"/>
        <v>3920</v>
      </c>
      <c r="H191" s="31">
        <f t="shared" si="28"/>
        <v>0</v>
      </c>
      <c r="I191" s="31">
        <f t="shared" si="28"/>
        <v>0</v>
      </c>
      <c r="J191" s="31">
        <f t="shared" si="28"/>
        <v>0</v>
      </c>
      <c r="K191" s="31">
        <f t="shared" si="28"/>
        <v>0</v>
      </c>
      <c r="L191" s="31">
        <f t="shared" si="28"/>
        <v>0</v>
      </c>
      <c r="M191" s="31">
        <f t="shared" si="28"/>
        <v>0</v>
      </c>
      <c r="N191" s="14">
        <f>SUM(N160:N190)</f>
        <v>15920</v>
      </c>
    </row>
    <row r="192" spans="1:15" x14ac:dyDescent="0.35">
      <c r="A192" s="15"/>
      <c r="N192" s="14"/>
    </row>
    <row r="193" spans="1:15" x14ac:dyDescent="0.35">
      <c r="A193" s="22" t="s">
        <v>29</v>
      </c>
      <c r="N193" s="14"/>
    </row>
    <row r="194" spans="1:15" ht="14.25" x14ac:dyDescent="0.45">
      <c r="A194" s="61" t="s">
        <v>154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>SUM(B194:M194)</f>
        <v>0</v>
      </c>
      <c r="O194"/>
    </row>
    <row r="195" spans="1:15" ht="14.25" x14ac:dyDescent="0.45">
      <c r="A195" s="61" t="s">
        <v>155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ref="N195:N225" si="29">SUM(B195:M195)</f>
        <v>0</v>
      </c>
      <c r="O195"/>
    </row>
    <row r="196" spans="1:15" ht="14.25" x14ac:dyDescent="0.45">
      <c r="A196" s="61" t="s">
        <v>156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29"/>
        <v>0</v>
      </c>
      <c r="O196"/>
    </row>
    <row r="197" spans="1:15" ht="14.25" x14ac:dyDescent="0.45">
      <c r="A197" s="61" t="s">
        <v>157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29"/>
        <v>0</v>
      </c>
      <c r="O197"/>
    </row>
    <row r="198" spans="1:15" ht="14.25" x14ac:dyDescent="0.45">
      <c r="A198" s="61" t="s">
        <v>158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29"/>
        <v>0</v>
      </c>
      <c r="O198"/>
    </row>
    <row r="199" spans="1:15" ht="14.25" x14ac:dyDescent="0.45">
      <c r="A199" s="61" t="s">
        <v>159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29"/>
        <v>0</v>
      </c>
      <c r="O199"/>
    </row>
    <row r="200" spans="1:15" ht="14.25" x14ac:dyDescent="0.45">
      <c r="A200" s="61" t="s">
        <v>160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29"/>
        <v>0</v>
      </c>
      <c r="O200"/>
    </row>
    <row r="201" spans="1:15" ht="14.25" x14ac:dyDescent="0.45">
      <c r="A201" s="61" t="s">
        <v>161</v>
      </c>
      <c r="B201" s="31">
        <v>0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14">
        <f t="shared" si="29"/>
        <v>0</v>
      </c>
      <c r="O201"/>
    </row>
    <row r="202" spans="1:15" ht="14.25" x14ac:dyDescent="0.45">
      <c r="A202" s="61" t="s">
        <v>162</v>
      </c>
      <c r="B202" s="31">
        <v>0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14">
        <f t="shared" si="29"/>
        <v>0</v>
      </c>
      <c r="O202"/>
    </row>
    <row r="203" spans="1:15" ht="14.25" x14ac:dyDescent="0.45">
      <c r="A203" s="61" t="s">
        <v>163</v>
      </c>
      <c r="B203" s="31">
        <v>0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14">
        <f t="shared" si="29"/>
        <v>0</v>
      </c>
      <c r="O203"/>
    </row>
    <row r="204" spans="1:15" ht="14.25" x14ac:dyDescent="0.45">
      <c r="A204" s="61" t="s">
        <v>164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 t="shared" si="29"/>
        <v>0</v>
      </c>
      <c r="O204"/>
    </row>
    <row r="205" spans="1:15" ht="14.25" x14ac:dyDescent="0.45">
      <c r="A205" s="61" t="s">
        <v>165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si="29"/>
        <v>0</v>
      </c>
      <c r="O205"/>
    </row>
    <row r="206" spans="1:15" ht="14.25" x14ac:dyDescent="0.45">
      <c r="A206" s="70" t="s">
        <v>166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29"/>
        <v>0</v>
      </c>
      <c r="O206" s="52"/>
    </row>
    <row r="207" spans="1:15" ht="14.25" x14ac:dyDescent="0.45">
      <c r="A207" s="70" t="s">
        <v>167</v>
      </c>
      <c r="B207" s="31">
        <v>0</v>
      </c>
      <c r="C207" s="31">
        <v>44689</v>
      </c>
      <c r="D207" s="31">
        <v>12474</v>
      </c>
      <c r="E207" s="31">
        <v>0</v>
      </c>
      <c r="F207" s="31">
        <v>-9639</v>
      </c>
      <c r="G207" s="31">
        <v>15519</v>
      </c>
      <c r="H207" s="31">
        <v>0</v>
      </c>
      <c r="I207" s="31">
        <v>810</v>
      </c>
      <c r="J207" s="31">
        <v>12895</v>
      </c>
      <c r="K207" s="31">
        <v>0</v>
      </c>
      <c r="L207" s="31">
        <v>0</v>
      </c>
      <c r="M207" s="31">
        <v>0</v>
      </c>
      <c r="N207" s="14">
        <f t="shared" si="29"/>
        <v>76748</v>
      </c>
      <c r="O207" s="52"/>
    </row>
    <row r="208" spans="1:15" ht="14.25" x14ac:dyDescent="0.45">
      <c r="A208" s="70" t="s">
        <v>168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29"/>
        <v>0</v>
      </c>
      <c r="O208" s="52"/>
    </row>
    <row r="209" spans="1:15" ht="17.25" customHeight="1" x14ac:dyDescent="0.45">
      <c r="A209" s="70" t="s">
        <v>169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29"/>
        <v>0</v>
      </c>
      <c r="O209"/>
    </row>
    <row r="210" spans="1:15" ht="17.25" customHeight="1" x14ac:dyDescent="0.45">
      <c r="A210" s="70" t="s">
        <v>170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29"/>
        <v>0</v>
      </c>
      <c r="O210"/>
    </row>
    <row r="211" spans="1:15" ht="17.25" customHeight="1" x14ac:dyDescent="0.45">
      <c r="A211" s="70" t="s">
        <v>171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29"/>
        <v>0</v>
      </c>
      <c r="O211"/>
    </row>
    <row r="212" spans="1:15" ht="17.25" customHeight="1" x14ac:dyDescent="0.45">
      <c r="A212" s="70" t="s">
        <v>172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29"/>
        <v>0</v>
      </c>
      <c r="O212"/>
    </row>
    <row r="213" spans="1:15" ht="17.25" customHeight="1" x14ac:dyDescent="0.45">
      <c r="A213" s="70" t="s">
        <v>173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29"/>
        <v>0</v>
      </c>
      <c r="O213"/>
    </row>
    <row r="214" spans="1:15" ht="17.25" customHeight="1" x14ac:dyDescent="0.45">
      <c r="A214" s="70" t="s">
        <v>174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29"/>
        <v>0</v>
      </c>
      <c r="O214"/>
    </row>
    <row r="215" spans="1:15" ht="17.25" customHeight="1" x14ac:dyDescent="0.45">
      <c r="A215" s="70" t="s">
        <v>175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29"/>
        <v>0</v>
      </c>
      <c r="O215"/>
    </row>
    <row r="216" spans="1:15" ht="14.25" x14ac:dyDescent="0.45">
      <c r="A216" s="61" t="s">
        <v>176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29"/>
        <v>0</v>
      </c>
      <c r="O216"/>
    </row>
    <row r="217" spans="1:15" ht="14.25" x14ac:dyDescent="0.45">
      <c r="A217" s="61" t="s">
        <v>177</v>
      </c>
      <c r="B217" s="31">
        <v>0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29"/>
        <v>0</v>
      </c>
      <c r="O217"/>
    </row>
    <row r="218" spans="1:15" ht="14.25" x14ac:dyDescent="0.45">
      <c r="A218" s="61" t="s">
        <v>178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29"/>
        <v>0</v>
      </c>
      <c r="O218"/>
    </row>
    <row r="219" spans="1:15" ht="14.25" x14ac:dyDescent="0.45">
      <c r="A219" s="61" t="s">
        <v>179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29"/>
        <v>0</v>
      </c>
      <c r="O219"/>
    </row>
    <row r="220" spans="1:15" ht="14.25" x14ac:dyDescent="0.45">
      <c r="A220" s="61" t="s">
        <v>180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29"/>
        <v>0</v>
      </c>
      <c r="O220"/>
    </row>
    <row r="221" spans="1:15" ht="14.25" x14ac:dyDescent="0.45">
      <c r="A221" s="61" t="s">
        <v>181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29"/>
        <v>0</v>
      </c>
      <c r="O221"/>
    </row>
    <row r="222" spans="1:15" ht="14.25" x14ac:dyDescent="0.45">
      <c r="A222" s="61" t="s">
        <v>182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29"/>
        <v>0</v>
      </c>
      <c r="O222"/>
    </row>
    <row r="223" spans="1:15" ht="14.25" x14ac:dyDescent="0.45">
      <c r="A223" s="61" t="s">
        <v>183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29"/>
        <v>0</v>
      </c>
      <c r="O223"/>
    </row>
    <row r="224" spans="1:15" ht="14.25" x14ac:dyDescent="0.45">
      <c r="A224" s="61" t="s">
        <v>184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29"/>
        <v>0</v>
      </c>
      <c r="O224"/>
    </row>
    <row r="225" spans="1:15" x14ac:dyDescent="0.35">
      <c r="A225" s="15" t="s">
        <v>28</v>
      </c>
      <c r="B225" s="31">
        <f>SUM(B194:B224)</f>
        <v>0</v>
      </c>
      <c r="C225" s="31">
        <f t="shared" ref="C225:M225" si="30">SUM(C194:C224)</f>
        <v>44689</v>
      </c>
      <c r="D225" s="31">
        <f t="shared" si="30"/>
        <v>12474</v>
      </c>
      <c r="E225" s="31">
        <f t="shared" si="30"/>
        <v>0</v>
      </c>
      <c r="F225" s="31">
        <f t="shared" si="30"/>
        <v>-9639</v>
      </c>
      <c r="G225" s="31">
        <f t="shared" si="30"/>
        <v>15519</v>
      </c>
      <c r="H225" s="31">
        <f t="shared" si="30"/>
        <v>0</v>
      </c>
      <c r="I225" s="31">
        <f t="shared" si="30"/>
        <v>810</v>
      </c>
      <c r="J225" s="31">
        <f t="shared" si="30"/>
        <v>12895</v>
      </c>
      <c r="K225" s="31">
        <f t="shared" si="30"/>
        <v>0</v>
      </c>
      <c r="L225" s="31">
        <f t="shared" si="30"/>
        <v>0</v>
      </c>
      <c r="M225" s="31">
        <f t="shared" si="30"/>
        <v>0</v>
      </c>
      <c r="N225" s="14">
        <f t="shared" si="29"/>
        <v>76748</v>
      </c>
    </row>
    <row r="226" spans="1:15" x14ac:dyDescent="0.35">
      <c r="A226" s="15"/>
      <c r="N226" s="14"/>
    </row>
    <row r="227" spans="1:15" ht="15.4" thickBot="1" x14ac:dyDescent="0.45">
      <c r="A227" s="19" t="s">
        <v>15</v>
      </c>
      <c r="B227" s="35">
        <f t="shared" ref="B227:M227" si="31">+B225+B191+B157</f>
        <v>77881.42</v>
      </c>
      <c r="C227" s="35">
        <f t="shared" si="31"/>
        <v>2269102</v>
      </c>
      <c r="D227" s="35">
        <f t="shared" si="31"/>
        <v>248672</v>
      </c>
      <c r="E227" s="35">
        <f t="shared" si="31"/>
        <v>-977595.92</v>
      </c>
      <c r="F227" s="35">
        <f t="shared" si="31"/>
        <v>13977.669999999998</v>
      </c>
      <c r="G227" s="35">
        <f t="shared" si="31"/>
        <v>1132285.68</v>
      </c>
      <c r="H227" s="35">
        <f t="shared" si="31"/>
        <v>476837.91</v>
      </c>
      <c r="I227" s="35">
        <f t="shared" si="31"/>
        <v>79262.34</v>
      </c>
      <c r="J227" s="35">
        <f t="shared" si="31"/>
        <v>121486.86</v>
      </c>
      <c r="K227" s="35">
        <f t="shared" si="31"/>
        <v>0</v>
      </c>
      <c r="L227" s="35">
        <f t="shared" si="31"/>
        <v>0</v>
      </c>
      <c r="M227" s="35">
        <f t="shared" si="31"/>
        <v>0</v>
      </c>
      <c r="N227" s="20">
        <f>+N225+N158+N191+N157</f>
        <v>3441909.9599999995</v>
      </c>
    </row>
    <row r="228" spans="1:15" ht="15.4" thickBot="1" x14ac:dyDescent="0.45">
      <c r="A228" s="4"/>
    </row>
    <row r="229" spans="1:15" ht="13.15" x14ac:dyDescent="0.4">
      <c r="A229" s="5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7" t="s">
        <v>0</v>
      </c>
    </row>
    <row r="230" spans="1:15" ht="13.5" thickBot="1" x14ac:dyDescent="0.45">
      <c r="A230" s="21" t="s">
        <v>146</v>
      </c>
      <c r="B230" s="34" t="s">
        <v>2</v>
      </c>
      <c r="C230" s="34" t="s">
        <v>3</v>
      </c>
      <c r="D230" s="34" t="s">
        <v>4</v>
      </c>
      <c r="E230" s="34" t="s">
        <v>5</v>
      </c>
      <c r="F230" s="34" t="s">
        <v>6</v>
      </c>
      <c r="G230" s="34" t="s">
        <v>7</v>
      </c>
      <c r="H230" s="34" t="s">
        <v>8</v>
      </c>
      <c r="I230" s="34" t="s">
        <v>9</v>
      </c>
      <c r="J230" s="34" t="s">
        <v>10</v>
      </c>
      <c r="K230" s="34" t="s">
        <v>11</v>
      </c>
      <c r="L230" s="34" t="s">
        <v>12</v>
      </c>
      <c r="M230" s="34" t="s">
        <v>13</v>
      </c>
      <c r="N230" s="10" t="s">
        <v>14</v>
      </c>
    </row>
    <row r="231" spans="1:15" ht="13.15" x14ac:dyDescent="0.4">
      <c r="A231" s="65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53"/>
    </row>
    <row r="232" spans="1:15" x14ac:dyDescent="0.35">
      <c r="A232" s="22" t="s">
        <v>31</v>
      </c>
      <c r="B232" s="31">
        <f>1666.53-B257-B282</f>
        <v>1666.53</v>
      </c>
      <c r="C232" s="31">
        <f>17809-C257-C282</f>
        <v>17809</v>
      </c>
      <c r="D232" s="31">
        <f>207400-D257-D282</f>
        <v>207400</v>
      </c>
      <c r="E232" s="31">
        <f>-15162.75-E257-E282</f>
        <v>-15162.75</v>
      </c>
      <c r="F232" s="31">
        <f>29709.86-F257-F282</f>
        <v>29709.86</v>
      </c>
      <c r="G232" s="31">
        <f>18199.05-G257-G282</f>
        <v>18199.05</v>
      </c>
      <c r="H232" s="31">
        <f>48876.43-H257-H282</f>
        <v>48876.43</v>
      </c>
      <c r="I232" s="31">
        <f>15388.19-I257-I282</f>
        <v>15388.19</v>
      </c>
      <c r="J232" s="31">
        <f>96013.55-J257-J282</f>
        <v>96013.55</v>
      </c>
      <c r="K232" s="31">
        <f t="shared" ref="K232:M232" si="32">0-K257-K282</f>
        <v>0</v>
      </c>
      <c r="L232" s="31">
        <f t="shared" si="32"/>
        <v>0</v>
      </c>
      <c r="M232" s="31">
        <f t="shared" si="32"/>
        <v>0</v>
      </c>
      <c r="N232" s="14">
        <f>SUM(B232:M232)</f>
        <v>419899.86</v>
      </c>
    </row>
    <row r="233" spans="1:15" x14ac:dyDescent="0.35">
      <c r="A233" s="15" t="s">
        <v>83</v>
      </c>
      <c r="N233" s="14">
        <f>SUM(B233:M233)</f>
        <v>0</v>
      </c>
    </row>
    <row r="234" spans="1:15" x14ac:dyDescent="0.35">
      <c r="A234" s="22" t="s">
        <v>30</v>
      </c>
      <c r="N234" s="14"/>
    </row>
    <row r="235" spans="1:15" ht="14.25" x14ac:dyDescent="0.45">
      <c r="A235" s="61" t="s">
        <v>114</v>
      </c>
      <c r="B235" s="31">
        <v>0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14">
        <f t="shared" ref="N235:N250" si="33">SUM(B235:M235)</f>
        <v>0</v>
      </c>
      <c r="O235"/>
    </row>
    <row r="236" spans="1:15" ht="14.25" x14ac:dyDescent="0.45">
      <c r="A236" s="61" t="s">
        <v>115</v>
      </c>
      <c r="B236" s="31">
        <v>0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14">
        <f t="shared" si="33"/>
        <v>0</v>
      </c>
      <c r="O236"/>
    </row>
    <row r="237" spans="1:15" ht="14.25" x14ac:dyDescent="0.45">
      <c r="A237" s="61" t="s">
        <v>116</v>
      </c>
      <c r="B237" s="31">
        <v>0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14">
        <f t="shared" si="33"/>
        <v>0</v>
      </c>
      <c r="O237"/>
    </row>
    <row r="238" spans="1:15" ht="14.25" x14ac:dyDescent="0.45">
      <c r="A238" s="61" t="s">
        <v>117</v>
      </c>
      <c r="B238" s="31">
        <v>0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14">
        <f t="shared" si="33"/>
        <v>0</v>
      </c>
      <c r="O238"/>
    </row>
    <row r="239" spans="1:15" ht="14.25" x14ac:dyDescent="0.45">
      <c r="A239" s="61" t="s">
        <v>118</v>
      </c>
      <c r="B239" s="31">
        <v>0</v>
      </c>
      <c r="C239" s="31">
        <v>0</v>
      </c>
      <c r="D239" s="31">
        <v>0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14">
        <f t="shared" si="33"/>
        <v>0</v>
      </c>
      <c r="O239"/>
    </row>
    <row r="240" spans="1:15" ht="14.25" x14ac:dyDescent="0.45">
      <c r="A240" s="61" t="s">
        <v>119</v>
      </c>
      <c r="B240" s="31">
        <v>0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14">
        <f t="shared" si="33"/>
        <v>0</v>
      </c>
      <c r="O240"/>
    </row>
    <row r="241" spans="1:15" ht="14.25" x14ac:dyDescent="0.45">
      <c r="A241" s="61" t="s">
        <v>120</v>
      </c>
      <c r="B241" s="31">
        <v>0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v>0</v>
      </c>
      <c r="J241" s="31">
        <v>0</v>
      </c>
      <c r="K241" s="31">
        <v>0</v>
      </c>
      <c r="L241" s="31">
        <v>0</v>
      </c>
      <c r="M241" s="31">
        <v>0</v>
      </c>
      <c r="N241" s="14">
        <f t="shared" si="33"/>
        <v>0</v>
      </c>
      <c r="O241"/>
    </row>
    <row r="242" spans="1:15" ht="14.25" x14ac:dyDescent="0.45">
      <c r="A242" s="61" t="s">
        <v>121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14">
        <f t="shared" si="33"/>
        <v>0</v>
      </c>
      <c r="O242"/>
    </row>
    <row r="243" spans="1:15" ht="14.25" x14ac:dyDescent="0.45">
      <c r="A243" s="61" t="s">
        <v>122</v>
      </c>
      <c r="B243" s="31">
        <v>0</v>
      </c>
      <c r="C243" s="31">
        <v>0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4">
        <f t="shared" si="33"/>
        <v>0</v>
      </c>
      <c r="O243"/>
    </row>
    <row r="244" spans="1:15" ht="14.25" x14ac:dyDescent="0.45">
      <c r="A244" s="61" t="s">
        <v>124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4">
        <f t="shared" si="33"/>
        <v>0</v>
      </c>
      <c r="O244"/>
    </row>
    <row r="245" spans="1:15" ht="14.25" x14ac:dyDescent="0.45">
      <c r="A245" s="61" t="s">
        <v>125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si="33"/>
        <v>0</v>
      </c>
      <c r="O245"/>
    </row>
    <row r="246" spans="1:15" ht="14.25" x14ac:dyDescent="0.45">
      <c r="A246" s="61" t="s">
        <v>126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33"/>
        <v>0</v>
      </c>
      <c r="O246"/>
    </row>
    <row r="247" spans="1:15" ht="17.25" customHeight="1" x14ac:dyDescent="0.45">
      <c r="A247" s="70" t="s">
        <v>127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33"/>
        <v>0</v>
      </c>
      <c r="O247"/>
    </row>
    <row r="248" spans="1:15" ht="17.25" customHeight="1" x14ac:dyDescent="0.45">
      <c r="A248" s="70" t="s">
        <v>129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33"/>
        <v>0</v>
      </c>
      <c r="O248"/>
    </row>
    <row r="249" spans="1:15" ht="17.25" customHeight="1" x14ac:dyDescent="0.45">
      <c r="A249" s="70" t="s">
        <v>130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33"/>
        <v>0</v>
      </c>
      <c r="O249"/>
    </row>
    <row r="250" spans="1:15" ht="17.25" customHeight="1" x14ac:dyDescent="0.45">
      <c r="A250" s="70" t="s">
        <v>131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33"/>
        <v>0</v>
      </c>
      <c r="O250"/>
    </row>
    <row r="251" spans="1:15" ht="17.25" customHeight="1" x14ac:dyDescent="0.45">
      <c r="A251" s="70" t="s">
        <v>137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>SUM(B251:M251)</f>
        <v>0</v>
      </c>
      <c r="O251"/>
    </row>
    <row r="252" spans="1:15" ht="17.25" customHeight="1" x14ac:dyDescent="0.45">
      <c r="A252" s="70" t="s">
        <v>132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ref="N252:N256" si="34">SUM(B252:M252)</f>
        <v>0</v>
      </c>
      <c r="O252"/>
    </row>
    <row r="253" spans="1:15" ht="17.25" customHeight="1" x14ac:dyDescent="0.45">
      <c r="A253" s="70" t="s">
        <v>136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34"/>
        <v>0</v>
      </c>
      <c r="O253"/>
    </row>
    <row r="254" spans="1:15" ht="17.25" customHeight="1" x14ac:dyDescent="0.45">
      <c r="A254" s="70" t="s">
        <v>138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34"/>
        <v>0</v>
      </c>
      <c r="O254"/>
    </row>
    <row r="255" spans="1:15" ht="17.25" customHeight="1" x14ac:dyDescent="0.45">
      <c r="A255" s="70" t="s">
        <v>139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34"/>
        <v>0</v>
      </c>
      <c r="O255"/>
    </row>
    <row r="256" spans="1:15" ht="17.25" customHeight="1" x14ac:dyDescent="0.45">
      <c r="A256" s="70" t="s">
        <v>141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34"/>
        <v>0</v>
      </c>
      <c r="O256"/>
    </row>
    <row r="257" spans="1:15" x14ac:dyDescent="0.35">
      <c r="A257" s="15" t="s">
        <v>28</v>
      </c>
      <c r="B257" s="31">
        <f>SUM(B235:B256)</f>
        <v>0</v>
      </c>
      <c r="C257" s="31">
        <f t="shared" ref="C257:N257" si="35">SUM(C235:C256)</f>
        <v>0</v>
      </c>
      <c r="D257" s="31">
        <f t="shared" si="35"/>
        <v>0</v>
      </c>
      <c r="E257" s="31">
        <f t="shared" si="35"/>
        <v>0</v>
      </c>
      <c r="F257" s="31">
        <f t="shared" si="35"/>
        <v>0</v>
      </c>
      <c r="G257" s="31">
        <f t="shared" si="35"/>
        <v>0</v>
      </c>
      <c r="H257" s="31">
        <f t="shared" si="35"/>
        <v>0</v>
      </c>
      <c r="I257" s="31">
        <f t="shared" si="35"/>
        <v>0</v>
      </c>
      <c r="J257" s="31">
        <f t="shared" si="35"/>
        <v>0</v>
      </c>
      <c r="K257" s="31">
        <f t="shared" si="35"/>
        <v>0</v>
      </c>
      <c r="L257" s="31">
        <f t="shared" si="35"/>
        <v>0</v>
      </c>
      <c r="M257" s="31">
        <f t="shared" si="35"/>
        <v>0</v>
      </c>
      <c r="N257" s="14">
        <f t="shared" si="35"/>
        <v>0</v>
      </c>
    </row>
    <row r="258" spans="1:15" x14ac:dyDescent="0.35">
      <c r="A258" s="15"/>
      <c r="N258" s="14"/>
    </row>
    <row r="259" spans="1:15" x14ac:dyDescent="0.35">
      <c r="A259" s="22" t="s">
        <v>29</v>
      </c>
      <c r="N259" s="14"/>
    </row>
    <row r="260" spans="1:15" ht="14.25" x14ac:dyDescent="0.45">
      <c r="A260" s="61" t="s">
        <v>114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ref="N260:N274" si="36">SUM(B260:M260)</f>
        <v>0</v>
      </c>
      <c r="O260"/>
    </row>
    <row r="261" spans="1:15" ht="14.25" x14ac:dyDescent="0.45">
      <c r="A261" s="61" t="s">
        <v>115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 t="shared" si="36"/>
        <v>0</v>
      </c>
      <c r="O261"/>
    </row>
    <row r="262" spans="1:15" ht="14.25" x14ac:dyDescent="0.45">
      <c r="A262" s="61" t="s">
        <v>116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si="36"/>
        <v>0</v>
      </c>
      <c r="O262"/>
    </row>
    <row r="263" spans="1:15" ht="14.25" x14ac:dyDescent="0.45">
      <c r="A263" s="61" t="s">
        <v>117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36"/>
        <v>0</v>
      </c>
      <c r="O263"/>
    </row>
    <row r="264" spans="1:15" ht="14.25" x14ac:dyDescent="0.45">
      <c r="A264" s="61" t="s">
        <v>118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36"/>
        <v>0</v>
      </c>
      <c r="O264"/>
    </row>
    <row r="265" spans="1:15" ht="14.25" x14ac:dyDescent="0.45">
      <c r="A265" s="61" t="s">
        <v>119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36"/>
        <v>0</v>
      </c>
      <c r="O265"/>
    </row>
    <row r="266" spans="1:15" ht="14.25" x14ac:dyDescent="0.45">
      <c r="A266" s="61" t="s">
        <v>120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36"/>
        <v>0</v>
      </c>
      <c r="O266"/>
    </row>
    <row r="267" spans="1:15" ht="14.25" x14ac:dyDescent="0.45">
      <c r="A267" s="61" t="s">
        <v>121</v>
      </c>
      <c r="B267" s="31">
        <v>0</v>
      </c>
      <c r="C267" s="31">
        <v>0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31">
        <v>0</v>
      </c>
      <c r="L267" s="31">
        <v>0</v>
      </c>
      <c r="M267" s="31">
        <v>0</v>
      </c>
      <c r="N267" s="14">
        <f t="shared" si="36"/>
        <v>0</v>
      </c>
      <c r="O267"/>
    </row>
    <row r="268" spans="1:15" ht="14.25" x14ac:dyDescent="0.45">
      <c r="A268" s="61" t="s">
        <v>122</v>
      </c>
      <c r="B268" s="31">
        <v>0</v>
      </c>
      <c r="C268" s="31">
        <v>0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v>0</v>
      </c>
      <c r="J268" s="31">
        <v>0</v>
      </c>
      <c r="K268" s="31">
        <v>0</v>
      </c>
      <c r="L268" s="31">
        <v>0</v>
      </c>
      <c r="M268" s="31">
        <v>0</v>
      </c>
      <c r="N268" s="14">
        <f t="shared" si="36"/>
        <v>0</v>
      </c>
      <c r="O268"/>
    </row>
    <row r="269" spans="1:15" ht="14.25" x14ac:dyDescent="0.45">
      <c r="A269" s="61" t="s">
        <v>124</v>
      </c>
      <c r="B269" s="31">
        <v>0</v>
      </c>
      <c r="C269" s="31">
        <v>0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31">
        <v>0</v>
      </c>
      <c r="N269" s="14">
        <f t="shared" si="36"/>
        <v>0</v>
      </c>
      <c r="O269"/>
    </row>
    <row r="270" spans="1:15" ht="14.25" x14ac:dyDescent="0.45">
      <c r="A270" s="61" t="s">
        <v>125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si="36"/>
        <v>0</v>
      </c>
      <c r="O270"/>
    </row>
    <row r="271" spans="1:15" ht="14.25" x14ac:dyDescent="0.45">
      <c r="A271" s="61" t="s">
        <v>126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36"/>
        <v>0</v>
      </c>
      <c r="O271"/>
    </row>
    <row r="272" spans="1:15" ht="14.25" x14ac:dyDescent="0.45">
      <c r="A272" s="70" t="s">
        <v>127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36"/>
        <v>0</v>
      </c>
      <c r="O272" s="52"/>
    </row>
    <row r="273" spans="1:15" ht="14.25" x14ac:dyDescent="0.45">
      <c r="A273" s="70" t="s">
        <v>129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36"/>
        <v>0</v>
      </c>
      <c r="O273" s="52"/>
    </row>
    <row r="274" spans="1:15" ht="14.25" x14ac:dyDescent="0.45">
      <c r="A274" s="70" t="s">
        <v>130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36"/>
        <v>0</v>
      </c>
      <c r="O274" s="52"/>
    </row>
    <row r="275" spans="1:15" ht="17.25" customHeight="1" x14ac:dyDescent="0.45">
      <c r="A275" s="70" t="s">
        <v>131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>SUM(B275:M275)</f>
        <v>0</v>
      </c>
      <c r="O275"/>
    </row>
    <row r="276" spans="1:15" ht="17.25" customHeight="1" x14ac:dyDescent="0.45">
      <c r="A276" s="70" t="s">
        <v>137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>SUM(B276:M276)</f>
        <v>0</v>
      </c>
      <c r="O276"/>
    </row>
    <row r="277" spans="1:15" ht="17.25" customHeight="1" x14ac:dyDescent="0.45">
      <c r="A277" s="70" t="s">
        <v>132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>SUM(B277:M277)</f>
        <v>0</v>
      </c>
      <c r="O277"/>
    </row>
    <row r="278" spans="1:15" ht="17.25" customHeight="1" x14ac:dyDescent="0.45">
      <c r="A278" s="70" t="s">
        <v>136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ref="N278:N281" si="37">SUM(B278:M278)</f>
        <v>0</v>
      </c>
      <c r="O278"/>
    </row>
    <row r="279" spans="1:15" ht="17.25" customHeight="1" x14ac:dyDescent="0.45">
      <c r="A279" s="70" t="s">
        <v>138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37"/>
        <v>0</v>
      </c>
      <c r="O279"/>
    </row>
    <row r="280" spans="1:15" ht="17.25" customHeight="1" x14ac:dyDescent="0.45">
      <c r="A280" s="70" t="s">
        <v>139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37"/>
        <v>0</v>
      </c>
      <c r="O280"/>
    </row>
    <row r="281" spans="1:15" ht="17.25" customHeight="1" x14ac:dyDescent="0.45">
      <c r="A281" s="70" t="s">
        <v>141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 t="shared" si="37"/>
        <v>0</v>
      </c>
      <c r="O281"/>
    </row>
    <row r="282" spans="1:15" x14ac:dyDescent="0.35">
      <c r="A282" s="15" t="s">
        <v>28</v>
      </c>
      <c r="B282" s="31">
        <f>SUM(B260:B281)</f>
        <v>0</v>
      </c>
      <c r="C282" s="31">
        <f t="shared" ref="C282:N282" si="38">SUM(C260:C281)</f>
        <v>0</v>
      </c>
      <c r="D282" s="31">
        <f t="shared" si="38"/>
        <v>0</v>
      </c>
      <c r="E282" s="31">
        <f t="shared" si="38"/>
        <v>0</v>
      </c>
      <c r="F282" s="31">
        <f t="shared" si="38"/>
        <v>0</v>
      </c>
      <c r="G282" s="31">
        <f t="shared" si="38"/>
        <v>0</v>
      </c>
      <c r="H282" s="31">
        <f t="shared" si="38"/>
        <v>0</v>
      </c>
      <c r="I282" s="31">
        <f t="shared" si="38"/>
        <v>0</v>
      </c>
      <c r="J282" s="31">
        <f t="shared" si="38"/>
        <v>0</v>
      </c>
      <c r="K282" s="31">
        <f t="shared" si="38"/>
        <v>0</v>
      </c>
      <c r="L282" s="31">
        <f t="shared" si="38"/>
        <v>0</v>
      </c>
      <c r="M282" s="31">
        <f t="shared" si="38"/>
        <v>0</v>
      </c>
      <c r="N282" s="14">
        <f t="shared" si="38"/>
        <v>0</v>
      </c>
    </row>
    <row r="283" spans="1:15" x14ac:dyDescent="0.35">
      <c r="A283" s="15"/>
      <c r="N283" s="14"/>
    </row>
    <row r="284" spans="1:15" ht="15.4" thickBot="1" x14ac:dyDescent="0.45">
      <c r="A284" s="19" t="s">
        <v>15</v>
      </c>
      <c r="B284" s="35">
        <f t="shared" ref="B284:M284" si="39">+B282+B257+B232</f>
        <v>1666.53</v>
      </c>
      <c r="C284" s="35">
        <f t="shared" si="39"/>
        <v>17809</v>
      </c>
      <c r="D284" s="35">
        <f t="shared" si="39"/>
        <v>207400</v>
      </c>
      <c r="E284" s="35">
        <f t="shared" si="39"/>
        <v>-15162.75</v>
      </c>
      <c r="F284" s="35">
        <f t="shared" si="39"/>
        <v>29709.86</v>
      </c>
      <c r="G284" s="35">
        <f t="shared" si="39"/>
        <v>18199.05</v>
      </c>
      <c r="H284" s="35">
        <f t="shared" si="39"/>
        <v>48876.43</v>
      </c>
      <c r="I284" s="35">
        <f t="shared" si="39"/>
        <v>15388.19</v>
      </c>
      <c r="J284" s="35">
        <f t="shared" si="39"/>
        <v>96013.55</v>
      </c>
      <c r="K284" s="35">
        <f t="shared" si="39"/>
        <v>0</v>
      </c>
      <c r="L284" s="35">
        <f t="shared" si="39"/>
        <v>0</v>
      </c>
      <c r="M284" s="35">
        <f t="shared" si="39"/>
        <v>0</v>
      </c>
      <c r="N284" s="20">
        <f>+N282+N233+N257+N232</f>
        <v>419899.86</v>
      </c>
    </row>
    <row r="285" spans="1:15" ht="13.15" x14ac:dyDescent="0.4">
      <c r="A285" s="5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7" t="s">
        <v>0</v>
      </c>
    </row>
    <row r="286" spans="1:15" ht="13.5" thickBot="1" x14ac:dyDescent="0.45">
      <c r="A286" s="21" t="s">
        <v>145</v>
      </c>
      <c r="B286" s="34" t="s">
        <v>2</v>
      </c>
      <c r="C286" s="34" t="s">
        <v>3</v>
      </c>
      <c r="D286" s="34" t="s">
        <v>4</v>
      </c>
      <c r="E286" s="34" t="s">
        <v>5</v>
      </c>
      <c r="F286" s="34" t="s">
        <v>6</v>
      </c>
      <c r="G286" s="34" t="s">
        <v>7</v>
      </c>
      <c r="H286" s="34" t="s">
        <v>8</v>
      </c>
      <c r="I286" s="34" t="s">
        <v>9</v>
      </c>
      <c r="J286" s="34" t="s">
        <v>10</v>
      </c>
      <c r="K286" s="34" t="s">
        <v>11</v>
      </c>
      <c r="L286" s="34" t="s">
        <v>12</v>
      </c>
      <c r="M286" s="34" t="s">
        <v>13</v>
      </c>
      <c r="N286" s="10" t="s">
        <v>14</v>
      </c>
    </row>
    <row r="287" spans="1:15" ht="13.15" x14ac:dyDescent="0.4">
      <c r="A287" s="65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53"/>
    </row>
    <row r="288" spans="1:15" x14ac:dyDescent="0.35">
      <c r="A288" s="22" t="s">
        <v>31</v>
      </c>
      <c r="B288" s="31">
        <f>-173620.51-B315-B342</f>
        <v>-173620.51</v>
      </c>
      <c r="C288" s="31">
        <f>443039-C315-C342</f>
        <v>443039</v>
      </c>
      <c r="D288" s="31">
        <f>233801-D315-D342</f>
        <v>233801</v>
      </c>
      <c r="E288" s="31">
        <f>199662.04-E315-E342</f>
        <v>199662.04</v>
      </c>
      <c r="F288" s="31">
        <f>114405.38-F315-F342</f>
        <v>114405.38</v>
      </c>
      <c r="G288" s="31">
        <f>137591.97-G315-G342</f>
        <v>137591.97</v>
      </c>
      <c r="H288" s="31">
        <f>52418.82-H315-H342</f>
        <v>103522.76999999999</v>
      </c>
      <c r="I288" s="31">
        <f>-51303.12-I315-I342</f>
        <v>-51303.12</v>
      </c>
      <c r="J288" s="31">
        <f>74486.97-J315-J342</f>
        <v>74486.97</v>
      </c>
      <c r="K288" s="31">
        <f t="shared" ref="K288:M288" si="40">0-K315-K342</f>
        <v>0</v>
      </c>
      <c r="L288" s="31">
        <f t="shared" si="40"/>
        <v>0</v>
      </c>
      <c r="M288" s="31">
        <f t="shared" si="40"/>
        <v>0</v>
      </c>
      <c r="N288" s="14">
        <f>SUM(B288:M288)</f>
        <v>1081585.5</v>
      </c>
    </row>
    <row r="289" spans="1:15" x14ac:dyDescent="0.35">
      <c r="A289" s="15" t="s">
        <v>83</v>
      </c>
      <c r="N289" s="14">
        <f>SUM(B289:M289)</f>
        <v>0</v>
      </c>
    </row>
    <row r="290" spans="1:15" x14ac:dyDescent="0.35">
      <c r="A290" s="22" t="s">
        <v>30</v>
      </c>
      <c r="N290" s="14"/>
    </row>
    <row r="291" spans="1:15" ht="14.25" x14ac:dyDescent="0.45">
      <c r="A291" s="61" t="s">
        <v>113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ref="N291:N304" si="41">SUM(B291:M291)</f>
        <v>0</v>
      </c>
      <c r="O291"/>
    </row>
    <row r="292" spans="1:15" ht="14.25" x14ac:dyDescent="0.45">
      <c r="A292" s="61" t="s">
        <v>114</v>
      </c>
      <c r="B292" s="31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14">
        <f t="shared" si="41"/>
        <v>0</v>
      </c>
      <c r="O292"/>
    </row>
    <row r="293" spans="1:15" ht="14.25" x14ac:dyDescent="0.45">
      <c r="A293" s="61" t="s">
        <v>115</v>
      </c>
      <c r="B293" s="31">
        <v>0</v>
      </c>
      <c r="C293" s="31">
        <v>0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v>0</v>
      </c>
      <c r="J293" s="31">
        <v>0</v>
      </c>
      <c r="K293" s="31">
        <v>0</v>
      </c>
      <c r="L293" s="31">
        <v>0</v>
      </c>
      <c r="M293" s="31">
        <v>0</v>
      </c>
      <c r="N293" s="14">
        <f t="shared" si="41"/>
        <v>0</v>
      </c>
      <c r="O293"/>
    </row>
    <row r="294" spans="1:15" ht="14.25" x14ac:dyDescent="0.45">
      <c r="A294" s="61" t="s">
        <v>116</v>
      </c>
      <c r="B294" s="31">
        <v>0</v>
      </c>
      <c r="C294" s="31">
        <v>0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14">
        <f t="shared" si="41"/>
        <v>0</v>
      </c>
      <c r="O294"/>
    </row>
    <row r="295" spans="1:15" ht="14.25" x14ac:dyDescent="0.45">
      <c r="A295" s="61" t="s">
        <v>117</v>
      </c>
      <c r="B295" s="31">
        <v>0</v>
      </c>
      <c r="C295" s="31">
        <v>0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v>0</v>
      </c>
      <c r="J295" s="31">
        <v>0</v>
      </c>
      <c r="K295" s="31">
        <v>0</v>
      </c>
      <c r="L295" s="31">
        <v>0</v>
      </c>
      <c r="M295" s="31">
        <v>0</v>
      </c>
      <c r="N295" s="14">
        <f t="shared" si="41"/>
        <v>0</v>
      </c>
      <c r="O295"/>
    </row>
    <row r="296" spans="1:15" ht="14.25" x14ac:dyDescent="0.45">
      <c r="A296" s="61" t="s">
        <v>118</v>
      </c>
      <c r="B296" s="31">
        <v>0</v>
      </c>
      <c r="C296" s="31">
        <v>0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14">
        <f t="shared" si="41"/>
        <v>0</v>
      </c>
      <c r="O296"/>
    </row>
    <row r="297" spans="1:15" ht="14.25" x14ac:dyDescent="0.45">
      <c r="A297" s="61" t="s">
        <v>119</v>
      </c>
      <c r="B297" s="31">
        <v>0</v>
      </c>
      <c r="C297" s="31">
        <v>0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4">
        <f t="shared" si="41"/>
        <v>0</v>
      </c>
      <c r="O297"/>
    </row>
    <row r="298" spans="1:15" ht="14.25" x14ac:dyDescent="0.45">
      <c r="A298" s="61" t="s">
        <v>120</v>
      </c>
      <c r="B298" s="31">
        <v>0</v>
      </c>
      <c r="C298" s="31">
        <v>0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4">
        <f t="shared" si="41"/>
        <v>0</v>
      </c>
      <c r="O298"/>
    </row>
    <row r="299" spans="1:15" ht="14.25" x14ac:dyDescent="0.45">
      <c r="A299" s="61" t="s">
        <v>121</v>
      </c>
      <c r="B299" s="31">
        <v>0</v>
      </c>
      <c r="C299" s="31">
        <v>0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4">
        <f t="shared" si="41"/>
        <v>0</v>
      </c>
      <c r="O299"/>
    </row>
    <row r="300" spans="1:15" ht="14.25" x14ac:dyDescent="0.45">
      <c r="A300" s="61" t="s">
        <v>122</v>
      </c>
      <c r="B300" s="31">
        <v>0</v>
      </c>
      <c r="C300" s="31">
        <v>0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14">
        <f t="shared" si="41"/>
        <v>0</v>
      </c>
      <c r="O300"/>
    </row>
    <row r="301" spans="1:15" ht="14.25" x14ac:dyDescent="0.45">
      <c r="A301" s="61" t="s">
        <v>123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si="41"/>
        <v>0</v>
      </c>
      <c r="O301"/>
    </row>
    <row r="302" spans="1:15" ht="14.25" x14ac:dyDescent="0.45">
      <c r="A302" s="61" t="s">
        <v>124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41"/>
        <v>0</v>
      </c>
      <c r="O302"/>
    </row>
    <row r="303" spans="1:15" ht="14.25" x14ac:dyDescent="0.45">
      <c r="A303" s="61" t="s">
        <v>125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41"/>
        <v>0</v>
      </c>
      <c r="O303"/>
    </row>
    <row r="304" spans="1:15" ht="14.25" x14ac:dyDescent="0.45">
      <c r="A304" s="61" t="s">
        <v>126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41"/>
        <v>0</v>
      </c>
      <c r="O304"/>
    </row>
    <row r="305" spans="1:15" ht="17.25" customHeight="1" x14ac:dyDescent="0.45">
      <c r="A305" s="70" t="s">
        <v>127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ref="N305:N308" si="42">SUM(B305:M305)</f>
        <v>0</v>
      </c>
      <c r="O305"/>
    </row>
    <row r="306" spans="1:15" ht="17.25" customHeight="1" x14ac:dyDescent="0.45">
      <c r="A306" s="70" t="s">
        <v>129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42"/>
        <v>0</v>
      </c>
      <c r="O306"/>
    </row>
    <row r="307" spans="1:15" ht="17.25" customHeight="1" x14ac:dyDescent="0.45">
      <c r="A307" s="70" t="s">
        <v>130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42"/>
        <v>0</v>
      </c>
      <c r="O307"/>
    </row>
    <row r="308" spans="1:15" ht="17.25" customHeight="1" x14ac:dyDescent="0.45">
      <c r="A308" s="70" t="s">
        <v>131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42"/>
        <v>0</v>
      </c>
      <c r="O308"/>
    </row>
    <row r="309" spans="1:15" ht="17.25" customHeight="1" x14ac:dyDescent="0.45">
      <c r="A309" s="70" t="s">
        <v>137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>SUM(B309:M309)</f>
        <v>0</v>
      </c>
      <c r="O309"/>
    </row>
    <row r="310" spans="1:15" ht="17.25" customHeight="1" x14ac:dyDescent="0.45">
      <c r="A310" s="70" t="s">
        <v>132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ref="N310:N311" si="43">SUM(B310:M310)</f>
        <v>0</v>
      </c>
      <c r="O310"/>
    </row>
    <row r="311" spans="1:15" ht="17.25" customHeight="1" x14ac:dyDescent="0.45">
      <c r="A311" s="70" t="s">
        <v>136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si="43"/>
        <v>0</v>
      </c>
      <c r="O311"/>
    </row>
    <row r="312" spans="1:15" ht="17.25" customHeight="1" x14ac:dyDescent="0.45">
      <c r="A312" s="70" t="s">
        <v>138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ref="N312" si="44">SUM(B312:M312)</f>
        <v>0</v>
      </c>
      <c r="O312"/>
    </row>
    <row r="313" spans="1:15" ht="17.25" customHeight="1" x14ac:dyDescent="0.45">
      <c r="A313" s="70" t="s">
        <v>139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ref="N313" si="45">SUM(B313:M313)</f>
        <v>0</v>
      </c>
      <c r="O313"/>
    </row>
    <row r="314" spans="1:15" ht="17.25" customHeight="1" x14ac:dyDescent="0.45">
      <c r="A314" s="70" t="s">
        <v>140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ref="N314" si="46">SUM(B314:M314)</f>
        <v>0</v>
      </c>
      <c r="O314"/>
    </row>
    <row r="315" spans="1:15" x14ac:dyDescent="0.35">
      <c r="A315" s="15" t="s">
        <v>28</v>
      </c>
      <c r="B315" s="31">
        <f t="shared" ref="B315:N315" si="47">SUM(B291:B314)</f>
        <v>0</v>
      </c>
      <c r="C315" s="31">
        <f t="shared" si="47"/>
        <v>0</v>
      </c>
      <c r="D315" s="31">
        <f t="shared" si="47"/>
        <v>0</v>
      </c>
      <c r="E315" s="31">
        <f t="shared" si="47"/>
        <v>0</v>
      </c>
      <c r="F315" s="31">
        <f t="shared" si="47"/>
        <v>0</v>
      </c>
      <c r="G315" s="31">
        <f t="shared" si="47"/>
        <v>0</v>
      </c>
      <c r="H315" s="31">
        <f t="shared" si="47"/>
        <v>0</v>
      </c>
      <c r="I315" s="31">
        <f t="shared" si="47"/>
        <v>0</v>
      </c>
      <c r="J315" s="31">
        <f t="shared" si="47"/>
        <v>0</v>
      </c>
      <c r="K315" s="31">
        <f t="shared" si="47"/>
        <v>0</v>
      </c>
      <c r="L315" s="31">
        <f t="shared" si="47"/>
        <v>0</v>
      </c>
      <c r="M315" s="31">
        <f t="shared" si="47"/>
        <v>0</v>
      </c>
      <c r="N315" s="14">
        <f t="shared" si="47"/>
        <v>0</v>
      </c>
    </row>
    <row r="316" spans="1:15" x14ac:dyDescent="0.35">
      <c r="A316" s="15"/>
      <c r="N316" s="14"/>
    </row>
    <row r="317" spans="1:15" x14ac:dyDescent="0.35">
      <c r="A317" s="22" t="s">
        <v>29</v>
      </c>
      <c r="N317" s="14"/>
    </row>
    <row r="318" spans="1:15" ht="14.25" x14ac:dyDescent="0.45">
      <c r="A318" s="61" t="s">
        <v>113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ref="N318:N332" si="48">SUM(B318:M318)</f>
        <v>0</v>
      </c>
      <c r="O318"/>
    </row>
    <row r="319" spans="1:15" ht="14.25" x14ac:dyDescent="0.45">
      <c r="A319" s="61" t="s">
        <v>114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-51103.95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 t="shared" si="48"/>
        <v>-51103.95</v>
      </c>
      <c r="O319"/>
    </row>
    <row r="320" spans="1:15" ht="14.25" x14ac:dyDescent="0.45">
      <c r="A320" s="61" t="s">
        <v>115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si="48"/>
        <v>0</v>
      </c>
      <c r="O320"/>
    </row>
    <row r="321" spans="1:15" ht="14.25" x14ac:dyDescent="0.45">
      <c r="A321" s="61" t="s">
        <v>116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48"/>
        <v>0</v>
      </c>
      <c r="O321"/>
    </row>
    <row r="322" spans="1:15" ht="14.25" x14ac:dyDescent="0.45">
      <c r="A322" s="61" t="s">
        <v>117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si="48"/>
        <v>0</v>
      </c>
      <c r="O322"/>
    </row>
    <row r="323" spans="1:15" ht="14.25" x14ac:dyDescent="0.45">
      <c r="A323" s="61" t="s">
        <v>118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si="48"/>
        <v>0</v>
      </c>
      <c r="O323"/>
    </row>
    <row r="324" spans="1:15" ht="14.25" x14ac:dyDescent="0.45">
      <c r="A324" s="61" t="s">
        <v>119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si="48"/>
        <v>0</v>
      </c>
      <c r="O324"/>
    </row>
    <row r="325" spans="1:15" ht="14.25" x14ac:dyDescent="0.45">
      <c r="A325" s="61" t="s">
        <v>120</v>
      </c>
      <c r="B325" s="31">
        <v>0</v>
      </c>
      <c r="C325" s="31">
        <v>0</v>
      </c>
      <c r="D325" s="31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4">
        <f t="shared" si="48"/>
        <v>0</v>
      </c>
      <c r="O325"/>
    </row>
    <row r="326" spans="1:15" ht="14.25" x14ac:dyDescent="0.45">
      <c r="A326" s="61" t="s">
        <v>121</v>
      </c>
      <c r="B326" s="31">
        <v>0</v>
      </c>
      <c r="C326" s="31">
        <v>0</v>
      </c>
      <c r="D326" s="31">
        <v>0</v>
      </c>
      <c r="E326" s="31">
        <v>0</v>
      </c>
      <c r="F326" s="31">
        <v>0</v>
      </c>
      <c r="G326" s="31">
        <v>0</v>
      </c>
      <c r="H326" s="31">
        <v>0</v>
      </c>
      <c r="I326" s="31">
        <v>0</v>
      </c>
      <c r="J326" s="31">
        <v>0</v>
      </c>
      <c r="K326" s="31">
        <v>0</v>
      </c>
      <c r="L326" s="31">
        <v>0</v>
      </c>
      <c r="M326" s="31">
        <v>0</v>
      </c>
      <c r="N326" s="14">
        <f t="shared" si="48"/>
        <v>0</v>
      </c>
      <c r="O326"/>
    </row>
    <row r="327" spans="1:15" ht="14.25" x14ac:dyDescent="0.45">
      <c r="A327" s="61" t="s">
        <v>122</v>
      </c>
      <c r="B327" s="31">
        <v>0</v>
      </c>
      <c r="C327" s="31">
        <v>0</v>
      </c>
      <c r="D327" s="31">
        <v>0</v>
      </c>
      <c r="E327" s="31">
        <v>0</v>
      </c>
      <c r="F327" s="31">
        <v>0</v>
      </c>
      <c r="G327" s="31">
        <v>0</v>
      </c>
      <c r="H327" s="31">
        <v>0</v>
      </c>
      <c r="I327" s="31">
        <v>0</v>
      </c>
      <c r="J327" s="31">
        <v>0</v>
      </c>
      <c r="K327" s="31">
        <v>0</v>
      </c>
      <c r="L327" s="31">
        <v>0</v>
      </c>
      <c r="M327" s="31">
        <v>0</v>
      </c>
      <c r="N327" s="14">
        <f t="shared" si="48"/>
        <v>0</v>
      </c>
      <c r="O327"/>
    </row>
    <row r="328" spans="1:15" ht="14.25" x14ac:dyDescent="0.45">
      <c r="A328" s="61" t="s">
        <v>123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si="48"/>
        <v>0</v>
      </c>
      <c r="O328"/>
    </row>
    <row r="329" spans="1:15" ht="14.25" x14ac:dyDescent="0.45">
      <c r="A329" s="61" t="s">
        <v>124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48"/>
        <v>0</v>
      </c>
      <c r="O329"/>
    </row>
    <row r="330" spans="1:15" ht="14.25" x14ac:dyDescent="0.45">
      <c r="A330" s="61" t="s">
        <v>125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48"/>
        <v>0</v>
      </c>
      <c r="O330"/>
    </row>
    <row r="331" spans="1:15" ht="14.25" x14ac:dyDescent="0.45">
      <c r="A331" s="61" t="s">
        <v>126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48"/>
        <v>0</v>
      </c>
      <c r="O331"/>
    </row>
    <row r="332" spans="1:15" ht="14.25" x14ac:dyDescent="0.45">
      <c r="A332" s="70" t="s">
        <v>127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48"/>
        <v>0</v>
      </c>
      <c r="O332" s="52"/>
    </row>
    <row r="333" spans="1:15" ht="14.25" x14ac:dyDescent="0.45">
      <c r="A333" s="70" t="s">
        <v>129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ref="N333" si="49">SUM(B333:M333)</f>
        <v>0</v>
      </c>
      <c r="O333" s="52"/>
    </row>
    <row r="334" spans="1:15" ht="14.25" x14ac:dyDescent="0.45">
      <c r="A334" s="70" t="s">
        <v>130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ref="N334" si="50">SUM(B334:M334)</f>
        <v>0</v>
      </c>
      <c r="O334" s="52"/>
    </row>
    <row r="335" spans="1:15" ht="17.25" customHeight="1" x14ac:dyDescent="0.45">
      <c r="A335" s="70" t="s">
        <v>131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>SUM(B335:M335)</f>
        <v>0</v>
      </c>
      <c r="O335"/>
    </row>
    <row r="336" spans="1:15" ht="17.25" customHeight="1" x14ac:dyDescent="0.45">
      <c r="A336" s="70" t="s">
        <v>137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>SUM(B336:M336)</f>
        <v>0</v>
      </c>
      <c r="O336"/>
    </row>
    <row r="337" spans="1:15" ht="17.25" customHeight="1" x14ac:dyDescent="0.45">
      <c r="A337" s="70" t="s">
        <v>132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>SUM(B337:M337)</f>
        <v>0</v>
      </c>
      <c r="O337"/>
    </row>
    <row r="338" spans="1:15" ht="17.25" customHeight="1" x14ac:dyDescent="0.45">
      <c r="A338" s="70" t="s">
        <v>136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ref="N338" si="51">SUM(B338:M338)</f>
        <v>0</v>
      </c>
      <c r="O338"/>
    </row>
    <row r="339" spans="1:15" ht="17.25" customHeight="1" x14ac:dyDescent="0.45">
      <c r="A339" s="70" t="s">
        <v>138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ref="N339:N341" si="52">SUM(B339:M339)</f>
        <v>0</v>
      </c>
      <c r="O339"/>
    </row>
    <row r="340" spans="1:15" ht="17.25" customHeight="1" x14ac:dyDescent="0.45">
      <c r="A340" s="70" t="s">
        <v>139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si="52"/>
        <v>0</v>
      </c>
      <c r="O340"/>
    </row>
    <row r="341" spans="1:15" ht="17.25" customHeight="1" x14ac:dyDescent="0.45">
      <c r="A341" s="70" t="s">
        <v>141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 t="shared" si="52"/>
        <v>0</v>
      </c>
      <c r="O341"/>
    </row>
    <row r="342" spans="1:15" x14ac:dyDescent="0.35">
      <c r="A342" s="15" t="s">
        <v>28</v>
      </c>
      <c r="B342" s="31">
        <f t="shared" ref="B342:N342" si="53">SUM(B318:B341)</f>
        <v>0</v>
      </c>
      <c r="C342" s="31">
        <f t="shared" si="53"/>
        <v>0</v>
      </c>
      <c r="D342" s="31">
        <f t="shared" si="53"/>
        <v>0</v>
      </c>
      <c r="E342" s="31">
        <f t="shared" si="53"/>
        <v>0</v>
      </c>
      <c r="F342" s="31">
        <f t="shared" si="53"/>
        <v>0</v>
      </c>
      <c r="G342" s="31">
        <f t="shared" si="53"/>
        <v>0</v>
      </c>
      <c r="H342" s="31">
        <f t="shared" si="53"/>
        <v>-51103.95</v>
      </c>
      <c r="I342" s="31">
        <f t="shared" si="53"/>
        <v>0</v>
      </c>
      <c r="J342" s="31">
        <f t="shared" si="53"/>
        <v>0</v>
      </c>
      <c r="K342" s="31">
        <f t="shared" si="53"/>
        <v>0</v>
      </c>
      <c r="L342" s="31">
        <f t="shared" si="53"/>
        <v>0</v>
      </c>
      <c r="M342" s="31">
        <f t="shared" si="53"/>
        <v>0</v>
      </c>
      <c r="N342" s="14">
        <f t="shared" si="53"/>
        <v>-51103.95</v>
      </c>
    </row>
    <row r="343" spans="1:15" x14ac:dyDescent="0.35">
      <c r="A343" s="15"/>
      <c r="N343" s="14"/>
    </row>
    <row r="344" spans="1:15" ht="15.4" thickBot="1" x14ac:dyDescent="0.45">
      <c r="A344" s="19" t="s">
        <v>15</v>
      </c>
      <c r="B344" s="35">
        <f t="shared" ref="B344:M344" si="54">+B342+B315+B288</f>
        <v>-173620.51</v>
      </c>
      <c r="C344" s="35">
        <f t="shared" si="54"/>
        <v>443039</v>
      </c>
      <c r="D344" s="35">
        <f t="shared" si="54"/>
        <v>233801</v>
      </c>
      <c r="E344" s="35">
        <f t="shared" si="54"/>
        <v>199662.04</v>
      </c>
      <c r="F344" s="35">
        <f t="shared" si="54"/>
        <v>114405.38</v>
      </c>
      <c r="G344" s="35">
        <f t="shared" si="54"/>
        <v>137591.97</v>
      </c>
      <c r="H344" s="35">
        <f t="shared" si="54"/>
        <v>52418.819999999992</v>
      </c>
      <c r="I344" s="35">
        <f t="shared" si="54"/>
        <v>-51303.12</v>
      </c>
      <c r="J344" s="35">
        <f t="shared" si="54"/>
        <v>74486.97</v>
      </c>
      <c r="K344" s="35">
        <f>+K342+K315+K288</f>
        <v>0</v>
      </c>
      <c r="L344" s="35">
        <f t="shared" si="54"/>
        <v>0</v>
      </c>
      <c r="M344" s="35">
        <f t="shared" si="54"/>
        <v>0</v>
      </c>
      <c r="N344" s="20">
        <f>+N342+N289+N315+N288</f>
        <v>1030481.55</v>
      </c>
    </row>
    <row r="345" spans="1:15" ht="15.4" thickBot="1" x14ac:dyDescent="0.45">
      <c r="A345" s="4"/>
    </row>
    <row r="346" spans="1:15" ht="13.15" x14ac:dyDescent="0.4">
      <c r="A346" s="5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7" t="s">
        <v>0</v>
      </c>
    </row>
    <row r="347" spans="1:15" ht="13.5" thickBot="1" x14ac:dyDescent="0.45">
      <c r="A347" s="21" t="s">
        <v>93</v>
      </c>
      <c r="B347" s="34" t="s">
        <v>2</v>
      </c>
      <c r="C347" s="34" t="s">
        <v>3</v>
      </c>
      <c r="D347" s="34" t="s">
        <v>4</v>
      </c>
      <c r="E347" s="34" t="s">
        <v>5</v>
      </c>
      <c r="F347" s="34" t="s">
        <v>6</v>
      </c>
      <c r="G347" s="34" t="s">
        <v>7</v>
      </c>
      <c r="H347" s="34" t="s">
        <v>8</v>
      </c>
      <c r="I347" s="34" t="s">
        <v>9</v>
      </c>
      <c r="J347" s="34" t="s">
        <v>10</v>
      </c>
      <c r="K347" s="34" t="s">
        <v>11</v>
      </c>
      <c r="L347" s="34" t="s">
        <v>12</v>
      </c>
      <c r="M347" s="34" t="s">
        <v>13</v>
      </c>
      <c r="N347" s="10" t="s">
        <v>14</v>
      </c>
    </row>
    <row r="348" spans="1:15" ht="13.15" x14ac:dyDescent="0.4">
      <c r="A348" s="65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53"/>
    </row>
    <row r="349" spans="1:15" x14ac:dyDescent="0.35">
      <c r="A349" s="22" t="s">
        <v>31</v>
      </c>
      <c r="B349" s="31">
        <f>0-B370-B391</f>
        <v>0</v>
      </c>
      <c r="C349" s="31">
        <f t="shared" ref="C349:E349" si="55">0-C370-C391</f>
        <v>0</v>
      </c>
      <c r="D349" s="31">
        <f t="shared" si="55"/>
        <v>0</v>
      </c>
      <c r="E349" s="31">
        <f t="shared" si="55"/>
        <v>0</v>
      </c>
      <c r="F349" s="31">
        <f t="shared" ref="F349:L349" si="56">0-F370-F391</f>
        <v>0</v>
      </c>
      <c r="G349" s="31">
        <f t="shared" si="56"/>
        <v>0</v>
      </c>
      <c r="H349" s="31">
        <f t="shared" si="56"/>
        <v>0</v>
      </c>
      <c r="I349" s="31">
        <f t="shared" si="56"/>
        <v>0</v>
      </c>
      <c r="J349" s="31">
        <f t="shared" si="56"/>
        <v>0</v>
      </c>
      <c r="K349" s="31">
        <f t="shared" si="56"/>
        <v>0</v>
      </c>
      <c r="L349" s="31">
        <f t="shared" si="56"/>
        <v>0</v>
      </c>
      <c r="M349" s="31">
        <f t="shared" ref="M349" si="57">0-M370-M391</f>
        <v>0</v>
      </c>
      <c r="N349" s="14">
        <f>SUM(B349:M349)</f>
        <v>0</v>
      </c>
    </row>
    <row r="350" spans="1:15" x14ac:dyDescent="0.35">
      <c r="A350" s="15" t="s">
        <v>83</v>
      </c>
      <c r="N350" s="14"/>
    </row>
    <row r="351" spans="1:15" x14ac:dyDescent="0.35">
      <c r="A351" s="22" t="s">
        <v>30</v>
      </c>
      <c r="N351" s="14"/>
    </row>
    <row r="352" spans="1:15" x14ac:dyDescent="0.35">
      <c r="A352" s="15" t="s">
        <v>94</v>
      </c>
      <c r="B352" s="31">
        <v>0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14">
        <f t="shared" ref="N352:N365" si="58">SUM(B352:M352)</f>
        <v>0</v>
      </c>
      <c r="O352"/>
    </row>
    <row r="353" spans="1:15" x14ac:dyDescent="0.35">
      <c r="A353" s="15" t="s">
        <v>95</v>
      </c>
      <c r="B353" s="31">
        <v>0</v>
      </c>
      <c r="C353" s="31">
        <v>0</v>
      </c>
      <c r="D353" s="31">
        <v>0</v>
      </c>
      <c r="E353" s="31">
        <v>0</v>
      </c>
      <c r="F353" s="31">
        <v>0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0</v>
      </c>
      <c r="N353" s="14">
        <f t="shared" si="58"/>
        <v>0</v>
      </c>
      <c r="O353"/>
    </row>
    <row r="354" spans="1:15" x14ac:dyDescent="0.35">
      <c r="A354" s="15" t="s">
        <v>96</v>
      </c>
      <c r="B354" s="31">
        <v>0</v>
      </c>
      <c r="C354" s="31">
        <v>0</v>
      </c>
      <c r="D354" s="31">
        <v>0</v>
      </c>
      <c r="E354" s="31">
        <v>0</v>
      </c>
      <c r="F354" s="31">
        <v>0</v>
      </c>
      <c r="G354" s="31">
        <v>0</v>
      </c>
      <c r="H354" s="31">
        <v>0</v>
      </c>
      <c r="I354" s="31">
        <v>0</v>
      </c>
      <c r="J354" s="31">
        <v>0</v>
      </c>
      <c r="K354" s="31">
        <v>0</v>
      </c>
      <c r="L354" s="31">
        <v>0</v>
      </c>
      <c r="M354" s="31">
        <v>0</v>
      </c>
      <c r="N354" s="14">
        <f t="shared" si="58"/>
        <v>0</v>
      </c>
      <c r="O354"/>
    </row>
    <row r="355" spans="1:15" x14ac:dyDescent="0.35">
      <c r="A355" s="15" t="s">
        <v>97</v>
      </c>
      <c r="B355" s="31">
        <v>0</v>
      </c>
      <c r="C355" s="31">
        <v>0</v>
      </c>
      <c r="D355" s="31">
        <v>0</v>
      </c>
      <c r="E355" s="31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31">
        <v>0</v>
      </c>
      <c r="L355" s="31">
        <v>0</v>
      </c>
      <c r="M355" s="31">
        <v>0</v>
      </c>
      <c r="N355" s="14">
        <f t="shared" si="58"/>
        <v>0</v>
      </c>
      <c r="O355"/>
    </row>
    <row r="356" spans="1:15" x14ac:dyDescent="0.35">
      <c r="A356" s="15" t="s">
        <v>98</v>
      </c>
      <c r="B356" s="31">
        <v>0</v>
      </c>
      <c r="C356" s="31">
        <v>0</v>
      </c>
      <c r="D356" s="31">
        <v>0</v>
      </c>
      <c r="E356" s="31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14">
        <f t="shared" si="58"/>
        <v>0</v>
      </c>
      <c r="O356"/>
    </row>
    <row r="357" spans="1:15" x14ac:dyDescent="0.35">
      <c r="A357" s="15" t="s">
        <v>99</v>
      </c>
      <c r="B357" s="31">
        <v>0</v>
      </c>
      <c r="C357" s="31">
        <v>0</v>
      </c>
      <c r="D357" s="31">
        <v>0</v>
      </c>
      <c r="E357" s="31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31">
        <v>0</v>
      </c>
      <c r="L357" s="31">
        <v>0</v>
      </c>
      <c r="M357" s="31">
        <v>0</v>
      </c>
      <c r="N357" s="14">
        <f t="shared" si="58"/>
        <v>0</v>
      </c>
      <c r="O357"/>
    </row>
    <row r="358" spans="1:15" x14ac:dyDescent="0.35">
      <c r="A358" s="15" t="s">
        <v>100</v>
      </c>
      <c r="B358" s="31">
        <v>0</v>
      </c>
      <c r="C358" s="31">
        <v>0</v>
      </c>
      <c r="D358" s="31">
        <v>0</v>
      </c>
      <c r="E358" s="31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31">
        <v>0</v>
      </c>
      <c r="L358" s="31">
        <v>0</v>
      </c>
      <c r="M358" s="31">
        <v>0</v>
      </c>
      <c r="N358" s="14">
        <f t="shared" si="58"/>
        <v>0</v>
      </c>
      <c r="O358"/>
    </row>
    <row r="359" spans="1:15" x14ac:dyDescent="0.35">
      <c r="A359" s="15" t="s">
        <v>101</v>
      </c>
      <c r="B359" s="31">
        <v>0</v>
      </c>
      <c r="C359" s="31">
        <v>0</v>
      </c>
      <c r="D359" s="31">
        <v>0</v>
      </c>
      <c r="E359" s="31">
        <v>0</v>
      </c>
      <c r="F359" s="31">
        <v>0</v>
      </c>
      <c r="G359" s="31">
        <v>0</v>
      </c>
      <c r="H359" s="31">
        <v>0</v>
      </c>
      <c r="I359" s="31">
        <v>0</v>
      </c>
      <c r="J359" s="31">
        <v>0</v>
      </c>
      <c r="K359" s="31">
        <v>0</v>
      </c>
      <c r="L359" s="31">
        <v>0</v>
      </c>
      <c r="M359" s="31">
        <v>0</v>
      </c>
      <c r="N359" s="14">
        <f t="shared" si="58"/>
        <v>0</v>
      </c>
      <c r="O359"/>
    </row>
    <row r="360" spans="1:15" x14ac:dyDescent="0.35">
      <c r="A360" s="15" t="s">
        <v>102</v>
      </c>
      <c r="B360" s="31">
        <v>0</v>
      </c>
      <c r="C360" s="31">
        <v>0</v>
      </c>
      <c r="D360" s="31">
        <v>0</v>
      </c>
      <c r="E360" s="31">
        <v>0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14">
        <f t="shared" si="58"/>
        <v>0</v>
      </c>
      <c r="O360"/>
    </row>
    <row r="361" spans="1:15" x14ac:dyDescent="0.35">
      <c r="A361" s="15" t="s">
        <v>103</v>
      </c>
      <c r="B361" s="31">
        <v>0</v>
      </c>
      <c r="C361" s="31">
        <v>0</v>
      </c>
      <c r="D361" s="31">
        <v>0</v>
      </c>
      <c r="E361" s="31">
        <v>0</v>
      </c>
      <c r="F361" s="31">
        <v>0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0</v>
      </c>
      <c r="N361" s="14">
        <f t="shared" si="58"/>
        <v>0</v>
      </c>
      <c r="O361"/>
    </row>
    <row r="362" spans="1:15" x14ac:dyDescent="0.35">
      <c r="A362" s="15" t="s">
        <v>104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si="58"/>
        <v>0</v>
      </c>
      <c r="O362"/>
    </row>
    <row r="363" spans="1:15" x14ac:dyDescent="0.35">
      <c r="A363" s="15" t="s">
        <v>105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58"/>
        <v>0</v>
      </c>
      <c r="O363"/>
    </row>
    <row r="364" spans="1:15" x14ac:dyDescent="0.35">
      <c r="A364" s="15" t="s">
        <v>106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58"/>
        <v>0</v>
      </c>
      <c r="O364"/>
    </row>
    <row r="365" spans="1:15" x14ac:dyDescent="0.35">
      <c r="A365" s="15" t="s">
        <v>107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58"/>
        <v>0</v>
      </c>
      <c r="O365"/>
    </row>
    <row r="366" spans="1:15" x14ac:dyDescent="0.35">
      <c r="A366" s="15" t="s">
        <v>108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>SUM(B366:M366)</f>
        <v>0</v>
      </c>
      <c r="O366"/>
    </row>
    <row r="367" spans="1:15" x14ac:dyDescent="0.35">
      <c r="A367" s="15" t="s">
        <v>109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>SUM(B367:M367)</f>
        <v>0</v>
      </c>
      <c r="O367" s="52"/>
    </row>
    <row r="368" spans="1:15" x14ac:dyDescent="0.35">
      <c r="A368" s="15" t="s">
        <v>110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>SUM(B368:M368)</f>
        <v>0</v>
      </c>
      <c r="O368"/>
    </row>
    <row r="369" spans="1:15" x14ac:dyDescent="0.35">
      <c r="A369" s="15" t="s">
        <v>111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>SUM(B369:M369)</f>
        <v>0</v>
      </c>
      <c r="O369"/>
    </row>
    <row r="370" spans="1:15" x14ac:dyDescent="0.35">
      <c r="A370" s="15" t="s">
        <v>28</v>
      </c>
      <c r="B370" s="31">
        <f t="shared" ref="B370:M370" si="59">SUM(B352:B369)</f>
        <v>0</v>
      </c>
      <c r="C370" s="31">
        <f t="shared" si="59"/>
        <v>0</v>
      </c>
      <c r="D370" s="31">
        <f t="shared" si="59"/>
        <v>0</v>
      </c>
      <c r="E370" s="31">
        <f t="shared" si="59"/>
        <v>0</v>
      </c>
      <c r="F370" s="31">
        <f t="shared" si="59"/>
        <v>0</v>
      </c>
      <c r="G370" s="31">
        <f t="shared" si="59"/>
        <v>0</v>
      </c>
      <c r="H370" s="31">
        <f t="shared" si="59"/>
        <v>0</v>
      </c>
      <c r="I370" s="31">
        <f t="shared" si="59"/>
        <v>0</v>
      </c>
      <c r="J370" s="31">
        <f t="shared" si="59"/>
        <v>0</v>
      </c>
      <c r="K370" s="31">
        <f t="shared" si="59"/>
        <v>0</v>
      </c>
      <c r="L370" s="31">
        <f t="shared" si="59"/>
        <v>0</v>
      </c>
      <c r="M370" s="31">
        <f t="shared" si="59"/>
        <v>0</v>
      </c>
      <c r="N370" s="14">
        <f>SUM(B370:M370)</f>
        <v>0</v>
      </c>
    </row>
    <row r="371" spans="1:15" x14ac:dyDescent="0.35">
      <c r="A371" s="15"/>
      <c r="N371" s="14"/>
    </row>
    <row r="372" spans="1:15" x14ac:dyDescent="0.35">
      <c r="A372" s="22" t="s">
        <v>29</v>
      </c>
      <c r="N372" s="14"/>
    </row>
    <row r="373" spans="1:15" x14ac:dyDescent="0.35">
      <c r="A373" s="15" t="s">
        <v>94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ref="N373:N391" si="60">SUM(B373:M373)</f>
        <v>0</v>
      </c>
      <c r="O373"/>
    </row>
    <row r="374" spans="1:15" x14ac:dyDescent="0.35">
      <c r="A374" s="15" t="s">
        <v>95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60"/>
        <v>0</v>
      </c>
      <c r="O374"/>
    </row>
    <row r="375" spans="1:15" x14ac:dyDescent="0.35">
      <c r="A375" s="15" t="s">
        <v>96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60"/>
        <v>0</v>
      </c>
      <c r="O375"/>
    </row>
    <row r="376" spans="1:15" x14ac:dyDescent="0.35">
      <c r="A376" s="15" t="s">
        <v>97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 t="shared" si="60"/>
        <v>0</v>
      </c>
      <c r="O376"/>
    </row>
    <row r="377" spans="1:15" x14ac:dyDescent="0.35">
      <c r="A377" s="15" t="s">
        <v>98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 t="shared" si="60"/>
        <v>0</v>
      </c>
      <c r="O377"/>
    </row>
    <row r="378" spans="1:15" x14ac:dyDescent="0.35">
      <c r="A378" s="15" t="s">
        <v>99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 t="shared" si="60"/>
        <v>0</v>
      </c>
      <c r="O378"/>
    </row>
    <row r="379" spans="1:15" x14ac:dyDescent="0.35">
      <c r="A379" s="15" t="s">
        <v>100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 t="shared" si="60"/>
        <v>0</v>
      </c>
      <c r="O379"/>
    </row>
    <row r="380" spans="1:15" x14ac:dyDescent="0.35">
      <c r="A380" s="15" t="s">
        <v>101</v>
      </c>
      <c r="B380" s="31">
        <v>0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14">
        <f t="shared" si="60"/>
        <v>0</v>
      </c>
      <c r="O380"/>
    </row>
    <row r="381" spans="1:15" x14ac:dyDescent="0.35">
      <c r="A381" s="15" t="s">
        <v>102</v>
      </c>
      <c r="B381" s="31">
        <v>0</v>
      </c>
      <c r="C381" s="31">
        <v>0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14">
        <f t="shared" si="60"/>
        <v>0</v>
      </c>
      <c r="O381"/>
    </row>
    <row r="382" spans="1:15" x14ac:dyDescent="0.35">
      <c r="A382" s="15" t="s">
        <v>103</v>
      </c>
      <c r="B382" s="31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14">
        <f t="shared" si="60"/>
        <v>0</v>
      </c>
      <c r="O382"/>
    </row>
    <row r="383" spans="1:15" x14ac:dyDescent="0.35">
      <c r="A383" s="15" t="s">
        <v>104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si="60"/>
        <v>0</v>
      </c>
      <c r="O383"/>
    </row>
    <row r="384" spans="1:15" x14ac:dyDescent="0.35">
      <c r="A384" s="15" t="s">
        <v>105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60"/>
        <v>0</v>
      </c>
      <c r="O384"/>
    </row>
    <row r="385" spans="1:15" x14ac:dyDescent="0.35">
      <c r="A385" s="15" t="s">
        <v>106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60"/>
        <v>0</v>
      </c>
      <c r="O385"/>
    </row>
    <row r="386" spans="1:15" x14ac:dyDescent="0.35">
      <c r="A386" s="15" t="s">
        <v>107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60"/>
        <v>0</v>
      </c>
      <c r="O386"/>
    </row>
    <row r="387" spans="1:15" x14ac:dyDescent="0.35">
      <c r="A387" s="15" t="s">
        <v>108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60"/>
        <v>0</v>
      </c>
      <c r="O387" s="52"/>
    </row>
    <row r="388" spans="1:15" x14ac:dyDescent="0.35">
      <c r="A388" s="15" t="s">
        <v>109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60"/>
        <v>0</v>
      </c>
      <c r="O388" s="52"/>
    </row>
    <row r="389" spans="1:15" x14ac:dyDescent="0.35">
      <c r="A389" s="15" t="s">
        <v>110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60"/>
        <v>0</v>
      </c>
      <c r="O389" s="52"/>
    </row>
    <row r="390" spans="1:15" x14ac:dyDescent="0.35">
      <c r="A390" s="15" t="s">
        <v>111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60"/>
        <v>0</v>
      </c>
      <c r="O390" s="52"/>
    </row>
    <row r="391" spans="1:15" x14ac:dyDescent="0.35">
      <c r="A391" s="15" t="s">
        <v>28</v>
      </c>
      <c r="B391" s="31">
        <f t="shared" ref="B391:M391" si="61">SUM(B373:B390)</f>
        <v>0</v>
      </c>
      <c r="C391" s="31">
        <f t="shared" si="61"/>
        <v>0</v>
      </c>
      <c r="D391" s="31">
        <f t="shared" si="61"/>
        <v>0</v>
      </c>
      <c r="E391" s="31">
        <f t="shared" si="61"/>
        <v>0</v>
      </c>
      <c r="F391" s="31">
        <f t="shared" si="61"/>
        <v>0</v>
      </c>
      <c r="G391" s="31">
        <f t="shared" si="61"/>
        <v>0</v>
      </c>
      <c r="H391" s="31">
        <f t="shared" si="61"/>
        <v>0</v>
      </c>
      <c r="I391" s="31">
        <f t="shared" si="61"/>
        <v>0</v>
      </c>
      <c r="J391" s="31">
        <f t="shared" si="61"/>
        <v>0</v>
      </c>
      <c r="K391" s="31">
        <f t="shared" si="61"/>
        <v>0</v>
      </c>
      <c r="L391" s="31">
        <f t="shared" si="61"/>
        <v>0</v>
      </c>
      <c r="M391" s="31">
        <f t="shared" si="61"/>
        <v>0</v>
      </c>
      <c r="N391" s="14">
        <f t="shared" si="60"/>
        <v>0</v>
      </c>
    </row>
    <row r="392" spans="1:15" x14ac:dyDescent="0.35">
      <c r="A392" s="15"/>
      <c r="N392" s="14"/>
    </row>
    <row r="393" spans="1:15" ht="15.4" thickBot="1" x14ac:dyDescent="0.45">
      <c r="A393" s="19" t="s">
        <v>15</v>
      </c>
      <c r="B393" s="35">
        <f t="shared" ref="B393:M393" si="62">+B391+B370+B349</f>
        <v>0</v>
      </c>
      <c r="C393" s="35">
        <f t="shared" si="62"/>
        <v>0</v>
      </c>
      <c r="D393" s="35">
        <f t="shared" si="62"/>
        <v>0</v>
      </c>
      <c r="E393" s="35">
        <f t="shared" si="62"/>
        <v>0</v>
      </c>
      <c r="F393" s="35">
        <f t="shared" si="62"/>
        <v>0</v>
      </c>
      <c r="G393" s="35">
        <f t="shared" si="62"/>
        <v>0</v>
      </c>
      <c r="H393" s="35">
        <f t="shared" si="62"/>
        <v>0</v>
      </c>
      <c r="I393" s="35">
        <f t="shared" si="62"/>
        <v>0</v>
      </c>
      <c r="J393" s="35">
        <f t="shared" si="62"/>
        <v>0</v>
      </c>
      <c r="K393" s="35">
        <f t="shared" si="62"/>
        <v>0</v>
      </c>
      <c r="L393" s="35">
        <f t="shared" si="62"/>
        <v>0</v>
      </c>
      <c r="M393" s="35">
        <f t="shared" si="62"/>
        <v>0</v>
      </c>
      <c r="N393" s="20">
        <f>+N391+N350+N370+N349</f>
        <v>0</v>
      </c>
    </row>
    <row r="394" spans="1:15" ht="15.4" thickBot="1" x14ac:dyDescent="0.45">
      <c r="A394" s="4"/>
    </row>
    <row r="395" spans="1:15" ht="13.15" x14ac:dyDescent="0.4">
      <c r="A395" s="5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7" t="s">
        <v>0</v>
      </c>
    </row>
    <row r="396" spans="1:15" ht="13.5" thickBot="1" x14ac:dyDescent="0.45">
      <c r="A396" s="21" t="s">
        <v>92</v>
      </c>
      <c r="B396" s="34" t="s">
        <v>2</v>
      </c>
      <c r="C396" s="34" t="s">
        <v>3</v>
      </c>
      <c r="D396" s="34" t="s">
        <v>4</v>
      </c>
      <c r="E396" s="34" t="s">
        <v>5</v>
      </c>
      <c r="F396" s="34" t="s">
        <v>6</v>
      </c>
      <c r="G396" s="34" t="s">
        <v>7</v>
      </c>
      <c r="H396" s="34" t="s">
        <v>8</v>
      </c>
      <c r="I396" s="34" t="s">
        <v>9</v>
      </c>
      <c r="J396" s="34" t="s">
        <v>10</v>
      </c>
      <c r="K396" s="34" t="s">
        <v>11</v>
      </c>
      <c r="L396" s="34" t="s">
        <v>12</v>
      </c>
      <c r="M396" s="34" t="s">
        <v>13</v>
      </c>
      <c r="N396" s="10" t="s">
        <v>14</v>
      </c>
    </row>
    <row r="397" spans="1:15" ht="13.15" x14ac:dyDescent="0.4">
      <c r="A397" s="54"/>
      <c r="N397" s="14"/>
    </row>
    <row r="398" spans="1:15" x14ac:dyDescent="0.35">
      <c r="A398" s="22" t="s">
        <v>31</v>
      </c>
      <c r="B398" s="31">
        <f>0-B420-B442</f>
        <v>0</v>
      </c>
      <c r="C398" s="31">
        <f>0-C420-C442</f>
        <v>0</v>
      </c>
      <c r="D398" s="31">
        <f t="shared" ref="D398:M398" si="63">0-D420-D442</f>
        <v>0</v>
      </c>
      <c r="E398" s="31">
        <f t="shared" si="63"/>
        <v>0</v>
      </c>
      <c r="F398" s="31">
        <f t="shared" si="63"/>
        <v>0</v>
      </c>
      <c r="G398" s="31">
        <f t="shared" si="63"/>
        <v>0</v>
      </c>
      <c r="H398" s="31">
        <f t="shared" si="63"/>
        <v>0</v>
      </c>
      <c r="I398" s="31">
        <f t="shared" si="63"/>
        <v>0</v>
      </c>
      <c r="J398" s="31">
        <f t="shared" si="63"/>
        <v>0</v>
      </c>
      <c r="K398" s="31">
        <f t="shared" si="63"/>
        <v>0</v>
      </c>
      <c r="L398" s="31">
        <f t="shared" si="63"/>
        <v>0</v>
      </c>
      <c r="M398" s="31">
        <f t="shared" si="63"/>
        <v>0</v>
      </c>
      <c r="N398" s="14">
        <f>SUM(B398:M398)</f>
        <v>0</v>
      </c>
    </row>
    <row r="399" spans="1:15" x14ac:dyDescent="0.35">
      <c r="A399" s="15" t="s">
        <v>83</v>
      </c>
      <c r="N399" s="14">
        <f>SUM(B399:M399)</f>
        <v>0</v>
      </c>
    </row>
    <row r="400" spans="1:15" x14ac:dyDescent="0.35">
      <c r="A400" s="22" t="s">
        <v>30</v>
      </c>
      <c r="N400" s="14"/>
    </row>
    <row r="401" spans="1:15" x14ac:dyDescent="0.35">
      <c r="A401" s="15" t="s">
        <v>69</v>
      </c>
      <c r="B401" s="31">
        <v>0</v>
      </c>
      <c r="C401" s="31">
        <v>0</v>
      </c>
      <c r="D401" s="31">
        <v>0</v>
      </c>
      <c r="E401" s="31">
        <v>0</v>
      </c>
      <c r="F401" s="31">
        <v>0</v>
      </c>
      <c r="G401" s="31">
        <v>0</v>
      </c>
      <c r="H401" s="31">
        <v>0</v>
      </c>
      <c r="I401" s="31">
        <v>0</v>
      </c>
      <c r="J401" s="31">
        <v>0</v>
      </c>
      <c r="K401" s="31">
        <v>0</v>
      </c>
      <c r="L401" s="31">
        <v>0</v>
      </c>
      <c r="M401" s="31">
        <v>0</v>
      </c>
      <c r="N401" s="14">
        <f t="shared" ref="N401:N420" si="64">SUM(B401:M401)</f>
        <v>0</v>
      </c>
      <c r="O401"/>
    </row>
    <row r="402" spans="1:15" x14ac:dyDescent="0.35">
      <c r="A402" s="15" t="s">
        <v>70</v>
      </c>
      <c r="B402" s="31">
        <v>0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14">
        <f t="shared" si="64"/>
        <v>0</v>
      </c>
      <c r="O402"/>
    </row>
    <row r="403" spans="1:15" x14ac:dyDescent="0.35">
      <c r="A403" s="15" t="s">
        <v>71</v>
      </c>
      <c r="B403" s="31">
        <v>0</v>
      </c>
      <c r="C403" s="31">
        <v>0</v>
      </c>
      <c r="D403" s="31">
        <v>0</v>
      </c>
      <c r="E403" s="31">
        <v>0</v>
      </c>
      <c r="F403" s="31">
        <v>0</v>
      </c>
      <c r="G403" s="31">
        <v>0</v>
      </c>
      <c r="H403" s="31">
        <v>0</v>
      </c>
      <c r="I403" s="31">
        <v>0</v>
      </c>
      <c r="J403" s="31">
        <v>0</v>
      </c>
      <c r="K403" s="31">
        <v>0</v>
      </c>
      <c r="L403" s="31">
        <v>0</v>
      </c>
      <c r="M403" s="31">
        <v>0</v>
      </c>
      <c r="N403" s="14">
        <f t="shared" si="64"/>
        <v>0</v>
      </c>
      <c r="O403"/>
    </row>
    <row r="404" spans="1:15" x14ac:dyDescent="0.35">
      <c r="A404" s="15" t="s">
        <v>72</v>
      </c>
      <c r="B404" s="31">
        <v>0</v>
      </c>
      <c r="C404" s="31">
        <v>0</v>
      </c>
      <c r="D404" s="31">
        <v>0</v>
      </c>
      <c r="E404" s="31">
        <v>0</v>
      </c>
      <c r="F404" s="31">
        <v>0</v>
      </c>
      <c r="G404" s="31">
        <v>0</v>
      </c>
      <c r="H404" s="31">
        <v>0</v>
      </c>
      <c r="I404" s="31">
        <v>0</v>
      </c>
      <c r="J404" s="31">
        <v>0</v>
      </c>
      <c r="K404" s="31">
        <v>0</v>
      </c>
      <c r="L404" s="31">
        <v>0</v>
      </c>
      <c r="M404" s="31">
        <v>0</v>
      </c>
      <c r="N404" s="14">
        <f t="shared" si="64"/>
        <v>0</v>
      </c>
      <c r="O404"/>
    </row>
    <row r="405" spans="1:15" x14ac:dyDescent="0.35">
      <c r="A405" s="15" t="s">
        <v>73</v>
      </c>
      <c r="B405" s="31">
        <v>0</v>
      </c>
      <c r="C405" s="31">
        <v>0</v>
      </c>
      <c r="D405" s="31">
        <v>0</v>
      </c>
      <c r="E405" s="31">
        <v>0</v>
      </c>
      <c r="F405" s="31">
        <v>0</v>
      </c>
      <c r="G405" s="31">
        <v>0</v>
      </c>
      <c r="H405" s="31">
        <v>0</v>
      </c>
      <c r="I405" s="31">
        <v>0</v>
      </c>
      <c r="J405" s="31">
        <v>0</v>
      </c>
      <c r="K405" s="31">
        <v>0</v>
      </c>
      <c r="L405" s="31">
        <v>0</v>
      </c>
      <c r="M405" s="31">
        <v>0</v>
      </c>
      <c r="N405" s="14">
        <f t="shared" si="64"/>
        <v>0</v>
      </c>
      <c r="O405"/>
    </row>
    <row r="406" spans="1:15" x14ac:dyDescent="0.35">
      <c r="A406" s="15" t="s">
        <v>74</v>
      </c>
      <c r="B406" s="31">
        <v>0</v>
      </c>
      <c r="C406" s="31">
        <v>0</v>
      </c>
      <c r="D406" s="31">
        <v>0</v>
      </c>
      <c r="E406" s="31">
        <v>0</v>
      </c>
      <c r="F406" s="31">
        <v>0</v>
      </c>
      <c r="G406" s="31">
        <v>0</v>
      </c>
      <c r="H406" s="31">
        <v>0</v>
      </c>
      <c r="I406" s="31">
        <v>0</v>
      </c>
      <c r="J406" s="31">
        <v>0</v>
      </c>
      <c r="K406" s="31">
        <v>0</v>
      </c>
      <c r="L406" s="31">
        <v>0</v>
      </c>
      <c r="M406" s="31">
        <v>0</v>
      </c>
      <c r="N406" s="14">
        <f t="shared" si="64"/>
        <v>0</v>
      </c>
      <c r="O406"/>
    </row>
    <row r="407" spans="1:15" x14ac:dyDescent="0.35">
      <c r="A407" s="15" t="s">
        <v>75</v>
      </c>
      <c r="B407" s="31">
        <v>0</v>
      </c>
      <c r="C407" s="31">
        <v>0</v>
      </c>
      <c r="D407" s="31">
        <v>0</v>
      </c>
      <c r="E407" s="31">
        <v>0</v>
      </c>
      <c r="F407" s="31">
        <v>0</v>
      </c>
      <c r="G407" s="31">
        <v>0</v>
      </c>
      <c r="H407" s="31">
        <v>0</v>
      </c>
      <c r="I407" s="31">
        <v>0</v>
      </c>
      <c r="J407" s="31">
        <v>0</v>
      </c>
      <c r="K407" s="31">
        <v>0</v>
      </c>
      <c r="L407" s="31">
        <v>0</v>
      </c>
      <c r="M407" s="31">
        <v>0</v>
      </c>
      <c r="N407" s="14">
        <f t="shared" si="64"/>
        <v>0</v>
      </c>
      <c r="O407"/>
    </row>
    <row r="408" spans="1:15" x14ac:dyDescent="0.35">
      <c r="A408" s="15" t="s">
        <v>76</v>
      </c>
      <c r="B408" s="31">
        <v>0</v>
      </c>
      <c r="C408" s="31">
        <v>0</v>
      </c>
      <c r="D408" s="31">
        <v>0</v>
      </c>
      <c r="E408" s="31">
        <v>0</v>
      </c>
      <c r="F408" s="31">
        <v>0</v>
      </c>
      <c r="G408" s="31">
        <v>0</v>
      </c>
      <c r="H408" s="31">
        <v>0</v>
      </c>
      <c r="I408" s="31">
        <v>0</v>
      </c>
      <c r="J408" s="31">
        <v>0</v>
      </c>
      <c r="K408" s="31">
        <v>0</v>
      </c>
      <c r="L408" s="31">
        <v>0</v>
      </c>
      <c r="M408" s="31">
        <v>0</v>
      </c>
      <c r="N408" s="14">
        <f t="shared" si="64"/>
        <v>0</v>
      </c>
      <c r="O408"/>
    </row>
    <row r="409" spans="1:15" x14ac:dyDescent="0.35">
      <c r="A409" s="15" t="s">
        <v>77</v>
      </c>
      <c r="B409" s="31">
        <v>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0</v>
      </c>
      <c r="J409" s="31">
        <v>0</v>
      </c>
      <c r="K409" s="31">
        <v>0</v>
      </c>
      <c r="L409" s="31">
        <v>0</v>
      </c>
      <c r="M409" s="31">
        <v>0</v>
      </c>
      <c r="N409" s="14">
        <f t="shared" si="64"/>
        <v>0</v>
      </c>
      <c r="O409"/>
    </row>
    <row r="410" spans="1:15" x14ac:dyDescent="0.35">
      <c r="A410" s="15" t="s">
        <v>78</v>
      </c>
      <c r="B410" s="31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14">
        <f t="shared" ref="N410:N419" si="65">SUM(B410:M410)</f>
        <v>0</v>
      </c>
      <c r="O410"/>
    </row>
    <row r="411" spans="1:15" x14ac:dyDescent="0.35">
      <c r="A411" s="15" t="s">
        <v>79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si="65"/>
        <v>0</v>
      </c>
      <c r="O411"/>
    </row>
    <row r="412" spans="1:15" x14ac:dyDescent="0.35">
      <c r="A412" s="15" t="s">
        <v>80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65"/>
        <v>0</v>
      </c>
      <c r="O412"/>
    </row>
    <row r="413" spans="1:15" x14ac:dyDescent="0.35">
      <c r="A413" s="15" t="s">
        <v>81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65"/>
        <v>0</v>
      </c>
      <c r="O413"/>
    </row>
    <row r="414" spans="1:15" x14ac:dyDescent="0.35">
      <c r="A414" s="15" t="s">
        <v>86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65"/>
        <v>0</v>
      </c>
      <c r="O414"/>
    </row>
    <row r="415" spans="1:15" x14ac:dyDescent="0.35">
      <c r="A415" s="15" t="s">
        <v>87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>SUM(B415:M415)</f>
        <v>0</v>
      </c>
      <c r="O415"/>
    </row>
    <row r="416" spans="1:15" x14ac:dyDescent="0.35">
      <c r="A416" s="15" t="s">
        <v>91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>SUM(B416:M416)</f>
        <v>0</v>
      </c>
      <c r="O416" s="52"/>
    </row>
    <row r="417" spans="1:15" x14ac:dyDescent="0.35">
      <c r="A417" s="15" t="s">
        <v>88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>SUM(B417:M417)</f>
        <v>0</v>
      </c>
      <c r="O417"/>
    </row>
    <row r="418" spans="1:15" x14ac:dyDescent="0.35">
      <c r="A418" s="15" t="s">
        <v>89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>SUM(B418:M418)</f>
        <v>0</v>
      </c>
      <c r="O418"/>
    </row>
    <row r="419" spans="1:15" x14ac:dyDescent="0.35">
      <c r="A419" s="15" t="s">
        <v>90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65"/>
        <v>0</v>
      </c>
      <c r="O419"/>
    </row>
    <row r="420" spans="1:15" x14ac:dyDescent="0.35">
      <c r="A420" s="15" t="s">
        <v>28</v>
      </c>
      <c r="B420" s="31">
        <f>SUM(B401:B419)</f>
        <v>0</v>
      </c>
      <c r="C420" s="31">
        <f t="shared" ref="C420:M420" si="66">SUM(C401:C419)</f>
        <v>0</v>
      </c>
      <c r="D420" s="31">
        <f t="shared" si="66"/>
        <v>0</v>
      </c>
      <c r="E420" s="31">
        <f t="shared" si="66"/>
        <v>0</v>
      </c>
      <c r="F420" s="31">
        <f t="shared" si="66"/>
        <v>0</v>
      </c>
      <c r="G420" s="31">
        <f t="shared" si="66"/>
        <v>0</v>
      </c>
      <c r="H420" s="31">
        <f t="shared" si="66"/>
        <v>0</v>
      </c>
      <c r="I420" s="31">
        <f t="shared" si="66"/>
        <v>0</v>
      </c>
      <c r="J420" s="31">
        <f t="shared" si="66"/>
        <v>0</v>
      </c>
      <c r="K420" s="31">
        <f t="shared" si="66"/>
        <v>0</v>
      </c>
      <c r="L420" s="31">
        <f t="shared" si="66"/>
        <v>0</v>
      </c>
      <c r="M420" s="31">
        <f t="shared" si="66"/>
        <v>0</v>
      </c>
      <c r="N420" s="14">
        <f t="shared" si="64"/>
        <v>0</v>
      </c>
    </row>
    <row r="421" spans="1:15" x14ac:dyDescent="0.35">
      <c r="A421" s="15"/>
      <c r="N421" s="14"/>
    </row>
    <row r="422" spans="1:15" x14ac:dyDescent="0.35">
      <c r="A422" s="22" t="s">
        <v>29</v>
      </c>
      <c r="N422" s="14"/>
    </row>
    <row r="423" spans="1:15" x14ac:dyDescent="0.35">
      <c r="A423" s="15" t="s">
        <v>69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ref="N423:N429" si="67">SUM(B423:M423)</f>
        <v>0</v>
      </c>
      <c r="O423"/>
    </row>
    <row r="424" spans="1:15" x14ac:dyDescent="0.35">
      <c r="A424" s="15" t="s">
        <v>70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67"/>
        <v>0</v>
      </c>
      <c r="O424"/>
    </row>
    <row r="425" spans="1:15" x14ac:dyDescent="0.35">
      <c r="A425" s="15" t="s">
        <v>71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 t="shared" si="67"/>
        <v>0</v>
      </c>
      <c r="O425"/>
    </row>
    <row r="426" spans="1:15" x14ac:dyDescent="0.35">
      <c r="A426" s="15" t="s">
        <v>72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 t="shared" si="67"/>
        <v>0</v>
      </c>
      <c r="O426"/>
    </row>
    <row r="427" spans="1:15" x14ac:dyDescent="0.35">
      <c r="A427" s="15" t="s">
        <v>73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 t="shared" si="67"/>
        <v>0</v>
      </c>
      <c r="O427"/>
    </row>
    <row r="428" spans="1:15" x14ac:dyDescent="0.35">
      <c r="A428" s="15" t="s">
        <v>74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 t="shared" si="67"/>
        <v>0</v>
      </c>
      <c r="O428"/>
    </row>
    <row r="429" spans="1:15" x14ac:dyDescent="0.35">
      <c r="A429" s="15" t="s">
        <v>75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67"/>
        <v>0</v>
      </c>
      <c r="O429"/>
    </row>
    <row r="430" spans="1:15" x14ac:dyDescent="0.35">
      <c r="A430" s="15" t="s">
        <v>76</v>
      </c>
      <c r="B430" s="31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14">
        <f t="shared" ref="N430:N442" si="68">SUM(B430:M430)</f>
        <v>0</v>
      </c>
      <c r="O430"/>
    </row>
    <row r="431" spans="1:15" x14ac:dyDescent="0.35">
      <c r="A431" s="15" t="s">
        <v>77</v>
      </c>
      <c r="B431" s="31">
        <v>0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14">
        <f t="shared" si="68"/>
        <v>0</v>
      </c>
      <c r="O431"/>
    </row>
    <row r="432" spans="1:15" x14ac:dyDescent="0.35">
      <c r="A432" s="15" t="s">
        <v>78</v>
      </c>
      <c r="B432" s="31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14">
        <f t="shared" si="68"/>
        <v>0</v>
      </c>
      <c r="O432"/>
    </row>
    <row r="433" spans="1:15" x14ac:dyDescent="0.35">
      <c r="A433" s="15" t="s">
        <v>79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si="68"/>
        <v>0</v>
      </c>
      <c r="O433"/>
    </row>
    <row r="434" spans="1:15" x14ac:dyDescent="0.35">
      <c r="A434" s="15" t="s">
        <v>80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68"/>
        <v>0</v>
      </c>
      <c r="O434"/>
    </row>
    <row r="435" spans="1:15" x14ac:dyDescent="0.35">
      <c r="A435" s="15" t="s">
        <v>81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68"/>
        <v>0</v>
      </c>
      <c r="O435"/>
    </row>
    <row r="436" spans="1:15" x14ac:dyDescent="0.35">
      <c r="A436" s="15" t="s">
        <v>86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ref="N436:N441" si="69">SUM(B436:M436)</f>
        <v>0</v>
      </c>
      <c r="O436"/>
    </row>
    <row r="437" spans="1:15" x14ac:dyDescent="0.35">
      <c r="A437" s="15" t="s">
        <v>87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69"/>
        <v>0</v>
      </c>
      <c r="O437" s="52"/>
    </row>
    <row r="438" spans="1:15" x14ac:dyDescent="0.35">
      <c r="A438" s="15" t="s">
        <v>91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69"/>
        <v>0</v>
      </c>
      <c r="O438" s="52"/>
    </row>
    <row r="439" spans="1:15" x14ac:dyDescent="0.35">
      <c r="A439" s="15" t="s">
        <v>88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69"/>
        <v>0</v>
      </c>
      <c r="O439" s="52"/>
    </row>
    <row r="440" spans="1:15" x14ac:dyDescent="0.35">
      <c r="A440" s="15" t="s">
        <v>89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si="69"/>
        <v>0</v>
      </c>
      <c r="O440" s="52"/>
    </row>
    <row r="441" spans="1:15" x14ac:dyDescent="0.35">
      <c r="A441" s="15" t="s">
        <v>90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69"/>
        <v>0</v>
      </c>
      <c r="O441" s="52"/>
    </row>
    <row r="442" spans="1:15" x14ac:dyDescent="0.35">
      <c r="A442" s="15" t="s">
        <v>28</v>
      </c>
      <c r="B442" s="31">
        <f>SUM(B423:B441)</f>
        <v>0</v>
      </c>
      <c r="C442" s="31">
        <f t="shared" ref="C442:M442" si="70">SUM(C423:C441)</f>
        <v>0</v>
      </c>
      <c r="D442" s="31">
        <f t="shared" si="70"/>
        <v>0</v>
      </c>
      <c r="E442" s="31">
        <f t="shared" si="70"/>
        <v>0</v>
      </c>
      <c r="F442" s="31">
        <f t="shared" si="70"/>
        <v>0</v>
      </c>
      <c r="G442" s="31">
        <f t="shared" si="70"/>
        <v>0</v>
      </c>
      <c r="H442" s="31">
        <f t="shared" si="70"/>
        <v>0</v>
      </c>
      <c r="I442" s="31">
        <f t="shared" si="70"/>
        <v>0</v>
      </c>
      <c r="J442" s="31">
        <f t="shared" si="70"/>
        <v>0</v>
      </c>
      <c r="K442" s="31">
        <f t="shared" si="70"/>
        <v>0</v>
      </c>
      <c r="L442" s="31">
        <f t="shared" si="70"/>
        <v>0</v>
      </c>
      <c r="M442" s="31">
        <f t="shared" si="70"/>
        <v>0</v>
      </c>
      <c r="N442" s="14">
        <f t="shared" si="68"/>
        <v>0</v>
      </c>
    </row>
    <row r="443" spans="1:15" x14ac:dyDescent="0.35">
      <c r="A443" s="15"/>
      <c r="N443" s="14"/>
    </row>
    <row r="444" spans="1:15" ht="15.4" thickBot="1" x14ac:dyDescent="0.45">
      <c r="A444" s="19" t="s">
        <v>15</v>
      </c>
      <c r="B444" s="35">
        <f>+B442+B420+B398</f>
        <v>0</v>
      </c>
      <c r="C444" s="35">
        <f t="shared" ref="C444:M444" si="71">+C442+C420+C398</f>
        <v>0</v>
      </c>
      <c r="D444" s="35">
        <f t="shared" si="71"/>
        <v>0</v>
      </c>
      <c r="E444" s="35">
        <f t="shared" si="71"/>
        <v>0</v>
      </c>
      <c r="F444" s="35">
        <f t="shared" si="71"/>
        <v>0</v>
      </c>
      <c r="G444" s="35">
        <f t="shared" si="71"/>
        <v>0</v>
      </c>
      <c r="H444" s="35">
        <f t="shared" si="71"/>
        <v>0</v>
      </c>
      <c r="I444" s="35">
        <f t="shared" si="71"/>
        <v>0</v>
      </c>
      <c r="J444" s="35">
        <f t="shared" si="71"/>
        <v>0</v>
      </c>
      <c r="K444" s="35">
        <f t="shared" si="71"/>
        <v>0</v>
      </c>
      <c r="L444" s="35">
        <f t="shared" si="71"/>
        <v>0</v>
      </c>
      <c r="M444" s="35">
        <f t="shared" si="71"/>
        <v>0</v>
      </c>
      <c r="N444" s="20">
        <f>+N442+N399+N420+N398</f>
        <v>0</v>
      </c>
    </row>
    <row r="445" spans="1:15" ht="13.15" x14ac:dyDescent="0.4">
      <c r="A445" s="5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7" t="s">
        <v>0</v>
      </c>
    </row>
    <row r="446" spans="1:15" ht="13.5" thickBot="1" x14ac:dyDescent="0.45">
      <c r="A446" s="21" t="s">
        <v>34</v>
      </c>
      <c r="B446" s="34" t="s">
        <v>2</v>
      </c>
      <c r="C446" s="34" t="s">
        <v>3</v>
      </c>
      <c r="D446" s="34" t="s">
        <v>4</v>
      </c>
      <c r="E446" s="34" t="s">
        <v>5</v>
      </c>
      <c r="F446" s="34" t="s">
        <v>6</v>
      </c>
      <c r="G446" s="34" t="s">
        <v>7</v>
      </c>
      <c r="H446" s="34" t="s">
        <v>8</v>
      </c>
      <c r="I446" s="34" t="s">
        <v>9</v>
      </c>
      <c r="J446" s="34" t="s">
        <v>10</v>
      </c>
      <c r="K446" s="34" t="s">
        <v>11</v>
      </c>
      <c r="L446" s="34" t="s">
        <v>12</v>
      </c>
      <c r="M446" s="34" t="s">
        <v>13</v>
      </c>
      <c r="N446" s="10" t="s">
        <v>14</v>
      </c>
    </row>
    <row r="447" spans="1:15" ht="13.15" x14ac:dyDescent="0.4">
      <c r="A447" s="54"/>
      <c r="N447" s="14"/>
    </row>
    <row r="448" spans="1:15" x14ac:dyDescent="0.35">
      <c r="A448" s="22" t="s">
        <v>31</v>
      </c>
      <c r="B448" s="31">
        <f>0-B461-B473</f>
        <v>0</v>
      </c>
      <c r="C448" s="31">
        <f t="shared" ref="C448:M448" si="72">0-C461-C473</f>
        <v>0</v>
      </c>
      <c r="D448" s="31">
        <f t="shared" si="72"/>
        <v>0</v>
      </c>
      <c r="E448" s="31">
        <f t="shared" si="72"/>
        <v>0</v>
      </c>
      <c r="F448" s="31">
        <f t="shared" si="72"/>
        <v>0</v>
      </c>
      <c r="G448" s="31">
        <f t="shared" si="72"/>
        <v>0</v>
      </c>
      <c r="H448" s="31">
        <f t="shared" si="72"/>
        <v>0</v>
      </c>
      <c r="I448" s="31">
        <f t="shared" si="72"/>
        <v>0</v>
      </c>
      <c r="J448" s="31">
        <f t="shared" si="72"/>
        <v>0</v>
      </c>
      <c r="K448" s="31">
        <f t="shared" si="72"/>
        <v>0</v>
      </c>
      <c r="L448" s="31">
        <f t="shared" si="72"/>
        <v>0</v>
      </c>
      <c r="M448" s="31">
        <f t="shared" si="72"/>
        <v>0</v>
      </c>
      <c r="N448" s="14">
        <f>SUM(B448:M448)</f>
        <v>0</v>
      </c>
    </row>
    <row r="449" spans="1:15" x14ac:dyDescent="0.35">
      <c r="A449" s="15" t="s">
        <v>83</v>
      </c>
      <c r="N449" s="14">
        <f>SUM(B449:M449)</f>
        <v>0</v>
      </c>
    </row>
    <row r="450" spans="1:15" x14ac:dyDescent="0.35">
      <c r="A450" s="15" t="s">
        <v>0</v>
      </c>
      <c r="N450" s="14"/>
    </row>
    <row r="451" spans="1:15" x14ac:dyDescent="0.35">
      <c r="A451" s="22" t="s">
        <v>30</v>
      </c>
      <c r="N451" s="14"/>
    </row>
    <row r="452" spans="1:15" x14ac:dyDescent="0.35">
      <c r="A452" s="15" t="s">
        <v>55</v>
      </c>
      <c r="B452" s="31">
        <v>0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14">
        <f t="shared" ref="N452:N461" si="73">SUM(B452:M452)</f>
        <v>0</v>
      </c>
      <c r="O452"/>
    </row>
    <row r="453" spans="1:15" x14ac:dyDescent="0.35">
      <c r="A453" s="15" t="s">
        <v>56</v>
      </c>
      <c r="B453" s="31">
        <v>0</v>
      </c>
      <c r="C453" s="31">
        <v>0</v>
      </c>
      <c r="D453" s="31">
        <v>0</v>
      </c>
      <c r="E453" s="31">
        <v>0</v>
      </c>
      <c r="F453" s="31">
        <v>0</v>
      </c>
      <c r="G453" s="31">
        <v>0</v>
      </c>
      <c r="H453" s="31">
        <v>0</v>
      </c>
      <c r="I453" s="31">
        <v>0</v>
      </c>
      <c r="J453" s="31">
        <v>0</v>
      </c>
      <c r="K453" s="31">
        <v>0</v>
      </c>
      <c r="L453" s="31">
        <v>0</v>
      </c>
      <c r="M453" s="31">
        <v>0</v>
      </c>
      <c r="N453" s="14">
        <f t="shared" si="73"/>
        <v>0</v>
      </c>
      <c r="O453"/>
    </row>
    <row r="454" spans="1:15" x14ac:dyDescent="0.35">
      <c r="A454" s="15" t="s">
        <v>57</v>
      </c>
      <c r="B454" s="31">
        <v>0</v>
      </c>
      <c r="C454" s="31">
        <v>0</v>
      </c>
      <c r="D454" s="31">
        <v>0</v>
      </c>
      <c r="E454" s="31">
        <v>0</v>
      </c>
      <c r="F454" s="31">
        <v>0</v>
      </c>
      <c r="G454" s="31">
        <v>0</v>
      </c>
      <c r="H454" s="31">
        <v>0</v>
      </c>
      <c r="I454" s="31">
        <v>0</v>
      </c>
      <c r="J454" s="31">
        <v>0</v>
      </c>
      <c r="K454" s="31">
        <v>0</v>
      </c>
      <c r="L454" s="31">
        <v>0</v>
      </c>
      <c r="M454" s="31">
        <v>0</v>
      </c>
      <c r="N454" s="14">
        <f t="shared" si="73"/>
        <v>0</v>
      </c>
      <c r="O454"/>
    </row>
    <row r="455" spans="1:15" x14ac:dyDescent="0.35">
      <c r="A455" s="15" t="s">
        <v>58</v>
      </c>
      <c r="B455" s="31">
        <v>0</v>
      </c>
      <c r="C455" s="31">
        <v>0</v>
      </c>
      <c r="D455" s="31">
        <v>0</v>
      </c>
      <c r="E455" s="31">
        <v>0</v>
      </c>
      <c r="F455" s="31">
        <v>0</v>
      </c>
      <c r="G455" s="31">
        <v>0</v>
      </c>
      <c r="H455" s="31">
        <v>0</v>
      </c>
      <c r="I455" s="31">
        <v>0</v>
      </c>
      <c r="J455" s="31">
        <v>0</v>
      </c>
      <c r="K455" s="31">
        <v>0</v>
      </c>
      <c r="L455" s="31">
        <v>0</v>
      </c>
      <c r="M455" s="31">
        <v>0</v>
      </c>
      <c r="N455" s="14">
        <f t="shared" si="73"/>
        <v>0</v>
      </c>
      <c r="O455"/>
    </row>
    <row r="456" spans="1:15" x14ac:dyDescent="0.35">
      <c r="A456" s="15" t="s">
        <v>59</v>
      </c>
      <c r="B456" s="31">
        <v>0</v>
      </c>
      <c r="C456" s="31">
        <v>0</v>
      </c>
      <c r="D456" s="31">
        <v>0</v>
      </c>
      <c r="E456" s="31">
        <v>0</v>
      </c>
      <c r="F456" s="31">
        <v>0</v>
      </c>
      <c r="G456" s="31">
        <v>0</v>
      </c>
      <c r="H456" s="31">
        <v>0</v>
      </c>
      <c r="I456" s="31">
        <v>0</v>
      </c>
      <c r="J456" s="31">
        <v>0</v>
      </c>
      <c r="K456" s="31">
        <v>0</v>
      </c>
      <c r="L456" s="31">
        <v>0</v>
      </c>
      <c r="M456" s="31">
        <v>0</v>
      </c>
      <c r="N456" s="14">
        <f t="shared" si="73"/>
        <v>0</v>
      </c>
      <c r="O456"/>
    </row>
    <row r="457" spans="1:15" x14ac:dyDescent="0.35">
      <c r="A457" s="15" t="s">
        <v>60</v>
      </c>
      <c r="B457" s="31">
        <v>0</v>
      </c>
      <c r="C457" s="31">
        <v>0</v>
      </c>
      <c r="D457" s="31">
        <v>0</v>
      </c>
      <c r="E457" s="31">
        <v>0</v>
      </c>
      <c r="F457" s="31">
        <v>0</v>
      </c>
      <c r="G457" s="31">
        <v>0</v>
      </c>
      <c r="H457" s="31">
        <v>0</v>
      </c>
      <c r="I457" s="31">
        <v>0</v>
      </c>
      <c r="J457" s="31">
        <v>0</v>
      </c>
      <c r="K457" s="31">
        <v>0</v>
      </c>
      <c r="L457" s="31">
        <v>0</v>
      </c>
      <c r="M457" s="31">
        <v>0</v>
      </c>
      <c r="N457" s="14">
        <f t="shared" si="73"/>
        <v>0</v>
      </c>
      <c r="O457"/>
    </row>
    <row r="458" spans="1:15" x14ac:dyDescent="0.35">
      <c r="A458" s="15" t="s">
        <v>61</v>
      </c>
      <c r="B458" s="31">
        <v>0</v>
      </c>
      <c r="C458" s="31">
        <v>0</v>
      </c>
      <c r="D458" s="31">
        <v>0</v>
      </c>
      <c r="E458" s="31">
        <v>0</v>
      </c>
      <c r="F458" s="31">
        <v>0</v>
      </c>
      <c r="G458" s="31">
        <v>0</v>
      </c>
      <c r="H458" s="31">
        <v>0</v>
      </c>
      <c r="I458" s="31">
        <v>0</v>
      </c>
      <c r="J458" s="31">
        <v>0</v>
      </c>
      <c r="K458" s="31">
        <v>0</v>
      </c>
      <c r="L458" s="31">
        <v>0</v>
      </c>
      <c r="M458" s="31">
        <v>0</v>
      </c>
      <c r="N458" s="14">
        <f t="shared" si="73"/>
        <v>0</v>
      </c>
      <c r="O458"/>
    </row>
    <row r="459" spans="1:15" x14ac:dyDescent="0.35">
      <c r="A459" s="15" t="s">
        <v>62</v>
      </c>
      <c r="B459" s="31">
        <v>0</v>
      </c>
      <c r="C459" s="31">
        <v>0</v>
      </c>
      <c r="D459" s="31">
        <v>0</v>
      </c>
      <c r="E459" s="31">
        <v>0</v>
      </c>
      <c r="F459" s="31">
        <v>0</v>
      </c>
      <c r="G459" s="31">
        <v>0</v>
      </c>
      <c r="H459" s="31">
        <v>0</v>
      </c>
      <c r="I459" s="31">
        <v>0</v>
      </c>
      <c r="J459" s="31">
        <v>0</v>
      </c>
      <c r="K459" s="31">
        <v>0</v>
      </c>
      <c r="L459" s="31">
        <v>0</v>
      </c>
      <c r="M459" s="31">
        <v>0</v>
      </c>
      <c r="N459" s="14">
        <f t="shared" si="73"/>
        <v>0</v>
      </c>
      <c r="O459"/>
    </row>
    <row r="460" spans="1:15" x14ac:dyDescent="0.35">
      <c r="A460" s="15" t="s">
        <v>63</v>
      </c>
      <c r="B460" s="31">
        <v>0</v>
      </c>
      <c r="C460" s="31">
        <v>0</v>
      </c>
      <c r="D460" s="31">
        <v>0</v>
      </c>
      <c r="E460" s="31">
        <v>0</v>
      </c>
      <c r="F460" s="31">
        <v>0</v>
      </c>
      <c r="G460" s="31">
        <v>0</v>
      </c>
      <c r="H460" s="31">
        <v>0</v>
      </c>
      <c r="I460" s="31">
        <v>0</v>
      </c>
      <c r="J460" s="31">
        <v>0</v>
      </c>
      <c r="K460" s="31">
        <v>0</v>
      </c>
      <c r="L460" s="31">
        <v>0</v>
      </c>
      <c r="M460" s="31">
        <v>0</v>
      </c>
      <c r="N460" s="14">
        <f t="shared" si="73"/>
        <v>0</v>
      </c>
      <c r="O460"/>
    </row>
    <row r="461" spans="1:15" x14ac:dyDescent="0.35">
      <c r="A461" s="15" t="s">
        <v>28</v>
      </c>
      <c r="B461" s="31">
        <f t="shared" ref="B461:M461" si="74">SUM(B452:B460)</f>
        <v>0</v>
      </c>
      <c r="C461" s="31">
        <f t="shared" si="74"/>
        <v>0</v>
      </c>
      <c r="D461" s="31">
        <f t="shared" si="74"/>
        <v>0</v>
      </c>
      <c r="E461" s="31">
        <f t="shared" si="74"/>
        <v>0</v>
      </c>
      <c r="F461" s="31">
        <f t="shared" si="74"/>
        <v>0</v>
      </c>
      <c r="G461" s="31">
        <f t="shared" si="74"/>
        <v>0</v>
      </c>
      <c r="H461" s="31">
        <f t="shared" si="74"/>
        <v>0</v>
      </c>
      <c r="I461" s="31">
        <f t="shared" si="74"/>
        <v>0</v>
      </c>
      <c r="J461" s="31">
        <f t="shared" si="74"/>
        <v>0</v>
      </c>
      <c r="K461" s="31">
        <f t="shared" si="74"/>
        <v>0</v>
      </c>
      <c r="L461" s="31">
        <f t="shared" si="74"/>
        <v>0</v>
      </c>
      <c r="M461" s="31">
        <f t="shared" si="74"/>
        <v>0</v>
      </c>
      <c r="N461" s="14">
        <f t="shared" si="73"/>
        <v>0</v>
      </c>
    </row>
    <row r="462" spans="1:15" x14ac:dyDescent="0.35">
      <c r="A462" s="15"/>
      <c r="N462" s="14"/>
    </row>
    <row r="463" spans="1:15" x14ac:dyDescent="0.35">
      <c r="A463" s="22" t="s">
        <v>29</v>
      </c>
      <c r="N463" s="14"/>
    </row>
    <row r="464" spans="1:15" x14ac:dyDescent="0.35">
      <c r="A464" s="15" t="s">
        <v>55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ref="N464:N470" si="75">SUM(B464:M464)</f>
        <v>0</v>
      </c>
      <c r="O464"/>
    </row>
    <row r="465" spans="1:15" x14ac:dyDescent="0.35">
      <c r="A465" s="15" t="s">
        <v>56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75"/>
        <v>0</v>
      </c>
      <c r="O465"/>
    </row>
    <row r="466" spans="1:15" x14ac:dyDescent="0.35">
      <c r="A466" s="15" t="s">
        <v>57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75"/>
        <v>0</v>
      </c>
      <c r="O466"/>
    </row>
    <row r="467" spans="1:15" x14ac:dyDescent="0.35">
      <c r="A467" s="15" t="s">
        <v>58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 t="shared" si="75"/>
        <v>0</v>
      </c>
      <c r="O467"/>
    </row>
    <row r="468" spans="1:15" x14ac:dyDescent="0.35">
      <c r="A468" s="15" t="s">
        <v>59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 t="shared" si="75"/>
        <v>0</v>
      </c>
      <c r="O468"/>
    </row>
    <row r="469" spans="1:15" x14ac:dyDescent="0.35">
      <c r="A469" s="15" t="s">
        <v>60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14">
        <f t="shared" si="75"/>
        <v>0</v>
      </c>
      <c r="O469"/>
    </row>
    <row r="470" spans="1:15" x14ac:dyDescent="0.35">
      <c r="A470" s="15" t="s">
        <v>61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si="75"/>
        <v>0</v>
      </c>
      <c r="O470"/>
    </row>
    <row r="471" spans="1:15" x14ac:dyDescent="0.35">
      <c r="A471" s="15" t="s">
        <v>62</v>
      </c>
      <c r="B471" s="31">
        <v>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1">
        <v>0</v>
      </c>
      <c r="K471" s="31">
        <v>0</v>
      </c>
      <c r="L471" s="31">
        <v>0</v>
      </c>
      <c r="M471" s="31">
        <v>0</v>
      </c>
      <c r="N471" s="14">
        <f>SUM(B471:M471)</f>
        <v>0</v>
      </c>
      <c r="O471"/>
    </row>
    <row r="472" spans="1:15" x14ac:dyDescent="0.35">
      <c r="A472" s="15" t="s">
        <v>63</v>
      </c>
      <c r="B472" s="31">
        <v>0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14">
        <f>SUM(B472:M472)</f>
        <v>0</v>
      </c>
      <c r="O472"/>
    </row>
    <row r="473" spans="1:15" x14ac:dyDescent="0.35">
      <c r="A473" s="15" t="s">
        <v>28</v>
      </c>
      <c r="B473" s="31">
        <f>SUM(B464:B472)</f>
        <v>0</v>
      </c>
      <c r="C473" s="31">
        <f t="shared" ref="C473:M473" si="76">SUM(C464:C472)</f>
        <v>0</v>
      </c>
      <c r="D473" s="31">
        <f t="shared" si="76"/>
        <v>0</v>
      </c>
      <c r="E473" s="31">
        <f t="shared" si="76"/>
        <v>0</v>
      </c>
      <c r="F473" s="31">
        <f t="shared" si="76"/>
        <v>0</v>
      </c>
      <c r="G473" s="31">
        <f t="shared" si="76"/>
        <v>0</v>
      </c>
      <c r="H473" s="31">
        <f t="shared" si="76"/>
        <v>0</v>
      </c>
      <c r="I473" s="31">
        <f t="shared" si="76"/>
        <v>0</v>
      </c>
      <c r="J473" s="31">
        <f t="shared" si="76"/>
        <v>0</v>
      </c>
      <c r="K473" s="31">
        <f t="shared" si="76"/>
        <v>0</v>
      </c>
      <c r="L473" s="31">
        <f t="shared" si="76"/>
        <v>0</v>
      </c>
      <c r="M473" s="31">
        <f t="shared" si="76"/>
        <v>0</v>
      </c>
      <c r="N473" s="14">
        <f>SUM(B473:M473)</f>
        <v>0</v>
      </c>
    </row>
    <row r="474" spans="1:15" x14ac:dyDescent="0.35">
      <c r="A474" s="15"/>
      <c r="N474" s="14"/>
    </row>
    <row r="475" spans="1:15" ht="15.4" thickBot="1" x14ac:dyDescent="0.45">
      <c r="A475" s="19" t="s">
        <v>15</v>
      </c>
      <c r="B475" s="35">
        <f>+B473+B461+B448</f>
        <v>0</v>
      </c>
      <c r="C475" s="35">
        <f t="shared" ref="C475:M475" si="77">+C473+C461+C448</f>
        <v>0</v>
      </c>
      <c r="D475" s="35">
        <f t="shared" si="77"/>
        <v>0</v>
      </c>
      <c r="E475" s="35">
        <f t="shared" si="77"/>
        <v>0</v>
      </c>
      <c r="F475" s="35">
        <f t="shared" si="77"/>
        <v>0</v>
      </c>
      <c r="G475" s="35">
        <f t="shared" si="77"/>
        <v>0</v>
      </c>
      <c r="H475" s="35">
        <f t="shared" si="77"/>
        <v>0</v>
      </c>
      <c r="I475" s="35">
        <f t="shared" si="77"/>
        <v>0</v>
      </c>
      <c r="J475" s="35">
        <f t="shared" si="77"/>
        <v>0</v>
      </c>
      <c r="K475" s="35">
        <f t="shared" si="77"/>
        <v>0</v>
      </c>
      <c r="L475" s="35">
        <f t="shared" si="77"/>
        <v>0</v>
      </c>
      <c r="M475" s="35">
        <f t="shared" si="77"/>
        <v>0</v>
      </c>
      <c r="N475" s="20">
        <f>+N473+N449+N461+N448</f>
        <v>0</v>
      </c>
    </row>
    <row r="476" spans="1:15" ht="13.15" thickBot="1" x14ac:dyDescent="0.4"/>
    <row r="477" spans="1:15" ht="13.15" x14ac:dyDescent="0.4">
      <c r="A477" s="5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7" t="s">
        <v>0</v>
      </c>
    </row>
    <row r="478" spans="1:15" ht="13.5" thickBot="1" x14ac:dyDescent="0.45">
      <c r="A478" s="21" t="s">
        <v>35</v>
      </c>
      <c r="B478" s="34" t="s">
        <v>2</v>
      </c>
      <c r="C478" s="34" t="s">
        <v>3</v>
      </c>
      <c r="D478" s="34" t="s">
        <v>4</v>
      </c>
      <c r="E478" s="34" t="s">
        <v>5</v>
      </c>
      <c r="F478" s="34" t="s">
        <v>6</v>
      </c>
      <c r="G478" s="34" t="s">
        <v>7</v>
      </c>
      <c r="H478" s="34" t="s">
        <v>8</v>
      </c>
      <c r="I478" s="34" t="s">
        <v>9</v>
      </c>
      <c r="J478" s="34" t="s">
        <v>10</v>
      </c>
      <c r="K478" s="34" t="s">
        <v>11</v>
      </c>
      <c r="L478" s="34" t="s">
        <v>12</v>
      </c>
      <c r="M478" s="34" t="s">
        <v>13</v>
      </c>
      <c r="N478" s="10" t="s">
        <v>14</v>
      </c>
    </row>
    <row r="479" spans="1:15" x14ac:dyDescent="0.35">
      <c r="A479" s="15" t="s">
        <v>0</v>
      </c>
      <c r="N479" s="14"/>
    </row>
    <row r="480" spans="1:15" x14ac:dyDescent="0.35">
      <c r="A480" s="22" t="s">
        <v>31</v>
      </c>
      <c r="B480" s="31">
        <f>0-B495</f>
        <v>0</v>
      </c>
      <c r="C480" s="31">
        <f t="shared" ref="C480:M480" si="78">0-C495</f>
        <v>0</v>
      </c>
      <c r="D480" s="31">
        <f t="shared" si="78"/>
        <v>0</v>
      </c>
      <c r="E480" s="31">
        <f t="shared" si="78"/>
        <v>0</v>
      </c>
      <c r="F480" s="31">
        <f t="shared" si="78"/>
        <v>0</v>
      </c>
      <c r="G480" s="31">
        <f t="shared" si="78"/>
        <v>0</v>
      </c>
      <c r="H480" s="31">
        <f t="shared" si="78"/>
        <v>0</v>
      </c>
      <c r="I480" s="31">
        <f t="shared" si="78"/>
        <v>0</v>
      </c>
      <c r="J480" s="31">
        <f t="shared" si="78"/>
        <v>0</v>
      </c>
      <c r="K480" s="31">
        <f t="shared" si="78"/>
        <v>0</v>
      </c>
      <c r="L480" s="31">
        <f t="shared" si="78"/>
        <v>0</v>
      </c>
      <c r="M480" s="31">
        <f t="shared" si="78"/>
        <v>0</v>
      </c>
      <c r="N480" s="14">
        <f>SUM(B480:M480)</f>
        <v>0</v>
      </c>
    </row>
    <row r="481" spans="1:15" x14ac:dyDescent="0.35">
      <c r="A481" s="15" t="s">
        <v>0</v>
      </c>
      <c r="N481" s="14"/>
    </row>
    <row r="482" spans="1:15" x14ac:dyDescent="0.35">
      <c r="A482" s="22" t="s">
        <v>30</v>
      </c>
      <c r="N482" s="14">
        <f t="shared" ref="N482:N495" si="79">SUM(B482:M482)</f>
        <v>0</v>
      </c>
    </row>
    <row r="483" spans="1:15" x14ac:dyDescent="0.35">
      <c r="A483" s="15" t="s">
        <v>55</v>
      </c>
      <c r="B483" s="31">
        <v>0</v>
      </c>
      <c r="C483" s="31">
        <v>0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14">
        <f t="shared" si="79"/>
        <v>0</v>
      </c>
      <c r="O483" s="30"/>
    </row>
    <row r="484" spans="1:15" x14ac:dyDescent="0.35">
      <c r="A484" s="15" t="s">
        <v>64</v>
      </c>
      <c r="B484" s="31">
        <v>0</v>
      </c>
      <c r="C484" s="31">
        <v>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14">
        <f t="shared" ref="N484:N489" si="80">SUM(B484:M484)</f>
        <v>0</v>
      </c>
      <c r="O484" s="30"/>
    </row>
    <row r="485" spans="1:15" x14ac:dyDescent="0.35">
      <c r="A485" s="15" t="s">
        <v>65</v>
      </c>
      <c r="B485" s="31">
        <v>0</v>
      </c>
      <c r="C485" s="31">
        <v>0</v>
      </c>
      <c r="D485" s="31">
        <v>0</v>
      </c>
      <c r="E485" s="31">
        <v>0</v>
      </c>
      <c r="F485" s="31">
        <v>0</v>
      </c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>
        <v>0</v>
      </c>
      <c r="N485" s="14">
        <f t="shared" si="80"/>
        <v>0</v>
      </c>
      <c r="O485" s="30"/>
    </row>
    <row r="486" spans="1:15" x14ac:dyDescent="0.35">
      <c r="A486" s="15" t="s">
        <v>58</v>
      </c>
      <c r="B486" s="31">
        <v>0</v>
      </c>
      <c r="C486" s="31">
        <v>0</v>
      </c>
      <c r="D486" s="31">
        <v>0</v>
      </c>
      <c r="E486" s="31">
        <v>0</v>
      </c>
      <c r="F486" s="31">
        <v>0</v>
      </c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>
        <v>0</v>
      </c>
      <c r="N486" s="14">
        <f t="shared" si="80"/>
        <v>0</v>
      </c>
      <c r="O486" s="30"/>
    </row>
    <row r="487" spans="1:15" x14ac:dyDescent="0.35">
      <c r="A487" s="15" t="s">
        <v>66</v>
      </c>
      <c r="B487" s="31">
        <v>0</v>
      </c>
      <c r="C487" s="31">
        <v>0</v>
      </c>
      <c r="D487" s="31">
        <v>0</v>
      </c>
      <c r="E487" s="31">
        <v>0</v>
      </c>
      <c r="F487" s="31">
        <v>0</v>
      </c>
      <c r="G487" s="31">
        <v>0</v>
      </c>
      <c r="H487" s="31">
        <v>0</v>
      </c>
      <c r="I487" s="31">
        <v>0</v>
      </c>
      <c r="J487" s="31">
        <v>0</v>
      </c>
      <c r="K487" s="31">
        <v>0</v>
      </c>
      <c r="L487" s="31">
        <v>0</v>
      </c>
      <c r="M487" s="31">
        <v>0</v>
      </c>
      <c r="N487" s="14">
        <f t="shared" si="80"/>
        <v>0</v>
      </c>
      <c r="O487" s="30"/>
    </row>
    <row r="488" spans="1:15" x14ac:dyDescent="0.35">
      <c r="A488" s="15" t="s">
        <v>67</v>
      </c>
      <c r="B488" s="31">
        <v>0</v>
      </c>
      <c r="C488" s="31">
        <v>0</v>
      </c>
      <c r="D488" s="31">
        <v>0</v>
      </c>
      <c r="E488" s="31">
        <v>0</v>
      </c>
      <c r="F488" s="31">
        <v>0</v>
      </c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>
        <v>0</v>
      </c>
      <c r="N488" s="14">
        <f t="shared" si="80"/>
        <v>0</v>
      </c>
      <c r="O488" s="30"/>
    </row>
    <row r="489" spans="1:15" x14ac:dyDescent="0.35">
      <c r="A489" s="15" t="s">
        <v>48</v>
      </c>
      <c r="B489" s="31">
        <v>0</v>
      </c>
      <c r="C489" s="31">
        <v>0</v>
      </c>
      <c r="D489" s="31">
        <v>0</v>
      </c>
      <c r="E489" s="31">
        <v>0</v>
      </c>
      <c r="F489" s="31">
        <v>0</v>
      </c>
      <c r="G489" s="31">
        <v>0</v>
      </c>
      <c r="H489" s="31">
        <v>0</v>
      </c>
      <c r="I489" s="31">
        <v>0</v>
      </c>
      <c r="J489" s="31">
        <v>0</v>
      </c>
      <c r="K489" s="31">
        <v>0</v>
      </c>
      <c r="L489" s="31">
        <v>0</v>
      </c>
      <c r="M489" s="31">
        <v>0</v>
      </c>
      <c r="N489" s="14">
        <f t="shared" si="80"/>
        <v>0</v>
      </c>
      <c r="O489" s="30"/>
    </row>
    <row r="490" spans="1:15" x14ac:dyDescent="0.35">
      <c r="A490" s="15" t="s">
        <v>49</v>
      </c>
      <c r="B490" s="31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14">
        <f t="shared" si="79"/>
        <v>0</v>
      </c>
      <c r="O490" s="30"/>
    </row>
    <row r="491" spans="1:15" x14ac:dyDescent="0.35">
      <c r="A491" s="15" t="s">
        <v>50</v>
      </c>
      <c r="B491" s="31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0</v>
      </c>
      <c r="H491" s="31">
        <v>0</v>
      </c>
      <c r="I491" s="31">
        <v>0</v>
      </c>
      <c r="J491" s="31">
        <v>0</v>
      </c>
      <c r="K491" s="31">
        <v>0</v>
      </c>
      <c r="L491" s="31">
        <v>0</v>
      </c>
      <c r="M491" s="31">
        <v>0</v>
      </c>
      <c r="N491" s="14">
        <f t="shared" si="79"/>
        <v>0</v>
      </c>
      <c r="O491" s="30"/>
    </row>
    <row r="492" spans="1:15" x14ac:dyDescent="0.35">
      <c r="A492" s="15" t="s">
        <v>51</v>
      </c>
      <c r="B492" s="31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14">
        <f t="shared" si="79"/>
        <v>0</v>
      </c>
      <c r="O492" s="30"/>
    </row>
    <row r="493" spans="1:15" x14ac:dyDescent="0.35">
      <c r="A493" s="15" t="s">
        <v>52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79"/>
        <v>0</v>
      </c>
      <c r="O493" s="30"/>
    </row>
    <row r="494" spans="1:15" x14ac:dyDescent="0.35">
      <c r="A494" s="15" t="s">
        <v>53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si="79"/>
        <v>0</v>
      </c>
      <c r="O494" s="30"/>
    </row>
    <row r="495" spans="1:15" x14ac:dyDescent="0.35">
      <c r="A495" s="15" t="s">
        <v>28</v>
      </c>
      <c r="B495" s="31">
        <f t="shared" ref="B495:M495" si="81">SUM(B483:B494)</f>
        <v>0</v>
      </c>
      <c r="C495" s="31">
        <f t="shared" si="81"/>
        <v>0</v>
      </c>
      <c r="D495" s="31">
        <f t="shared" si="81"/>
        <v>0</v>
      </c>
      <c r="E495" s="31">
        <f t="shared" si="81"/>
        <v>0</v>
      </c>
      <c r="F495" s="31">
        <f t="shared" si="81"/>
        <v>0</v>
      </c>
      <c r="G495" s="31">
        <f t="shared" si="81"/>
        <v>0</v>
      </c>
      <c r="H495" s="31">
        <f t="shared" si="81"/>
        <v>0</v>
      </c>
      <c r="I495" s="31">
        <f t="shared" si="81"/>
        <v>0</v>
      </c>
      <c r="J495" s="31">
        <f t="shared" si="81"/>
        <v>0</v>
      </c>
      <c r="K495" s="31">
        <f t="shared" si="81"/>
        <v>0</v>
      </c>
      <c r="L495" s="31">
        <f t="shared" si="81"/>
        <v>0</v>
      </c>
      <c r="M495" s="31">
        <f t="shared" si="81"/>
        <v>0</v>
      </c>
      <c r="N495" s="14">
        <f t="shared" si="79"/>
        <v>0</v>
      </c>
    </row>
    <row r="496" spans="1:15" x14ac:dyDescent="0.35">
      <c r="A496" s="15"/>
      <c r="N496" s="14"/>
    </row>
    <row r="497" spans="1:15" x14ac:dyDescent="0.35">
      <c r="A497" s="15" t="s">
        <v>29</v>
      </c>
      <c r="N497" s="14"/>
    </row>
    <row r="498" spans="1:15" x14ac:dyDescent="0.35">
      <c r="A498" s="15" t="s">
        <v>55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ref="N498:N510" si="82">SUM(B498:M498)</f>
        <v>0</v>
      </c>
      <c r="O498" s="30"/>
    </row>
    <row r="499" spans="1:15" x14ac:dyDescent="0.35">
      <c r="A499" s="15" t="s">
        <v>64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82"/>
        <v>0</v>
      </c>
      <c r="O499" s="30"/>
    </row>
    <row r="500" spans="1:15" x14ac:dyDescent="0.35">
      <c r="A500" s="15" t="s">
        <v>65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82"/>
        <v>0</v>
      </c>
      <c r="O500" s="30"/>
    </row>
    <row r="501" spans="1:15" x14ac:dyDescent="0.35">
      <c r="A501" s="15" t="s">
        <v>58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>SUM(B501:M501)</f>
        <v>0</v>
      </c>
      <c r="O501" s="30"/>
    </row>
    <row r="502" spans="1:15" x14ac:dyDescent="0.35">
      <c r="A502" s="15" t="s">
        <v>66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>SUM(B502:M502)</f>
        <v>0</v>
      </c>
      <c r="O502" s="30"/>
    </row>
    <row r="503" spans="1:15" x14ac:dyDescent="0.35">
      <c r="A503" s="15" t="s">
        <v>67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>SUM(B503:M503)</f>
        <v>0</v>
      </c>
      <c r="O503" s="30"/>
    </row>
    <row r="504" spans="1:15" x14ac:dyDescent="0.35">
      <c r="A504" s="15" t="s">
        <v>48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82"/>
        <v>0</v>
      </c>
      <c r="O504" s="30"/>
    </row>
    <row r="505" spans="1:15" x14ac:dyDescent="0.35">
      <c r="A505" s="15" t="s">
        <v>49</v>
      </c>
      <c r="B505" s="31">
        <v>0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14">
        <f t="shared" si="82"/>
        <v>0</v>
      </c>
      <c r="O505" s="30"/>
    </row>
    <row r="506" spans="1:15" x14ac:dyDescent="0.35">
      <c r="A506" s="15" t="s">
        <v>50</v>
      </c>
      <c r="B506" s="31">
        <v>0</v>
      </c>
      <c r="C506" s="31">
        <v>0</v>
      </c>
      <c r="D506" s="31">
        <v>0</v>
      </c>
      <c r="E506" s="31">
        <v>0</v>
      </c>
      <c r="F506" s="31">
        <v>0</v>
      </c>
      <c r="G506" s="31">
        <v>0</v>
      </c>
      <c r="H506" s="31">
        <v>0</v>
      </c>
      <c r="I506" s="31">
        <v>0</v>
      </c>
      <c r="J506" s="31">
        <v>0</v>
      </c>
      <c r="K506" s="31">
        <v>0</v>
      </c>
      <c r="L506" s="31">
        <v>0</v>
      </c>
      <c r="M506" s="31">
        <v>0</v>
      </c>
      <c r="N506" s="14">
        <f t="shared" si="82"/>
        <v>0</v>
      </c>
      <c r="O506" s="30"/>
    </row>
    <row r="507" spans="1:15" x14ac:dyDescent="0.35">
      <c r="A507" s="15" t="s">
        <v>51</v>
      </c>
      <c r="B507" s="31">
        <v>0</v>
      </c>
      <c r="C507" s="31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14">
        <f t="shared" si="82"/>
        <v>0</v>
      </c>
      <c r="O507" s="30"/>
    </row>
    <row r="508" spans="1:15" x14ac:dyDescent="0.35">
      <c r="A508" s="15" t="s">
        <v>52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 t="shared" si="82"/>
        <v>0</v>
      </c>
      <c r="O508" s="30"/>
    </row>
    <row r="509" spans="1:15" x14ac:dyDescent="0.35">
      <c r="A509" s="15" t="s">
        <v>53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 t="shared" si="82"/>
        <v>0</v>
      </c>
      <c r="O509" s="30"/>
    </row>
    <row r="510" spans="1:15" x14ac:dyDescent="0.35">
      <c r="A510" s="15" t="s">
        <v>28</v>
      </c>
      <c r="B510" s="31">
        <f t="shared" ref="B510:M510" si="83">SUM(B498:B509)</f>
        <v>0</v>
      </c>
      <c r="C510" s="31">
        <f t="shared" si="83"/>
        <v>0</v>
      </c>
      <c r="D510" s="31">
        <f t="shared" si="83"/>
        <v>0</v>
      </c>
      <c r="E510" s="31">
        <f t="shared" si="83"/>
        <v>0</v>
      </c>
      <c r="F510" s="31">
        <f t="shared" si="83"/>
        <v>0</v>
      </c>
      <c r="G510" s="31">
        <f t="shared" si="83"/>
        <v>0</v>
      </c>
      <c r="H510" s="31">
        <f t="shared" si="83"/>
        <v>0</v>
      </c>
      <c r="I510" s="31">
        <f t="shared" si="83"/>
        <v>0</v>
      </c>
      <c r="J510" s="31">
        <f t="shared" si="83"/>
        <v>0</v>
      </c>
      <c r="K510" s="31">
        <f t="shared" si="83"/>
        <v>0</v>
      </c>
      <c r="L510" s="31">
        <f t="shared" si="83"/>
        <v>0</v>
      </c>
      <c r="M510" s="31">
        <f t="shared" si="83"/>
        <v>0</v>
      </c>
      <c r="N510" s="14">
        <f t="shared" si="82"/>
        <v>0</v>
      </c>
    </row>
    <row r="511" spans="1:15" x14ac:dyDescent="0.35">
      <c r="A511" s="15"/>
      <c r="N511" s="14"/>
    </row>
    <row r="512" spans="1:15" ht="15.4" thickBot="1" x14ac:dyDescent="0.45">
      <c r="A512" s="19" t="s">
        <v>15</v>
      </c>
      <c r="B512" s="35">
        <f>+B510+B495+B480</f>
        <v>0</v>
      </c>
      <c r="C512" s="35">
        <f t="shared" ref="C512:M512" si="84">+C510+C495+C480</f>
        <v>0</v>
      </c>
      <c r="D512" s="35">
        <f t="shared" si="84"/>
        <v>0</v>
      </c>
      <c r="E512" s="35">
        <f t="shared" si="84"/>
        <v>0</v>
      </c>
      <c r="F512" s="35">
        <f t="shared" si="84"/>
        <v>0</v>
      </c>
      <c r="G512" s="35">
        <f t="shared" si="84"/>
        <v>0</v>
      </c>
      <c r="H512" s="35">
        <f t="shared" si="84"/>
        <v>0</v>
      </c>
      <c r="I512" s="35">
        <f t="shared" si="84"/>
        <v>0</v>
      </c>
      <c r="J512" s="35">
        <f t="shared" si="84"/>
        <v>0</v>
      </c>
      <c r="K512" s="35">
        <f t="shared" si="84"/>
        <v>0</v>
      </c>
      <c r="L512" s="35">
        <f t="shared" si="84"/>
        <v>0</v>
      </c>
      <c r="M512" s="35">
        <f t="shared" si="84"/>
        <v>0</v>
      </c>
      <c r="N512" s="20">
        <f>+N510+N495+N480</f>
        <v>0</v>
      </c>
    </row>
    <row r="513" spans="1:1" x14ac:dyDescent="0.35">
      <c r="A513" s="2" t="s">
        <v>32</v>
      </c>
    </row>
    <row r="514" spans="1:1" x14ac:dyDescent="0.35">
      <c r="A514" s="2" t="s">
        <v>195</v>
      </c>
    </row>
    <row r="515" spans="1:1" x14ac:dyDescent="0.35">
      <c r="A515" s="2" t="s">
        <v>194</v>
      </c>
    </row>
    <row r="516" spans="1:1" x14ac:dyDescent="0.35">
      <c r="A516" s="2" t="s">
        <v>193</v>
      </c>
    </row>
    <row r="517" spans="1:1" x14ac:dyDescent="0.35">
      <c r="A517" s="2" t="s">
        <v>33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tabSelected="1" zoomScaleNormal="10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H31" sqref="H31"/>
    </sheetView>
  </sheetViews>
  <sheetFormatPr defaultColWidth="9.1328125" defaultRowHeight="12.75" x14ac:dyDescent="0.35"/>
  <cols>
    <col min="1" max="1" width="36.86328125" style="2" bestFit="1" customWidth="1"/>
    <col min="2" max="2" width="15.59765625" style="31" bestFit="1" customWidth="1"/>
    <col min="3" max="3" width="12.86328125" style="31" bestFit="1" customWidth="1"/>
    <col min="4" max="5" width="15.59765625" style="31" customWidth="1"/>
    <col min="6" max="6" width="14.59765625" style="31" customWidth="1"/>
    <col min="7" max="10" width="15.59765625" style="31" customWidth="1"/>
    <col min="11" max="13" width="14.59765625" style="31" customWidth="1"/>
    <col min="14" max="14" width="16.59765625" style="31" bestFit="1" customWidth="1"/>
    <col min="15" max="16" width="14.59765625" style="2" bestFit="1" customWidth="1"/>
    <col min="17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46</v>
      </c>
    </row>
    <row r="3" spans="1:14" ht="15.75" customHeight="1" x14ac:dyDescent="0.4">
      <c r="A3" s="1" t="str">
        <f>'Table G-1'!A3</f>
        <v>Calendar Year 2021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5.4" thickBot="1" x14ac:dyDescent="0.45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25</v>
      </c>
      <c r="K7" s="51" t="s">
        <v>84</v>
      </c>
      <c r="L7" s="34" t="s">
        <v>26</v>
      </c>
      <c r="M7" s="34" t="s">
        <v>27</v>
      </c>
      <c r="N7" s="37" t="s">
        <v>14</v>
      </c>
    </row>
    <row r="8" spans="1:14" ht="15" x14ac:dyDescent="0.4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5" x14ac:dyDescent="0.4">
      <c r="A9" s="24" t="s">
        <v>133</v>
      </c>
      <c r="B9" s="41"/>
      <c r="N9" s="38"/>
    </row>
    <row r="10" spans="1:14" x14ac:dyDescent="0.35">
      <c r="A10" s="15" t="s">
        <v>18</v>
      </c>
      <c r="B10" s="41">
        <v>-53534817.439999998</v>
      </c>
      <c r="C10" s="41">
        <f t="shared" ref="C10:J10" si="0">B24</f>
        <v>4917564.9023548001</v>
      </c>
      <c r="D10" s="41">
        <f t="shared" si="0"/>
        <v>-20624814.14864504</v>
      </c>
      <c r="E10" s="41">
        <f t="shared" si="0"/>
        <v>-18845806.76764505</v>
      </c>
      <c r="F10" s="41">
        <f t="shared" si="0"/>
        <v>-7761194.3276450448</v>
      </c>
      <c r="G10" s="41">
        <f t="shared" si="0"/>
        <v>-7563987.1191978976</v>
      </c>
      <c r="H10" s="41">
        <f t="shared" si="0"/>
        <v>-4668503.1483429465</v>
      </c>
      <c r="I10" s="41">
        <f t="shared" si="0"/>
        <v>-15358218.778342951</v>
      </c>
      <c r="J10" s="41">
        <f t="shared" si="0"/>
        <v>-15048203.248342948</v>
      </c>
      <c r="K10" s="41">
        <v>0</v>
      </c>
      <c r="L10" s="41">
        <f t="shared" ref="L10:M10" si="1">K24</f>
        <v>0</v>
      </c>
      <c r="M10" s="41">
        <f t="shared" si="1"/>
        <v>0</v>
      </c>
      <c r="N10" s="38" t="s">
        <v>24</v>
      </c>
    </row>
    <row r="11" spans="1:14" x14ac:dyDescent="0.35">
      <c r="A11" s="15" t="s">
        <v>85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71" t="s">
        <v>135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9514513.3300000001</v>
      </c>
      <c r="F12" s="42">
        <f>'Table G-1'!F20</f>
        <v>7957352.7906979024</v>
      </c>
      <c r="G12" s="42">
        <f>'Table G-1'!G20</f>
        <v>7477226.3000000007</v>
      </c>
      <c r="H12" s="42">
        <f>'Table G-1'!H20</f>
        <v>6595394.6200000001</v>
      </c>
      <c r="I12" s="42">
        <f>'Table G-1'!I20</f>
        <v>6157661.8399999999</v>
      </c>
      <c r="J12" s="42">
        <f>'Table G-1'!J20</f>
        <v>6811694.8700000001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79669599.740697891</v>
      </c>
    </row>
    <row r="13" spans="1:14" x14ac:dyDescent="0.35">
      <c r="A13" s="28" t="s">
        <v>82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2">SUM(B13:M13)</f>
        <v>0</v>
      </c>
    </row>
    <row r="14" spans="1:14" x14ac:dyDescent="0.35">
      <c r="A14" s="15" t="s">
        <v>150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-35155756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-24949092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0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2"/>
        <v>-81847886</v>
      </c>
    </row>
    <row r="15" spans="1:14" x14ac:dyDescent="0.35">
      <c r="A15" s="18" t="s">
        <v>16</v>
      </c>
      <c r="B15" s="42">
        <v>-5327</v>
      </c>
      <c r="C15" s="42">
        <v>-4578</v>
      </c>
      <c r="D15" s="42">
        <v>-4311</v>
      </c>
      <c r="E15" s="42">
        <v>-3902</v>
      </c>
      <c r="F15" s="42">
        <v>-2631</v>
      </c>
      <c r="G15" s="42">
        <v>-2017</v>
      </c>
      <c r="H15" s="42">
        <v>-2273</v>
      </c>
      <c r="I15" s="112">
        <v>-2983</v>
      </c>
      <c r="J15" s="42">
        <v>-3495</v>
      </c>
      <c r="K15" s="42">
        <v>0</v>
      </c>
      <c r="L15" s="42">
        <v>0</v>
      </c>
      <c r="M15" s="42">
        <v>0</v>
      </c>
      <c r="N15" s="49">
        <f t="shared" si="2"/>
        <v>-31517</v>
      </c>
    </row>
    <row r="16" spans="1:14" x14ac:dyDescent="0.35">
      <c r="A16" s="15" t="s">
        <v>128</v>
      </c>
      <c r="B16" s="77">
        <f>'Table G-2'!B84+'Table G-2'!B153+'Table G-2'!B227+'Table G-2'!B284+'Table G-2'!B344+'Table G-2'!B393+'Table G-2'!B444+'Table G-2'!B475+'Table G-2'!B512</f>
        <v>-1510614.5799999996</v>
      </c>
      <c r="C16" s="77">
        <f>'Table G-2'!C84+'Table G-2'!C153+'Table G-2'!C227+'Table G-2'!C284+'Table G-2'!C344+'Table G-2'!C393+'Table G-2'!C444+'Table G-2'!C475+'Table G-2'!C512</f>
        <v>7565913</v>
      </c>
      <c r="D16" s="77">
        <f>'Table G-2'!D84+'Table G-2'!D153+'Table G-2'!D227+'Table G-2'!D284+'Table G-2'!D344+'Table G-2'!D393+'Table G-2'!D444+'Table G-2'!D475+'Table G-2'!D512+'Table G-5'!D13</f>
        <v>11914568</v>
      </c>
      <c r="E16" s="77">
        <f>'Table G-2'!E84+'Table G-2'!E153+'Table G-2'!E227+'Table G-2'!E284+'Table G-2'!E344+'Table G-2'!E393+'Table G-2'!E444+'Table G-2'!E475+'Table G-2'!E512+'Table G-5'!E13</f>
        <v>7599971.8100000015</v>
      </c>
      <c r="F16" s="77">
        <f>'Table G-2'!F84+'Table G-2'!F153+'Table G-2'!F227+'Table G-2'!F284+'Table G-2'!F344+'Table G-2'!F393+'Table G-2'!F444+'Table G-2'!F475+'Table G-2'!F512+'Table G-5'!F13</f>
        <v>8294759.4400000004</v>
      </c>
      <c r="G16" s="77">
        <f>'Table G-2'!G84+'Table G-2'!G153+'Table G-2'!G227+'Table G-2'!G284+'Table G-2'!G344+'Table G-2'!G393+'Table G-2'!G444+'Table G-2'!G475+'Table G-2'!G512+'Table G-5'!G13</f>
        <v>10556692.840000002</v>
      </c>
      <c r="H16" s="77">
        <f>'Table G-2'!H84+'Table G-2'!H153+'Table G-2'!H227+'Table G-2'!H284+'Table G-2'!H344+'Table G-2'!H393+'Table G-2'!H444+'Table G-2'!H475+'Table G-2'!H512+'Table G-5'!H13</f>
        <v>6493420.2299999986</v>
      </c>
      <c r="I16" s="77">
        <f>'Table G-2'!I84+'Table G-2'!I153+'Table G-2'!I227+'Table G-2'!I284+'Table G-2'!I344+'Table G-2'!I393+'Table G-2'!I444+'Table G-2'!I475+'Table G-2'!I512+'Table G-5'!I13</f>
        <v>6259563.3300000001</v>
      </c>
      <c r="J16" s="77">
        <f>'Table G-2'!J84+'Table G-2'!J153+'Table G-2'!J227+'Table G-2'!J284+'Table G-2'!J344+'Table G-2'!J393+'Table G-2'!J444+'Table G-2'!J475+'Table G-2'!J512+'Table G-5'!J13</f>
        <v>11180318.279999999</v>
      </c>
      <c r="K16" s="77">
        <f>'Table G-2'!K84+'Table G-2'!K153+'Table G-2'!K227+'Table G-2'!K284+'Table G-2'!K344+'Table G-2'!K393+'Table G-2'!K444+'Table G-2'!K475+'Table G-2'!K512+'Table G-5'!K13</f>
        <v>0</v>
      </c>
      <c r="L16" s="77">
        <f>'Table G-2'!L84+'Table G-2'!L153+'Table G-2'!L227+'Table G-2'!L284+'Table G-2'!L344+'Table G-2'!L393+'Table G-2'!L444+'Table G-2'!L475+'Table G-2'!L512+'Table G-5'!L13</f>
        <v>0</v>
      </c>
      <c r="M16" s="77">
        <f>'Table G-2'!M84+'Table G-2'!M153+'Table G-2'!M227+'Table G-2'!M284+'Table G-2'!M344+'Table G-2'!M393+'Table G-2'!M444+'Table G-2'!M475+'Table G-2'!M512+'Table G-5'!M13</f>
        <v>0</v>
      </c>
      <c r="N16" s="49">
        <f t="shared" si="2"/>
        <v>68354592.349999994</v>
      </c>
    </row>
    <row r="17" spans="1:17" x14ac:dyDescent="0.35">
      <c r="A17" s="71" t="s">
        <v>151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21743038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35155756</v>
      </c>
      <c r="I17" s="42">
        <f>'Table G-4'!I19+'Table G-4'!I28+'Table G-4'!I9</f>
        <v>0</v>
      </c>
      <c r="J17" s="42">
        <f>'Table G-4'!J19+'Table G-4'!J28+'Table G-4'!J9</f>
        <v>24949092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2"/>
        <v>97140940</v>
      </c>
      <c r="O17" s="79"/>
      <c r="P17"/>
    </row>
    <row r="18" spans="1:17" ht="14.25" x14ac:dyDescent="0.35">
      <c r="A18" s="69" t="s">
        <v>199</v>
      </c>
      <c r="B18" s="77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v>-818</v>
      </c>
      <c r="G18" s="42">
        <f>'Table G-4'!G20+'Table G-4'!G29</f>
        <v>0</v>
      </c>
      <c r="H18" s="42">
        <f>'Table G-4'!H20+'Table G-4'!H29</f>
        <v>0</v>
      </c>
      <c r="I18" s="112">
        <v>808</v>
      </c>
      <c r="J18" s="42">
        <v>3287241</v>
      </c>
      <c r="K18" s="42">
        <f>'Table G-4'!K20+'Table G-4'!K29</f>
        <v>0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3">SUM(B18:M18)</f>
        <v>6148930.75</v>
      </c>
      <c r="P18" s="78"/>
    </row>
    <row r="19" spans="1:17" ht="14.25" x14ac:dyDescent="0.35">
      <c r="A19" s="69" t="s">
        <v>198</v>
      </c>
      <c r="B19" s="42">
        <v>14221686.140000008</v>
      </c>
      <c r="C19" s="42">
        <v>-1796030.2600000054</v>
      </c>
      <c r="D19" s="42">
        <v>306618.99000000209</v>
      </c>
      <c r="E19" s="42">
        <v>1774651.7599999979</v>
      </c>
      <c r="F19" s="42">
        <v>-928271.42999999784</v>
      </c>
      <c r="G19" s="42">
        <v>159818.75999999978</v>
      </c>
      <c r="H19" s="42">
        <v>-564968.58000000194</v>
      </c>
      <c r="I19" s="112">
        <v>-101554.45999999903</v>
      </c>
      <c r="J19" s="42">
        <v>-4862935.1100000031</v>
      </c>
      <c r="K19" s="42">
        <f>'Table G-4'!K21+'Table G-4'!K30</f>
        <v>0</v>
      </c>
      <c r="L19" s="42">
        <f>'Table G-4'!L21+'Table G-4'!L30</f>
        <v>0</v>
      </c>
      <c r="M19" s="42">
        <f>'Table G-4'!M21+'Table G-4'!M30</f>
        <v>0</v>
      </c>
      <c r="N19" s="38">
        <f t="shared" ref="N19" si="4">SUM(B19:M19)</f>
        <v>8209015.8100000005</v>
      </c>
      <c r="P19" s="78"/>
    </row>
    <row r="20" spans="1:17" ht="14.25" x14ac:dyDescent="0.35">
      <c r="A20" s="69" t="s">
        <v>153</v>
      </c>
      <c r="B20" s="42">
        <v>4513827.5024999948</v>
      </c>
      <c r="C20" s="42">
        <v>2357817.2699999949</v>
      </c>
      <c r="D20" s="42">
        <v>207511.45999999996</v>
      </c>
      <c r="E20" s="42">
        <v>-210000</v>
      </c>
      <c r="F20" s="42">
        <v>-23166.479999999516</v>
      </c>
      <c r="G20" s="42">
        <v>-44376.300000000745</v>
      </c>
      <c r="H20" s="42">
        <v>-326379.39999999944</v>
      </c>
      <c r="I20" s="112">
        <v>-43155.320000000298</v>
      </c>
      <c r="J20" s="42">
        <v>-6076673.6424999898</v>
      </c>
      <c r="K20" s="42">
        <f>'Table G-4'!K22+'Table G-4'!K31</f>
        <v>0</v>
      </c>
      <c r="L20" s="42">
        <f>'Table G-4'!L22+'Table G-4'!L31</f>
        <v>0</v>
      </c>
      <c r="M20" s="42">
        <f>'Table G-4'!M22+'Table G-4'!M31</f>
        <v>0</v>
      </c>
      <c r="N20" s="38">
        <f t="shared" si="3"/>
        <v>355405.08999999985</v>
      </c>
      <c r="O20" s="52"/>
      <c r="P20" s="78"/>
    </row>
    <row r="21" spans="1:17" ht="14.25" x14ac:dyDescent="0.35">
      <c r="A21" s="69" t="s">
        <v>147</v>
      </c>
      <c r="B21" s="42">
        <v>5048478.8999999948</v>
      </c>
      <c r="C21" s="42">
        <v>2949259.8500000183</v>
      </c>
      <c r="D21" s="42">
        <v>-21028.870000001043</v>
      </c>
      <c r="E21" s="42">
        <v>10843</v>
      </c>
      <c r="F21" s="42">
        <v>-29660.039999999106</v>
      </c>
      <c r="G21" s="42">
        <v>-22158.240000000224</v>
      </c>
      <c r="H21" s="42">
        <v>-48776.320000000298</v>
      </c>
      <c r="I21" s="112">
        <v>8921.8100000005215</v>
      </c>
      <c r="J21" s="42">
        <v>-6656828.8400000129</v>
      </c>
      <c r="K21" s="42">
        <f>'Table G-4'!K23+'Table G-4'!K32</f>
        <v>0</v>
      </c>
      <c r="L21" s="42">
        <f>'Table G-4'!L23+'Table G-4'!L32</f>
        <v>0</v>
      </c>
      <c r="M21" s="42">
        <f>'Table G-4'!M23+'Table G-4'!M32</f>
        <v>0</v>
      </c>
      <c r="N21" s="38">
        <f t="shared" ref="N21" si="5">SUM(B21:M21)</f>
        <v>1239051.25</v>
      </c>
      <c r="P21" s="78"/>
    </row>
    <row r="22" spans="1:17" ht="14.25" x14ac:dyDescent="0.35">
      <c r="A22" s="69" t="s">
        <v>144</v>
      </c>
      <c r="B22" s="42">
        <v>33126921.0808548</v>
      </c>
      <c r="C22" s="42">
        <v>-10815370.529999848</v>
      </c>
      <c r="D22" s="42">
        <v>-233800.94999999925</v>
      </c>
      <c r="E22" s="42">
        <v>-199662.03999999911</v>
      </c>
      <c r="F22" s="42">
        <v>-114401.96085495129</v>
      </c>
      <c r="G22" s="42">
        <v>-137589.26914504915</v>
      </c>
      <c r="H22" s="42">
        <v>-52424.840000003576</v>
      </c>
      <c r="I22" s="112">
        <v>254252.36000000313</v>
      </c>
      <c r="J22" s="42">
        <v>-15509830.620854951</v>
      </c>
      <c r="K22" s="42">
        <f>'Table G-4'!K24+'Table G-4'!K33</f>
        <v>0</v>
      </c>
      <c r="L22" s="42">
        <f>'Table G-4'!L24+'Table G-4'!L33</f>
        <v>0</v>
      </c>
      <c r="M22" s="42">
        <f>'Table G-4'!M24+'Table G-4'!M33</f>
        <v>0</v>
      </c>
      <c r="N22" s="38">
        <f t="shared" si="2"/>
        <v>6318093.2300000004</v>
      </c>
      <c r="P22" s="78"/>
    </row>
    <row r="23" spans="1:17" ht="14.65" thickBot="1" x14ac:dyDescent="0.4">
      <c r="A23" s="29" t="s">
        <v>112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v>-5422788</v>
      </c>
      <c r="K23" s="43">
        <f>'Table G-4'!K25+'Table G-4'!K34</f>
        <v>0</v>
      </c>
      <c r="L23" s="43">
        <f>'Table G-4'!L25+'Table G-4'!L34</f>
        <v>0</v>
      </c>
      <c r="M23" s="43">
        <f>'Table G-4'!M25+'Table G-4'!M34</f>
        <v>0</v>
      </c>
      <c r="N23" s="49">
        <f t="shared" si="2"/>
        <v>-9.100001398473978E-2</v>
      </c>
      <c r="P23" s="78"/>
    </row>
    <row r="24" spans="1:17" x14ac:dyDescent="0.35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6">D10+D16-(D12+D14+D17)+D15+D20+D22+D23</f>
        <v>-18845806.76764505</v>
      </c>
      <c r="E24" s="42">
        <f t="shared" si="6"/>
        <v>-7761194.3276450448</v>
      </c>
      <c r="F24" s="42">
        <f t="shared" si="6"/>
        <v>-7563987.1191978976</v>
      </c>
      <c r="G24" s="42">
        <f>G10+G11+G16-(G12+G14+G17)+G15+G20+G22+G23</f>
        <v>-4668503.1483429465</v>
      </c>
      <c r="H24" s="42">
        <f t="shared" si="6"/>
        <v>-15358218.778342951</v>
      </c>
      <c r="I24" s="42">
        <f t="shared" si="6"/>
        <v>-15048203.248342948</v>
      </c>
      <c r="J24" s="42">
        <f t="shared" si="6"/>
        <v>-62641459.101697892</v>
      </c>
      <c r="K24" s="42">
        <f t="shared" si="6"/>
        <v>0</v>
      </c>
      <c r="L24" s="42">
        <f t="shared" si="6"/>
        <v>0</v>
      </c>
      <c r="M24" s="42">
        <f t="shared" si="6"/>
        <v>0</v>
      </c>
      <c r="N24" s="66" t="s">
        <v>24</v>
      </c>
    </row>
    <row r="25" spans="1:17" ht="13.5" thickBot="1" x14ac:dyDescent="0.45">
      <c r="A25" s="67"/>
      <c r="B25" s="6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35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35">
      <c r="A27" s="26" t="s">
        <v>54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35">
      <c r="A28" s="72" t="s">
        <v>202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35">
      <c r="A29" s="7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35">
      <c r="A32" s="26"/>
      <c r="B32" s="42"/>
      <c r="C32" s="42"/>
      <c r="D32" s="42"/>
      <c r="E32" s="52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35">
      <c r="A33" s="60"/>
      <c r="B33" s="55"/>
      <c r="C33" s="55"/>
      <c r="D33" s="56"/>
      <c r="E33" s="56"/>
      <c r="F33" s="56"/>
      <c r="G33" s="42"/>
      <c r="H33" s="42"/>
      <c r="I33" s="42"/>
      <c r="J33" s="42"/>
      <c r="K33" s="42"/>
      <c r="L33" s="42"/>
      <c r="M33" s="42"/>
      <c r="N33" s="42"/>
    </row>
    <row r="34" spans="1:14" x14ac:dyDescent="0.35">
      <c r="A34" s="57"/>
      <c r="B34" s="55"/>
      <c r="C34" s="55"/>
      <c r="D34" s="56"/>
      <c r="E34" s="58"/>
      <c r="F34" s="59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35">
      <c r="A35" s="57"/>
      <c r="B35" s="55"/>
      <c r="C35" s="55"/>
      <c r="D35" s="56"/>
      <c r="E35" s="75"/>
      <c r="F35" s="76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35">
      <c r="A36" s="57"/>
      <c r="B36" s="55"/>
      <c r="C36" s="55"/>
      <c r="D36" s="56"/>
      <c r="E36" s="58"/>
      <c r="F36" s="59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35">
      <c r="A37" s="57"/>
      <c r="B37" s="55"/>
      <c r="C37" s="55"/>
      <c r="D37" s="56"/>
      <c r="E37" s="58"/>
      <c r="F37" s="59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35">
      <c r="A38" s="57"/>
      <c r="B38" s="55"/>
      <c r="C38" s="55"/>
      <c r="D38" s="56"/>
      <c r="E38" s="58"/>
      <c r="F38" s="59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35">
      <c r="A39" s="57"/>
      <c r="B39" s="55"/>
      <c r="C39" s="55"/>
      <c r="D39" s="56"/>
      <c r="E39" s="58"/>
      <c r="F39" s="59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35">
      <c r="A40" s="57"/>
      <c r="B40" s="55"/>
      <c r="C40" s="55"/>
      <c r="D40" s="56"/>
      <c r="E40" s="58"/>
      <c r="F40" s="59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35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35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35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35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35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35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35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35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35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35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35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35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35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35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35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35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35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35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35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35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35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35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35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H24" activePane="bottomRight" state="frozen"/>
      <selection pane="topRight" activeCell="B1" sqref="B1"/>
      <selection pane="bottomLeft" activeCell="A8" sqref="A8"/>
      <selection pane="bottomRight" activeCell="O13" sqref="O13"/>
    </sheetView>
  </sheetViews>
  <sheetFormatPr defaultColWidth="9.1328125" defaultRowHeight="12.75" x14ac:dyDescent="0.35"/>
  <cols>
    <col min="1" max="1" width="28.3984375" style="2" customWidth="1"/>
    <col min="2" max="2" width="14" style="31" bestFit="1" customWidth="1"/>
    <col min="3" max="3" width="11.3984375" style="31" bestFit="1" customWidth="1"/>
    <col min="4" max="4" width="11.86328125" style="31" bestFit="1" customWidth="1"/>
    <col min="5" max="5" width="14.3984375" style="31" bestFit="1" customWidth="1"/>
    <col min="6" max="8" width="11.86328125" style="31" bestFit="1" customWidth="1"/>
    <col min="9" max="9" width="10.86328125" style="31" bestFit="1" customWidth="1"/>
    <col min="10" max="10" width="11.3984375" style="31" bestFit="1" customWidth="1"/>
    <col min="11" max="12" width="11.86328125" style="31" bestFit="1" customWidth="1"/>
    <col min="13" max="13" width="11.3984375" style="31" bestFit="1" customWidth="1"/>
    <col min="14" max="14" width="12.3984375" style="31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47</v>
      </c>
    </row>
    <row r="3" spans="1:14" ht="15" x14ac:dyDescent="0.4">
      <c r="A3" s="1" t="str">
        <f>'Table G-1'!A3</f>
        <v>Calendar Year 2021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3.15" x14ac:dyDescent="0.4">
      <c r="A7" s="24" t="s">
        <v>219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35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ht="13.15" x14ac:dyDescent="0.4">
      <c r="A9" s="12" t="s">
        <v>143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35155756</v>
      </c>
      <c r="I9" s="42">
        <v>0</v>
      </c>
      <c r="J9" s="42">
        <v>24949092</v>
      </c>
      <c r="K9" s="42">
        <v>0</v>
      </c>
      <c r="L9" s="42">
        <v>0</v>
      </c>
      <c r="M9" s="42">
        <v>0</v>
      </c>
      <c r="N9" s="38">
        <f>SUM(B9:M9)</f>
        <v>60104848</v>
      </c>
    </row>
    <row r="10" spans="1:14" x14ac:dyDescent="0.35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ht="13.15" x14ac:dyDescent="0.4">
      <c r="A11" s="12" t="s">
        <v>142</v>
      </c>
      <c r="B11" s="42">
        <v>0</v>
      </c>
      <c r="C11" s="42">
        <v>0</v>
      </c>
      <c r="D11" s="42">
        <v>0</v>
      </c>
      <c r="E11" s="42">
        <v>-35155756</v>
      </c>
      <c r="F11" s="42">
        <v>0</v>
      </c>
      <c r="G11" s="42">
        <v>0</v>
      </c>
      <c r="H11" s="42">
        <v>-24949092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-60104848</v>
      </c>
    </row>
    <row r="12" spans="1:14" x14ac:dyDescent="0.3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4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-35155756</v>
      </c>
      <c r="F13" s="45">
        <f t="shared" si="0"/>
        <v>0</v>
      </c>
      <c r="G13" s="45">
        <f t="shared" si="0"/>
        <v>0</v>
      </c>
      <c r="H13" s="45">
        <f t="shared" si="0"/>
        <v>10206664</v>
      </c>
      <c r="I13" s="45">
        <f t="shared" si="0"/>
        <v>0</v>
      </c>
      <c r="J13" s="45">
        <f t="shared" si="0"/>
        <v>24949092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0</v>
      </c>
    </row>
    <row r="14" spans="1:14" ht="15" x14ac:dyDescent="0.4">
      <c r="A14" s="4"/>
    </row>
    <row r="15" spans="1:14" ht="15.4" thickBot="1" x14ac:dyDescent="0.45">
      <c r="A15" s="4"/>
    </row>
    <row r="16" spans="1:14" ht="13.15" x14ac:dyDescent="0.4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ht="13.15" x14ac:dyDescent="0.4">
      <c r="A17" s="24" t="s">
        <v>192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35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ht="13.15" x14ac:dyDescent="0.4">
      <c r="A19" s="12" t="s">
        <v>143</v>
      </c>
      <c r="B19" s="42">
        <v>0</v>
      </c>
      <c r="C19" s="42">
        <v>15293054</v>
      </c>
      <c r="D19" s="42">
        <v>0</v>
      </c>
      <c r="E19" s="42">
        <v>21743038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37036092</v>
      </c>
    </row>
    <row r="20" spans="1:14" x14ac:dyDescent="0.35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ht="13.15" x14ac:dyDescent="0.4">
      <c r="A21" s="12" t="s">
        <v>142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3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4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21743038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15293054</v>
      </c>
    </row>
    <row r="24" spans="1:14" ht="15.4" thickBot="1" x14ac:dyDescent="0.45">
      <c r="A24" s="4"/>
    </row>
    <row r="25" spans="1:14" ht="13.15" x14ac:dyDescent="0.4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ht="13.15" x14ac:dyDescent="0.4">
      <c r="A26" s="24" t="s">
        <v>149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35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ht="13.15" x14ac:dyDescent="0.4">
      <c r="A28" s="12" t="s">
        <v>143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35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ht="13.15" x14ac:dyDescent="0.4">
      <c r="A30" s="12" t="s">
        <v>142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3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4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4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13.15" x14ac:dyDescent="0.4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ht="13.15" x14ac:dyDescent="0.4">
      <c r="A35" s="24" t="s">
        <v>148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35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ht="13.15" x14ac:dyDescent="0.4">
      <c r="A37" s="12" t="s">
        <v>143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35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ht="13.15" x14ac:dyDescent="0.4">
      <c r="A39" s="12" t="s">
        <v>142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35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4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defaultColWidth="9.1328125" defaultRowHeight="13.5" x14ac:dyDescent="0.35"/>
  <cols>
    <col min="1" max="1" width="41" style="82" bestFit="1" customWidth="1"/>
    <col min="2" max="2" width="13.3984375" style="81" customWidth="1"/>
    <col min="3" max="3" width="13.3984375" style="82" customWidth="1"/>
    <col min="4" max="4" width="13.3984375" style="81" customWidth="1"/>
    <col min="5" max="13" width="13.3984375" style="82" customWidth="1"/>
    <col min="14" max="14" width="13.3984375" style="81" customWidth="1"/>
    <col min="15" max="16384" width="9.1328125" style="82"/>
  </cols>
  <sheetData>
    <row r="1" spans="1:14" ht="13.9" x14ac:dyDescent="0.4">
      <c r="A1" s="80" t="s">
        <v>211</v>
      </c>
    </row>
    <row r="2" spans="1:14" ht="13.9" x14ac:dyDescent="0.4">
      <c r="A2" s="80" t="s">
        <v>205</v>
      </c>
      <c r="C2" s="81"/>
      <c r="E2" s="83"/>
      <c r="F2" s="84"/>
    </row>
    <row r="3" spans="1:14" ht="13.9" x14ac:dyDescent="0.4">
      <c r="A3" s="80" t="s">
        <v>197</v>
      </c>
      <c r="C3" s="81"/>
      <c r="E3" s="83"/>
      <c r="J3" s="85"/>
    </row>
    <row r="4" spans="1:14" ht="15" x14ac:dyDescent="0.4">
      <c r="A4" s="86"/>
      <c r="C4" s="81"/>
      <c r="E4" s="87"/>
    </row>
    <row r="5" spans="1:14" ht="15.4" thickBot="1" x14ac:dyDescent="0.45">
      <c r="A5" s="86"/>
      <c r="N5" s="88"/>
    </row>
    <row r="6" spans="1:14" ht="13.9" x14ac:dyDescent="0.4">
      <c r="A6" s="89"/>
      <c r="B6" s="90"/>
      <c r="C6" s="91"/>
      <c r="D6" s="90"/>
      <c r="E6" s="91"/>
      <c r="F6" s="91"/>
      <c r="G6" s="91"/>
      <c r="H6" s="91"/>
      <c r="I6" s="91"/>
      <c r="J6" s="91"/>
      <c r="K6" s="91"/>
      <c r="L6" s="91"/>
      <c r="M6" s="91"/>
      <c r="N6" s="92" t="s">
        <v>0</v>
      </c>
    </row>
    <row r="7" spans="1:14" ht="15.4" thickBot="1" x14ac:dyDescent="0.45">
      <c r="A7" s="93" t="s">
        <v>0</v>
      </c>
      <c r="B7" s="94" t="s">
        <v>2</v>
      </c>
      <c r="C7" s="95" t="s">
        <v>3</v>
      </c>
      <c r="D7" s="94" t="s">
        <v>4</v>
      </c>
      <c r="E7" s="95" t="s">
        <v>5</v>
      </c>
      <c r="F7" s="95" t="s">
        <v>6</v>
      </c>
      <c r="G7" s="95" t="s">
        <v>7</v>
      </c>
      <c r="H7" s="95" t="s">
        <v>8</v>
      </c>
      <c r="I7" s="95" t="s">
        <v>9</v>
      </c>
      <c r="J7" s="95" t="s">
        <v>10</v>
      </c>
      <c r="K7" s="95" t="s">
        <v>11</v>
      </c>
      <c r="L7" s="95" t="s">
        <v>12</v>
      </c>
      <c r="M7" s="95" t="s">
        <v>13</v>
      </c>
      <c r="N7" s="96" t="s">
        <v>14</v>
      </c>
    </row>
    <row r="8" spans="1:14" ht="15" x14ac:dyDescent="0.4">
      <c r="A8" s="97"/>
      <c r="B8" s="98"/>
      <c r="C8" s="99"/>
      <c r="D8" s="98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4" ht="13.15" x14ac:dyDescent="0.4">
      <c r="A9" s="101" t="s">
        <v>206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4" ht="12.75" x14ac:dyDescent="0.35">
      <c r="A10" s="104" t="s">
        <v>18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6">
        <f>B10</f>
        <v>0</v>
      </c>
    </row>
    <row r="11" spans="1:14" ht="12.75" x14ac:dyDescent="0.35">
      <c r="A11" s="104" t="s">
        <v>207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6">
        <f>SUM(B11:M11)</f>
        <v>0</v>
      </c>
    </row>
    <row r="12" spans="1:14" ht="12.75" x14ac:dyDescent="0.35">
      <c r="A12" s="104" t="s">
        <v>230</v>
      </c>
      <c r="B12" s="105">
        <v>0</v>
      </c>
      <c r="C12" s="105">
        <v>0</v>
      </c>
      <c r="D12" s="105">
        <v>-1250000</v>
      </c>
      <c r="E12" s="105">
        <v>0</v>
      </c>
      <c r="F12" s="105">
        <v>0</v>
      </c>
      <c r="G12" s="105">
        <v>-1250000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6">
        <f>SUM(B12:M12)</f>
        <v>-2500000</v>
      </c>
    </row>
    <row r="13" spans="1:14" ht="12.75" x14ac:dyDescent="0.35">
      <c r="A13" s="104" t="s">
        <v>208</v>
      </c>
      <c r="B13" s="105">
        <v>0</v>
      </c>
      <c r="C13" s="105">
        <v>0</v>
      </c>
      <c r="D13" s="105">
        <v>1250000</v>
      </c>
      <c r="E13" s="105">
        <v>0</v>
      </c>
      <c r="F13" s="105">
        <v>0</v>
      </c>
      <c r="G13" s="105">
        <v>1250000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6">
        <f>SUM(B13:M13)</f>
        <v>2500000</v>
      </c>
    </row>
    <row r="14" spans="1:14" ht="12.75" x14ac:dyDescent="0.35">
      <c r="A14" s="104" t="s">
        <v>231</v>
      </c>
      <c r="B14" s="105">
        <v>0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6">
        <f>SUM(B14:M14)</f>
        <v>0</v>
      </c>
    </row>
    <row r="15" spans="1:14" ht="12.75" x14ac:dyDescent="0.35">
      <c r="A15" s="104" t="s">
        <v>209</v>
      </c>
      <c r="B15" s="105">
        <f t="shared" ref="B15:C15" si="0">SUM(B10:B14)</f>
        <v>0</v>
      </c>
      <c r="C15" s="105">
        <f t="shared" si="0"/>
        <v>0</v>
      </c>
      <c r="D15" s="105">
        <f>SUM(D10:D14)</f>
        <v>0</v>
      </c>
      <c r="E15" s="105">
        <f t="shared" ref="E15:M15" si="1">SUM(E10:E14)</f>
        <v>0</v>
      </c>
      <c r="F15" s="105">
        <f t="shared" si="1"/>
        <v>0</v>
      </c>
      <c r="G15" s="105">
        <f t="shared" si="1"/>
        <v>0</v>
      </c>
      <c r="H15" s="105">
        <f t="shared" si="1"/>
        <v>0</v>
      </c>
      <c r="I15" s="105">
        <f t="shared" si="1"/>
        <v>0</v>
      </c>
      <c r="J15" s="105">
        <f t="shared" si="1"/>
        <v>0</v>
      </c>
      <c r="K15" s="105">
        <f t="shared" si="1"/>
        <v>0</v>
      </c>
      <c r="L15" s="105">
        <f t="shared" si="1"/>
        <v>0</v>
      </c>
      <c r="M15" s="105">
        <f t="shared" si="1"/>
        <v>0</v>
      </c>
      <c r="N15" s="106">
        <f>SUM(B15:M15)</f>
        <v>0</v>
      </c>
    </row>
    <row r="16" spans="1:14" ht="12.75" x14ac:dyDescent="0.3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2.75" x14ac:dyDescent="0.3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2.75" x14ac:dyDescent="0.35">
      <c r="A18" s="113" t="s">
        <v>210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.75" x14ac:dyDescent="0.3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5">
      <c r="A20" s="111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B098EF-37B1-466E-9EE9-2F629B26019A}"/>
</file>

<file path=customXml/itemProps2.xml><?xml version="1.0" encoding="utf-8"?>
<ds:datastoreItem xmlns:ds="http://schemas.openxmlformats.org/officeDocument/2006/customXml" ds:itemID="{DAF5800A-BB39-4ADF-88DF-645224E00A4D}"/>
</file>

<file path=customXml/itemProps3.xml><?xml version="1.0" encoding="utf-8"?>
<ds:datastoreItem xmlns:ds="http://schemas.openxmlformats.org/officeDocument/2006/customXml" ds:itemID="{F8C48444-C55D-4049-BC94-1ADD43899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2021-10-21T17:48:50Z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