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omments4.xml" ContentType="application/vnd.openxmlformats-officedocument.spreadsheetml.comments+xml"/>
  <Override PartName="/xl/threadedComments/threadedComment4.xml" ContentType="application/vnd.ms-excel.threaded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capuc-my.sharepoint.com/personal/neil_raffan_cpuc_ca_gov/Documents/Busbar/"/>
    </mc:Choice>
  </mc:AlternateContent>
  <xr:revisionPtr revIDLastSave="423" documentId="8_{5BC5277E-6BBF-476F-B676-32FA603C66A1}" xr6:coauthVersionLast="45" xr6:coauthVersionMax="45" xr10:uidLastSave="{5D1C8D59-E6C4-4BE1-83EF-FFEB4E399B4D}"/>
  <bookViews>
    <workbookView xWindow="9585" yWindow="-15480" windowWidth="19440" windowHeight="15000" tabRatio="837" firstSheet="2" activeTab="5" xr2:uid="{00000000-000D-0000-FFFF-FFFF00000000}"/>
  </bookViews>
  <sheets>
    <sheet name="READ ME" sheetId="32" r:id="rId1"/>
    <sheet name="VERSIONS" sheetId="38" r:id="rId2"/>
    <sheet name="Dashboard 2019RSP (Round 0)" sheetId="26" r:id="rId3"/>
    <sheet name="Dashboard 2019RSP (Round 0 adj)" sheetId="40" r:id="rId4"/>
    <sheet name="Dashboard 2019RSP (Round 1)" sheetId="42" r:id="rId5"/>
    <sheet name="Dashboard 2019RSP (Round 2)" sheetId="51" r:id="rId6"/>
    <sheet name="SelectedPortfolio_2019RSP" sheetId="36" r:id="rId7"/>
    <sheet name="proposedAdjustments" sheetId="47" r:id="rId8"/>
    <sheet name="2_TxCapability" sheetId="27" r:id="rId9"/>
    <sheet name="CheckTab" sheetId="46" r:id="rId10"/>
    <sheet name="3.1_SUM SOLAR RESOURCE ACRES" sheetId="44" r:id="rId11"/>
    <sheet name="3.1_SUM WIND RESOURCE ACRES" sheetId="45" r:id="rId12"/>
    <sheet name="3.2_SUM SOLAR RESOURCE ACRES" sheetId="53" r:id="rId13"/>
    <sheet name="3.2_SUM WIND RESOURCE ACRES" sheetId="50" r:id="rId14"/>
    <sheet name="4_CommercialInterest" sheetId="21" r:id="rId15"/>
    <sheet name="4a_CommercialInterestChart" sheetId="23" r:id="rId16"/>
    <sheet name="4b_QueuePivotTable" sheetId="24" r:id="rId17"/>
    <sheet name="5_BUSBAR ALLOC_Adj_TPPFeb2020" sheetId="39" r:id="rId18"/>
    <sheet name="BUSBAR_ALLOC_AdjMar2020" sheetId="41" r:id="rId19"/>
    <sheet name="BUSBAR ALLOCATION_Adj (2)" sheetId="48" r:id="rId20"/>
    <sheet name="SNV_Detail" sheetId="52" r:id="rId21"/>
    <sheet name="5b_ComparToPrevYr" sheetId="22" r:id="rId22"/>
    <sheet name="5c_compareToPrevYearChart" sheetId="37" r:id="rId23"/>
  </sheets>
  <definedNames>
    <definedName name="_xlnm._FilterDatabase" localSheetId="8" hidden="1">'2_TxCapability'!$O$6:$AA$72</definedName>
    <definedName name="_xlnm._FilterDatabase" localSheetId="10" hidden="1">'3.1_SUM SOLAR RESOURCE ACRES'!$F$4:$S$256</definedName>
    <definedName name="_xlnm._FilterDatabase" localSheetId="3" hidden="1">'Dashboard 2019RSP (Round 0 adj)'!$A$6:$S$74</definedName>
    <definedName name="_xlnm._FilterDatabase" localSheetId="2" hidden="1">'Dashboard 2019RSP (Round 0)'!$A$6:$R$75</definedName>
    <definedName name="_Hlk5613839" localSheetId="0">'READ ME'!$B$3</definedName>
    <definedName name="_Hlk5613839" localSheetId="1">VERSIONS!$B$2</definedName>
    <definedName name="_xlnm.Print_Area" localSheetId="17">'5_BUSBAR ALLOC_Adj_TPPFeb2020'!$B$2:$I$101</definedName>
    <definedName name="_xlnm.Print_Area" localSheetId="19">'BUSBAR ALLOCATION_Adj (2)'!$B$2:$J$166</definedName>
    <definedName name="_xlnm.Print_Titles" localSheetId="17">'5_BUSBAR ALLOC_Adj_TPPFeb2020'!$3:$6</definedName>
    <definedName name="_xlnm.Print_Titles" localSheetId="19">'BUSBAR ALLOCATION_Adj (2)'!$3:$6</definedName>
  </definedNames>
  <calcPr calcId="191029"/>
  <pivotCaches>
    <pivotCache cacheId="0"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26" l="1"/>
  <c r="E75" i="26"/>
  <c r="E74" i="26"/>
  <c r="D74" i="26"/>
  <c r="A74" i="26"/>
  <c r="F74" i="40" l="1"/>
  <c r="D31" i="42" l="1"/>
  <c r="D32" i="42" s="1"/>
  <c r="B8" i="51" l="1"/>
  <c r="B9" i="51"/>
  <c r="B10" i="51"/>
  <c r="B11" i="51"/>
  <c r="B12" i="51"/>
  <c r="B13" i="51"/>
  <c r="B14" i="51"/>
  <c r="B15" i="51"/>
  <c r="B16" i="51"/>
  <c r="B17" i="51"/>
  <c r="B18" i="51"/>
  <c r="B20" i="51"/>
  <c r="B21" i="51"/>
  <c r="B22" i="51"/>
  <c r="B23" i="51"/>
  <c r="B24" i="51"/>
  <c r="B25" i="51"/>
  <c r="B26" i="51"/>
  <c r="B27" i="51"/>
  <c r="B28" i="51"/>
  <c r="B29" i="51"/>
  <c r="B30" i="51"/>
  <c r="B7" i="51"/>
  <c r="B6" i="51"/>
  <c r="T215" i="53" l="1"/>
  <c r="T216" i="53"/>
  <c r="X13" i="53" s="1"/>
  <c r="Y13" i="53" s="1"/>
  <c r="T217" i="53"/>
  <c r="T218" i="53"/>
  <c r="X14" i="53" s="1"/>
  <c r="Y14" i="53" s="1"/>
  <c r="T219" i="53"/>
  <c r="T220" i="53"/>
  <c r="T221" i="53"/>
  <c r="X15" i="53" s="1"/>
  <c r="Y15" i="53" s="1"/>
  <c r="T222" i="53"/>
  <c r="U7" i="53"/>
  <c r="U8" i="53"/>
  <c r="U9" i="53"/>
  <c r="U10" i="53"/>
  <c r="U11" i="53"/>
  <c r="U12" i="53"/>
  <c r="U13" i="53"/>
  <c r="U14" i="53"/>
  <c r="U15" i="53"/>
  <c r="U16" i="53"/>
  <c r="U17" i="53"/>
  <c r="U18" i="53"/>
  <c r="U19" i="53"/>
  <c r="U20" i="53"/>
  <c r="U21" i="53"/>
  <c r="U22" i="53"/>
  <c r="U23" i="53"/>
  <c r="U24" i="53"/>
  <c r="U25" i="53"/>
  <c r="U26" i="53"/>
  <c r="U27" i="53"/>
  <c r="U28" i="53"/>
  <c r="U29" i="53"/>
  <c r="U30" i="53"/>
  <c r="U31" i="53"/>
  <c r="U32" i="53"/>
  <c r="U33" i="53"/>
  <c r="U34" i="53"/>
  <c r="U35" i="53"/>
  <c r="U36" i="53"/>
  <c r="U37" i="53"/>
  <c r="U38" i="53"/>
  <c r="U39" i="53"/>
  <c r="U40" i="53"/>
  <c r="U41" i="53"/>
  <c r="U42" i="53"/>
  <c r="U43" i="53"/>
  <c r="U44" i="53"/>
  <c r="U45" i="53"/>
  <c r="U46" i="53"/>
  <c r="U47" i="53"/>
  <c r="U48" i="53"/>
  <c r="U49" i="53"/>
  <c r="U50" i="53"/>
  <c r="U51" i="53"/>
  <c r="U52" i="53"/>
  <c r="U53" i="53"/>
  <c r="U54" i="53"/>
  <c r="U55" i="53"/>
  <c r="U56" i="53"/>
  <c r="U57" i="53"/>
  <c r="U58" i="53"/>
  <c r="U59" i="53"/>
  <c r="U60" i="53"/>
  <c r="U61" i="53"/>
  <c r="U62" i="53"/>
  <c r="U63" i="53"/>
  <c r="U64" i="53"/>
  <c r="U65" i="53"/>
  <c r="U66" i="53"/>
  <c r="U67" i="53"/>
  <c r="U68" i="53"/>
  <c r="U69" i="53"/>
  <c r="U70" i="53"/>
  <c r="U71" i="53"/>
  <c r="U72" i="53"/>
  <c r="U73" i="53"/>
  <c r="U74" i="53"/>
  <c r="U75" i="53"/>
  <c r="U76" i="53"/>
  <c r="U77" i="53"/>
  <c r="U78" i="53"/>
  <c r="U79" i="53"/>
  <c r="U80" i="53"/>
  <c r="U81" i="53"/>
  <c r="U82" i="53"/>
  <c r="U83" i="53"/>
  <c r="U84" i="53"/>
  <c r="U85" i="53"/>
  <c r="U86" i="53"/>
  <c r="U87" i="53"/>
  <c r="U88" i="53"/>
  <c r="U89" i="53"/>
  <c r="U90" i="53"/>
  <c r="U91" i="53"/>
  <c r="U92" i="53"/>
  <c r="U93" i="53"/>
  <c r="U94" i="53"/>
  <c r="U95" i="53"/>
  <c r="U96" i="53"/>
  <c r="U97" i="53"/>
  <c r="U98" i="53"/>
  <c r="U99" i="53"/>
  <c r="U100" i="53"/>
  <c r="U101" i="53"/>
  <c r="U102" i="53"/>
  <c r="U103" i="53"/>
  <c r="U104" i="53"/>
  <c r="U105" i="53"/>
  <c r="U106" i="53"/>
  <c r="U107" i="53"/>
  <c r="U108" i="53"/>
  <c r="U109" i="53"/>
  <c r="U110" i="53"/>
  <c r="U111" i="53"/>
  <c r="U112" i="53"/>
  <c r="U113" i="53"/>
  <c r="U114" i="53"/>
  <c r="U115" i="53"/>
  <c r="U116" i="53"/>
  <c r="U117" i="53"/>
  <c r="U118" i="53"/>
  <c r="U119" i="53"/>
  <c r="U120" i="53"/>
  <c r="U121" i="53"/>
  <c r="U122" i="53"/>
  <c r="U123" i="53"/>
  <c r="U124" i="53"/>
  <c r="U125" i="53"/>
  <c r="U126" i="53"/>
  <c r="U127" i="53"/>
  <c r="U128" i="53"/>
  <c r="U129" i="53"/>
  <c r="U130" i="53"/>
  <c r="U131" i="53"/>
  <c r="U132" i="53"/>
  <c r="U133" i="53"/>
  <c r="U134" i="53"/>
  <c r="U135" i="53"/>
  <c r="U136" i="53"/>
  <c r="U137" i="53"/>
  <c r="U138" i="53"/>
  <c r="U139" i="53"/>
  <c r="U140" i="53"/>
  <c r="U141" i="53"/>
  <c r="U142" i="53"/>
  <c r="U143" i="53"/>
  <c r="U144" i="53"/>
  <c r="U145" i="53"/>
  <c r="U146" i="53"/>
  <c r="U147" i="53"/>
  <c r="U148" i="53"/>
  <c r="U149" i="53"/>
  <c r="U150" i="53"/>
  <c r="U151" i="53"/>
  <c r="U152" i="53"/>
  <c r="U153" i="53"/>
  <c r="U154" i="53"/>
  <c r="U155" i="53"/>
  <c r="U156" i="53"/>
  <c r="U157" i="53"/>
  <c r="U158" i="53"/>
  <c r="U159" i="53"/>
  <c r="U160" i="53"/>
  <c r="U161" i="53"/>
  <c r="U162" i="53"/>
  <c r="U163" i="53"/>
  <c r="U164" i="53"/>
  <c r="U165" i="53"/>
  <c r="U166" i="53"/>
  <c r="U167" i="53"/>
  <c r="U168" i="53"/>
  <c r="U169" i="53"/>
  <c r="U170" i="53"/>
  <c r="U171" i="53"/>
  <c r="U172" i="53"/>
  <c r="U173" i="53"/>
  <c r="U174" i="53"/>
  <c r="U175" i="53"/>
  <c r="U176" i="53"/>
  <c r="U177" i="53"/>
  <c r="U178" i="53"/>
  <c r="U179" i="53"/>
  <c r="U180" i="53"/>
  <c r="U181" i="53"/>
  <c r="U182" i="53"/>
  <c r="U183" i="53"/>
  <c r="U184" i="53"/>
  <c r="U185" i="53"/>
  <c r="U186" i="53"/>
  <c r="U187" i="53"/>
  <c r="U188" i="53"/>
  <c r="U189" i="53"/>
  <c r="U190" i="53"/>
  <c r="U191" i="53"/>
  <c r="U192" i="53"/>
  <c r="U193" i="53"/>
  <c r="U194" i="53"/>
  <c r="U195" i="53"/>
  <c r="U196" i="53"/>
  <c r="U197" i="53"/>
  <c r="U198" i="53"/>
  <c r="U199" i="53"/>
  <c r="U200" i="53"/>
  <c r="U201" i="53"/>
  <c r="U202" i="53"/>
  <c r="U203" i="53"/>
  <c r="U204" i="53"/>
  <c r="U205" i="53"/>
  <c r="U206" i="53"/>
  <c r="U207" i="53"/>
  <c r="U208" i="53"/>
  <c r="U209" i="53"/>
  <c r="U210" i="53"/>
  <c r="U211" i="53"/>
  <c r="U212" i="53"/>
  <c r="U213" i="53"/>
  <c r="U214" i="53"/>
  <c r="U215" i="53"/>
  <c r="U216" i="53"/>
  <c r="U217" i="53"/>
  <c r="U218" i="53"/>
  <c r="U219" i="53"/>
  <c r="U220" i="53"/>
  <c r="U221" i="53"/>
  <c r="U222" i="53"/>
  <c r="U223" i="53"/>
  <c r="U224" i="53"/>
  <c r="U225" i="53"/>
  <c r="U226" i="53"/>
  <c r="U227" i="53"/>
  <c r="U228" i="53"/>
  <c r="U229" i="53"/>
  <c r="U230" i="53"/>
  <c r="U231" i="53"/>
  <c r="U232" i="53"/>
  <c r="U233" i="53"/>
  <c r="U234" i="53"/>
  <c r="U235" i="53"/>
  <c r="U236" i="53"/>
  <c r="U237" i="53"/>
  <c r="U238" i="53"/>
  <c r="U239" i="53"/>
  <c r="U240" i="53"/>
  <c r="U241" i="53"/>
  <c r="U242" i="53"/>
  <c r="U243" i="53"/>
  <c r="U244" i="53"/>
  <c r="U245" i="53"/>
  <c r="U246" i="53"/>
  <c r="U247" i="53"/>
  <c r="U248" i="53"/>
  <c r="U249" i="53"/>
  <c r="U250" i="53"/>
  <c r="U251" i="53"/>
  <c r="U252" i="53"/>
  <c r="U253" i="53"/>
  <c r="U254" i="53"/>
  <c r="U255" i="53"/>
  <c r="U256" i="53"/>
  <c r="U257" i="53"/>
  <c r="U258" i="53"/>
  <c r="U6" i="53"/>
  <c r="T10" i="53"/>
  <c r="T11" i="53"/>
  <c r="T258" i="53"/>
  <c r="T257" i="53"/>
  <c r="T256" i="53"/>
  <c r="T255" i="53"/>
  <c r="T254" i="53"/>
  <c r="T253" i="53"/>
  <c r="T252" i="53"/>
  <c r="T251" i="53"/>
  <c r="T250" i="53"/>
  <c r="T249" i="53"/>
  <c r="T248" i="53"/>
  <c r="T247" i="53"/>
  <c r="T246" i="53"/>
  <c r="T245" i="53"/>
  <c r="T244" i="53"/>
  <c r="T243" i="53"/>
  <c r="T242" i="53"/>
  <c r="T241" i="53"/>
  <c r="T240" i="53"/>
  <c r="T239" i="53"/>
  <c r="T238" i="53"/>
  <c r="T237" i="53"/>
  <c r="T236" i="53"/>
  <c r="T235" i="53"/>
  <c r="T234" i="53"/>
  <c r="T233" i="53"/>
  <c r="T232" i="53"/>
  <c r="T231" i="53"/>
  <c r="T230" i="53"/>
  <c r="T229" i="53"/>
  <c r="T228" i="53"/>
  <c r="T227" i="53"/>
  <c r="T226" i="53"/>
  <c r="T225" i="53"/>
  <c r="T224" i="53"/>
  <c r="T223" i="53"/>
  <c r="T214" i="53"/>
  <c r="T213" i="53"/>
  <c r="T212" i="53"/>
  <c r="T211" i="53"/>
  <c r="T210" i="53"/>
  <c r="T209" i="53"/>
  <c r="T208" i="53"/>
  <c r="T207" i="53"/>
  <c r="T206" i="53"/>
  <c r="T205" i="53"/>
  <c r="T204" i="53"/>
  <c r="T203" i="53"/>
  <c r="T202" i="53"/>
  <c r="T201" i="53"/>
  <c r="T200" i="53"/>
  <c r="T199" i="53"/>
  <c r="T198" i="53"/>
  <c r="T197" i="53"/>
  <c r="T196" i="53"/>
  <c r="T195" i="53"/>
  <c r="T194" i="53"/>
  <c r="T193" i="53"/>
  <c r="T192" i="53"/>
  <c r="T191" i="53"/>
  <c r="T190" i="53"/>
  <c r="T189" i="53"/>
  <c r="T188" i="53"/>
  <c r="T187" i="53"/>
  <c r="T186" i="53"/>
  <c r="T185" i="53"/>
  <c r="T184" i="53"/>
  <c r="T183" i="53"/>
  <c r="T182" i="53"/>
  <c r="T181" i="53"/>
  <c r="T180" i="53"/>
  <c r="T179" i="53"/>
  <c r="T178" i="53"/>
  <c r="T177" i="53"/>
  <c r="T176" i="53"/>
  <c r="T175" i="53"/>
  <c r="T174" i="53"/>
  <c r="T173" i="53"/>
  <c r="T172" i="53"/>
  <c r="T171" i="53"/>
  <c r="T170" i="53"/>
  <c r="T169" i="53"/>
  <c r="T168" i="53"/>
  <c r="T167" i="53"/>
  <c r="T166" i="53"/>
  <c r="T165" i="53"/>
  <c r="T164" i="53"/>
  <c r="T163" i="53"/>
  <c r="T162" i="53"/>
  <c r="T161" i="53"/>
  <c r="T160" i="53"/>
  <c r="T159" i="53"/>
  <c r="T158" i="53"/>
  <c r="T157" i="53"/>
  <c r="T156" i="53"/>
  <c r="T155" i="53"/>
  <c r="T154" i="53"/>
  <c r="T153" i="53"/>
  <c r="T152" i="53"/>
  <c r="T151" i="53"/>
  <c r="T150" i="53"/>
  <c r="T149" i="53"/>
  <c r="T148" i="53"/>
  <c r="T147" i="53"/>
  <c r="T146" i="53"/>
  <c r="T145" i="53"/>
  <c r="T144" i="53"/>
  <c r="T143" i="53"/>
  <c r="T142" i="53"/>
  <c r="T141" i="53"/>
  <c r="T140" i="53"/>
  <c r="T139" i="53"/>
  <c r="T138" i="53"/>
  <c r="T137" i="53"/>
  <c r="T136" i="53"/>
  <c r="T135" i="53"/>
  <c r="T134" i="53"/>
  <c r="T133" i="53"/>
  <c r="T132" i="53"/>
  <c r="T131" i="53"/>
  <c r="T130" i="53"/>
  <c r="T129" i="53"/>
  <c r="T128" i="53"/>
  <c r="T127" i="53"/>
  <c r="T126" i="53"/>
  <c r="T125" i="53"/>
  <c r="T124" i="53"/>
  <c r="T123" i="53"/>
  <c r="T122" i="53"/>
  <c r="T121" i="53"/>
  <c r="T120" i="53"/>
  <c r="T119" i="53"/>
  <c r="T118" i="53"/>
  <c r="T117" i="53"/>
  <c r="T116" i="53"/>
  <c r="T115" i="53"/>
  <c r="T114" i="53"/>
  <c r="T113" i="53"/>
  <c r="T112" i="53"/>
  <c r="T111" i="53"/>
  <c r="T110" i="53"/>
  <c r="T109" i="53"/>
  <c r="T108" i="53"/>
  <c r="T107" i="53"/>
  <c r="T106" i="53"/>
  <c r="T105" i="53"/>
  <c r="T104" i="53"/>
  <c r="T103" i="53"/>
  <c r="T102" i="53"/>
  <c r="T101" i="53"/>
  <c r="T100" i="53"/>
  <c r="T99" i="53"/>
  <c r="T98" i="53"/>
  <c r="T97" i="53"/>
  <c r="T96" i="53"/>
  <c r="T95" i="53"/>
  <c r="T94" i="53"/>
  <c r="T93" i="53"/>
  <c r="T92" i="53"/>
  <c r="T91" i="53"/>
  <c r="T90" i="53"/>
  <c r="T89" i="53"/>
  <c r="T88" i="53"/>
  <c r="T87" i="53"/>
  <c r="T86" i="53"/>
  <c r="T85" i="53"/>
  <c r="T84" i="53"/>
  <c r="T83" i="53"/>
  <c r="T82" i="53"/>
  <c r="T81" i="53"/>
  <c r="T80" i="53"/>
  <c r="T79" i="53"/>
  <c r="T78" i="53"/>
  <c r="T77" i="53"/>
  <c r="T76" i="53"/>
  <c r="T75" i="53"/>
  <c r="T74" i="53"/>
  <c r="T73" i="53"/>
  <c r="T72" i="53"/>
  <c r="T71" i="53"/>
  <c r="T70" i="53"/>
  <c r="T69" i="53"/>
  <c r="T68" i="53"/>
  <c r="T67" i="53"/>
  <c r="T66" i="53"/>
  <c r="T65" i="53"/>
  <c r="T64" i="53"/>
  <c r="T63" i="53"/>
  <c r="T62" i="53"/>
  <c r="T61" i="53"/>
  <c r="T60" i="53"/>
  <c r="T59" i="53"/>
  <c r="T58" i="53"/>
  <c r="T57" i="53"/>
  <c r="T56" i="53"/>
  <c r="T55" i="53"/>
  <c r="T54" i="53"/>
  <c r="T53" i="53"/>
  <c r="T52" i="53"/>
  <c r="T51" i="53"/>
  <c r="T50" i="53"/>
  <c r="T49" i="53"/>
  <c r="T48" i="53"/>
  <c r="T47" i="53"/>
  <c r="T46" i="53"/>
  <c r="T45" i="53"/>
  <c r="T44" i="53"/>
  <c r="T43" i="53"/>
  <c r="T42" i="53"/>
  <c r="T41" i="53"/>
  <c r="T40" i="53"/>
  <c r="T39" i="53"/>
  <c r="T38" i="53"/>
  <c r="T37" i="53"/>
  <c r="T36" i="53"/>
  <c r="T35" i="53"/>
  <c r="T34" i="53"/>
  <c r="T33" i="53"/>
  <c r="T32" i="53"/>
  <c r="T31" i="53"/>
  <c r="T30" i="53"/>
  <c r="T29" i="53"/>
  <c r="T28" i="53"/>
  <c r="T27" i="53"/>
  <c r="T26" i="53"/>
  <c r="T25" i="53"/>
  <c r="T24" i="53"/>
  <c r="T23" i="53"/>
  <c r="T22" i="53"/>
  <c r="T21" i="53"/>
  <c r="T20" i="53"/>
  <c r="T19" i="53"/>
  <c r="T18" i="53"/>
  <c r="T17" i="53"/>
  <c r="T16" i="53"/>
  <c r="T15" i="53"/>
  <c r="T14" i="53"/>
  <c r="T13" i="53"/>
  <c r="T12" i="53"/>
  <c r="T7" i="53"/>
  <c r="T8" i="53"/>
  <c r="T9" i="53"/>
  <c r="T6" i="53"/>
  <c r="X9" i="53" l="1"/>
  <c r="Y9" i="53" s="1"/>
  <c r="X11" i="53"/>
  <c r="Y11" i="53" s="1"/>
  <c r="X7" i="53"/>
  <c r="Y7" i="53" s="1"/>
  <c r="X8" i="53"/>
  <c r="Y8" i="53" s="1"/>
  <c r="X12" i="53"/>
  <c r="Y12" i="53" s="1"/>
  <c r="X6" i="53"/>
  <c r="Y6" i="53" s="1"/>
  <c r="X10" i="53"/>
  <c r="Y10" i="53" s="1"/>
  <c r="B31" i="42"/>
  <c r="B32" i="42" s="1"/>
  <c r="C30" i="51"/>
  <c r="C29" i="51"/>
  <c r="C7" i="51"/>
  <c r="C8" i="51"/>
  <c r="C9" i="51"/>
  <c r="C10" i="51"/>
  <c r="C11" i="51"/>
  <c r="C12" i="51"/>
  <c r="C13" i="51"/>
  <c r="C14" i="51"/>
  <c r="C15" i="51"/>
  <c r="C16" i="51"/>
  <c r="C17" i="51"/>
  <c r="C18" i="51"/>
  <c r="C19" i="51"/>
  <c r="C20" i="51"/>
  <c r="C21" i="51"/>
  <c r="C22" i="51"/>
  <c r="C23" i="51"/>
  <c r="C24" i="51"/>
  <c r="C25" i="51"/>
  <c r="C26" i="51"/>
  <c r="C27" i="51"/>
  <c r="C28" i="51"/>
  <c r="C31" i="51" l="1"/>
  <c r="C33" i="51" s="1"/>
  <c r="C13" i="47" l="1"/>
  <c r="C14" i="47" l="1"/>
  <c r="C15" i="47" s="1"/>
  <c r="H10" i="52" l="1"/>
  <c r="G10" i="52"/>
  <c r="E10" i="52"/>
  <c r="D10" i="52"/>
  <c r="C10" i="52"/>
  <c r="K10" i="52" s="1"/>
  <c r="I8" i="52"/>
  <c r="I7" i="52"/>
  <c r="I6" i="52"/>
  <c r="I5" i="52"/>
  <c r="I4" i="52"/>
  <c r="I3" i="52"/>
  <c r="L19" i="51"/>
  <c r="L31" i="51"/>
  <c r="R17" i="21"/>
  <c r="R73" i="21"/>
  <c r="L73" i="21"/>
  <c r="T4" i="50"/>
  <c r="S4" i="50"/>
  <c r="O88" i="50"/>
  <c r="N88" i="50"/>
  <c r="O87" i="50"/>
  <c r="N87" i="50"/>
  <c r="O86" i="50"/>
  <c r="N86" i="50"/>
  <c r="O85" i="50"/>
  <c r="N85" i="50"/>
  <c r="P84" i="50"/>
  <c r="O84" i="50"/>
  <c r="N84" i="50"/>
  <c r="O82" i="50"/>
  <c r="N82" i="50"/>
  <c r="O81" i="50"/>
  <c r="N81" i="50"/>
  <c r="O80" i="50"/>
  <c r="N80" i="50"/>
  <c r="O78" i="50"/>
  <c r="N78" i="50"/>
  <c r="O77" i="50"/>
  <c r="N77" i="50"/>
  <c r="O76" i="50"/>
  <c r="N76" i="50"/>
  <c r="O75" i="50"/>
  <c r="N75" i="50"/>
  <c r="O74" i="50"/>
  <c r="N74" i="50"/>
  <c r="O72" i="50"/>
  <c r="N72" i="50"/>
  <c r="O71" i="50"/>
  <c r="N71" i="50"/>
  <c r="O70" i="50"/>
  <c r="N70" i="50"/>
  <c r="O69" i="50"/>
  <c r="N69" i="50"/>
  <c r="O68" i="50"/>
  <c r="N68" i="50"/>
  <c r="O67" i="50"/>
  <c r="N67" i="50"/>
  <c r="O66" i="50"/>
  <c r="N66" i="50"/>
  <c r="O64" i="50"/>
  <c r="N64" i="50"/>
  <c r="O63" i="50"/>
  <c r="N63" i="50"/>
  <c r="O62" i="50"/>
  <c r="N62" i="50"/>
  <c r="O60" i="50"/>
  <c r="N60" i="50"/>
  <c r="O59" i="50"/>
  <c r="N59" i="50"/>
  <c r="O58" i="50"/>
  <c r="N58" i="50"/>
  <c r="O57" i="50"/>
  <c r="N57" i="50"/>
  <c r="O56" i="50"/>
  <c r="N56" i="50"/>
  <c r="O55" i="50"/>
  <c r="N55" i="50"/>
  <c r="O54" i="50"/>
  <c r="N54" i="50"/>
  <c r="P53" i="50"/>
  <c r="O53" i="50"/>
  <c r="N53" i="50"/>
  <c r="O51" i="50"/>
  <c r="N51" i="50"/>
  <c r="O50" i="50"/>
  <c r="N50" i="50"/>
  <c r="O49" i="50"/>
  <c r="N49" i="50"/>
  <c r="O48" i="50"/>
  <c r="N48" i="50"/>
  <c r="O47" i="50"/>
  <c r="N47" i="50"/>
  <c r="O46" i="50"/>
  <c r="N46" i="50"/>
  <c r="O44" i="50"/>
  <c r="N44" i="50"/>
  <c r="O43" i="50"/>
  <c r="N43" i="50"/>
  <c r="O42" i="50"/>
  <c r="N42" i="50"/>
  <c r="O41" i="50"/>
  <c r="N41" i="50"/>
  <c r="O40" i="50"/>
  <c r="N40" i="50"/>
  <c r="O39" i="50"/>
  <c r="N39" i="50"/>
  <c r="O38" i="50"/>
  <c r="N38" i="50"/>
  <c r="O36" i="50"/>
  <c r="N36" i="50"/>
  <c r="O35" i="50"/>
  <c r="N35" i="50"/>
  <c r="O34" i="50"/>
  <c r="N34" i="50"/>
  <c r="O33" i="50"/>
  <c r="N33" i="50"/>
  <c r="O31" i="50"/>
  <c r="N31" i="50"/>
  <c r="O30" i="50"/>
  <c r="N30" i="50"/>
  <c r="O29" i="50"/>
  <c r="N29" i="50"/>
  <c r="O28" i="50"/>
  <c r="N28" i="50"/>
  <c r="O27" i="50"/>
  <c r="N27" i="50"/>
  <c r="O26" i="50"/>
  <c r="N26" i="50"/>
  <c r="O25" i="50"/>
  <c r="N25" i="50"/>
  <c r="O24" i="50"/>
  <c r="N24" i="50"/>
  <c r="O23" i="50"/>
  <c r="N23" i="50"/>
  <c r="O22" i="50"/>
  <c r="N22" i="50"/>
  <c r="O21" i="50"/>
  <c r="N21" i="50"/>
  <c r="O20" i="50"/>
  <c r="N20" i="50"/>
  <c r="O19" i="50"/>
  <c r="N19" i="50"/>
  <c r="P18" i="50"/>
  <c r="O18" i="50"/>
  <c r="N18" i="50"/>
  <c r="P17" i="50"/>
  <c r="P16" i="50"/>
  <c r="O16" i="50"/>
  <c r="N16" i="50"/>
  <c r="P15" i="50"/>
  <c r="O15" i="50"/>
  <c r="N15" i="50"/>
  <c r="N14" i="50"/>
  <c r="O13" i="50"/>
  <c r="O12" i="50"/>
  <c r="O11" i="50"/>
  <c r="N11" i="50"/>
  <c r="P10" i="50"/>
  <c r="O10" i="50"/>
  <c r="N10" i="50"/>
  <c r="O8" i="50"/>
  <c r="N8" i="50"/>
  <c r="P7" i="50"/>
  <c r="O7" i="50"/>
  <c r="N7" i="50"/>
  <c r="O5" i="50"/>
  <c r="O4" i="50"/>
  <c r="N4" i="50"/>
  <c r="T73" i="27"/>
  <c r="R72" i="27"/>
  <c r="R73" i="27"/>
  <c r="L78" i="36"/>
  <c r="Y73" i="27" s="1"/>
  <c r="N78" i="36"/>
  <c r="G73" i="21" s="1"/>
  <c r="F78" i="36"/>
  <c r="W73" i="27" s="1"/>
  <c r="S8" i="50" l="1"/>
  <c r="I14" i="51" s="1"/>
  <c r="O78" i="36"/>
  <c r="H71" i="22" s="1"/>
  <c r="I71" i="22" s="1"/>
  <c r="T8" i="50"/>
  <c r="I10" i="52"/>
  <c r="J10" i="52"/>
  <c r="C71" i="22"/>
  <c r="D71" i="22" s="1"/>
  <c r="H73" i="21"/>
  <c r="T73" i="21" s="1"/>
  <c r="M73" i="21"/>
  <c r="O73" i="21" s="1"/>
  <c r="P73" i="21" s="1"/>
  <c r="E32" i="51"/>
  <c r="N73" i="21"/>
  <c r="J71" i="22" l="1"/>
  <c r="K71" i="22"/>
  <c r="L32" i="51" s="1"/>
  <c r="E71" i="22"/>
  <c r="F71" i="22"/>
  <c r="S73" i="21"/>
  <c r="U73" i="21" s="1"/>
  <c r="V73" i="21" s="1"/>
  <c r="K32" i="51" s="1"/>
  <c r="E19" i="51" l="1"/>
  <c r="D19" i="51"/>
  <c r="K89" i="50"/>
  <c r="H89" i="50"/>
  <c r="J89" i="50" s="1"/>
  <c r="N89" i="50" s="1"/>
  <c r="S11" i="50" s="1"/>
  <c r="I25" i="51" s="1"/>
  <c r="G89" i="50"/>
  <c r="F89" i="50"/>
  <c r="E89" i="50"/>
  <c r="K83" i="50"/>
  <c r="H83" i="50"/>
  <c r="J83" i="50" s="1"/>
  <c r="N83" i="50" s="1"/>
  <c r="G83" i="50"/>
  <c r="F83" i="50"/>
  <c r="E83" i="50"/>
  <c r="K79" i="50"/>
  <c r="H79" i="50"/>
  <c r="J79" i="50" s="1"/>
  <c r="N79" i="50" s="1"/>
  <c r="G79" i="50"/>
  <c r="F79" i="50"/>
  <c r="E79" i="50"/>
  <c r="K73" i="50"/>
  <c r="H73" i="50"/>
  <c r="J73" i="50" s="1"/>
  <c r="N73" i="50" s="1"/>
  <c r="G73" i="50"/>
  <c r="F73" i="50"/>
  <c r="E73" i="50"/>
  <c r="K65" i="50"/>
  <c r="H65" i="50"/>
  <c r="J65" i="50" s="1"/>
  <c r="N65" i="50" s="1"/>
  <c r="G65" i="50"/>
  <c r="F65" i="50"/>
  <c r="E65" i="50"/>
  <c r="K61" i="50"/>
  <c r="H61" i="50"/>
  <c r="J61" i="50" s="1"/>
  <c r="N61" i="50" s="1"/>
  <c r="G61" i="50"/>
  <c r="F61" i="50"/>
  <c r="E61" i="50"/>
  <c r="K52" i="50"/>
  <c r="H52" i="50"/>
  <c r="J52" i="50" s="1"/>
  <c r="N52" i="50" s="1"/>
  <c r="G52" i="50"/>
  <c r="F52" i="50"/>
  <c r="E52" i="50"/>
  <c r="K45" i="50"/>
  <c r="H45" i="50"/>
  <c r="J45" i="50" s="1"/>
  <c r="N45" i="50" s="1"/>
  <c r="G45" i="50"/>
  <c r="F45" i="50"/>
  <c r="E45" i="50"/>
  <c r="K37" i="50"/>
  <c r="H37" i="50"/>
  <c r="J37" i="50" s="1"/>
  <c r="N37" i="50" s="1"/>
  <c r="G37" i="50"/>
  <c r="F37" i="50"/>
  <c r="E37" i="50"/>
  <c r="K32" i="50"/>
  <c r="H32" i="50"/>
  <c r="J32" i="50" s="1"/>
  <c r="N32" i="50" s="1"/>
  <c r="S9" i="50" s="1"/>
  <c r="I17" i="51" s="1"/>
  <c r="G32" i="50"/>
  <c r="F32" i="50"/>
  <c r="E32" i="50"/>
  <c r="K17" i="50"/>
  <c r="L17" i="50" s="1"/>
  <c r="O17" i="50" s="1"/>
  <c r="J17" i="50"/>
  <c r="N17" i="50" s="1"/>
  <c r="K14" i="50"/>
  <c r="H14" i="50"/>
  <c r="J13" i="50" s="1"/>
  <c r="N13" i="50" s="1"/>
  <c r="G14" i="50"/>
  <c r="F14" i="50"/>
  <c r="E14" i="50"/>
  <c r="K9" i="50"/>
  <c r="L9" i="50" s="1"/>
  <c r="O9" i="50" s="1"/>
  <c r="T6" i="50" s="1"/>
  <c r="J9" i="50"/>
  <c r="N9" i="50" s="1"/>
  <c r="S6" i="50" s="1"/>
  <c r="I9" i="51" s="1"/>
  <c r="K6" i="50"/>
  <c r="L6" i="50" s="1"/>
  <c r="O6" i="50" s="1"/>
  <c r="T5" i="50" s="1"/>
  <c r="J6" i="50"/>
  <c r="N6" i="50" s="1"/>
  <c r="S5" i="50" s="1"/>
  <c r="I8" i="51" s="1"/>
  <c r="I165" i="48"/>
  <c r="F165" i="48"/>
  <c r="E165" i="48"/>
  <c r="G156" i="48"/>
  <c r="G151" i="48"/>
  <c r="L135" i="48"/>
  <c r="G135" i="48"/>
  <c r="G124" i="48"/>
  <c r="G112" i="48"/>
  <c r="G100" i="48"/>
  <c r="G94" i="48"/>
  <c r="G82" i="48"/>
  <c r="G69" i="48"/>
  <c r="G63" i="48"/>
  <c r="G59" i="48"/>
  <c r="G56" i="48"/>
  <c r="G49" i="48"/>
  <c r="G43" i="48"/>
  <c r="G38" i="48"/>
  <c r="G36" i="48"/>
  <c r="G30" i="48"/>
  <c r="G26" i="48"/>
  <c r="G21" i="48"/>
  <c r="L83" i="50" l="1"/>
  <c r="O83" i="50" s="1"/>
  <c r="J12" i="50"/>
  <c r="N12" i="50" s="1"/>
  <c r="L65" i="50"/>
  <c r="O65" i="50" s="1"/>
  <c r="L45" i="50"/>
  <c r="O45" i="50" s="1"/>
  <c r="L37" i="50"/>
  <c r="O37" i="50" s="1"/>
  <c r="L14" i="50"/>
  <c r="O14" i="50" s="1"/>
  <c r="S10" i="50"/>
  <c r="I21" i="51" s="1"/>
  <c r="L79" i="50"/>
  <c r="O79" i="50" s="1"/>
  <c r="L61" i="50"/>
  <c r="O61" i="50" s="1"/>
  <c r="T10" i="50" s="1"/>
  <c r="L32" i="50"/>
  <c r="O32" i="50" s="1"/>
  <c r="T9" i="50" s="1"/>
  <c r="L73" i="50"/>
  <c r="O73" i="50" s="1"/>
  <c r="L89" i="50"/>
  <c r="O89" i="50" s="1"/>
  <c r="T11" i="50" s="1"/>
  <c r="S7" i="50"/>
  <c r="I11" i="51" s="1"/>
  <c r="L52" i="50"/>
  <c r="O52" i="50" s="1"/>
  <c r="G165" i="48"/>
  <c r="L16" i="27" l="1"/>
  <c r="L15" i="27"/>
  <c r="L14" i="27" l="1"/>
  <c r="C19" i="42"/>
  <c r="K7" i="36" l="1"/>
  <c r="K8" i="36"/>
  <c r="K9" i="36"/>
  <c r="K10" i="36"/>
  <c r="K11" i="36"/>
  <c r="K12" i="36"/>
  <c r="K13" i="36"/>
  <c r="K14" i="36"/>
  <c r="K15" i="36"/>
  <c r="K16" i="36"/>
  <c r="K17" i="36"/>
  <c r="K18" i="36"/>
  <c r="K19" i="36"/>
  <c r="K20" i="36"/>
  <c r="K21" i="36"/>
  <c r="K22" i="36"/>
  <c r="K23" i="36"/>
  <c r="K24" i="36"/>
  <c r="K25" i="36"/>
  <c r="K26" i="36"/>
  <c r="K27" i="36"/>
  <c r="K28" i="36"/>
  <c r="K29" i="36"/>
  <c r="K31" i="36"/>
  <c r="K32" i="36"/>
  <c r="K33" i="36"/>
  <c r="K34" i="36"/>
  <c r="K35" i="36"/>
  <c r="K36" i="36"/>
  <c r="K37" i="36"/>
  <c r="K38" i="36"/>
  <c r="K39" i="36"/>
  <c r="K40" i="36"/>
  <c r="K41" i="36"/>
  <c r="K42" i="36"/>
  <c r="K43" i="36"/>
  <c r="K44" i="36"/>
  <c r="K45" i="36"/>
  <c r="K46" i="36"/>
  <c r="K47" i="36"/>
  <c r="K48" i="36"/>
  <c r="K49" i="36"/>
  <c r="K50" i="36"/>
  <c r="K51" i="36"/>
  <c r="K52" i="36"/>
  <c r="K53" i="36"/>
  <c r="K54" i="36"/>
  <c r="K55" i="36"/>
  <c r="K56" i="36"/>
  <c r="K57" i="36"/>
  <c r="K58" i="36"/>
  <c r="K59" i="36"/>
  <c r="K60" i="36"/>
  <c r="K61" i="36"/>
  <c r="K62" i="36"/>
  <c r="K63" i="36"/>
  <c r="K64" i="36"/>
  <c r="K65" i="36"/>
  <c r="K66" i="36"/>
  <c r="K67" i="36"/>
  <c r="K68" i="36"/>
  <c r="K69" i="36"/>
  <c r="K70" i="36"/>
  <c r="K71" i="36"/>
  <c r="K30" i="36"/>
  <c r="L30" i="36" s="1"/>
  <c r="E30" i="36"/>
  <c r="F30" i="36" s="1"/>
  <c r="E44" i="36"/>
  <c r="F44" i="36" s="1"/>
  <c r="E45" i="36"/>
  <c r="F45" i="36" s="1"/>
  <c r="E47" i="36"/>
  <c r="F47" i="36" s="1"/>
  <c r="E48" i="36"/>
  <c r="F48" i="36" s="1"/>
  <c r="E49" i="36"/>
  <c r="F49" i="36" s="1"/>
  <c r="E50" i="36"/>
  <c r="F50" i="36" s="1"/>
  <c r="E51" i="36"/>
  <c r="F51" i="36" s="1"/>
  <c r="E52" i="36"/>
  <c r="F52" i="36" s="1"/>
  <c r="E53" i="36"/>
  <c r="F53" i="36" s="1"/>
  <c r="E55" i="36"/>
  <c r="F55" i="36" s="1"/>
  <c r="E56" i="36"/>
  <c r="F56" i="36" s="1"/>
  <c r="E57" i="36"/>
  <c r="F57" i="36" s="1"/>
  <c r="E58" i="36"/>
  <c r="F58" i="36" s="1"/>
  <c r="E59" i="36"/>
  <c r="F59" i="36" s="1"/>
  <c r="E60" i="36"/>
  <c r="F60" i="36" s="1"/>
  <c r="E61" i="36"/>
  <c r="F61" i="36" s="1"/>
  <c r="E62" i="36"/>
  <c r="F62" i="36" s="1"/>
  <c r="E63" i="36"/>
  <c r="F63" i="36" s="1"/>
  <c r="E64" i="36"/>
  <c r="F64" i="36" s="1"/>
  <c r="E65" i="36"/>
  <c r="F65" i="36" s="1"/>
  <c r="E66" i="36"/>
  <c r="F66" i="36" s="1"/>
  <c r="E67" i="36"/>
  <c r="F67" i="36" s="1"/>
  <c r="E68" i="36"/>
  <c r="F68" i="36" s="1"/>
  <c r="E69" i="36"/>
  <c r="F69" i="36" s="1"/>
  <c r="E70" i="36"/>
  <c r="F70" i="36" s="1"/>
  <c r="E71" i="36"/>
  <c r="F71" i="36" s="1"/>
  <c r="F73" i="36" s="1"/>
  <c r="E7" i="36"/>
  <c r="E8" i="36"/>
  <c r="E9" i="36"/>
  <c r="E10" i="36"/>
  <c r="E11" i="36"/>
  <c r="E12" i="36"/>
  <c r="E13" i="36"/>
  <c r="E14" i="36"/>
  <c r="F14" i="36" s="1"/>
  <c r="E15" i="36"/>
  <c r="F15" i="36" s="1"/>
  <c r="E16" i="36"/>
  <c r="F16" i="36" s="1"/>
  <c r="E17" i="36"/>
  <c r="F17" i="36" s="1"/>
  <c r="E18" i="36"/>
  <c r="F18" i="36" s="1"/>
  <c r="E19" i="36"/>
  <c r="F19" i="36" s="1"/>
  <c r="E20" i="36"/>
  <c r="F20" i="36" s="1"/>
  <c r="E22" i="36"/>
  <c r="F22" i="36" s="1"/>
  <c r="E23" i="36"/>
  <c r="F23" i="36" s="1"/>
  <c r="E24" i="36"/>
  <c r="F24" i="36" s="1"/>
  <c r="E25" i="36"/>
  <c r="F25" i="36" s="1"/>
  <c r="E27" i="36"/>
  <c r="F27" i="36" s="1"/>
  <c r="E28" i="36"/>
  <c r="F28" i="36" s="1"/>
  <c r="E29" i="36"/>
  <c r="F29" i="36" s="1"/>
  <c r="E31" i="36"/>
  <c r="F31" i="36" s="1"/>
  <c r="E32" i="36"/>
  <c r="F32" i="36" s="1"/>
  <c r="E33" i="36"/>
  <c r="F33" i="36" s="1"/>
  <c r="E34" i="36"/>
  <c r="F34" i="36" s="1"/>
  <c r="E36" i="36"/>
  <c r="F36" i="36" s="1"/>
  <c r="E37" i="36"/>
  <c r="F37" i="36" s="1"/>
  <c r="E38" i="36"/>
  <c r="F38" i="36" s="1"/>
  <c r="E39" i="36"/>
  <c r="F39" i="36" s="1"/>
  <c r="E40" i="36"/>
  <c r="F40" i="36" s="1"/>
  <c r="E41" i="36"/>
  <c r="F41" i="36" s="1"/>
  <c r="E42" i="36"/>
  <c r="F42" i="36" s="1"/>
  <c r="E43" i="36"/>
  <c r="F43" i="36" s="1"/>
  <c r="E26" i="36"/>
  <c r="F26" i="36" s="1"/>
  <c r="E46" i="36"/>
  <c r="F46" i="36" s="1"/>
  <c r="E54" i="36" l="1"/>
  <c r="F54" i="36" s="1"/>
  <c r="D27" i="46"/>
  <c r="D33" i="46"/>
  <c r="D32" i="46"/>
  <c r="D31" i="46"/>
  <c r="D30" i="46"/>
  <c r="D29" i="46"/>
  <c r="D28" i="46"/>
  <c r="D26" i="46"/>
  <c r="D25" i="46"/>
  <c r="D24" i="46"/>
  <c r="D23" i="46"/>
  <c r="D22" i="46"/>
  <c r="D21" i="46"/>
  <c r="D20" i="46"/>
  <c r="D19" i="46"/>
  <c r="D18" i="46"/>
  <c r="D17" i="46"/>
  <c r="D16" i="46"/>
  <c r="D15" i="46"/>
  <c r="D10" i="46"/>
  <c r="D11" i="46"/>
  <c r="D12" i="46"/>
  <c r="D13" i="46"/>
  <c r="D9" i="46"/>
  <c r="D6" i="46"/>
  <c r="D7" i="46"/>
  <c r="D8" i="46"/>
  <c r="D5" i="46"/>
  <c r="D4" i="46"/>
  <c r="E35" i="36" l="1"/>
  <c r="F35" i="36" s="1"/>
  <c r="E21" i="36"/>
  <c r="F21" i="36" s="1"/>
  <c r="T5" i="44"/>
  <c r="N7" i="45" l="1"/>
  <c r="N8" i="45"/>
  <c r="N10" i="45"/>
  <c r="N11" i="45"/>
  <c r="N14" i="45"/>
  <c r="N15" i="45"/>
  <c r="N16" i="45"/>
  <c r="N18" i="45"/>
  <c r="N19" i="45"/>
  <c r="N20" i="45"/>
  <c r="N21" i="45"/>
  <c r="N22" i="45"/>
  <c r="N23" i="45"/>
  <c r="N24" i="45"/>
  <c r="N25" i="45"/>
  <c r="N26" i="45"/>
  <c r="N27" i="45"/>
  <c r="N28" i="45"/>
  <c r="N29" i="45"/>
  <c r="N30" i="45"/>
  <c r="N31" i="45"/>
  <c r="N33" i="45"/>
  <c r="N34" i="45"/>
  <c r="N35" i="45"/>
  <c r="N36" i="45"/>
  <c r="N38" i="45"/>
  <c r="N39" i="45"/>
  <c r="N40" i="45"/>
  <c r="N41" i="45"/>
  <c r="N42" i="45"/>
  <c r="N43" i="45"/>
  <c r="N44" i="45"/>
  <c r="N46" i="45"/>
  <c r="N47" i="45"/>
  <c r="N48" i="45"/>
  <c r="N49" i="45"/>
  <c r="N50" i="45"/>
  <c r="N51" i="45"/>
  <c r="N53" i="45"/>
  <c r="N54" i="45"/>
  <c r="N55" i="45"/>
  <c r="N56" i="45"/>
  <c r="N57" i="45"/>
  <c r="N58" i="45"/>
  <c r="N59" i="45"/>
  <c r="N60" i="45"/>
  <c r="N62" i="45"/>
  <c r="N63" i="45"/>
  <c r="N64" i="45"/>
  <c r="N66" i="45"/>
  <c r="N67" i="45"/>
  <c r="N68" i="45"/>
  <c r="N69" i="45"/>
  <c r="N70" i="45"/>
  <c r="N71" i="45"/>
  <c r="N72" i="45"/>
  <c r="N74" i="45"/>
  <c r="N75" i="45"/>
  <c r="N76" i="45"/>
  <c r="N77" i="45"/>
  <c r="N78" i="45"/>
  <c r="N80" i="45"/>
  <c r="N81" i="45"/>
  <c r="N82" i="45"/>
  <c r="N84" i="45"/>
  <c r="N85" i="45"/>
  <c r="N86" i="45"/>
  <c r="N87" i="45"/>
  <c r="N88" i="45"/>
  <c r="T4" i="45"/>
  <c r="S4" i="45"/>
  <c r="O4" i="45"/>
  <c r="N4" i="45"/>
  <c r="U221" i="44"/>
  <c r="U220" i="44"/>
  <c r="U218" i="44"/>
  <c r="U217" i="44"/>
  <c r="U216" i="44"/>
  <c r="U215" i="44"/>
  <c r="U214" i="44"/>
  <c r="U212" i="44"/>
  <c r="U210" i="44"/>
  <c r="U208" i="44"/>
  <c r="U207" i="44"/>
  <c r="U206" i="44"/>
  <c r="U205" i="44"/>
  <c r="U204" i="44"/>
  <c r="U202" i="44"/>
  <c r="U201" i="44"/>
  <c r="U200" i="44"/>
  <c r="U199" i="44"/>
  <c r="U198" i="44"/>
  <c r="U197" i="44"/>
  <c r="U195" i="44"/>
  <c r="U179" i="44"/>
  <c r="U174" i="44"/>
  <c r="U173" i="44"/>
  <c r="U171" i="44"/>
  <c r="U167" i="44"/>
  <c r="U152" i="44"/>
  <c r="U140" i="44"/>
  <c r="U137" i="44"/>
  <c r="U135" i="44"/>
  <c r="U134" i="44"/>
  <c r="U131" i="44"/>
  <c r="U130" i="44"/>
  <c r="U14" i="44"/>
  <c r="U11" i="44"/>
  <c r="U10" i="44"/>
  <c r="U9" i="44"/>
  <c r="U6" i="44"/>
  <c r="T220" i="44"/>
  <c r="T214" i="44"/>
  <c r="T212" i="44"/>
  <c r="T195" i="44"/>
  <c r="T179" i="44"/>
  <c r="T174" i="44"/>
  <c r="T173" i="44"/>
  <c r="T171" i="44"/>
  <c r="T167" i="44"/>
  <c r="T152" i="44"/>
  <c r="T140" i="44"/>
  <c r="T137" i="44"/>
  <c r="T135" i="44"/>
  <c r="T134" i="44"/>
  <c r="T131" i="44"/>
  <c r="T130" i="44"/>
  <c r="T14" i="44"/>
  <c r="T11" i="44"/>
  <c r="T10" i="44"/>
  <c r="T9" i="44"/>
  <c r="T6" i="44"/>
  <c r="U5" i="44"/>
  <c r="Y5" i="44"/>
  <c r="X5" i="44"/>
  <c r="P7" i="45"/>
  <c r="P10" i="45"/>
  <c r="P15" i="45"/>
  <c r="P16" i="45"/>
  <c r="P17" i="45"/>
  <c r="P18" i="45"/>
  <c r="P53" i="45"/>
  <c r="P84" i="45"/>
  <c r="O18" i="45"/>
  <c r="O19" i="45"/>
  <c r="O20" i="45"/>
  <c r="O21" i="45"/>
  <c r="O22" i="45"/>
  <c r="O23" i="45"/>
  <c r="O24" i="45"/>
  <c r="O25" i="45"/>
  <c r="O26" i="45"/>
  <c r="O27" i="45"/>
  <c r="O28" i="45"/>
  <c r="O29" i="45"/>
  <c r="O30" i="45"/>
  <c r="O31" i="45"/>
  <c r="O33" i="45"/>
  <c r="O34" i="45"/>
  <c r="O35" i="45"/>
  <c r="O36" i="45"/>
  <c r="O38" i="45"/>
  <c r="O39" i="45"/>
  <c r="O40" i="45"/>
  <c r="O41" i="45"/>
  <c r="O42" i="45"/>
  <c r="O43" i="45"/>
  <c r="O44" i="45"/>
  <c r="O46" i="45"/>
  <c r="O47" i="45"/>
  <c r="O48" i="45"/>
  <c r="O49" i="45"/>
  <c r="O50" i="45"/>
  <c r="O51" i="45"/>
  <c r="O53" i="45"/>
  <c r="O54" i="45"/>
  <c r="O55" i="45"/>
  <c r="O56" i="45"/>
  <c r="O57" i="45"/>
  <c r="O58" i="45"/>
  <c r="O59" i="45"/>
  <c r="O60" i="45"/>
  <c r="O62" i="45"/>
  <c r="O63" i="45"/>
  <c r="O64" i="45"/>
  <c r="O66" i="45"/>
  <c r="O67" i="45"/>
  <c r="O68" i="45"/>
  <c r="O69" i="45"/>
  <c r="O70" i="45"/>
  <c r="O71" i="45"/>
  <c r="O72" i="45"/>
  <c r="O74" i="45"/>
  <c r="O75" i="45"/>
  <c r="O76" i="45"/>
  <c r="O77" i="45"/>
  <c r="O78" i="45"/>
  <c r="O80" i="45"/>
  <c r="O81" i="45"/>
  <c r="O82" i="45"/>
  <c r="O84" i="45"/>
  <c r="O85" i="45"/>
  <c r="O86" i="45"/>
  <c r="O87" i="45"/>
  <c r="O88" i="45"/>
  <c r="O5" i="45"/>
  <c r="O7" i="45"/>
  <c r="O8" i="45"/>
  <c r="O10" i="45"/>
  <c r="O11" i="45"/>
  <c r="O12" i="45"/>
  <c r="O13" i="45"/>
  <c r="O15" i="45"/>
  <c r="O16" i="45"/>
  <c r="R221" i="44"/>
  <c r="R218" i="44"/>
  <c r="R217" i="44"/>
  <c r="R216" i="44"/>
  <c r="R215" i="44"/>
  <c r="R203" i="44"/>
  <c r="R209" i="44"/>
  <c r="R211" i="44"/>
  <c r="R196" i="44"/>
  <c r="R178" i="44"/>
  <c r="R177" i="44"/>
  <c r="R176" i="44"/>
  <c r="R175" i="44"/>
  <c r="R172" i="44"/>
  <c r="R165" i="44"/>
  <c r="R163" i="44"/>
  <c r="R162" i="44"/>
  <c r="R158" i="44"/>
  <c r="R157" i="44"/>
  <c r="R155" i="44"/>
  <c r="R139" i="44"/>
  <c r="R138" i="44"/>
  <c r="R133" i="44"/>
  <c r="R132" i="44"/>
  <c r="R13" i="44"/>
  <c r="R12" i="44"/>
  <c r="R8" i="44"/>
  <c r="R7" i="44"/>
  <c r="F16" i="44"/>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F79" i="44"/>
  <c r="F80" i="44"/>
  <c r="F81" i="44"/>
  <c r="F82" i="44"/>
  <c r="F83" i="44"/>
  <c r="F84" i="44"/>
  <c r="F85" i="44"/>
  <c r="F86" i="44"/>
  <c r="F87" i="44"/>
  <c r="F88" i="44"/>
  <c r="F89" i="44"/>
  <c r="F90" i="44"/>
  <c r="F91" i="44"/>
  <c r="F92" i="44"/>
  <c r="F93" i="44"/>
  <c r="F94" i="44"/>
  <c r="F95" i="44"/>
  <c r="F96" i="44"/>
  <c r="F97" i="44"/>
  <c r="F98" i="44"/>
  <c r="F99" i="44"/>
  <c r="F100" i="44"/>
  <c r="F101" i="44"/>
  <c r="F102" i="44"/>
  <c r="F103" i="44"/>
  <c r="F104" i="44"/>
  <c r="F105" i="44"/>
  <c r="F106" i="44"/>
  <c r="F107" i="44"/>
  <c r="F108" i="44"/>
  <c r="F109" i="44"/>
  <c r="F110" i="44"/>
  <c r="F111" i="44"/>
  <c r="F112" i="44"/>
  <c r="F113" i="44"/>
  <c r="F114" i="44"/>
  <c r="F115" i="44"/>
  <c r="F116" i="44"/>
  <c r="F117" i="44"/>
  <c r="F118" i="44"/>
  <c r="F119" i="44"/>
  <c r="F120" i="44"/>
  <c r="F121" i="44"/>
  <c r="F122" i="44"/>
  <c r="F123" i="44"/>
  <c r="F124" i="44"/>
  <c r="F125" i="44"/>
  <c r="F126" i="44"/>
  <c r="F127" i="44"/>
  <c r="F128" i="44"/>
  <c r="F129" i="44"/>
  <c r="F130" i="44"/>
  <c r="F131" i="44"/>
  <c r="F132" i="44"/>
  <c r="F133" i="44"/>
  <c r="F134" i="44"/>
  <c r="F135" i="44"/>
  <c r="F136" i="44"/>
  <c r="F137" i="44"/>
  <c r="F138" i="44"/>
  <c r="F139" i="44"/>
  <c r="F140" i="44"/>
  <c r="F141" i="44"/>
  <c r="F142" i="44"/>
  <c r="F143" i="44"/>
  <c r="F144" i="44"/>
  <c r="F145" i="44"/>
  <c r="F146" i="44"/>
  <c r="F147" i="44"/>
  <c r="F148" i="44"/>
  <c r="F149" i="44"/>
  <c r="F150" i="44"/>
  <c r="F151" i="44"/>
  <c r="F152" i="44"/>
  <c r="F153" i="44"/>
  <c r="F154" i="44"/>
  <c r="F155" i="44"/>
  <c r="F156" i="44"/>
  <c r="F157" i="44"/>
  <c r="F158" i="44"/>
  <c r="F159" i="44"/>
  <c r="F160" i="44"/>
  <c r="F161" i="44"/>
  <c r="F162" i="44"/>
  <c r="F163" i="44"/>
  <c r="F164" i="44"/>
  <c r="F165" i="44"/>
  <c r="F166" i="44"/>
  <c r="F167" i="44"/>
  <c r="F168" i="44"/>
  <c r="F169" i="44"/>
  <c r="F170" i="44"/>
  <c r="F171" i="44"/>
  <c r="F172" i="44"/>
  <c r="F173" i="44"/>
  <c r="F174" i="44"/>
  <c r="F175" i="44"/>
  <c r="F176" i="44"/>
  <c r="F177" i="44"/>
  <c r="F178" i="44"/>
  <c r="F179" i="44"/>
  <c r="F180" i="44"/>
  <c r="F181" i="44"/>
  <c r="F182" i="44"/>
  <c r="F183" i="44"/>
  <c r="F184" i="44"/>
  <c r="F185" i="44"/>
  <c r="F186" i="44"/>
  <c r="F187" i="44"/>
  <c r="F188" i="44"/>
  <c r="F189" i="44"/>
  <c r="F190" i="44"/>
  <c r="F191" i="44"/>
  <c r="F192" i="44"/>
  <c r="F193" i="44"/>
  <c r="F194" i="44"/>
  <c r="F195" i="44"/>
  <c r="F196" i="44"/>
  <c r="F197" i="44"/>
  <c r="F198" i="44"/>
  <c r="F199" i="44"/>
  <c r="F200" i="44"/>
  <c r="F201" i="44"/>
  <c r="F202" i="44"/>
  <c r="F203" i="44"/>
  <c r="F204" i="44"/>
  <c r="F205" i="44"/>
  <c r="F206" i="44"/>
  <c r="F207" i="44"/>
  <c r="F208" i="44"/>
  <c r="F209" i="44"/>
  <c r="F210" i="44"/>
  <c r="F211" i="44"/>
  <c r="F212" i="44"/>
  <c r="F213" i="44"/>
  <c r="F214" i="44"/>
  <c r="F215" i="44"/>
  <c r="F216" i="44"/>
  <c r="F217" i="44"/>
  <c r="F218" i="44"/>
  <c r="F219" i="44"/>
  <c r="F220" i="44"/>
  <c r="F221" i="44"/>
  <c r="F222" i="44"/>
  <c r="F223" i="44"/>
  <c r="F224" i="44"/>
  <c r="F225" i="44"/>
  <c r="F226" i="44"/>
  <c r="F227" i="44"/>
  <c r="F228" i="44"/>
  <c r="F229" i="44"/>
  <c r="F230" i="44"/>
  <c r="F231" i="44"/>
  <c r="F232" i="44"/>
  <c r="F233" i="44"/>
  <c r="F234" i="44"/>
  <c r="F235" i="44"/>
  <c r="F236" i="44"/>
  <c r="F237" i="44"/>
  <c r="F238" i="44"/>
  <c r="F239" i="44"/>
  <c r="F240" i="44"/>
  <c r="F241" i="44"/>
  <c r="F242" i="44"/>
  <c r="F243" i="44"/>
  <c r="F244" i="44"/>
  <c r="F245" i="44"/>
  <c r="F246" i="44"/>
  <c r="F247" i="44"/>
  <c r="F248" i="44"/>
  <c r="F249" i="44"/>
  <c r="F250" i="44"/>
  <c r="F251" i="44"/>
  <c r="F252" i="44"/>
  <c r="F253" i="44"/>
  <c r="F254" i="44"/>
  <c r="F255" i="44"/>
  <c r="F256" i="44"/>
  <c r="F6" i="44"/>
  <c r="F7" i="44"/>
  <c r="F8" i="44"/>
  <c r="F9" i="44"/>
  <c r="F10" i="44"/>
  <c r="F11" i="44"/>
  <c r="F12" i="44"/>
  <c r="F13" i="44"/>
  <c r="F14" i="44"/>
  <c r="F15" i="44"/>
  <c r="F5" i="44"/>
  <c r="T8" i="45" l="1"/>
  <c r="Y14" i="44"/>
  <c r="S8" i="45"/>
  <c r="Y130" i="44"/>
  <c r="Y13" i="44"/>
  <c r="K89" i="45"/>
  <c r="H89" i="45"/>
  <c r="J89" i="45" s="1"/>
  <c r="N89" i="45" s="1"/>
  <c r="S11" i="45" s="1"/>
  <c r="G89" i="45"/>
  <c r="F89" i="45"/>
  <c r="E89" i="45"/>
  <c r="K83" i="45"/>
  <c r="H83" i="45"/>
  <c r="J83" i="45" s="1"/>
  <c r="N83" i="45" s="1"/>
  <c r="G83" i="45"/>
  <c r="F83" i="45"/>
  <c r="E83" i="45"/>
  <c r="K79" i="45"/>
  <c r="H79" i="45"/>
  <c r="J79" i="45" s="1"/>
  <c r="N79" i="45" s="1"/>
  <c r="G79" i="45"/>
  <c r="F79" i="45"/>
  <c r="E79" i="45"/>
  <c r="K73" i="45"/>
  <c r="L73" i="45" s="1"/>
  <c r="O73" i="45" s="1"/>
  <c r="H73" i="45"/>
  <c r="J73" i="45" s="1"/>
  <c r="N73" i="45" s="1"/>
  <c r="G73" i="45"/>
  <c r="F73" i="45"/>
  <c r="E73" i="45"/>
  <c r="K65" i="45"/>
  <c r="H65" i="45"/>
  <c r="J65" i="45" s="1"/>
  <c r="N65" i="45" s="1"/>
  <c r="G65" i="45"/>
  <c r="F65" i="45"/>
  <c r="E65" i="45"/>
  <c r="K61" i="45"/>
  <c r="H61" i="45"/>
  <c r="J61" i="45" s="1"/>
  <c r="N61" i="45" s="1"/>
  <c r="G61" i="45"/>
  <c r="F61" i="45"/>
  <c r="E61" i="45"/>
  <c r="K52" i="45"/>
  <c r="H52" i="45"/>
  <c r="J52" i="45" s="1"/>
  <c r="N52" i="45" s="1"/>
  <c r="G52" i="45"/>
  <c r="F52" i="45"/>
  <c r="E52" i="45"/>
  <c r="K45" i="45"/>
  <c r="H45" i="45"/>
  <c r="J45" i="45" s="1"/>
  <c r="N45" i="45" s="1"/>
  <c r="G45" i="45"/>
  <c r="F45" i="45"/>
  <c r="E45" i="45"/>
  <c r="K37" i="45"/>
  <c r="H37" i="45"/>
  <c r="J37" i="45" s="1"/>
  <c r="N37" i="45" s="1"/>
  <c r="G37" i="45"/>
  <c r="F37" i="45"/>
  <c r="E37" i="45"/>
  <c r="L37" i="45" s="1"/>
  <c r="O37" i="45" s="1"/>
  <c r="K32" i="45"/>
  <c r="H32" i="45"/>
  <c r="J32" i="45" s="1"/>
  <c r="N32" i="45" s="1"/>
  <c r="G32" i="45"/>
  <c r="F32" i="45"/>
  <c r="E32" i="45"/>
  <c r="K17" i="45"/>
  <c r="L17" i="45" s="1"/>
  <c r="O17" i="45" s="1"/>
  <c r="J17" i="45"/>
  <c r="N17" i="45" s="1"/>
  <c r="K14" i="45"/>
  <c r="H14" i="45"/>
  <c r="J13" i="45" s="1"/>
  <c r="N13" i="45" s="1"/>
  <c r="G14" i="45"/>
  <c r="F14" i="45"/>
  <c r="E14" i="45"/>
  <c r="J12" i="45"/>
  <c r="N12" i="45" s="1"/>
  <c r="K9" i="45"/>
  <c r="L9" i="45" s="1"/>
  <c r="O9" i="45" s="1"/>
  <c r="T6" i="45" s="1"/>
  <c r="J9" i="45"/>
  <c r="N9" i="45" s="1"/>
  <c r="S6" i="45" s="1"/>
  <c r="K6" i="45"/>
  <c r="L6" i="45" s="1"/>
  <c r="O6" i="45" s="1"/>
  <c r="T5" i="45" s="1"/>
  <c r="J6" i="45"/>
  <c r="N6" i="45" s="1"/>
  <c r="S5" i="45" s="1"/>
  <c r="P221" i="44"/>
  <c r="T221" i="44" s="1"/>
  <c r="X130" i="44" s="1"/>
  <c r="L221" i="44"/>
  <c r="O218" i="44"/>
  <c r="P218" i="44" s="1"/>
  <c r="T218" i="44" s="1"/>
  <c r="X14" i="44" s="1"/>
  <c r="L218" i="44"/>
  <c r="P217" i="44"/>
  <c r="T217" i="44" s="1"/>
  <c r="L217" i="44"/>
  <c r="P216" i="44"/>
  <c r="T216" i="44" s="1"/>
  <c r="L216" i="44"/>
  <c r="P215" i="44"/>
  <c r="T215" i="44" s="1"/>
  <c r="X13" i="44" s="1"/>
  <c r="L215" i="44"/>
  <c r="S212" i="44"/>
  <c r="J212" i="44"/>
  <c r="P207" i="44" s="1"/>
  <c r="T207" i="44" s="1"/>
  <c r="I212" i="44"/>
  <c r="H212" i="44"/>
  <c r="N211" i="44"/>
  <c r="M211" i="44"/>
  <c r="L211" i="44"/>
  <c r="N209" i="44"/>
  <c r="M209" i="44"/>
  <c r="L209" i="44"/>
  <c r="N203" i="44"/>
  <c r="M203" i="44"/>
  <c r="L203" i="44"/>
  <c r="N196" i="44"/>
  <c r="M196" i="44"/>
  <c r="L196" i="44"/>
  <c r="I179" i="44"/>
  <c r="H179" i="44"/>
  <c r="N178" i="44"/>
  <c r="M178" i="44"/>
  <c r="J178" i="44"/>
  <c r="J179" i="44" s="1"/>
  <c r="N177" i="44"/>
  <c r="M177" i="44"/>
  <c r="L177" i="44"/>
  <c r="N176" i="44"/>
  <c r="M176" i="44"/>
  <c r="L176" i="44"/>
  <c r="N175" i="44"/>
  <c r="M175" i="44"/>
  <c r="L175" i="44"/>
  <c r="N172" i="44"/>
  <c r="M172" i="44"/>
  <c r="L172" i="44"/>
  <c r="J167" i="44"/>
  <c r="K157" i="44" s="1"/>
  <c r="O157" i="44" s="1"/>
  <c r="I167" i="44"/>
  <c r="H167" i="44"/>
  <c r="N165" i="44"/>
  <c r="M165" i="44"/>
  <c r="L165" i="44"/>
  <c r="N163" i="44"/>
  <c r="M163" i="44"/>
  <c r="L163" i="44"/>
  <c r="N162" i="44"/>
  <c r="M162" i="44"/>
  <c r="L162" i="44"/>
  <c r="N158" i="44"/>
  <c r="M158" i="44"/>
  <c r="L158" i="44"/>
  <c r="N157" i="44"/>
  <c r="M157" i="44"/>
  <c r="L157" i="44"/>
  <c r="N155" i="44"/>
  <c r="M155" i="44"/>
  <c r="L155" i="44"/>
  <c r="J140" i="44"/>
  <c r="K138" i="44" s="1"/>
  <c r="O138" i="44" s="1"/>
  <c r="N139" i="44"/>
  <c r="M139" i="44"/>
  <c r="L139" i="44"/>
  <c r="N138" i="44"/>
  <c r="M138" i="44"/>
  <c r="L138" i="44"/>
  <c r="J135" i="44"/>
  <c r="K132" i="44" s="1"/>
  <c r="O132" i="44" s="1"/>
  <c r="N133" i="44"/>
  <c r="M133" i="44"/>
  <c r="L133" i="44"/>
  <c r="N132" i="44"/>
  <c r="M132" i="44"/>
  <c r="L132" i="44"/>
  <c r="J14" i="44"/>
  <c r="K13" i="44" s="1"/>
  <c r="O13" i="44" s="1"/>
  <c r="I14" i="44"/>
  <c r="H14" i="44"/>
  <c r="N13" i="44"/>
  <c r="M13" i="44"/>
  <c r="L13" i="44"/>
  <c r="N12" i="44"/>
  <c r="M12" i="44"/>
  <c r="L12" i="44"/>
  <c r="J9" i="44"/>
  <c r="L9" i="44" s="1"/>
  <c r="I9" i="44"/>
  <c r="N9" i="44" s="1"/>
  <c r="H9" i="44"/>
  <c r="M9" i="44" s="1"/>
  <c r="N8" i="44"/>
  <c r="M8" i="44"/>
  <c r="L8" i="44"/>
  <c r="N7" i="44"/>
  <c r="M7" i="44"/>
  <c r="L7" i="44"/>
  <c r="L52" i="45" l="1"/>
  <c r="O52" i="45" s="1"/>
  <c r="S9" i="45"/>
  <c r="S7" i="45"/>
  <c r="L89" i="45"/>
  <c r="O89" i="45" s="1"/>
  <c r="T11" i="45" s="1"/>
  <c r="S10" i="45"/>
  <c r="L65" i="45"/>
  <c r="O65" i="45" s="1"/>
  <c r="L45" i="45"/>
  <c r="O45" i="45" s="1"/>
  <c r="L83" i="45"/>
  <c r="O83" i="45" s="1"/>
  <c r="M14" i="44"/>
  <c r="P199" i="44"/>
  <c r="T199" i="44" s="1"/>
  <c r="N140" i="44"/>
  <c r="N135" i="44"/>
  <c r="P198" i="44"/>
  <c r="T198" i="44" s="1"/>
  <c r="L61" i="45"/>
  <c r="O61" i="45" s="1"/>
  <c r="L32" i="45"/>
  <c r="O32" i="45" s="1"/>
  <c r="T9" i="45" s="1"/>
  <c r="L79" i="45"/>
  <c r="O79" i="45" s="1"/>
  <c r="L14" i="45"/>
  <c r="O14" i="45" s="1"/>
  <c r="L135" i="44"/>
  <c r="K211" i="44"/>
  <c r="O211" i="44" s="1"/>
  <c r="Q211" i="44" s="1"/>
  <c r="U211" i="44" s="1"/>
  <c r="M135" i="44"/>
  <c r="K196" i="44"/>
  <c r="O196" i="44" s="1"/>
  <c r="Q196" i="44" s="1"/>
  <c r="U196" i="44" s="1"/>
  <c r="P208" i="44"/>
  <c r="T208" i="44" s="1"/>
  <c r="K209" i="44"/>
  <c r="O209" i="44" s="1"/>
  <c r="P209" i="44" s="1"/>
  <c r="T209" i="44" s="1"/>
  <c r="P210" i="44"/>
  <c r="T210" i="44" s="1"/>
  <c r="K12" i="44"/>
  <c r="O12" i="44" s="1"/>
  <c r="Q12" i="44" s="1"/>
  <c r="U12" i="44" s="1"/>
  <c r="L140" i="44"/>
  <c r="M167" i="44"/>
  <c r="L14" i="44"/>
  <c r="M140" i="44"/>
  <c r="N14" i="44"/>
  <c r="N167" i="44"/>
  <c r="K8" i="44"/>
  <c r="O8" i="44" s="1"/>
  <c r="P8" i="44" s="1"/>
  <c r="T8" i="44" s="1"/>
  <c r="K165" i="44"/>
  <c r="O165" i="44" s="1"/>
  <c r="P165" i="44" s="1"/>
  <c r="T165" i="44" s="1"/>
  <c r="K163" i="44"/>
  <c r="O163" i="44" s="1"/>
  <c r="K155" i="44"/>
  <c r="O155" i="44" s="1"/>
  <c r="Q155" i="44" s="1"/>
  <c r="U155" i="44" s="1"/>
  <c r="L167" i="44"/>
  <c r="K175" i="44"/>
  <c r="O175" i="44" s="1"/>
  <c r="K176" i="44"/>
  <c r="O176" i="44" s="1"/>
  <c r="K177" i="44"/>
  <c r="O177" i="44" s="1"/>
  <c r="K172" i="44"/>
  <c r="O172" i="44" s="1"/>
  <c r="Q157" i="44"/>
  <c r="U157" i="44" s="1"/>
  <c r="P157" i="44"/>
  <c r="T157" i="44" s="1"/>
  <c r="P138" i="44"/>
  <c r="T138" i="44" s="1"/>
  <c r="Q138" i="44"/>
  <c r="U138" i="44" s="1"/>
  <c r="Q13" i="44"/>
  <c r="U13" i="44" s="1"/>
  <c r="P13" i="44"/>
  <c r="T13" i="44" s="1"/>
  <c r="Q132" i="44"/>
  <c r="U132" i="44" s="1"/>
  <c r="P132" i="44"/>
  <c r="T132" i="44" s="1"/>
  <c r="K7" i="44"/>
  <c r="O7" i="44" s="1"/>
  <c r="P201" i="44"/>
  <c r="T201" i="44" s="1"/>
  <c r="K139" i="44"/>
  <c r="O139" i="44" s="1"/>
  <c r="K162" i="44"/>
  <c r="O162" i="44" s="1"/>
  <c r="P202" i="44"/>
  <c r="T202" i="44" s="1"/>
  <c r="P204" i="44"/>
  <c r="T204" i="44" s="1"/>
  <c r="K133" i="44"/>
  <c r="O133" i="44" s="1"/>
  <c r="P200" i="44"/>
  <c r="T200" i="44" s="1"/>
  <c r="K158" i="44"/>
  <c r="O158" i="44" s="1"/>
  <c r="K178" i="44"/>
  <c r="O178" i="44" s="1"/>
  <c r="K203" i="44"/>
  <c r="O203" i="44" s="1"/>
  <c r="P205" i="44"/>
  <c r="T205" i="44" s="1"/>
  <c r="L178" i="44"/>
  <c r="P206" i="44"/>
  <c r="T206" i="44" s="1"/>
  <c r="P197" i="44"/>
  <c r="T197" i="44" s="1"/>
  <c r="T10" i="45" l="1"/>
  <c r="Y7" i="44"/>
  <c r="Q209" i="44"/>
  <c r="U209" i="44" s="1"/>
  <c r="O212" i="44"/>
  <c r="P211" i="44"/>
  <c r="T211" i="44" s="1"/>
  <c r="P196" i="44"/>
  <c r="T196" i="44" s="1"/>
  <c r="P12" i="44"/>
  <c r="T12" i="44" s="1"/>
  <c r="X7" i="44" s="1"/>
  <c r="O167" i="44"/>
  <c r="P155" i="44"/>
  <c r="T155" i="44" s="1"/>
  <c r="Q8" i="44"/>
  <c r="U8" i="44" s="1"/>
  <c r="Q165" i="44"/>
  <c r="U165" i="44" s="1"/>
  <c r="Q163" i="44"/>
  <c r="U163" i="44" s="1"/>
  <c r="P163" i="44"/>
  <c r="T163" i="44" s="1"/>
  <c r="P162" i="44"/>
  <c r="T162" i="44" s="1"/>
  <c r="Q162" i="44"/>
  <c r="U162" i="44" s="1"/>
  <c r="P203" i="44"/>
  <c r="T203" i="44" s="1"/>
  <c r="Q203" i="44"/>
  <c r="U203" i="44" s="1"/>
  <c r="Y12" i="44" s="1"/>
  <c r="Q139" i="44"/>
  <c r="U139" i="44" s="1"/>
  <c r="Y9" i="44" s="1"/>
  <c r="P139" i="44"/>
  <c r="T139" i="44" s="1"/>
  <c r="X9" i="44" s="1"/>
  <c r="Q7" i="44"/>
  <c r="U7" i="44" s="1"/>
  <c r="P7" i="44"/>
  <c r="T7" i="44" s="1"/>
  <c r="P133" i="44"/>
  <c r="T133" i="44" s="1"/>
  <c r="X8" i="44" s="1"/>
  <c r="Q133" i="44"/>
  <c r="U133" i="44" s="1"/>
  <c r="Y8" i="44" s="1"/>
  <c r="Q175" i="44"/>
  <c r="U175" i="44" s="1"/>
  <c r="P175" i="44"/>
  <c r="T175" i="44" s="1"/>
  <c r="P158" i="44"/>
  <c r="T158" i="44" s="1"/>
  <c r="Q158" i="44"/>
  <c r="U158" i="44" s="1"/>
  <c r="Q177" i="44"/>
  <c r="U177" i="44" s="1"/>
  <c r="P177" i="44"/>
  <c r="T177" i="44" s="1"/>
  <c r="P176" i="44"/>
  <c r="T176" i="44" s="1"/>
  <c r="Q176" i="44"/>
  <c r="U176" i="44" s="1"/>
  <c r="P178" i="44"/>
  <c r="T178" i="44" s="1"/>
  <c r="Q178" i="44"/>
  <c r="U178" i="44" s="1"/>
  <c r="O179" i="44"/>
  <c r="Q172" i="44"/>
  <c r="U172" i="44" s="1"/>
  <c r="Y11" i="44" s="1"/>
  <c r="P172" i="44"/>
  <c r="T172" i="44" s="1"/>
  <c r="Y10" i="44" l="1"/>
  <c r="X12" i="44"/>
  <c r="X6" i="44"/>
  <c r="X11" i="44"/>
  <c r="Y6" i="44"/>
  <c r="X10" i="44"/>
  <c r="R10" i="21" l="1"/>
  <c r="R11" i="21"/>
  <c r="R12" i="21"/>
  <c r="R13" i="21"/>
  <c r="R14" i="21"/>
  <c r="R15" i="21"/>
  <c r="R16"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 i="21"/>
  <c r="R8" i="21"/>
  <c r="R9" i="21"/>
  <c r="H36" i="21"/>
  <c r="V7" i="27"/>
  <c r="AA7" i="27"/>
  <c r="Z19" i="27"/>
  <c r="Z20" i="27"/>
  <c r="Z56" i="27"/>
  <c r="Z57" i="27"/>
  <c r="Z58" i="27"/>
  <c r="Z59" i="27"/>
  <c r="Z61" i="27"/>
  <c r="Z62" i="27"/>
  <c r="Z68" i="27"/>
  <c r="Z69" i="27"/>
  <c r="X19" i="27"/>
  <c r="X20" i="27"/>
  <c r="X56" i="27"/>
  <c r="X57" i="27"/>
  <c r="X58" i="27"/>
  <c r="X59" i="27"/>
  <c r="X61" i="27"/>
  <c r="X62" i="27"/>
  <c r="X68" i="27"/>
  <c r="X69" i="27"/>
  <c r="U19" i="27"/>
  <c r="V19" i="27" s="1"/>
  <c r="U20" i="27"/>
  <c r="V20" i="27" s="1"/>
  <c r="U56" i="27"/>
  <c r="V56" i="27" s="1"/>
  <c r="U57" i="27"/>
  <c r="V57" i="27" s="1"/>
  <c r="U58" i="27"/>
  <c r="V58" i="27" s="1"/>
  <c r="U59" i="27"/>
  <c r="V59" i="27" s="1"/>
  <c r="U61" i="27"/>
  <c r="V61" i="27" s="1"/>
  <c r="U62" i="27"/>
  <c r="V62" i="27" s="1"/>
  <c r="U68" i="27"/>
  <c r="V68" i="27" s="1"/>
  <c r="U69" i="27"/>
  <c r="V69" i="27" s="1"/>
  <c r="D72" i="40"/>
  <c r="D71" i="40"/>
  <c r="D70" i="40"/>
  <c r="D69" i="40"/>
  <c r="D6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S36" i="40" s="1"/>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7" i="40"/>
  <c r="T36" i="21" l="1"/>
  <c r="AA69" i="27"/>
  <c r="AA20" i="27"/>
  <c r="AA68" i="27"/>
  <c r="AA19" i="27"/>
  <c r="AA57" i="27"/>
  <c r="AA56" i="27"/>
  <c r="AA62" i="27"/>
  <c r="AA61" i="27"/>
  <c r="AA58" i="27"/>
  <c r="AA59" i="27"/>
  <c r="D73" i="40"/>
  <c r="D74" i="40" s="1"/>
  <c r="AD34" i="27"/>
  <c r="AJ29" i="27"/>
  <c r="AK29" i="27"/>
  <c r="AE29" i="27"/>
  <c r="AD29" i="27"/>
  <c r="AO26" i="27"/>
  <c r="AM26" i="27"/>
  <c r="AK34" i="27"/>
  <c r="AO34" i="27" s="1"/>
  <c r="AK33" i="27"/>
  <c r="AO33" i="27" s="1"/>
  <c r="AK25" i="27"/>
  <c r="AJ34" i="27"/>
  <c r="AJ33" i="27"/>
  <c r="AJ25" i="27"/>
  <c r="Y10" i="27"/>
  <c r="Y36" i="27"/>
  <c r="T7" i="27"/>
  <c r="W10" i="27"/>
  <c r="W30" i="27"/>
  <c r="AJ28" i="27" s="1"/>
  <c r="W36" i="27"/>
  <c r="W37" i="27"/>
  <c r="W50" i="27"/>
  <c r="T8" i="27"/>
  <c r="T9" i="27"/>
  <c r="T10" i="27"/>
  <c r="T11" i="27"/>
  <c r="T12" i="27"/>
  <c r="T13" i="27"/>
  <c r="T14" i="27"/>
  <c r="T15" i="27"/>
  <c r="T16" i="27"/>
  <c r="T17" i="27"/>
  <c r="T18" i="27"/>
  <c r="T19" i="27"/>
  <c r="T20" i="27"/>
  <c r="T21" i="27"/>
  <c r="T22" i="27"/>
  <c r="T23" i="27"/>
  <c r="T24" i="27"/>
  <c r="T25" i="27"/>
  <c r="T26" i="27"/>
  <c r="T27" i="27"/>
  <c r="T28" i="27"/>
  <c r="T29"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30" i="27"/>
  <c r="AE28" i="27" s="1"/>
  <c r="R8" i="27"/>
  <c r="R9" i="27"/>
  <c r="R10" i="27"/>
  <c r="R11" i="27"/>
  <c r="R12" i="27"/>
  <c r="R13" i="27"/>
  <c r="R14" i="27"/>
  <c r="R15" i="27"/>
  <c r="R16" i="27"/>
  <c r="R17" i="27"/>
  <c r="R18" i="27"/>
  <c r="R19" i="27"/>
  <c r="R20" i="27"/>
  <c r="R21" i="27"/>
  <c r="R22" i="27"/>
  <c r="R23" i="27"/>
  <c r="R24" i="27"/>
  <c r="R25" i="27"/>
  <c r="R26" i="27"/>
  <c r="R27" i="27"/>
  <c r="R28" i="27"/>
  <c r="R29" i="27"/>
  <c r="R31" i="27"/>
  <c r="R32" i="27"/>
  <c r="R33" i="27"/>
  <c r="R34" i="27"/>
  <c r="R35" i="27"/>
  <c r="R36" i="27"/>
  <c r="R37" i="27"/>
  <c r="R38" i="27"/>
  <c r="R39" i="27"/>
  <c r="R40" i="27"/>
  <c r="R41" i="27"/>
  <c r="R42" i="27"/>
  <c r="R43" i="27"/>
  <c r="R44" i="27"/>
  <c r="R45" i="27"/>
  <c r="R46" i="27"/>
  <c r="R47" i="27"/>
  <c r="R48" i="27"/>
  <c r="R49" i="27"/>
  <c r="R50" i="27"/>
  <c r="R51" i="27"/>
  <c r="R52" i="27"/>
  <c r="R53" i="27"/>
  <c r="R54" i="27"/>
  <c r="R55" i="27"/>
  <c r="R56" i="27"/>
  <c r="R57" i="27"/>
  <c r="R58" i="27"/>
  <c r="R59" i="27"/>
  <c r="R60" i="27"/>
  <c r="R61" i="27"/>
  <c r="R62" i="27"/>
  <c r="R63" i="27"/>
  <c r="R64" i="27"/>
  <c r="R65" i="27"/>
  <c r="R66" i="27"/>
  <c r="R67" i="27"/>
  <c r="R68" i="27"/>
  <c r="R69" i="27"/>
  <c r="R70" i="27"/>
  <c r="R71" i="27"/>
  <c r="R30" i="27"/>
  <c r="AD28" i="27" s="1"/>
  <c r="R7" i="27"/>
  <c r="L8" i="36"/>
  <c r="Y8" i="27" s="1"/>
  <c r="L9" i="36"/>
  <c r="Y9" i="27" s="1"/>
  <c r="L10" i="36"/>
  <c r="L11" i="36"/>
  <c r="Y11" i="27" s="1"/>
  <c r="L12" i="36"/>
  <c r="Y12" i="27" s="1"/>
  <c r="L13" i="36"/>
  <c r="Y13" i="27" s="1"/>
  <c r="L14" i="36"/>
  <c r="Y14" i="27" s="1"/>
  <c r="L15" i="36"/>
  <c r="L16" i="36"/>
  <c r="L17" i="36"/>
  <c r="Y17" i="27" s="1"/>
  <c r="L18" i="36"/>
  <c r="Y18" i="27" s="1"/>
  <c r="L19" i="36"/>
  <c r="Y19" i="27" s="1"/>
  <c r="L20" i="36"/>
  <c r="Y20" i="27" s="1"/>
  <c r="L21" i="36"/>
  <c r="Y21" i="27" s="1"/>
  <c r="L22" i="36"/>
  <c r="Y22" i="27" s="1"/>
  <c r="L23" i="36"/>
  <c r="Y23" i="27" s="1"/>
  <c r="AK22" i="27" s="1"/>
  <c r="L24" i="36"/>
  <c r="Y24" i="27" s="1"/>
  <c r="L25" i="36"/>
  <c r="Y25" i="27" s="1"/>
  <c r="L26" i="36"/>
  <c r="O26" i="36" s="1"/>
  <c r="L27" i="36"/>
  <c r="Y27" i="27" s="1"/>
  <c r="L28" i="36"/>
  <c r="Y28" i="27" s="1"/>
  <c r="L29" i="36"/>
  <c r="Y29" i="27" s="1"/>
  <c r="Y30" i="27"/>
  <c r="AK28" i="27" s="1"/>
  <c r="L31" i="36"/>
  <c r="Y31" i="27" s="1"/>
  <c r="AK23" i="27" s="1"/>
  <c r="L32" i="36"/>
  <c r="Y32" i="27" s="1"/>
  <c r="L33" i="36"/>
  <c r="Y33" i="27" s="1"/>
  <c r="L34" i="36"/>
  <c r="Y34" i="27" s="1"/>
  <c r="L35" i="36"/>
  <c r="Y35" i="27" s="1"/>
  <c r="L36" i="36"/>
  <c r="Y37" i="27" s="1"/>
  <c r="L37" i="36"/>
  <c r="Y38" i="27" s="1"/>
  <c r="L38" i="36"/>
  <c r="Y39" i="27" s="1"/>
  <c r="L39" i="36"/>
  <c r="Y40" i="27" s="1"/>
  <c r="L40" i="36"/>
  <c r="Y41" i="27" s="1"/>
  <c r="L41" i="36"/>
  <c r="Y42" i="27" s="1"/>
  <c r="L42" i="36"/>
  <c r="Y43" i="27" s="1"/>
  <c r="L43" i="36"/>
  <c r="Y44" i="27" s="1"/>
  <c r="L44" i="36"/>
  <c r="Y45" i="27" s="1"/>
  <c r="L45" i="36"/>
  <c r="Y46" i="27" s="1"/>
  <c r="L46" i="36"/>
  <c r="Y47" i="27" s="1"/>
  <c r="L47" i="36"/>
  <c r="Y48" i="27" s="1"/>
  <c r="L48" i="36"/>
  <c r="Y49" i="27" s="1"/>
  <c r="L49" i="36"/>
  <c r="Y50" i="27" s="1"/>
  <c r="L50" i="36"/>
  <c r="Y51" i="27" s="1"/>
  <c r="AK36" i="27" s="1"/>
  <c r="AO36" i="27" s="1"/>
  <c r="L51" i="36"/>
  <c r="Y52" i="27" s="1"/>
  <c r="L52" i="36"/>
  <c r="Y53" i="27" s="1"/>
  <c r="L53" i="36"/>
  <c r="Y54" i="27" s="1"/>
  <c r="L54" i="36"/>
  <c r="Y55" i="27" s="1"/>
  <c r="AK15" i="27" s="1"/>
  <c r="L55" i="36"/>
  <c r="Y56" i="27" s="1"/>
  <c r="L56" i="36"/>
  <c r="Y57" i="27" s="1"/>
  <c r="L57" i="36"/>
  <c r="Y58" i="27" s="1"/>
  <c r="L58" i="36"/>
  <c r="Y59" i="27" s="1"/>
  <c r="L59" i="36"/>
  <c r="Y60" i="27" s="1"/>
  <c r="L60" i="36"/>
  <c r="Y61" i="27" s="1"/>
  <c r="L61" i="36"/>
  <c r="Y62" i="27" s="1"/>
  <c r="L62" i="36"/>
  <c r="Y63" i="27" s="1"/>
  <c r="L63" i="36"/>
  <c r="Y64" i="27" s="1"/>
  <c r="L64" i="36"/>
  <c r="Y65" i="27" s="1"/>
  <c r="L65" i="36"/>
  <c r="Y66" i="27" s="1"/>
  <c r="L66" i="36"/>
  <c r="Y67" i="27" s="1"/>
  <c r="L67" i="36"/>
  <c r="Y68" i="27" s="1"/>
  <c r="L68" i="36"/>
  <c r="Y69" i="27" s="1"/>
  <c r="L69" i="36"/>
  <c r="Y70" i="27" s="1"/>
  <c r="L70" i="36"/>
  <c r="Y71" i="27" s="1"/>
  <c r="L71" i="36"/>
  <c r="O71" i="36" s="1"/>
  <c r="E30" i="51" s="1"/>
  <c r="L7" i="36"/>
  <c r="F9" i="36"/>
  <c r="O9" i="36" s="1"/>
  <c r="F10" i="36"/>
  <c r="O10" i="36" s="1"/>
  <c r="F11" i="36"/>
  <c r="W11" i="27" s="1"/>
  <c r="F12" i="36"/>
  <c r="W12" i="27" s="1"/>
  <c r="F13" i="36"/>
  <c r="O13" i="36" s="1"/>
  <c r="W14" i="27"/>
  <c r="W15" i="27"/>
  <c r="W16" i="27"/>
  <c r="W17" i="27"/>
  <c r="O18" i="36"/>
  <c r="W19" i="27"/>
  <c r="W20" i="27"/>
  <c r="W21" i="27"/>
  <c r="W22" i="27"/>
  <c r="O23" i="36"/>
  <c r="W24" i="27"/>
  <c r="W25" i="27"/>
  <c r="W26" i="27"/>
  <c r="W27" i="27"/>
  <c r="W28" i="27"/>
  <c r="W29" i="27"/>
  <c r="W31" i="27"/>
  <c r="AJ23" i="27" s="1"/>
  <c r="W32" i="27"/>
  <c r="W34" i="27"/>
  <c r="W35" i="27"/>
  <c r="W38" i="27"/>
  <c r="O38" i="36"/>
  <c r="O39" i="36"/>
  <c r="W42" i="27"/>
  <c r="W43" i="27"/>
  <c r="O46" i="36"/>
  <c r="W51" i="27"/>
  <c r="AJ36" i="27" s="1"/>
  <c r="W58" i="27"/>
  <c r="W59" i="27"/>
  <c r="W60" i="27"/>
  <c r="W63" i="27"/>
  <c r="W66" i="27"/>
  <c r="W67" i="27"/>
  <c r="W68" i="27"/>
  <c r="W71" i="27"/>
  <c r="F8" i="36"/>
  <c r="W8" i="27" s="1"/>
  <c r="F7" i="36"/>
  <c r="Y16" i="27" l="1"/>
  <c r="Y15" i="27"/>
  <c r="O63" i="36"/>
  <c r="E20" i="51"/>
  <c r="I20" i="51" s="1"/>
  <c r="E13" i="51"/>
  <c r="I13" i="51" s="1"/>
  <c r="E23" i="51"/>
  <c r="E9" i="51"/>
  <c r="J9" i="51" s="1"/>
  <c r="AO15" i="27"/>
  <c r="Y7" i="27"/>
  <c r="L72" i="36"/>
  <c r="Y72" i="27"/>
  <c r="AK31" i="27" s="1"/>
  <c r="AN31" i="27" s="1"/>
  <c r="L73" i="36"/>
  <c r="O51" i="36"/>
  <c r="O47" i="36"/>
  <c r="H46" i="22" s="1"/>
  <c r="F72" i="36"/>
  <c r="O73" i="36"/>
  <c r="O43" i="36"/>
  <c r="O55" i="36"/>
  <c r="H54" i="22" s="1"/>
  <c r="O40" i="36"/>
  <c r="H39" i="22" s="1"/>
  <c r="O64" i="36"/>
  <c r="O48" i="36"/>
  <c r="H49" i="21" s="1"/>
  <c r="O7" i="36"/>
  <c r="O56" i="36"/>
  <c r="H55" i="22" s="1"/>
  <c r="AK10" i="27"/>
  <c r="O62" i="36"/>
  <c r="E28" i="51" s="1"/>
  <c r="O59" i="36"/>
  <c r="H58" i="22" s="1"/>
  <c r="O22" i="36"/>
  <c r="H22" i="21" s="1"/>
  <c r="O15" i="36"/>
  <c r="O69" i="36"/>
  <c r="H70" i="21" s="1"/>
  <c r="O53" i="36"/>
  <c r="H52" i="22" s="1"/>
  <c r="O45" i="36"/>
  <c r="H44" i="22" s="1"/>
  <c r="O36" i="36"/>
  <c r="H37" i="21" s="1"/>
  <c r="O14" i="36"/>
  <c r="H14" i="21" s="1"/>
  <c r="O60" i="36"/>
  <c r="H61" i="21" s="1"/>
  <c r="O44" i="36"/>
  <c r="E22" i="51" s="1"/>
  <c r="O32" i="36"/>
  <c r="H31" i="22" s="1"/>
  <c r="AF34" i="27"/>
  <c r="C29" i="46"/>
  <c r="O61" i="36"/>
  <c r="H60" i="22" s="1"/>
  <c r="O68" i="36"/>
  <c r="H69" i="21" s="1"/>
  <c r="O52" i="36"/>
  <c r="E26" i="51" s="1"/>
  <c r="O31" i="36"/>
  <c r="E16" i="51" s="1"/>
  <c r="I16" i="51" s="1"/>
  <c r="AG28" i="27"/>
  <c r="S30" i="27" s="1"/>
  <c r="Q30" i="27" s="1"/>
  <c r="C23" i="46"/>
  <c r="E23" i="46" s="1"/>
  <c r="AM36" i="27"/>
  <c r="X51" i="27" s="1"/>
  <c r="H31" i="46"/>
  <c r="I31" i="46" s="1"/>
  <c r="O30" i="36"/>
  <c r="E15" i="51" s="1"/>
  <c r="I15" i="51" s="1"/>
  <c r="AI28" i="27"/>
  <c r="Z30" i="27" s="1"/>
  <c r="AH28" i="27"/>
  <c r="AM28" i="27"/>
  <c r="X30" i="27" s="1"/>
  <c r="H23" i="46"/>
  <c r="I23" i="46" s="1"/>
  <c r="AM25" i="27"/>
  <c r="H20" i="46"/>
  <c r="I20" i="46" s="1"/>
  <c r="AG29" i="27"/>
  <c r="C24" i="46"/>
  <c r="E24" i="46" s="1"/>
  <c r="AM29" i="27"/>
  <c r="H24" i="46"/>
  <c r="I24" i="46" s="1"/>
  <c r="AO23" i="27"/>
  <c r="AN23" i="27"/>
  <c r="AO22" i="27"/>
  <c r="AN22" i="27"/>
  <c r="O70" i="36"/>
  <c r="O27" i="36"/>
  <c r="E14" i="51" s="1"/>
  <c r="J14" i="51" s="1"/>
  <c r="W23" i="27"/>
  <c r="AJ22" i="27" s="1"/>
  <c r="AM33" i="27"/>
  <c r="X73" i="27" s="1"/>
  <c r="H28" i="46"/>
  <c r="I28" i="46" s="1"/>
  <c r="AI29" i="27"/>
  <c r="AH29" i="27"/>
  <c r="AO25" i="27"/>
  <c r="AN25" i="27"/>
  <c r="AM23" i="27"/>
  <c r="X31" i="27" s="1"/>
  <c r="H18" i="46"/>
  <c r="I18" i="46" s="1"/>
  <c r="AO28" i="27"/>
  <c r="AN28" i="27"/>
  <c r="O67" i="36"/>
  <c r="AM34" i="27"/>
  <c r="H29" i="46"/>
  <c r="I29" i="46" s="1"/>
  <c r="AO29" i="27"/>
  <c r="AN29" i="27"/>
  <c r="H45" i="22"/>
  <c r="H47" i="21"/>
  <c r="H37" i="22"/>
  <c r="H39" i="21"/>
  <c r="H62" i="22"/>
  <c r="H64" i="21"/>
  <c r="H12" i="22"/>
  <c r="H13" i="21"/>
  <c r="H17" i="22"/>
  <c r="H18" i="21"/>
  <c r="H9" i="22"/>
  <c r="H10" i="21"/>
  <c r="H8" i="22"/>
  <c r="H9" i="21"/>
  <c r="H70" i="22"/>
  <c r="H72" i="21"/>
  <c r="H38" i="22"/>
  <c r="H40" i="21"/>
  <c r="O50" i="36"/>
  <c r="W49" i="27"/>
  <c r="W41" i="27"/>
  <c r="W13" i="27"/>
  <c r="O42" i="36"/>
  <c r="H22" i="22"/>
  <c r="H23" i="21"/>
  <c r="O33" i="36"/>
  <c r="O65" i="36"/>
  <c r="O57" i="36"/>
  <c r="O21" i="36"/>
  <c r="O12" i="36"/>
  <c r="W7" i="27"/>
  <c r="W65" i="27"/>
  <c r="AJ30" i="27" s="1"/>
  <c r="H25" i="46" s="1"/>
  <c r="I25" i="46" s="1"/>
  <c r="W57" i="27"/>
  <c r="W48" i="27"/>
  <c r="W40" i="27"/>
  <c r="O66" i="36"/>
  <c r="O58" i="36"/>
  <c r="O49" i="36"/>
  <c r="O41" i="36"/>
  <c r="O29" i="36"/>
  <c r="O20" i="36"/>
  <c r="O11" i="36"/>
  <c r="W72" i="27"/>
  <c r="W64" i="27"/>
  <c r="W56" i="27"/>
  <c r="W47" i="27"/>
  <c r="W39" i="27"/>
  <c r="O28" i="36"/>
  <c r="O19" i="36"/>
  <c r="Q20" i="27"/>
  <c r="W54" i="27"/>
  <c r="W46" i="27"/>
  <c r="W70" i="27"/>
  <c r="W62" i="27"/>
  <c r="W53" i="27"/>
  <c r="W45" i="27"/>
  <c r="W18" i="27"/>
  <c r="AJ18" i="27" s="1"/>
  <c r="H13" i="46" s="1"/>
  <c r="I13" i="46" s="1"/>
  <c r="W9" i="27"/>
  <c r="AJ24" i="27" s="1"/>
  <c r="H19" i="46" s="1"/>
  <c r="I19" i="46" s="1"/>
  <c r="O54" i="36"/>
  <c r="O35" i="36"/>
  <c r="O25" i="36"/>
  <c r="O16" i="36"/>
  <c r="O8" i="36"/>
  <c r="W69" i="27"/>
  <c r="W61" i="27"/>
  <c r="W52" i="27"/>
  <c r="AJ20" i="27" s="1"/>
  <c r="H15" i="46" s="1"/>
  <c r="J15" i="46" s="1"/>
  <c r="W44" i="27"/>
  <c r="O34" i="36"/>
  <c r="O24" i="36"/>
  <c r="Y26" i="27"/>
  <c r="Q69" i="27"/>
  <c r="Q58" i="27"/>
  <c r="U30" i="27"/>
  <c r="Q56" i="27"/>
  <c r="Q59" i="27"/>
  <c r="Q57" i="27"/>
  <c r="Q19" i="27"/>
  <c r="Q61" i="27"/>
  <c r="O37" i="36"/>
  <c r="W33" i="27"/>
  <c r="AJ35" i="27" s="1"/>
  <c r="H30" i="46" s="1"/>
  <c r="I30" i="46" s="1"/>
  <c r="AK18" i="27"/>
  <c r="AN15" i="27"/>
  <c r="O17" i="36"/>
  <c r="AL34" i="27"/>
  <c r="W55" i="27"/>
  <c r="AL25" i="27"/>
  <c r="AL36" i="27"/>
  <c r="AL28" i="27"/>
  <c r="AL29" i="27"/>
  <c r="AL23" i="27"/>
  <c r="AL33" i="27"/>
  <c r="Q62" i="27"/>
  <c r="AJ13" i="27"/>
  <c r="H8" i="46" s="1"/>
  <c r="I8" i="46" s="1"/>
  <c r="AJ16" i="27"/>
  <c r="H11" i="46" s="1"/>
  <c r="I11" i="46" s="1"/>
  <c r="AK37" i="27"/>
  <c r="AK38" i="27"/>
  <c r="AK12" i="27"/>
  <c r="AN12" i="27" s="1"/>
  <c r="AJ10" i="27"/>
  <c r="AK20" i="27"/>
  <c r="AN20" i="27" s="1"/>
  <c r="AD35" i="27"/>
  <c r="AK35" i="27"/>
  <c r="AK30" i="27"/>
  <c r="AN30" i="27" s="1"/>
  <c r="AF28" i="27"/>
  <c r="AF29" i="27"/>
  <c r="AK11" i="27"/>
  <c r="AN11" i="27" s="1"/>
  <c r="AD38" i="27"/>
  <c r="C33" i="46" s="1"/>
  <c r="AJ17" i="27"/>
  <c r="H12" i="46" s="1"/>
  <c r="I12" i="46" s="1"/>
  <c r="AK13" i="27"/>
  <c r="AN13" i="27" s="1"/>
  <c r="Q68" i="27"/>
  <c r="AE38" i="27"/>
  <c r="AK24" i="27"/>
  <c r="AN24" i="27" s="1"/>
  <c r="AK17" i="27"/>
  <c r="AN17" i="27" s="1"/>
  <c r="AK27" i="27"/>
  <c r="AN27" i="27" s="1"/>
  <c r="AJ11" i="27"/>
  <c r="H6" i="46" s="1"/>
  <c r="I6" i="46" s="1"/>
  <c r="T74" i="27"/>
  <c r="Q7" i="27"/>
  <c r="R74" i="27"/>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6" i="22"/>
  <c r="B7" i="22"/>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8" i="26"/>
  <c r="D9" i="26"/>
  <c r="D10" i="26"/>
  <c r="D11" i="26"/>
  <c r="D12" i="26"/>
  <c r="D7" i="26"/>
  <c r="I99" i="39"/>
  <c r="E99" i="39"/>
  <c r="G87" i="39"/>
  <c r="G75" i="39"/>
  <c r="G65" i="39"/>
  <c r="G57" i="39"/>
  <c r="G48" i="39"/>
  <c r="F45" i="39"/>
  <c r="G45" i="39" s="1"/>
  <c r="G32" i="39"/>
  <c r="G24" i="39"/>
  <c r="G21" i="39"/>
  <c r="G9" i="39"/>
  <c r="J23" i="51" l="1"/>
  <c r="I23" i="51"/>
  <c r="H14" i="22"/>
  <c r="H48" i="21"/>
  <c r="T48" i="21" s="1"/>
  <c r="T10" i="21"/>
  <c r="T40" i="21"/>
  <c r="T23" i="21"/>
  <c r="T13" i="21"/>
  <c r="T47" i="21"/>
  <c r="T70" i="21"/>
  <c r="T49" i="21"/>
  <c r="T72" i="21"/>
  <c r="T64" i="21"/>
  <c r="J22" i="51"/>
  <c r="I22" i="51"/>
  <c r="T22" i="21"/>
  <c r="J16" i="51"/>
  <c r="T61" i="21"/>
  <c r="J13" i="51"/>
  <c r="I26" i="51"/>
  <c r="J26" i="51"/>
  <c r="T14" i="21"/>
  <c r="T18" i="21"/>
  <c r="T39" i="21"/>
  <c r="T69" i="21"/>
  <c r="T37" i="21"/>
  <c r="J20" i="51"/>
  <c r="T9" i="21"/>
  <c r="J15" i="51"/>
  <c r="E25" i="51"/>
  <c r="J25" i="51" s="1"/>
  <c r="E8" i="51"/>
  <c r="J8" i="51" s="1"/>
  <c r="E24" i="51"/>
  <c r="I24" i="51" s="1"/>
  <c r="E11" i="51"/>
  <c r="J11" i="51" s="1"/>
  <c r="E12" i="51"/>
  <c r="I12" i="51" s="1"/>
  <c r="E10" i="51"/>
  <c r="I10" i="51" s="1"/>
  <c r="E27" i="51"/>
  <c r="I27" i="51" s="1"/>
  <c r="E29" i="51"/>
  <c r="E17" i="51"/>
  <c r="J17" i="51" s="1"/>
  <c r="E21" i="51"/>
  <c r="J21" i="51" s="1"/>
  <c r="H52" i="21"/>
  <c r="E18" i="51"/>
  <c r="E7" i="51"/>
  <c r="H50" i="22"/>
  <c r="AL22" i="27"/>
  <c r="AL21" i="27"/>
  <c r="AN10" i="27"/>
  <c r="AN9" i="27"/>
  <c r="AN26" i="27"/>
  <c r="AN21" i="27"/>
  <c r="AA30" i="27"/>
  <c r="G15" i="51" s="1"/>
  <c r="H15" i="51" s="1"/>
  <c r="H15" i="21"/>
  <c r="H41" i="21"/>
  <c r="H6" i="22"/>
  <c r="I6" i="22" s="1"/>
  <c r="K6" i="22" s="1"/>
  <c r="O72" i="36"/>
  <c r="H21" i="22"/>
  <c r="J21" i="22" s="1"/>
  <c r="H56" i="21"/>
  <c r="H44" i="21"/>
  <c r="H7" i="21"/>
  <c r="H69" i="22"/>
  <c r="J69" i="22" s="1"/>
  <c r="H42" i="22"/>
  <c r="J42" i="22" s="1"/>
  <c r="H47" i="22"/>
  <c r="J47" i="22" s="1"/>
  <c r="H54" i="21"/>
  <c r="H26" i="22"/>
  <c r="I26" i="22" s="1"/>
  <c r="K26" i="22" s="1"/>
  <c r="L14" i="51" s="1"/>
  <c r="H29" i="22"/>
  <c r="I29" i="22" s="1"/>
  <c r="K29" i="22" s="1"/>
  <c r="L15" i="51" s="1"/>
  <c r="H45" i="21"/>
  <c r="H30" i="22"/>
  <c r="I30" i="22" s="1"/>
  <c r="K30" i="22" s="1"/>
  <c r="L16" i="51" s="1"/>
  <c r="AJ15" i="27"/>
  <c r="AL15" i="27" s="1"/>
  <c r="H68" i="22"/>
  <c r="J68" i="22" s="1"/>
  <c r="H63" i="21"/>
  <c r="H61" i="22"/>
  <c r="J61" i="22" s="1"/>
  <c r="H13" i="22"/>
  <c r="I13" i="22" s="1"/>
  <c r="K13" i="22" s="1"/>
  <c r="V30" i="27"/>
  <c r="H51" i="22"/>
  <c r="J51" i="22" s="1"/>
  <c r="H63" i="22"/>
  <c r="I63" i="22" s="1"/>
  <c r="K63" i="22" s="1"/>
  <c r="H53" i="21"/>
  <c r="H57" i="21"/>
  <c r="H27" i="21"/>
  <c r="H65" i="21"/>
  <c r="H60" i="21"/>
  <c r="H31" i="21"/>
  <c r="H59" i="22"/>
  <c r="J59" i="22" s="1"/>
  <c r="H35" i="22"/>
  <c r="J35" i="22" s="1"/>
  <c r="H71" i="21"/>
  <c r="H30" i="21"/>
  <c r="H67" i="22"/>
  <c r="I67" i="22" s="1"/>
  <c r="K67" i="22" s="1"/>
  <c r="H62" i="21"/>
  <c r="H46" i="21"/>
  <c r="AJ37" i="27"/>
  <c r="H32" i="46" s="1"/>
  <c r="I32" i="46" s="1"/>
  <c r="AJ31" i="27"/>
  <c r="H26" i="46" s="1"/>
  <c r="I26" i="46" s="1"/>
  <c r="AJ27" i="27"/>
  <c r="AF35" i="27"/>
  <c r="C30" i="46"/>
  <c r="AL10" i="27"/>
  <c r="H5" i="46"/>
  <c r="Y74" i="27"/>
  <c r="AK16" i="27"/>
  <c r="H32" i="21"/>
  <c r="H68" i="21"/>
  <c r="AM22" i="27"/>
  <c r="X23" i="27" s="1"/>
  <c r="H17" i="46"/>
  <c r="I17" i="46" s="1"/>
  <c r="AJ38" i="27"/>
  <c r="H33" i="46" s="1"/>
  <c r="I33" i="46" s="1"/>
  <c r="AJ12" i="27"/>
  <c r="H7" i="46" s="1"/>
  <c r="I7" i="46" s="1"/>
  <c r="H66" i="22"/>
  <c r="J66" i="22" s="1"/>
  <c r="H43" i="22"/>
  <c r="J43" i="22" s="1"/>
  <c r="G99" i="39"/>
  <c r="F99" i="39"/>
  <c r="J52" i="22"/>
  <c r="I52" i="22"/>
  <c r="K52" i="22" s="1"/>
  <c r="H7" i="22"/>
  <c r="H8" i="21"/>
  <c r="I31" i="22"/>
  <c r="K31" i="22" s="1"/>
  <c r="J31" i="22"/>
  <c r="H50" i="21"/>
  <c r="H48" i="22"/>
  <c r="H11" i="22"/>
  <c r="H12" i="21"/>
  <c r="I46" i="22"/>
  <c r="K46" i="22" s="1"/>
  <c r="J46" i="22"/>
  <c r="I14" i="22"/>
  <c r="K14" i="22" s="1"/>
  <c r="J14" i="22"/>
  <c r="H15" i="22"/>
  <c r="H16" i="21"/>
  <c r="H10" i="22"/>
  <c r="H11" i="21"/>
  <c r="H57" i="22"/>
  <c r="H59" i="21"/>
  <c r="H20" i="22"/>
  <c r="H21" i="21"/>
  <c r="I70" i="22"/>
  <c r="K70" i="22" s="1"/>
  <c r="L30" i="51" s="1"/>
  <c r="J70" i="22"/>
  <c r="I54" i="22"/>
  <c r="K54" i="22" s="1"/>
  <c r="J54" i="22"/>
  <c r="J9" i="22"/>
  <c r="I9" i="22"/>
  <c r="K9" i="22" s="1"/>
  <c r="H23" i="22"/>
  <c r="H24" i="21"/>
  <c r="H24" i="22"/>
  <c r="H25" i="21"/>
  <c r="H18" i="22"/>
  <c r="H19" i="21"/>
  <c r="H19" i="22"/>
  <c r="H20" i="21"/>
  <c r="H67" i="21"/>
  <c r="H65" i="22"/>
  <c r="H56" i="22"/>
  <c r="H58" i="21"/>
  <c r="I22" i="22"/>
  <c r="K22" i="22" s="1"/>
  <c r="J22" i="22"/>
  <c r="J60" i="22"/>
  <c r="I60" i="22"/>
  <c r="K60" i="22" s="1"/>
  <c r="I37" i="22"/>
  <c r="K37" i="22" s="1"/>
  <c r="L20" i="51" s="1"/>
  <c r="J37" i="22"/>
  <c r="H33" i="22"/>
  <c r="H34" i="21"/>
  <c r="H34" i="22"/>
  <c r="H35" i="21"/>
  <c r="H27" i="22"/>
  <c r="H28" i="21"/>
  <c r="H28" i="22"/>
  <c r="H29" i="21"/>
  <c r="H66" i="21"/>
  <c r="H64" i="22"/>
  <c r="H41" i="22"/>
  <c r="H43" i="21"/>
  <c r="J17" i="22"/>
  <c r="I17" i="22"/>
  <c r="K17" i="22" s="1"/>
  <c r="L9" i="51" s="1"/>
  <c r="I39" i="22"/>
  <c r="K39" i="22" s="1"/>
  <c r="J39" i="22"/>
  <c r="H42" i="21"/>
  <c r="H40" i="22"/>
  <c r="I8" i="22"/>
  <c r="K8" i="22" s="1"/>
  <c r="J8" i="22"/>
  <c r="H53" i="22"/>
  <c r="H55" i="21"/>
  <c r="H32" i="22"/>
  <c r="H33" i="21"/>
  <c r="I55" i="22"/>
  <c r="K55" i="22" s="1"/>
  <c r="J55" i="22"/>
  <c r="J50" i="22"/>
  <c r="I50" i="22"/>
  <c r="K50" i="22" s="1"/>
  <c r="L25" i="51" s="1"/>
  <c r="J44" i="22"/>
  <c r="I44" i="22"/>
  <c r="K44" i="22" s="1"/>
  <c r="I62" i="22"/>
  <c r="K62" i="22" s="1"/>
  <c r="J62" i="22"/>
  <c r="H51" i="21"/>
  <c r="H49" i="22"/>
  <c r="K45" i="22"/>
  <c r="L23" i="51" s="1"/>
  <c r="J45" i="22"/>
  <c r="I45" i="22"/>
  <c r="J58" i="22"/>
  <c r="I58" i="22"/>
  <c r="K58" i="22" s="1"/>
  <c r="I38" i="22"/>
  <c r="K38" i="22" s="1"/>
  <c r="J38" i="22"/>
  <c r="I12" i="22"/>
  <c r="K12" i="22" s="1"/>
  <c r="J12" i="22"/>
  <c r="H36" i="22"/>
  <c r="H38" i="21"/>
  <c r="H25" i="22"/>
  <c r="H26" i="21"/>
  <c r="H16" i="22"/>
  <c r="H17" i="21"/>
  <c r="AO38" i="27"/>
  <c r="AO17" i="27"/>
  <c r="AO31" i="27"/>
  <c r="AO27" i="27"/>
  <c r="AO24" i="27"/>
  <c r="AO20" i="27"/>
  <c r="AO12" i="27"/>
  <c r="AO13" i="27"/>
  <c r="AO30" i="27"/>
  <c r="AO37" i="27"/>
  <c r="AO18" i="27"/>
  <c r="AN18" i="27"/>
  <c r="AO10" i="27"/>
  <c r="AO35" i="27"/>
  <c r="AO11" i="27"/>
  <c r="AM10" i="27"/>
  <c r="W74" i="27"/>
  <c r="AM11" i="27"/>
  <c r="AL11" i="27"/>
  <c r="AM24" i="27"/>
  <c r="AL24" i="27"/>
  <c r="AM30" i="27"/>
  <c r="AL30" i="27"/>
  <c r="AM17" i="27"/>
  <c r="AL17" i="27"/>
  <c r="AM35" i="27"/>
  <c r="AL35" i="27"/>
  <c r="AM16" i="27"/>
  <c r="AL16" i="27"/>
  <c r="AM13" i="27"/>
  <c r="AL13" i="27"/>
  <c r="AM18" i="27"/>
  <c r="AL18" i="27"/>
  <c r="AM20" i="27"/>
  <c r="AL20" i="27"/>
  <c r="AI38" i="27"/>
  <c r="AG38" i="27"/>
  <c r="AF38" i="27"/>
  <c r="L35" i="21"/>
  <c r="I69" i="22" l="1"/>
  <c r="K69" i="22" s="1"/>
  <c r="J30" i="22"/>
  <c r="E31" i="51"/>
  <c r="E33" i="51" s="1"/>
  <c r="J26" i="22"/>
  <c r="T35" i="21"/>
  <c r="S35" i="21"/>
  <c r="U35" i="21" s="1"/>
  <c r="V35" i="21" s="1"/>
  <c r="T59" i="21"/>
  <c r="T51" i="21"/>
  <c r="T65" i="21"/>
  <c r="I18" i="51"/>
  <c r="J18" i="51"/>
  <c r="T29" i="21"/>
  <c r="T67" i="21"/>
  <c r="T25" i="21"/>
  <c r="T50" i="21"/>
  <c r="T62" i="21"/>
  <c r="T27" i="21"/>
  <c r="J27" i="51"/>
  <c r="T43" i="21"/>
  <c r="T34" i="21"/>
  <c r="T57" i="21"/>
  <c r="T52" i="21"/>
  <c r="J24" i="51"/>
  <c r="T26" i="21"/>
  <c r="T66" i="21"/>
  <c r="S66" i="21"/>
  <c r="U66" i="21" s="1"/>
  <c r="V66" i="21" s="1"/>
  <c r="T38" i="21"/>
  <c r="T33" i="21"/>
  <c r="T20" i="21"/>
  <c r="T11" i="21"/>
  <c r="T68" i="21"/>
  <c r="T30" i="21"/>
  <c r="T41" i="21"/>
  <c r="J10" i="51"/>
  <c r="T44" i="21"/>
  <c r="T17" i="21"/>
  <c r="T28" i="21"/>
  <c r="T24" i="21"/>
  <c r="T32" i="21"/>
  <c r="T42" i="21"/>
  <c r="T21" i="21"/>
  <c r="T12" i="21"/>
  <c r="S8" i="21"/>
  <c r="U8" i="21" s="1"/>
  <c r="V8" i="21" s="1"/>
  <c r="K7" i="51" s="1"/>
  <c r="T8" i="21"/>
  <c r="T71" i="21"/>
  <c r="T31" i="21"/>
  <c r="T15" i="21"/>
  <c r="J12" i="51"/>
  <c r="T58" i="21"/>
  <c r="T55" i="21"/>
  <c r="T19" i="21"/>
  <c r="T16" i="21"/>
  <c r="T60" i="21"/>
  <c r="S63" i="21"/>
  <c r="U63" i="21" s="1"/>
  <c r="V63" i="21" s="1"/>
  <c r="T63" i="21"/>
  <c r="T54" i="21"/>
  <c r="T56" i="21"/>
  <c r="T46" i="21"/>
  <c r="T53" i="21"/>
  <c r="T45" i="21"/>
  <c r="I47" i="22"/>
  <c r="K47" i="22" s="1"/>
  <c r="I61" i="22"/>
  <c r="I21" i="22"/>
  <c r="K21" i="22" s="1"/>
  <c r="K61" i="22"/>
  <c r="L28" i="51" s="1"/>
  <c r="J6" i="22"/>
  <c r="H10" i="46"/>
  <c r="J9" i="46" s="1"/>
  <c r="AL14" i="27"/>
  <c r="AL9" i="27"/>
  <c r="H22" i="46"/>
  <c r="I22" i="46" s="1"/>
  <c r="AL26" i="27"/>
  <c r="AO16" i="27"/>
  <c r="AN14" i="27"/>
  <c r="AL37" i="27"/>
  <c r="J29" i="22"/>
  <c r="AM15" i="27"/>
  <c r="X55" i="27" s="1"/>
  <c r="I68" i="22"/>
  <c r="K68" i="22" s="1"/>
  <c r="I42" i="22"/>
  <c r="K42" i="22" s="1"/>
  <c r="L21" i="51" s="1"/>
  <c r="J13" i="22"/>
  <c r="J63" i="22"/>
  <c r="I35" i="22"/>
  <c r="K35" i="22" s="1"/>
  <c r="I51" i="22"/>
  <c r="K51" i="22" s="1"/>
  <c r="L26" i="51" s="1"/>
  <c r="AM27" i="27"/>
  <c r="X47" i="27" s="1"/>
  <c r="I59" i="22"/>
  <c r="K59" i="22" s="1"/>
  <c r="AK39" i="27"/>
  <c r="AN16" i="27"/>
  <c r="AL12" i="27"/>
  <c r="AM12" i="27"/>
  <c r="X41" i="27" s="1"/>
  <c r="AL27" i="27"/>
  <c r="AL31" i="27"/>
  <c r="AM37" i="27"/>
  <c r="X54" i="27" s="1"/>
  <c r="AM31" i="27"/>
  <c r="X35" i="27" s="1"/>
  <c r="I66" i="22"/>
  <c r="K66" i="22" s="1"/>
  <c r="J67" i="22"/>
  <c r="AM38" i="27"/>
  <c r="X46" i="27" s="1"/>
  <c r="I5" i="46"/>
  <c r="J4" i="46"/>
  <c r="AL38" i="27"/>
  <c r="AJ39" i="27"/>
  <c r="I43" i="22"/>
  <c r="K43" i="22" s="1"/>
  <c r="L22" i="51" s="1"/>
  <c r="I53" i="22"/>
  <c r="K53" i="22" s="1"/>
  <c r="L27" i="51" s="1"/>
  <c r="J53" i="22"/>
  <c r="J33" i="22"/>
  <c r="I33" i="22"/>
  <c r="K33" i="22" s="1"/>
  <c r="I7" i="22"/>
  <c r="K7" i="22"/>
  <c r="L7" i="51" s="1"/>
  <c r="J7" i="22"/>
  <c r="J27" i="22"/>
  <c r="I27" i="22"/>
  <c r="K27" i="22" s="1"/>
  <c r="I15" i="22"/>
  <c r="K15" i="22" s="1"/>
  <c r="L8" i="51" s="1"/>
  <c r="J15" i="22"/>
  <c r="I64" i="22"/>
  <c r="K64" i="22" s="1"/>
  <c r="L29" i="51" s="1"/>
  <c r="J64" i="22"/>
  <c r="I24" i="22"/>
  <c r="K24" i="22" s="1"/>
  <c r="L12" i="51" s="1"/>
  <c r="J24" i="22"/>
  <c r="J41" i="22"/>
  <c r="I41" i="22"/>
  <c r="K41" i="22" s="1"/>
  <c r="I32" i="22"/>
  <c r="K32" i="22" s="1"/>
  <c r="L17" i="51" s="1"/>
  <c r="J32" i="22"/>
  <c r="I56" i="22"/>
  <c r="K56" i="22" s="1"/>
  <c r="J56" i="22"/>
  <c r="J57" i="22"/>
  <c r="I57" i="22"/>
  <c r="K57" i="22" s="1"/>
  <c r="I20" i="22"/>
  <c r="K20" i="22" s="1"/>
  <c r="L10" i="51" s="1"/>
  <c r="J20" i="22"/>
  <c r="I48" i="22"/>
  <c r="K48" i="22"/>
  <c r="L24" i="51" s="1"/>
  <c r="J48" i="22"/>
  <c r="J49" i="22"/>
  <c r="I49" i="22"/>
  <c r="K49" i="22" s="1"/>
  <c r="J19" i="22"/>
  <c r="I19" i="22"/>
  <c r="K19" i="22" s="1"/>
  <c r="I40" i="22"/>
  <c r="K40" i="22" s="1"/>
  <c r="J40" i="22"/>
  <c r="J34" i="22"/>
  <c r="I34" i="22"/>
  <c r="K34" i="22" s="1"/>
  <c r="L18" i="51" s="1"/>
  <c r="J65" i="22"/>
  <c r="I65" i="22"/>
  <c r="K65" i="22" s="1"/>
  <c r="J18" i="22"/>
  <c r="I18" i="22"/>
  <c r="K18" i="22" s="1"/>
  <c r="I23" i="22"/>
  <c r="K23" i="22" s="1"/>
  <c r="L11" i="51" s="1"/>
  <c r="J23" i="22"/>
  <c r="I28" i="22"/>
  <c r="K28" i="22" s="1"/>
  <c r="J28" i="22"/>
  <c r="J10" i="22"/>
  <c r="I10" i="22"/>
  <c r="K10" i="22" s="1"/>
  <c r="I11" i="22"/>
  <c r="K11" i="22" s="1"/>
  <c r="J11" i="22"/>
  <c r="J36" i="22"/>
  <c r="I36" i="22"/>
  <c r="K36" i="22" s="1"/>
  <c r="H74" i="21"/>
  <c r="I16" i="22"/>
  <c r="K16" i="22" s="1"/>
  <c r="J16" i="22"/>
  <c r="J25" i="22"/>
  <c r="I25" i="22"/>
  <c r="K25" i="22" s="1"/>
  <c r="L13" i="51" s="1"/>
  <c r="Z45" i="27"/>
  <c r="Z46" i="27"/>
  <c r="X65" i="27"/>
  <c r="X8" i="27"/>
  <c r="X22" i="27"/>
  <c r="X66" i="27"/>
  <c r="X21" i="27"/>
  <c r="X17" i="27"/>
  <c r="X18" i="27"/>
  <c r="X32" i="27"/>
  <c r="X33" i="27"/>
  <c r="X9" i="27"/>
  <c r="X25" i="27"/>
  <c r="X28" i="27"/>
  <c r="X29" i="27"/>
  <c r="X50" i="27"/>
  <c r="X52" i="27"/>
  <c r="X26" i="27"/>
  <c r="X27" i="27"/>
  <c r="X16" i="27"/>
  <c r="X15" i="27"/>
  <c r="X24" i="27"/>
  <c r="X60" i="27"/>
  <c r="X42" i="27"/>
  <c r="X43" i="27"/>
  <c r="X10" i="27"/>
  <c r="X34" i="27"/>
  <c r="X67" i="27"/>
  <c r="X11" i="27"/>
  <c r="X37" i="27"/>
  <c r="X38" i="27"/>
  <c r="U45" i="27"/>
  <c r="U46" i="27"/>
  <c r="S46" i="27"/>
  <c r="S45" i="27"/>
  <c r="L68" i="21"/>
  <c r="S68" i="21" s="1"/>
  <c r="L69" i="21"/>
  <c r="L70" i="21"/>
  <c r="L71" i="21"/>
  <c r="S71" i="21" s="1"/>
  <c r="L72" i="21"/>
  <c r="L67" i="21"/>
  <c r="L65" i="21"/>
  <c r="S65" i="21" s="1"/>
  <c r="L64" i="21"/>
  <c r="L44" i="21"/>
  <c r="S44" i="21" s="1"/>
  <c r="L45" i="21"/>
  <c r="S45" i="21" s="1"/>
  <c r="L46" i="21"/>
  <c r="S46" i="21" s="1"/>
  <c r="L47" i="21"/>
  <c r="L48" i="21"/>
  <c r="L49" i="21"/>
  <c r="L50" i="21"/>
  <c r="S50" i="21" s="1"/>
  <c r="L51" i="21"/>
  <c r="S51" i="21" s="1"/>
  <c r="L52" i="21"/>
  <c r="S52" i="21" s="1"/>
  <c r="L53" i="21"/>
  <c r="S53" i="21" s="1"/>
  <c r="L54" i="21"/>
  <c r="S54" i="21" s="1"/>
  <c r="L55" i="21"/>
  <c r="S55" i="21" s="1"/>
  <c r="L56" i="21"/>
  <c r="S56" i="21" s="1"/>
  <c r="L57" i="21"/>
  <c r="L58" i="21"/>
  <c r="S58" i="21" s="1"/>
  <c r="L59" i="21"/>
  <c r="S59" i="21" s="1"/>
  <c r="L60" i="21"/>
  <c r="S60" i="21" s="1"/>
  <c r="L61" i="21"/>
  <c r="L62" i="21"/>
  <c r="S62" i="21" s="1"/>
  <c r="L36" i="21"/>
  <c r="L37" i="21"/>
  <c r="L38" i="21"/>
  <c r="S38" i="21" s="1"/>
  <c r="L39" i="21"/>
  <c r="L40" i="21"/>
  <c r="L41" i="21"/>
  <c r="S41" i="21" s="1"/>
  <c r="L42" i="21"/>
  <c r="S42" i="21" s="1"/>
  <c r="L43" i="21"/>
  <c r="S43" i="21" s="1"/>
  <c r="L26" i="21"/>
  <c r="S26" i="21" s="1"/>
  <c r="L27" i="21"/>
  <c r="S27" i="21" s="1"/>
  <c r="L28" i="21"/>
  <c r="L29" i="21"/>
  <c r="S29" i="21" s="1"/>
  <c r="L30" i="21"/>
  <c r="S30" i="21" s="1"/>
  <c r="L31" i="21"/>
  <c r="S31" i="21" s="1"/>
  <c r="L32" i="21"/>
  <c r="S32" i="21" s="1"/>
  <c r="L33" i="21"/>
  <c r="S33" i="21" s="1"/>
  <c r="L34" i="21"/>
  <c r="S34" i="21" s="1"/>
  <c r="L25" i="21"/>
  <c r="S25" i="21" s="1"/>
  <c r="L18" i="21"/>
  <c r="L19" i="21"/>
  <c r="S19" i="21" s="1"/>
  <c r="L20" i="21"/>
  <c r="S20" i="21" s="1"/>
  <c r="L21" i="21"/>
  <c r="S21" i="21" s="1"/>
  <c r="L22" i="21"/>
  <c r="L23" i="21"/>
  <c r="L24" i="21"/>
  <c r="S24" i="21" s="1"/>
  <c r="L17" i="21"/>
  <c r="S17" i="21" s="1"/>
  <c r="L7" i="21"/>
  <c r="L9" i="21"/>
  <c r="L11" i="21"/>
  <c r="S11" i="21" s="1"/>
  <c r="L12" i="21"/>
  <c r="S12" i="21" s="1"/>
  <c r="L13" i="21"/>
  <c r="L14" i="21"/>
  <c r="L15" i="21"/>
  <c r="S15" i="21" s="1"/>
  <c r="R36" i="26"/>
  <c r="G36" i="21"/>
  <c r="J74" i="36"/>
  <c r="N73" i="36"/>
  <c r="N72" i="36"/>
  <c r="N71" i="36"/>
  <c r="N70" i="36"/>
  <c r="E71" i="40" s="1"/>
  <c r="S71" i="40" s="1"/>
  <c r="N69" i="36"/>
  <c r="C68" i="22" s="1"/>
  <c r="N68" i="36"/>
  <c r="E69" i="26" s="1"/>
  <c r="N67" i="36"/>
  <c r="E68" i="40" s="1"/>
  <c r="S68" i="40" s="1"/>
  <c r="N66" i="36"/>
  <c r="E67" i="40" s="1"/>
  <c r="S67" i="40" s="1"/>
  <c r="N65" i="36"/>
  <c r="N64" i="36"/>
  <c r="E65" i="40" s="1"/>
  <c r="S65" i="40" s="1"/>
  <c r="N63" i="36"/>
  <c r="C62" i="22" s="1"/>
  <c r="N62" i="36"/>
  <c r="N61" i="36"/>
  <c r="C60" i="22" s="1"/>
  <c r="N60" i="36"/>
  <c r="N59" i="36"/>
  <c r="E60" i="40" s="1"/>
  <c r="S60" i="40" s="1"/>
  <c r="N58" i="36"/>
  <c r="E59" i="40" s="1"/>
  <c r="S59" i="40" s="1"/>
  <c r="N57" i="36"/>
  <c r="N56" i="36"/>
  <c r="E57" i="40" s="1"/>
  <c r="S57" i="40" s="1"/>
  <c r="N55" i="36"/>
  <c r="E56" i="40" s="1"/>
  <c r="S56" i="40" s="1"/>
  <c r="N54" i="36"/>
  <c r="N53" i="36"/>
  <c r="C52" i="22" s="1"/>
  <c r="N52" i="36"/>
  <c r="N51" i="36"/>
  <c r="N50" i="36"/>
  <c r="E51" i="40" s="1"/>
  <c r="S51" i="40" s="1"/>
  <c r="N49" i="36"/>
  <c r="N48" i="36"/>
  <c r="E49" i="40" s="1"/>
  <c r="S49" i="40" s="1"/>
  <c r="N47" i="36"/>
  <c r="E48" i="40" s="1"/>
  <c r="S48" i="40" s="1"/>
  <c r="N46" i="36"/>
  <c r="N45" i="36"/>
  <c r="C44" i="22" s="1"/>
  <c r="N44" i="36"/>
  <c r="N43" i="36"/>
  <c r="N42" i="36"/>
  <c r="E43" i="40" s="1"/>
  <c r="S43" i="40" s="1"/>
  <c r="N41" i="36"/>
  <c r="N40" i="36"/>
  <c r="E41" i="40" s="1"/>
  <c r="S41" i="40" s="1"/>
  <c r="N39" i="36"/>
  <c r="C38" i="22" s="1"/>
  <c r="N38" i="36"/>
  <c r="N37" i="36"/>
  <c r="C36" i="22" s="1"/>
  <c r="N36" i="36"/>
  <c r="N35" i="36"/>
  <c r="N34" i="36"/>
  <c r="E34" i="40" s="1"/>
  <c r="S34" i="40" s="1"/>
  <c r="N33" i="36"/>
  <c r="N32" i="36"/>
  <c r="N31" i="36"/>
  <c r="N30" i="36"/>
  <c r="N29" i="36"/>
  <c r="C28" i="22" s="1"/>
  <c r="N28" i="36"/>
  <c r="E28" i="26" s="1"/>
  <c r="N27" i="36"/>
  <c r="N26" i="36"/>
  <c r="N25" i="36"/>
  <c r="N24" i="36"/>
  <c r="N23" i="36"/>
  <c r="C22" i="22" s="1"/>
  <c r="N22" i="36"/>
  <c r="E22" i="40" s="1"/>
  <c r="S22" i="40" s="1"/>
  <c r="N21" i="36"/>
  <c r="N20" i="36"/>
  <c r="E20" i="26" s="1"/>
  <c r="N19" i="36"/>
  <c r="E19" i="40" s="1"/>
  <c r="S19" i="40" s="1"/>
  <c r="N18" i="36"/>
  <c r="N17" i="36"/>
  <c r="E17" i="40" s="1"/>
  <c r="N16" i="36"/>
  <c r="N15" i="36"/>
  <c r="N14" i="36"/>
  <c r="E14" i="40" s="1"/>
  <c r="S14" i="40" s="1"/>
  <c r="N13" i="36"/>
  <c r="C12" i="22" s="1"/>
  <c r="N12" i="36"/>
  <c r="E12" i="26" s="1"/>
  <c r="N11" i="36"/>
  <c r="E11" i="40" s="1"/>
  <c r="S11" i="40" s="1"/>
  <c r="N10" i="36"/>
  <c r="E10" i="40" s="1"/>
  <c r="S10" i="40" s="1"/>
  <c r="N9" i="36"/>
  <c r="E9" i="40" s="1"/>
  <c r="S9" i="40" s="1"/>
  <c r="N8" i="36"/>
  <c r="N7" i="36"/>
  <c r="S18" i="21" l="1"/>
  <c r="U18" i="21" s="1"/>
  <c r="V18" i="21" s="1"/>
  <c r="K9" i="51" s="1"/>
  <c r="S49" i="21"/>
  <c r="U49" i="21" s="1"/>
  <c r="V49" i="21" s="1"/>
  <c r="S39" i="21"/>
  <c r="U39" i="21" s="1"/>
  <c r="V39" i="21" s="1"/>
  <c r="K20" i="51" s="1"/>
  <c r="S37" i="21"/>
  <c r="U37" i="21" s="1"/>
  <c r="V37" i="21" s="1"/>
  <c r="S48" i="21"/>
  <c r="U48" i="21" s="1"/>
  <c r="V48" i="21" s="1"/>
  <c r="S72" i="21"/>
  <c r="U72" i="21" s="1"/>
  <c r="V72" i="21" s="1"/>
  <c r="U34" i="21"/>
  <c r="V34" i="21" s="1"/>
  <c r="U26" i="21"/>
  <c r="V26" i="21" s="1"/>
  <c r="K13" i="51" s="1"/>
  <c r="S36" i="21"/>
  <c r="U36" i="21" s="1"/>
  <c r="V36" i="21" s="1"/>
  <c r="S47" i="21"/>
  <c r="U47" i="21" s="1"/>
  <c r="V47" i="21" s="1"/>
  <c r="K23" i="51" s="1"/>
  <c r="S28" i="21"/>
  <c r="U28" i="21" s="1"/>
  <c r="V28" i="21" s="1"/>
  <c r="S14" i="21"/>
  <c r="U14" i="21" s="1"/>
  <c r="V14" i="21" s="1"/>
  <c r="S23" i="21"/>
  <c r="U23" i="21" s="1"/>
  <c r="V23" i="21" s="1"/>
  <c r="U62" i="21"/>
  <c r="V62" i="21" s="1"/>
  <c r="S70" i="21"/>
  <c r="U70" i="21" s="1"/>
  <c r="V70" i="21" s="1"/>
  <c r="S9" i="21"/>
  <c r="U9" i="21" s="1"/>
  <c r="V9" i="21" s="1"/>
  <c r="S13" i="21"/>
  <c r="U13" i="21" s="1"/>
  <c r="V13" i="21" s="1"/>
  <c r="S22" i="21"/>
  <c r="U22" i="21" s="1"/>
  <c r="V22" i="21" s="1"/>
  <c r="U42" i="21"/>
  <c r="V42" i="21" s="1"/>
  <c r="S61" i="21"/>
  <c r="U61" i="21" s="1"/>
  <c r="V61" i="21" s="1"/>
  <c r="U53" i="21"/>
  <c r="V53" i="21" s="1"/>
  <c r="K26" i="51" s="1"/>
  <c r="S69" i="21"/>
  <c r="U69" i="21" s="1"/>
  <c r="V69" i="21" s="1"/>
  <c r="S67" i="21"/>
  <c r="U67" i="21" s="1"/>
  <c r="V67" i="21" s="1"/>
  <c r="U21" i="21"/>
  <c r="V21" i="21" s="1"/>
  <c r="K10" i="51" s="1"/>
  <c r="U31" i="21"/>
  <c r="V31" i="21" s="1"/>
  <c r="K16" i="51" s="1"/>
  <c r="S57" i="21"/>
  <c r="U57" i="21" s="1"/>
  <c r="V57" i="21" s="1"/>
  <c r="E15" i="26"/>
  <c r="R15" i="26" s="1"/>
  <c r="S40" i="21"/>
  <c r="U40" i="21" s="1"/>
  <c r="V40" i="21" s="1"/>
  <c r="S64" i="21"/>
  <c r="U64" i="21" s="1"/>
  <c r="V64" i="21" s="1"/>
  <c r="U33" i="21"/>
  <c r="V33" i="21" s="1"/>
  <c r="K17" i="51" s="1"/>
  <c r="U43" i="21"/>
  <c r="V43" i="21" s="1"/>
  <c r="U46" i="21"/>
  <c r="V46" i="21" s="1"/>
  <c r="U20" i="21"/>
  <c r="V20" i="21" s="1"/>
  <c r="U30" i="21"/>
  <c r="V30" i="21" s="1"/>
  <c r="K15" i="51" s="1"/>
  <c r="U59" i="21"/>
  <c r="V59" i="21" s="1"/>
  <c r="U60" i="21"/>
  <c r="V60" i="21" s="1"/>
  <c r="U52" i="21"/>
  <c r="V52" i="21" s="1"/>
  <c r="K25" i="51" s="1"/>
  <c r="U11" i="21"/>
  <c r="V11" i="21" s="1"/>
  <c r="U24" i="21"/>
  <c r="V24" i="21" s="1"/>
  <c r="K11" i="51" s="1"/>
  <c r="U27" i="21"/>
  <c r="V27" i="21" s="1"/>
  <c r="K14" i="51" s="1"/>
  <c r="U12" i="21"/>
  <c r="V12" i="21" s="1"/>
  <c r="U41" i="21"/>
  <c r="V41" i="21" s="1"/>
  <c r="U51" i="21"/>
  <c r="V51" i="21" s="1"/>
  <c r="U19" i="21"/>
  <c r="V19" i="21" s="1"/>
  <c r="U15" i="21"/>
  <c r="V15" i="21" s="1"/>
  <c r="U54" i="21"/>
  <c r="V54" i="21" s="1"/>
  <c r="U32" i="21"/>
  <c r="V32" i="21" s="1"/>
  <c r="U45" i="21"/>
  <c r="V45" i="21" s="1"/>
  <c r="K22" i="51" s="1"/>
  <c r="U44" i="21"/>
  <c r="V44" i="21" s="1"/>
  <c r="K21" i="51" s="1"/>
  <c r="U68" i="21"/>
  <c r="V68" i="21" s="1"/>
  <c r="K18" i="51"/>
  <c r="U29" i="21"/>
  <c r="V29" i="21" s="1"/>
  <c r="U58" i="21"/>
  <c r="V58" i="21" s="1"/>
  <c r="U50" i="21"/>
  <c r="V50" i="21" s="1"/>
  <c r="K24" i="51" s="1"/>
  <c r="U65" i="21"/>
  <c r="V65" i="21" s="1"/>
  <c r="U56" i="21"/>
  <c r="V56" i="21" s="1"/>
  <c r="U55" i="21"/>
  <c r="V55" i="21" s="1"/>
  <c r="K27" i="51" s="1"/>
  <c r="U71" i="21"/>
  <c r="V71" i="21" s="1"/>
  <c r="E18" i="40"/>
  <c r="S18" i="40" s="1"/>
  <c r="D9" i="51"/>
  <c r="C9" i="42"/>
  <c r="E26" i="40"/>
  <c r="S26" i="40" s="1"/>
  <c r="D13" i="51"/>
  <c r="C13" i="42"/>
  <c r="E35" i="40"/>
  <c r="S35" i="40" s="1"/>
  <c r="D18" i="51"/>
  <c r="C18" i="42"/>
  <c r="E52" i="40"/>
  <c r="S52" i="40" s="1"/>
  <c r="D25" i="51"/>
  <c r="C25" i="42"/>
  <c r="E44" i="40"/>
  <c r="S44" i="40" s="1"/>
  <c r="D21" i="51"/>
  <c r="C21" i="42"/>
  <c r="D22" i="51"/>
  <c r="C22" i="42"/>
  <c r="D26" i="51"/>
  <c r="C26" i="42"/>
  <c r="E27" i="40"/>
  <c r="S27" i="40" s="1"/>
  <c r="D14" i="51"/>
  <c r="C14" i="42"/>
  <c r="C20" i="22"/>
  <c r="D10" i="51"/>
  <c r="C10" i="42"/>
  <c r="E30" i="40"/>
  <c r="S30" i="40" s="1"/>
  <c r="D15" i="51"/>
  <c r="C15" i="42"/>
  <c r="C37" i="22"/>
  <c r="D20" i="51"/>
  <c r="C20" i="42"/>
  <c r="D23" i="51"/>
  <c r="C23" i="42"/>
  <c r="E55" i="40"/>
  <c r="S55" i="40" s="1"/>
  <c r="D27" i="51"/>
  <c r="C27" i="42"/>
  <c r="E63" i="40"/>
  <c r="S63" i="40" s="1"/>
  <c r="D28" i="51"/>
  <c r="C28" i="42"/>
  <c r="C70" i="22"/>
  <c r="D30" i="51"/>
  <c r="C30" i="42"/>
  <c r="D7" i="51"/>
  <c r="E8" i="40"/>
  <c r="S8" i="40" s="1"/>
  <c r="C7" i="42"/>
  <c r="E31" i="26"/>
  <c r="R31" i="26" s="1"/>
  <c r="D16" i="51"/>
  <c r="C16" i="42"/>
  <c r="E16" i="26"/>
  <c r="R16" i="26" s="1"/>
  <c r="D8" i="51"/>
  <c r="C8" i="42"/>
  <c r="E24" i="26"/>
  <c r="R24" i="26" s="1"/>
  <c r="D11" i="51"/>
  <c r="C11" i="42"/>
  <c r="E25" i="40"/>
  <c r="S25" i="40" s="1"/>
  <c r="D12" i="51"/>
  <c r="C12" i="42"/>
  <c r="E33" i="40"/>
  <c r="S33" i="40" s="1"/>
  <c r="D17" i="51"/>
  <c r="C17" i="42"/>
  <c r="D24" i="51"/>
  <c r="C24" i="42"/>
  <c r="E66" i="40"/>
  <c r="S66" i="40" s="1"/>
  <c r="D29" i="51"/>
  <c r="C29" i="42"/>
  <c r="K29" i="51"/>
  <c r="K28" i="51"/>
  <c r="U38" i="21"/>
  <c r="V38" i="21" s="1"/>
  <c r="U25" i="21"/>
  <c r="V25" i="21" s="1"/>
  <c r="K12" i="51" s="1"/>
  <c r="I10" i="46"/>
  <c r="J21" i="46"/>
  <c r="X39" i="27"/>
  <c r="X48" i="27"/>
  <c r="X40" i="27"/>
  <c r="AA46" i="27"/>
  <c r="X14" i="27"/>
  <c r="X70" i="27"/>
  <c r="X53" i="27"/>
  <c r="X13" i="27"/>
  <c r="X44" i="27"/>
  <c r="X72" i="27"/>
  <c r="X63" i="27"/>
  <c r="X49" i="27"/>
  <c r="X64" i="27"/>
  <c r="X36" i="27"/>
  <c r="X12" i="27"/>
  <c r="X71" i="27"/>
  <c r="X45" i="27"/>
  <c r="AA45" i="27" s="1"/>
  <c r="G22" i="51" s="1"/>
  <c r="H22" i="51" s="1"/>
  <c r="G71" i="21"/>
  <c r="M71" i="21" s="1"/>
  <c r="G47" i="21"/>
  <c r="N47" i="21" s="1"/>
  <c r="E47" i="40"/>
  <c r="S47" i="40" s="1"/>
  <c r="G40" i="21"/>
  <c r="M40" i="21" s="1"/>
  <c r="E42" i="40"/>
  <c r="S42" i="40" s="1"/>
  <c r="G48" i="21"/>
  <c r="M48" i="21" s="1"/>
  <c r="E50" i="40"/>
  <c r="S50" i="40" s="1"/>
  <c r="G56" i="21"/>
  <c r="M56" i="21" s="1"/>
  <c r="E58" i="40"/>
  <c r="S58" i="40" s="1"/>
  <c r="C7" i="22"/>
  <c r="C63" i="22"/>
  <c r="C55" i="22"/>
  <c r="C47" i="22"/>
  <c r="C39" i="22"/>
  <c r="C30" i="22"/>
  <c r="C14" i="22"/>
  <c r="E71" i="26"/>
  <c r="R71" i="26" s="1"/>
  <c r="E62" i="26"/>
  <c r="R62" i="26" s="1"/>
  <c r="E48" i="26"/>
  <c r="R48" i="26" s="1"/>
  <c r="E40" i="26"/>
  <c r="E22" i="26"/>
  <c r="R22" i="26" s="1"/>
  <c r="E60" i="26"/>
  <c r="R60" i="26" s="1"/>
  <c r="C54" i="22"/>
  <c r="C46" i="22"/>
  <c r="C29" i="22"/>
  <c r="C21" i="22"/>
  <c r="C13" i="22"/>
  <c r="E70" i="26"/>
  <c r="R70" i="26" s="1"/>
  <c r="E55" i="26"/>
  <c r="R55" i="26" s="1"/>
  <c r="E47" i="26"/>
  <c r="R47" i="26" s="1"/>
  <c r="E39" i="26"/>
  <c r="R39" i="26" s="1"/>
  <c r="E29" i="26"/>
  <c r="R29" i="26" s="1"/>
  <c r="E21" i="26"/>
  <c r="R21" i="26" s="1"/>
  <c r="E11" i="26"/>
  <c r="R11" i="26" s="1"/>
  <c r="E59" i="26"/>
  <c r="R59" i="26" s="1"/>
  <c r="C69" i="22"/>
  <c r="C61" i="22"/>
  <c r="E61" i="22" s="1"/>
  <c r="C53" i="22"/>
  <c r="C45" i="22"/>
  <c r="E54" i="26"/>
  <c r="R54" i="26" s="1"/>
  <c r="E46" i="26"/>
  <c r="R46" i="26" s="1"/>
  <c r="E38" i="26"/>
  <c r="R38" i="26" s="1"/>
  <c r="E9" i="26"/>
  <c r="R9" i="26" s="1"/>
  <c r="E58" i="26"/>
  <c r="R58" i="26" s="1"/>
  <c r="G10" i="21"/>
  <c r="E12" i="40"/>
  <c r="S12" i="40" s="1"/>
  <c r="G18" i="21"/>
  <c r="M18" i="21" s="1"/>
  <c r="E20" i="40"/>
  <c r="S20" i="40" s="1"/>
  <c r="G26" i="21"/>
  <c r="M26" i="21" s="1"/>
  <c r="E28" i="40"/>
  <c r="S28" i="40" s="1"/>
  <c r="G34" i="21"/>
  <c r="M34" i="21" s="1"/>
  <c r="E37" i="40"/>
  <c r="S37" i="40" s="1"/>
  <c r="G43" i="21"/>
  <c r="M43" i="21" s="1"/>
  <c r="E45" i="40"/>
  <c r="S45" i="40" s="1"/>
  <c r="G51" i="21"/>
  <c r="N51" i="21" s="1"/>
  <c r="E53" i="40"/>
  <c r="S53" i="40" s="1"/>
  <c r="G59" i="21"/>
  <c r="M59" i="21" s="1"/>
  <c r="E61" i="40"/>
  <c r="S61" i="40" s="1"/>
  <c r="G67" i="21"/>
  <c r="N67" i="21" s="1"/>
  <c r="E69" i="40"/>
  <c r="S69" i="40" s="1"/>
  <c r="G63" i="21"/>
  <c r="C27" i="22"/>
  <c r="C19" i="22"/>
  <c r="C11" i="22"/>
  <c r="E68" i="26"/>
  <c r="R68" i="26" s="1"/>
  <c r="E53" i="26"/>
  <c r="R53" i="26" s="1"/>
  <c r="E45" i="26"/>
  <c r="R45" i="26" s="1"/>
  <c r="E37" i="26"/>
  <c r="R37" i="26" s="1"/>
  <c r="E27" i="26"/>
  <c r="R27" i="26" s="1"/>
  <c r="E19" i="26"/>
  <c r="R19" i="26" s="1"/>
  <c r="E10" i="26"/>
  <c r="R10" i="26" s="1"/>
  <c r="E57" i="26"/>
  <c r="R57" i="26" s="1"/>
  <c r="G11" i="21"/>
  <c r="M11" i="21" s="1"/>
  <c r="E13" i="40"/>
  <c r="S13" i="40" s="1"/>
  <c r="G19" i="21"/>
  <c r="M19" i="21" s="1"/>
  <c r="E21" i="40"/>
  <c r="S21" i="40" s="1"/>
  <c r="G27" i="21"/>
  <c r="N27" i="21" s="1"/>
  <c r="E29" i="40"/>
  <c r="S29" i="40" s="1"/>
  <c r="G35" i="21"/>
  <c r="M35" i="21" s="1"/>
  <c r="E38" i="40"/>
  <c r="S38" i="40" s="1"/>
  <c r="G44" i="21"/>
  <c r="M44" i="21" s="1"/>
  <c r="E46" i="40"/>
  <c r="S46" i="40" s="1"/>
  <c r="G52" i="21"/>
  <c r="M52" i="21" s="1"/>
  <c r="E54" i="40"/>
  <c r="S54" i="40" s="1"/>
  <c r="G60" i="21"/>
  <c r="M60" i="21" s="1"/>
  <c r="E62" i="40"/>
  <c r="S62" i="40" s="1"/>
  <c r="G68" i="21"/>
  <c r="M68" i="21" s="1"/>
  <c r="E70" i="40"/>
  <c r="S70" i="40" s="1"/>
  <c r="G55" i="21"/>
  <c r="N55" i="21" s="1"/>
  <c r="C67" i="22"/>
  <c r="C59" i="22"/>
  <c r="C51" i="22"/>
  <c r="C43" i="22"/>
  <c r="C35" i="22"/>
  <c r="C26" i="22"/>
  <c r="C18" i="22"/>
  <c r="C10" i="22"/>
  <c r="E67" i="26"/>
  <c r="R67" i="26" s="1"/>
  <c r="E52" i="26"/>
  <c r="R52" i="26" s="1"/>
  <c r="E44" i="26"/>
  <c r="R44" i="26" s="1"/>
  <c r="E35" i="26"/>
  <c r="R35" i="26" s="1"/>
  <c r="E26" i="26"/>
  <c r="R26" i="26" s="1"/>
  <c r="E18" i="26"/>
  <c r="R18" i="26" s="1"/>
  <c r="E56" i="26"/>
  <c r="R56" i="26" s="1"/>
  <c r="G39" i="21"/>
  <c r="N39" i="21" s="1"/>
  <c r="E39" i="40"/>
  <c r="S39" i="40" s="1"/>
  <c r="C66" i="22"/>
  <c r="C58" i="22"/>
  <c r="C50" i="22"/>
  <c r="C42" i="22"/>
  <c r="C33" i="22"/>
  <c r="C25" i="22"/>
  <c r="C17" i="22"/>
  <c r="E8" i="26"/>
  <c r="R8" i="26" s="1"/>
  <c r="E66" i="26"/>
  <c r="R66" i="26" s="1"/>
  <c r="E51" i="26"/>
  <c r="R51" i="26" s="1"/>
  <c r="E43" i="26"/>
  <c r="R43" i="26" s="1"/>
  <c r="E34" i="26"/>
  <c r="R34" i="26" s="1"/>
  <c r="E25" i="26"/>
  <c r="R25" i="26" s="1"/>
  <c r="C34" i="22"/>
  <c r="D34" i="22" s="1"/>
  <c r="E17" i="26"/>
  <c r="R17" i="26" s="1"/>
  <c r="E65" i="26"/>
  <c r="R65" i="26" s="1"/>
  <c r="G7" i="21"/>
  <c r="M7" i="21" s="1"/>
  <c r="O7" i="21" s="1"/>
  <c r="E7" i="40"/>
  <c r="C6" i="22"/>
  <c r="G13" i="21"/>
  <c r="N13" i="21" s="1"/>
  <c r="E15" i="40"/>
  <c r="S15" i="40" s="1"/>
  <c r="G21" i="21"/>
  <c r="M21" i="21" s="1"/>
  <c r="E23" i="40"/>
  <c r="S23" i="40" s="1"/>
  <c r="G29" i="21"/>
  <c r="N29" i="21" s="1"/>
  <c r="E31" i="40"/>
  <c r="S31" i="40" s="1"/>
  <c r="G38" i="21"/>
  <c r="N38" i="21" s="1"/>
  <c r="E40" i="40"/>
  <c r="S40" i="40" s="1"/>
  <c r="G62" i="21"/>
  <c r="M62" i="21" s="1"/>
  <c r="E64" i="40"/>
  <c r="S64" i="40" s="1"/>
  <c r="G70" i="21"/>
  <c r="N70" i="21" s="1"/>
  <c r="E72" i="40"/>
  <c r="S72" i="40" s="1"/>
  <c r="C9" i="22"/>
  <c r="C65" i="22"/>
  <c r="C57" i="22"/>
  <c r="C49" i="22"/>
  <c r="C41" i="22"/>
  <c r="C32" i="22"/>
  <c r="C24" i="22"/>
  <c r="C16" i="22"/>
  <c r="E7" i="26"/>
  <c r="R7" i="26" s="1"/>
  <c r="E64" i="26"/>
  <c r="R64" i="26" s="1"/>
  <c r="E50" i="26"/>
  <c r="R50" i="26" s="1"/>
  <c r="E42" i="26"/>
  <c r="R42" i="26" s="1"/>
  <c r="E33" i="26"/>
  <c r="R33" i="26" s="1"/>
  <c r="E14" i="26"/>
  <c r="R14" i="26" s="1"/>
  <c r="E30" i="26"/>
  <c r="R30" i="26" s="1"/>
  <c r="G14" i="21"/>
  <c r="N14" i="21" s="1"/>
  <c r="E16" i="40"/>
  <c r="S16" i="40" s="1"/>
  <c r="G22" i="21"/>
  <c r="M22" i="21" s="1"/>
  <c r="E24" i="40"/>
  <c r="S24" i="40" s="1"/>
  <c r="G30" i="21"/>
  <c r="M30" i="21" s="1"/>
  <c r="E32" i="40"/>
  <c r="S32" i="40" s="1"/>
  <c r="C8" i="22"/>
  <c r="C64" i="22"/>
  <c r="C56" i="22"/>
  <c r="C48" i="22"/>
  <c r="C40" i="22"/>
  <c r="C31" i="22"/>
  <c r="C23" i="22"/>
  <c r="C15" i="22"/>
  <c r="E72" i="26"/>
  <c r="R72" i="26" s="1"/>
  <c r="E63" i="26"/>
  <c r="R63" i="26" s="1"/>
  <c r="E49" i="26"/>
  <c r="R49" i="26" s="1"/>
  <c r="E41" i="26"/>
  <c r="R41" i="26" s="1"/>
  <c r="E32" i="26"/>
  <c r="R32" i="26" s="1"/>
  <c r="E23" i="26"/>
  <c r="R23" i="26" s="1"/>
  <c r="E13" i="26"/>
  <c r="R13" i="26" s="1"/>
  <c r="E61" i="26"/>
  <c r="R61" i="26" s="1"/>
  <c r="U17" i="21"/>
  <c r="V17" i="21" s="1"/>
  <c r="V46" i="27"/>
  <c r="V45" i="27"/>
  <c r="Q45" i="27"/>
  <c r="Q46" i="27"/>
  <c r="R40" i="26"/>
  <c r="R12" i="26"/>
  <c r="R69" i="26"/>
  <c r="R28" i="26"/>
  <c r="R20" i="26"/>
  <c r="N36" i="21"/>
  <c r="M36" i="21"/>
  <c r="D73" i="26"/>
  <c r="G8" i="21"/>
  <c r="G16" i="21"/>
  <c r="G24" i="21"/>
  <c r="M24" i="21" s="1"/>
  <c r="G32" i="21"/>
  <c r="M32" i="21" s="1"/>
  <c r="G41" i="21"/>
  <c r="N41" i="21" s="1"/>
  <c r="G49" i="21"/>
  <c r="M49" i="21" s="1"/>
  <c r="G57" i="21"/>
  <c r="M57" i="21" s="1"/>
  <c r="G65" i="21"/>
  <c r="M65" i="21" s="1"/>
  <c r="G9" i="21"/>
  <c r="M9" i="21" s="1"/>
  <c r="G17" i="21"/>
  <c r="M17" i="21" s="1"/>
  <c r="G25" i="21"/>
  <c r="M25" i="21" s="1"/>
  <c r="G33" i="21"/>
  <c r="M33" i="21" s="1"/>
  <c r="G42" i="21"/>
  <c r="M42" i="21" s="1"/>
  <c r="G50" i="21"/>
  <c r="N50" i="21" s="1"/>
  <c r="G58" i="21"/>
  <c r="G66" i="21"/>
  <c r="G72" i="21"/>
  <c r="M72" i="21" s="1"/>
  <c r="G31" i="21"/>
  <c r="M31" i="21" s="1"/>
  <c r="G12" i="21"/>
  <c r="M12" i="21" s="1"/>
  <c r="G20" i="21"/>
  <c r="M20" i="21" s="1"/>
  <c r="G28" i="21"/>
  <c r="M28" i="21" s="1"/>
  <c r="G37" i="21"/>
  <c r="N37" i="21" s="1"/>
  <c r="G45" i="21"/>
  <c r="M45" i="21" s="1"/>
  <c r="G53" i="21"/>
  <c r="N53" i="21" s="1"/>
  <c r="G61" i="21"/>
  <c r="G69" i="21"/>
  <c r="N69" i="21" s="1"/>
  <c r="G23" i="21"/>
  <c r="N23" i="21" s="1"/>
  <c r="G46" i="21"/>
  <c r="N46" i="21" s="1"/>
  <c r="G54" i="21"/>
  <c r="M54" i="21" s="1"/>
  <c r="G64" i="21"/>
  <c r="M64" i="21" s="1"/>
  <c r="G15" i="21"/>
  <c r="N15" i="21" s="1"/>
  <c r="C31" i="42" l="1"/>
  <c r="C32" i="42" s="1"/>
  <c r="D31" i="51"/>
  <c r="D33" i="51" s="1"/>
  <c r="M38" i="21"/>
  <c r="O38" i="21" s="1"/>
  <c r="P38" i="21" s="1"/>
  <c r="N40" i="21"/>
  <c r="N71" i="21"/>
  <c r="N26" i="21"/>
  <c r="M13" i="21"/>
  <c r="O11" i="21"/>
  <c r="P11" i="21" s="1"/>
  <c r="N44" i="21"/>
  <c r="O48" i="21"/>
  <c r="P48" i="21" s="1"/>
  <c r="N62" i="21"/>
  <c r="N48" i="21"/>
  <c r="O19" i="21"/>
  <c r="P19" i="21" s="1"/>
  <c r="M51" i="21"/>
  <c r="O51" i="21" s="1"/>
  <c r="P51" i="21" s="1"/>
  <c r="N43" i="21"/>
  <c r="N18" i="21"/>
  <c r="N35" i="21"/>
  <c r="N68" i="21"/>
  <c r="O35" i="21"/>
  <c r="P35" i="21" s="1"/>
  <c r="O59" i="21"/>
  <c r="P59" i="21" s="1"/>
  <c r="M39" i="21"/>
  <c r="O39" i="21" s="1"/>
  <c r="P39" i="21" s="1"/>
  <c r="N59" i="21"/>
  <c r="N11" i="21"/>
  <c r="M27" i="21"/>
  <c r="O27" i="21" s="1"/>
  <c r="P27" i="21" s="1"/>
  <c r="N52" i="21"/>
  <c r="M55" i="21"/>
  <c r="N60" i="21"/>
  <c r="M67" i="21"/>
  <c r="M29" i="21"/>
  <c r="O29" i="21" s="1"/>
  <c r="P29" i="21" s="1"/>
  <c r="N19" i="21"/>
  <c r="N34" i="21"/>
  <c r="N22" i="21"/>
  <c r="M47" i="21"/>
  <c r="N30" i="21"/>
  <c r="C72" i="22"/>
  <c r="N7" i="21"/>
  <c r="E73" i="26"/>
  <c r="O21" i="21"/>
  <c r="P21" i="21" s="1"/>
  <c r="O24" i="21"/>
  <c r="P24" i="21" s="1"/>
  <c r="O52" i="21"/>
  <c r="P52" i="21" s="1"/>
  <c r="M70" i="21"/>
  <c r="O18" i="21"/>
  <c r="P18" i="21" s="1"/>
  <c r="O62" i="21"/>
  <c r="P62" i="21" s="1"/>
  <c r="O60" i="21"/>
  <c r="P60" i="21" s="1"/>
  <c r="M14" i="21"/>
  <c r="O17" i="21"/>
  <c r="P17" i="21" s="1"/>
  <c r="O72" i="21"/>
  <c r="P72" i="21" s="1"/>
  <c r="N21" i="21"/>
  <c r="O26" i="21"/>
  <c r="P26" i="21" s="1"/>
  <c r="O57" i="21"/>
  <c r="P57" i="21" s="1"/>
  <c r="E34" i="22"/>
  <c r="O22" i="21"/>
  <c r="P22" i="21" s="1"/>
  <c r="O43" i="21"/>
  <c r="P43" i="21" s="1"/>
  <c r="E6" i="22"/>
  <c r="D6" i="22"/>
  <c r="F6" i="22" s="1"/>
  <c r="N56" i="21"/>
  <c r="O13" i="21"/>
  <c r="P13" i="21" s="1"/>
  <c r="O56" i="21"/>
  <c r="P56" i="21" s="1"/>
  <c r="E73" i="40"/>
  <c r="E74" i="40" s="1"/>
  <c r="S7" i="40"/>
  <c r="O71" i="21"/>
  <c r="P71" i="21" s="1"/>
  <c r="O45" i="21"/>
  <c r="P45" i="21" s="1"/>
  <c r="O49" i="21"/>
  <c r="P49" i="21" s="1"/>
  <c r="O54" i="21"/>
  <c r="P54" i="21" s="1"/>
  <c r="O28" i="21"/>
  <c r="P28" i="21" s="1"/>
  <c r="O42" i="21"/>
  <c r="P42" i="21" s="1"/>
  <c r="O68" i="21"/>
  <c r="P68" i="21" s="1"/>
  <c r="O44" i="21"/>
  <c r="P44" i="21" s="1"/>
  <c r="O31" i="21"/>
  <c r="F34" i="22"/>
  <c r="O36" i="21"/>
  <c r="P36" i="21" s="1"/>
  <c r="O20" i="21"/>
  <c r="P20" i="21" s="1"/>
  <c r="O32" i="21"/>
  <c r="P32" i="21" s="1"/>
  <c r="O30" i="21"/>
  <c r="P30" i="21" s="1"/>
  <c r="O34" i="21"/>
  <c r="P34" i="21" s="1"/>
  <c r="M41" i="21"/>
  <c r="N31" i="21"/>
  <c r="M23" i="21"/>
  <c r="M46" i="21"/>
  <c r="N9" i="21"/>
  <c r="M15" i="21"/>
  <c r="M69" i="21"/>
  <c r="M53" i="21"/>
  <c r="O25" i="21"/>
  <c r="P25" i="21" s="1"/>
  <c r="O33" i="21"/>
  <c r="P33" i="21" s="1"/>
  <c r="M61" i="21"/>
  <c r="N61" i="21"/>
  <c r="N12" i="21"/>
  <c r="N25" i="21"/>
  <c r="N32" i="21"/>
  <c r="N28" i="21"/>
  <c r="N64" i="21"/>
  <c r="N42" i="21"/>
  <c r="M37" i="21"/>
  <c r="N58" i="21"/>
  <c r="M58" i="21"/>
  <c r="N54" i="21"/>
  <c r="N33" i="21"/>
  <c r="N24" i="21"/>
  <c r="N45" i="21"/>
  <c r="N57" i="21"/>
  <c r="M50" i="21"/>
  <c r="N20" i="21"/>
  <c r="N65" i="21"/>
  <c r="N17" i="21"/>
  <c r="N72" i="21"/>
  <c r="N49" i="21"/>
  <c r="O40" i="21"/>
  <c r="P40" i="21" s="1"/>
  <c r="P31" i="21"/>
  <c r="O65" i="21"/>
  <c r="P65" i="21" s="1"/>
  <c r="O64" i="21"/>
  <c r="P64" i="21" s="1"/>
  <c r="P7" i="21"/>
  <c r="O9" i="21"/>
  <c r="P9" i="21" s="1"/>
  <c r="O12" i="21"/>
  <c r="P12" i="21" s="1"/>
  <c r="D74" i="36"/>
  <c r="N74" i="36" s="1"/>
  <c r="O47" i="21" l="1"/>
  <c r="P47" i="21" s="1"/>
  <c r="O67" i="21"/>
  <c r="P67" i="21" s="1"/>
  <c r="O55" i="21"/>
  <c r="P55" i="21" s="1"/>
  <c r="O46" i="21"/>
  <c r="P46" i="21" s="1"/>
  <c r="O50" i="21"/>
  <c r="P50" i="21" s="1"/>
  <c r="O37" i="21"/>
  <c r="P37" i="21" s="1"/>
  <c r="O23" i="21"/>
  <c r="P23" i="21" s="1"/>
  <c r="O41" i="21"/>
  <c r="P41" i="21" s="1"/>
  <c r="O14" i="21"/>
  <c r="P14" i="21" s="1"/>
  <c r="O53" i="21"/>
  <c r="P53" i="21" s="1"/>
  <c r="O70" i="21"/>
  <c r="P70" i="21" s="1"/>
  <c r="O69" i="21"/>
  <c r="P69" i="21" s="1"/>
  <c r="O15" i="21"/>
  <c r="P15" i="21" s="1"/>
  <c r="O58" i="21"/>
  <c r="P58" i="21" s="1"/>
  <c r="O61" i="21"/>
  <c r="P61" i="21" s="1"/>
  <c r="N66" i="21"/>
  <c r="M66" i="21"/>
  <c r="O66" i="21" l="1"/>
  <c r="P66" i="21" s="1"/>
  <c r="AE13" i="27" l="1"/>
  <c r="AH13" i="27" s="1"/>
  <c r="AI14" i="27"/>
  <c r="AE15" i="27"/>
  <c r="AE16" i="27"/>
  <c r="AH16" i="27" s="1"/>
  <c r="AE22" i="27"/>
  <c r="AE23" i="27"/>
  <c r="AH23" i="27" s="1"/>
  <c r="AE25" i="27"/>
  <c r="AH25" i="27" s="1"/>
  <c r="AE33" i="27"/>
  <c r="AE34" i="27"/>
  <c r="AE35" i="27"/>
  <c r="AE36" i="27"/>
  <c r="AE37" i="27"/>
  <c r="AE10" i="27"/>
  <c r="AD13" i="27"/>
  <c r="C8" i="46" s="1"/>
  <c r="E8" i="46" s="1"/>
  <c r="AD15" i="27"/>
  <c r="AD16" i="27"/>
  <c r="C11" i="46" s="1"/>
  <c r="E11" i="46" s="1"/>
  <c r="AD22" i="27"/>
  <c r="AD23" i="27"/>
  <c r="AD25" i="27"/>
  <c r="AD33" i="27"/>
  <c r="AG34" i="27"/>
  <c r="AG35" i="27"/>
  <c r="AD36" i="27"/>
  <c r="C31" i="46" s="1"/>
  <c r="AD37" i="27"/>
  <c r="C32" i="46" s="1"/>
  <c r="AD10" i="27"/>
  <c r="AE12" i="27"/>
  <c r="AH12" i="27" s="1"/>
  <c r="AE27" i="27"/>
  <c r="AD17" i="27"/>
  <c r="C12" i="46" s="1"/>
  <c r="E12" i="46" s="1"/>
  <c r="AD11" i="27"/>
  <c r="AD18" i="27"/>
  <c r="C13" i="46" s="1"/>
  <c r="E13" i="46" s="1"/>
  <c r="AD24" i="27"/>
  <c r="AD12" i="27"/>
  <c r="C7" i="46" s="1"/>
  <c r="E7" i="46" s="1"/>
  <c r="AD27" i="27"/>
  <c r="AD30" i="27"/>
  <c r="C25" i="46" s="1"/>
  <c r="E25" i="46" s="1"/>
  <c r="AF9" i="27" l="1"/>
  <c r="C22" i="46"/>
  <c r="C10" i="46"/>
  <c r="F9" i="46" s="1"/>
  <c r="AF14" i="27"/>
  <c r="AH10" i="27"/>
  <c r="AH22" i="27"/>
  <c r="AH15" i="27"/>
  <c r="C28" i="46"/>
  <c r="F27" i="46" s="1"/>
  <c r="AF32" i="27"/>
  <c r="AH27" i="27"/>
  <c r="AF21" i="27"/>
  <c r="AF23" i="27"/>
  <c r="C18" i="46"/>
  <c r="E18" i="46" s="1"/>
  <c r="AF10" i="27"/>
  <c r="C5" i="46"/>
  <c r="AF24" i="27"/>
  <c r="C19" i="46"/>
  <c r="E19" i="46" s="1"/>
  <c r="AF25" i="27"/>
  <c r="C20" i="46"/>
  <c r="E20" i="46" s="1"/>
  <c r="AF11" i="27"/>
  <c r="C6" i="46"/>
  <c r="E6" i="46" s="1"/>
  <c r="AF22" i="27"/>
  <c r="C17" i="46"/>
  <c r="S33" i="27"/>
  <c r="S32" i="27"/>
  <c r="AG12" i="27"/>
  <c r="AF12" i="27"/>
  <c r="AG37" i="27"/>
  <c r="AF37" i="27"/>
  <c r="AG36" i="27"/>
  <c r="S51" i="27" s="1"/>
  <c r="AF36" i="27"/>
  <c r="AI25" i="27"/>
  <c r="AG18" i="27"/>
  <c r="AF18" i="27"/>
  <c r="AG13" i="27"/>
  <c r="AF13" i="27"/>
  <c r="AI23" i="27"/>
  <c r="AG16" i="27"/>
  <c r="AF16" i="27"/>
  <c r="AG15" i="27"/>
  <c r="S55" i="27" s="1"/>
  <c r="AF15" i="27"/>
  <c r="AI10" i="27"/>
  <c r="AG33" i="27"/>
  <c r="S73" i="27" s="1"/>
  <c r="AF33" i="27"/>
  <c r="AG17" i="27"/>
  <c r="AF17" i="27"/>
  <c r="AG30" i="27"/>
  <c r="S8" i="27" s="1"/>
  <c r="AF30" i="27"/>
  <c r="AG27" i="27"/>
  <c r="AF27" i="27"/>
  <c r="AG10" i="27"/>
  <c r="AG11" i="27"/>
  <c r="AI27" i="27"/>
  <c r="AE11" i="27"/>
  <c r="AH11" i="27" s="1"/>
  <c r="AI12" i="27"/>
  <c r="AI37" i="27"/>
  <c r="AI16" i="27"/>
  <c r="AE18" i="27"/>
  <c r="AH18" i="27" s="1"/>
  <c r="AI36" i="27"/>
  <c r="AI15" i="27"/>
  <c r="AI22" i="27"/>
  <c r="AE17" i="27"/>
  <c r="AH17" i="27" s="1"/>
  <c r="AE24" i="27"/>
  <c r="AH24" i="27" s="1"/>
  <c r="AI35" i="27"/>
  <c r="AI34" i="27"/>
  <c r="AI13" i="27"/>
  <c r="AI33" i="27"/>
  <c r="AD31" i="27"/>
  <c r="AF26" i="27" s="1"/>
  <c r="AD20" i="27"/>
  <c r="C15" i="46" s="1"/>
  <c r="F15" i="46" s="1"/>
  <c r="AE31" i="27"/>
  <c r="AH31" i="27" s="1"/>
  <c r="AE20" i="27"/>
  <c r="AH20" i="27" s="1"/>
  <c r="AE30" i="27"/>
  <c r="AH30" i="27" s="1"/>
  <c r="AG23" i="27"/>
  <c r="S31" i="27" s="1"/>
  <c r="AG24" i="27"/>
  <c r="AG25" i="27"/>
  <c r="AG22" i="27"/>
  <c r="S23" i="27" s="1"/>
  <c r="U73" i="27" l="1"/>
  <c r="V73" i="27" s="1"/>
  <c r="Z73" i="27"/>
  <c r="AA73" i="27" s="1"/>
  <c r="G32" i="51" s="1"/>
  <c r="E10" i="46"/>
  <c r="AH9" i="27"/>
  <c r="AH21" i="27"/>
  <c r="AH26" i="27"/>
  <c r="AH14" i="27"/>
  <c r="E17" i="46"/>
  <c r="J16" i="46"/>
  <c r="F16" i="46"/>
  <c r="AF31" i="27"/>
  <c r="C26" i="46"/>
  <c r="F4" i="46"/>
  <c r="E5" i="46"/>
  <c r="Z33" i="27"/>
  <c r="AA33" i="27" s="1"/>
  <c r="G17" i="51" s="1"/>
  <c r="H17" i="51" s="1"/>
  <c r="Z32" i="27"/>
  <c r="Z53" i="27"/>
  <c r="AA53" i="27" s="1"/>
  <c r="G26" i="51" s="1"/>
  <c r="H26" i="51" s="1"/>
  <c r="Z54" i="27"/>
  <c r="Z41" i="27"/>
  <c r="Z44" i="27"/>
  <c r="AA44" i="27" s="1"/>
  <c r="G21" i="51" s="1"/>
  <c r="H21" i="51" s="1"/>
  <c r="Z13" i="27"/>
  <c r="U23" i="27"/>
  <c r="V23" i="27" s="1"/>
  <c r="Z23" i="27"/>
  <c r="Z14" i="27"/>
  <c r="Z70" i="27"/>
  <c r="Z39" i="27"/>
  <c r="AA39" i="27" s="1"/>
  <c r="G20" i="51" s="1"/>
  <c r="H20" i="51" s="1"/>
  <c r="Z47" i="27"/>
  <c r="AA47" i="27" s="1"/>
  <c r="G23" i="51" s="1"/>
  <c r="H23" i="51" s="1"/>
  <c r="Z40" i="27"/>
  <c r="Z48" i="27"/>
  <c r="U55" i="27"/>
  <c r="V55" i="27" s="1"/>
  <c r="Z55" i="27"/>
  <c r="AA55" i="27" s="1"/>
  <c r="G27" i="51" s="1"/>
  <c r="H27" i="51" s="1"/>
  <c r="U31" i="27"/>
  <c r="V31" i="27" s="1"/>
  <c r="Z31" i="27"/>
  <c r="AA31" i="27" s="1"/>
  <c r="G16" i="51" s="1"/>
  <c r="H16" i="51" s="1"/>
  <c r="U51" i="27"/>
  <c r="V51" i="27" s="1"/>
  <c r="Z51" i="27"/>
  <c r="Z42" i="27"/>
  <c r="Z43" i="27"/>
  <c r="Z60" i="27"/>
  <c r="Z24" i="27"/>
  <c r="AA24" i="27" s="1"/>
  <c r="G11" i="51" s="1"/>
  <c r="H11" i="51" s="1"/>
  <c r="Z26" i="27"/>
  <c r="AA26" i="27" s="1"/>
  <c r="G13" i="51" s="1"/>
  <c r="H13" i="51" s="1"/>
  <c r="Z27" i="27"/>
  <c r="AA27" i="27" s="1"/>
  <c r="G14" i="51" s="1"/>
  <c r="H14" i="51" s="1"/>
  <c r="U42" i="27"/>
  <c r="U43" i="27"/>
  <c r="U40" i="27"/>
  <c r="U48" i="27"/>
  <c r="U39" i="27"/>
  <c r="U47" i="27"/>
  <c r="U14" i="27"/>
  <c r="U70" i="27"/>
  <c r="U24" i="27"/>
  <c r="U60" i="27"/>
  <c r="U26" i="27"/>
  <c r="U27" i="27"/>
  <c r="U32" i="27"/>
  <c r="V32" i="27" s="1"/>
  <c r="U33" i="27"/>
  <c r="V33" i="27" s="1"/>
  <c r="U53" i="27"/>
  <c r="U54" i="27"/>
  <c r="U41" i="27"/>
  <c r="U44" i="27"/>
  <c r="U13" i="27"/>
  <c r="Q55" i="27"/>
  <c r="S44" i="27"/>
  <c r="S13" i="27"/>
  <c r="S41" i="27"/>
  <c r="S27" i="27"/>
  <c r="S26" i="27"/>
  <c r="S16" i="27"/>
  <c r="S15" i="27"/>
  <c r="Q51" i="27"/>
  <c r="S37" i="27"/>
  <c r="S34" i="27"/>
  <c r="S38" i="27"/>
  <c r="S67" i="27"/>
  <c r="S10" i="27"/>
  <c r="S11" i="27"/>
  <c r="S24" i="27"/>
  <c r="S60" i="27"/>
  <c r="S66" i="27"/>
  <c r="S21" i="27"/>
  <c r="S65" i="27"/>
  <c r="S22" i="27"/>
  <c r="S43" i="27"/>
  <c r="S42" i="27"/>
  <c r="S53" i="27"/>
  <c r="S54" i="27"/>
  <c r="Q32" i="27"/>
  <c r="S17" i="27"/>
  <c r="S18" i="27"/>
  <c r="Q23" i="27"/>
  <c r="S28" i="27"/>
  <c r="S25" i="27"/>
  <c r="S9" i="27"/>
  <c r="S29" i="27"/>
  <c r="Q31" i="27"/>
  <c r="S14" i="27"/>
  <c r="S70" i="27"/>
  <c r="S48" i="27"/>
  <c r="S40" i="27"/>
  <c r="S47" i="27"/>
  <c r="S39" i="27"/>
  <c r="Q33" i="27"/>
  <c r="AD39" i="27"/>
  <c r="AF20" i="27"/>
  <c r="AI24" i="27"/>
  <c r="AE39" i="27"/>
  <c r="AG20" i="27"/>
  <c r="AG31" i="27"/>
  <c r="AI17" i="27"/>
  <c r="AI31" i="27"/>
  <c r="AI20" i="27"/>
  <c r="AI18" i="27"/>
  <c r="AI11" i="27"/>
  <c r="AI30" i="27"/>
  <c r="V70" i="27" l="1"/>
  <c r="AA23" i="27"/>
  <c r="AA51" i="27"/>
  <c r="O51" i="40" s="1"/>
  <c r="AA60" i="27"/>
  <c r="AA43" i="27"/>
  <c r="AA48" i="27"/>
  <c r="AA13" i="27"/>
  <c r="AA42" i="27"/>
  <c r="AA40" i="27"/>
  <c r="AA41" i="27"/>
  <c r="AA54" i="27"/>
  <c r="AA70" i="27"/>
  <c r="AA14" i="27"/>
  <c r="AA32" i="27"/>
  <c r="O24" i="40"/>
  <c r="O33" i="40"/>
  <c r="O44" i="40"/>
  <c r="O47" i="40"/>
  <c r="V48" i="27"/>
  <c r="O39" i="40"/>
  <c r="O27" i="40"/>
  <c r="O31" i="40"/>
  <c r="E26" i="46"/>
  <c r="F21" i="46"/>
  <c r="V42" i="27"/>
  <c r="V41" i="27"/>
  <c r="Z15" i="27"/>
  <c r="Z16" i="27"/>
  <c r="AA16" i="27" s="1"/>
  <c r="G8" i="51" s="1"/>
  <c r="H8" i="51" s="1"/>
  <c r="Z66" i="27"/>
  <c r="AA66" i="27" s="1"/>
  <c r="G29" i="51" s="1"/>
  <c r="H29" i="51" s="1"/>
  <c r="Z8" i="27"/>
  <c r="AA8" i="27" s="1"/>
  <c r="G7" i="51" s="1"/>
  <c r="H7" i="51" s="1"/>
  <c r="Z21" i="27"/>
  <c r="AA21" i="27" s="1"/>
  <c r="G10" i="51" s="1"/>
  <c r="H10" i="51" s="1"/>
  <c r="Z22" i="27"/>
  <c r="Z65" i="27"/>
  <c r="V53" i="27"/>
  <c r="Z10" i="27"/>
  <c r="Z34" i="27"/>
  <c r="Z11" i="27"/>
  <c r="Z67" i="27"/>
  <c r="Z37" i="27"/>
  <c r="Z38" i="27"/>
  <c r="V40" i="27"/>
  <c r="Z18" i="27"/>
  <c r="AA18" i="27" s="1"/>
  <c r="G9" i="51" s="1"/>
  <c r="H9" i="51" s="1"/>
  <c r="Z17" i="27"/>
  <c r="Z28" i="27"/>
  <c r="Z25" i="27"/>
  <c r="AA25" i="27" s="1"/>
  <c r="G12" i="51" s="1"/>
  <c r="H12" i="51" s="1"/>
  <c r="Z29" i="27"/>
  <c r="Z9" i="27"/>
  <c r="V43" i="27"/>
  <c r="Z35" i="27"/>
  <c r="AA35" i="27" s="1"/>
  <c r="G18" i="51" s="1"/>
  <c r="H18" i="51" s="1"/>
  <c r="Z12" i="27"/>
  <c r="Z36" i="27"/>
  <c r="AA36" i="27" s="1"/>
  <c r="Z49" i="27"/>
  <c r="Z63" i="27"/>
  <c r="AA63" i="27" s="1"/>
  <c r="G28" i="51" s="1"/>
  <c r="H28" i="51" s="1"/>
  <c r="Z71" i="27"/>
  <c r="Z64" i="27"/>
  <c r="Z72" i="27"/>
  <c r="AA72" i="27" s="1"/>
  <c r="G30" i="51" s="1"/>
  <c r="H30" i="51" s="1"/>
  <c r="V14" i="27"/>
  <c r="V27" i="27"/>
  <c r="Z50" i="27"/>
  <c r="AA50" i="27" s="1"/>
  <c r="G24" i="51" s="1"/>
  <c r="H24" i="51" s="1"/>
  <c r="Z52" i="27"/>
  <c r="AA52" i="27" s="1"/>
  <c r="G25" i="51" s="1"/>
  <c r="H25" i="51" s="1"/>
  <c r="V60" i="27"/>
  <c r="V39" i="27"/>
  <c r="V26" i="27"/>
  <c r="U64" i="27"/>
  <c r="U72" i="27"/>
  <c r="U49" i="27"/>
  <c r="U71" i="27"/>
  <c r="U63" i="27"/>
  <c r="U35" i="27"/>
  <c r="U12" i="27"/>
  <c r="U36" i="27"/>
  <c r="U65" i="27"/>
  <c r="V65" i="27" s="1"/>
  <c r="U8" i="27"/>
  <c r="V8" i="27" s="1"/>
  <c r="U66" i="27"/>
  <c r="V66" i="27" s="1"/>
  <c r="U21" i="27"/>
  <c r="V21" i="27" s="1"/>
  <c r="U22" i="27"/>
  <c r="V22" i="27" s="1"/>
  <c r="U10" i="27"/>
  <c r="V10" i="27" s="1"/>
  <c r="U34" i="27"/>
  <c r="V34" i="27" s="1"/>
  <c r="U11" i="27"/>
  <c r="V11" i="27" s="1"/>
  <c r="U67" i="27"/>
  <c r="V67" i="27" s="1"/>
  <c r="U37" i="27"/>
  <c r="V37" i="27" s="1"/>
  <c r="U38" i="27"/>
  <c r="V38" i="27" s="1"/>
  <c r="V47" i="27"/>
  <c r="U17" i="27"/>
  <c r="V17" i="27" s="1"/>
  <c r="U18" i="27"/>
  <c r="V18" i="27" s="1"/>
  <c r="U9" i="27"/>
  <c r="V9" i="27" s="1"/>
  <c r="U25" i="27"/>
  <c r="V25" i="27" s="1"/>
  <c r="U28" i="27"/>
  <c r="V28" i="27" s="1"/>
  <c r="U29" i="27"/>
  <c r="V29" i="27" s="1"/>
  <c r="U50" i="27"/>
  <c r="U52" i="27"/>
  <c r="U16" i="27"/>
  <c r="V16" i="27" s="1"/>
  <c r="U15" i="27"/>
  <c r="V15" i="27" s="1"/>
  <c r="V54" i="27"/>
  <c r="V13" i="27"/>
  <c r="V24" i="27"/>
  <c r="V44" i="27"/>
  <c r="S52" i="27"/>
  <c r="S50" i="27"/>
  <c r="Q53" i="27"/>
  <c r="Q21" i="27"/>
  <c r="Q34" i="27"/>
  <c r="Q15" i="27"/>
  <c r="Q26" i="27"/>
  <c r="Q25" i="27"/>
  <c r="Q42" i="27"/>
  <c r="Q66" i="27"/>
  <c r="Q37" i="27"/>
  <c r="Q16" i="27"/>
  <c r="Q27" i="27"/>
  <c r="Q28" i="27"/>
  <c r="Q60" i="27"/>
  <c r="Q41" i="27"/>
  <c r="Q47" i="27"/>
  <c r="Q24" i="27"/>
  <c r="Q11" i="27"/>
  <c r="Q44" i="27"/>
  <c r="Q13" i="27"/>
  <c r="Q40" i="27"/>
  <c r="Q48" i="27"/>
  <c r="Q22" i="27"/>
  <c r="Q10" i="27"/>
  <c r="Q39" i="27"/>
  <c r="Q43" i="27"/>
  <c r="Q70" i="27"/>
  <c r="Q18" i="27"/>
  <c r="Q8" i="27"/>
  <c r="Q67" i="27"/>
  <c r="Q9" i="27"/>
  <c r="S36" i="27"/>
  <c r="S35" i="27"/>
  <c r="S64" i="27"/>
  <c r="S63" i="27"/>
  <c r="S49" i="27"/>
  <c r="S72" i="27"/>
  <c r="S12" i="27"/>
  <c r="S71" i="27"/>
  <c r="Q14" i="27"/>
  <c r="Q29" i="27"/>
  <c r="Q17" i="27"/>
  <c r="Q54" i="27"/>
  <c r="Q65" i="27"/>
  <c r="Q38" i="27"/>
  <c r="N63" i="21"/>
  <c r="M63" i="21"/>
  <c r="L10" i="21"/>
  <c r="L16" i="21"/>
  <c r="S10" i="21" l="1"/>
  <c r="U10" i="21" s="1"/>
  <c r="V10" i="21" s="1"/>
  <c r="S16" i="21"/>
  <c r="U16" i="21" s="1"/>
  <c r="V16" i="21" s="1"/>
  <c r="K8" i="51" s="1"/>
  <c r="AA64" i="27"/>
  <c r="AA9" i="27"/>
  <c r="AA37" i="27"/>
  <c r="AA71" i="27"/>
  <c r="AA29" i="27"/>
  <c r="AA67" i="27"/>
  <c r="AA11" i="27"/>
  <c r="AA49" i="27"/>
  <c r="AA28" i="27"/>
  <c r="O28" i="40" s="1"/>
  <c r="AA34" i="27"/>
  <c r="AA17" i="27"/>
  <c r="AA10" i="27"/>
  <c r="AA15" i="27"/>
  <c r="AA12" i="27"/>
  <c r="AA65" i="27"/>
  <c r="AA38" i="27"/>
  <c r="AA22" i="27"/>
  <c r="O52" i="40"/>
  <c r="O35" i="40"/>
  <c r="O21" i="40"/>
  <c r="O25" i="40"/>
  <c r="O66" i="40"/>
  <c r="O50" i="40"/>
  <c r="O36" i="40"/>
  <c r="O18" i="40"/>
  <c r="V36" i="27"/>
  <c r="V52" i="27"/>
  <c r="V72" i="27"/>
  <c r="V49" i="27"/>
  <c r="V71" i="27"/>
  <c r="V12" i="27"/>
  <c r="V63" i="27"/>
  <c r="V50" i="27"/>
  <c r="V64" i="27"/>
  <c r="V35" i="27"/>
  <c r="Q72" i="27"/>
  <c r="Q64" i="27"/>
  <c r="Q63" i="27"/>
  <c r="Q36" i="27"/>
  <c r="Q50" i="27"/>
  <c r="Q12" i="27"/>
  <c r="Q49" i="27"/>
  <c r="Q35" i="27"/>
  <c r="Q71" i="27"/>
  <c r="Q52" i="27"/>
  <c r="O63" i="21"/>
  <c r="P63" i="21" s="1"/>
  <c r="M8" i="21"/>
  <c r="N8" i="21"/>
  <c r="N16" i="21"/>
  <c r="M16" i="21"/>
  <c r="D7" i="22"/>
  <c r="E8" i="22"/>
  <c r="E10" i="22"/>
  <c r="E11" i="22"/>
  <c r="D14" i="22"/>
  <c r="E15" i="22"/>
  <c r="D18" i="22"/>
  <c r="F18" i="22" s="1"/>
  <c r="D19" i="22"/>
  <c r="E21" i="22"/>
  <c r="E24" i="22"/>
  <c r="D25" i="22"/>
  <c r="D26" i="22"/>
  <c r="F26" i="22" s="1"/>
  <c r="E27" i="22"/>
  <c r="D28" i="22"/>
  <c r="E30" i="22"/>
  <c r="E33" i="22"/>
  <c r="D35" i="22"/>
  <c r="F35" i="22" s="1"/>
  <c r="D36" i="22"/>
  <c r="F36" i="22" s="1"/>
  <c r="D37" i="22"/>
  <c r="F37" i="22" s="1"/>
  <c r="D38" i="22"/>
  <c r="E39" i="22"/>
  <c r="D40" i="22"/>
  <c r="F40" i="22" s="1"/>
  <c r="E42" i="22"/>
  <c r="D43" i="22"/>
  <c r="D44" i="22"/>
  <c r="D45" i="22"/>
  <c r="F45" i="22" s="1"/>
  <c r="E46" i="22"/>
  <c r="E47" i="22"/>
  <c r="E48" i="22"/>
  <c r="D50" i="22"/>
  <c r="E51" i="22"/>
  <c r="E55" i="22"/>
  <c r="E56" i="22"/>
  <c r="E57" i="22"/>
  <c r="E58" i="22"/>
  <c r="E59" i="22"/>
  <c r="E62" i="22"/>
  <c r="E63" i="22"/>
  <c r="E64" i="22"/>
  <c r="E65" i="22"/>
  <c r="E66" i="22"/>
  <c r="E67" i="22"/>
  <c r="O63" i="40" l="1"/>
  <c r="Q74" i="27"/>
  <c r="B72" i="22"/>
  <c r="O16" i="21"/>
  <c r="D55" i="22"/>
  <c r="F55" i="22" s="1"/>
  <c r="O8" i="21"/>
  <c r="D27" i="22"/>
  <c r="F27" i="22" s="1"/>
  <c r="D67" i="22"/>
  <c r="F67" i="22" s="1"/>
  <c r="D11" i="22"/>
  <c r="F11" i="22" s="1"/>
  <c r="D66" i="22"/>
  <c r="F66" i="22" s="1"/>
  <c r="D10" i="22"/>
  <c r="E44" i="22"/>
  <c r="D51" i="22"/>
  <c r="F51" i="22" s="1"/>
  <c r="E31" i="22"/>
  <c r="F28" i="22"/>
  <c r="F19" i="22"/>
  <c r="E28" i="22"/>
  <c r="D64" i="22"/>
  <c r="F64" i="22" s="1"/>
  <c r="D48" i="22"/>
  <c r="D23" i="22"/>
  <c r="F23" i="22" s="1"/>
  <c r="E23" i="22"/>
  <c r="D63" i="22"/>
  <c r="F63" i="22" s="1"/>
  <c r="D47" i="22"/>
  <c r="F47" i="22" s="1"/>
  <c r="D21" i="22"/>
  <c r="F21" i="22" s="1"/>
  <c r="E43" i="22"/>
  <c r="E19" i="22"/>
  <c r="F10" i="22"/>
  <c r="E38" i="22"/>
  <c r="E18" i="22"/>
  <c r="D59" i="22"/>
  <c r="F59" i="22" s="1"/>
  <c r="D58" i="22"/>
  <c r="F58" i="22" s="1"/>
  <c r="D31" i="22"/>
  <c r="F31" i="22" s="1"/>
  <c r="D16" i="22"/>
  <c r="F16" i="22" s="1"/>
  <c r="E37" i="22"/>
  <c r="E16" i="22"/>
  <c r="D32" i="22"/>
  <c r="F32" i="22" s="1"/>
  <c r="D56" i="22"/>
  <c r="F56" i="22" s="1"/>
  <c r="D29" i="22"/>
  <c r="F29" i="22" s="1"/>
  <c r="D12" i="22"/>
  <c r="F12" i="22" s="1"/>
  <c r="E35" i="22"/>
  <c r="D24" i="22"/>
  <c r="F24" i="22" s="1"/>
  <c r="E9" i="22"/>
  <c r="D65" i="22"/>
  <c r="F65" i="22" s="1"/>
  <c r="D57" i="22"/>
  <c r="F57" i="22" s="1"/>
  <c r="D49" i="22"/>
  <c r="F49" i="22" s="1"/>
  <c r="D39" i="22"/>
  <c r="F39" i="22" s="1"/>
  <c r="D30" i="22"/>
  <c r="F30" i="22" s="1"/>
  <c r="D22" i="22"/>
  <c r="F22" i="22" s="1"/>
  <c r="D13" i="22"/>
  <c r="F13" i="22" s="1"/>
  <c r="E45" i="22"/>
  <c r="E36" i="22"/>
  <c r="E26" i="22"/>
  <c r="F48" i="22"/>
  <c r="F38" i="22"/>
  <c r="E54" i="22"/>
  <c r="D41" i="22"/>
  <c r="F41" i="22" s="1"/>
  <c r="E14" i="22"/>
  <c r="D54" i="22"/>
  <c r="F54" i="22" s="1"/>
  <c r="E60" i="22"/>
  <c r="E41" i="22"/>
  <c r="E22" i="22"/>
  <c r="E13" i="22"/>
  <c r="F44" i="22"/>
  <c r="F25" i="22"/>
  <c r="F14" i="22"/>
  <c r="E69" i="22"/>
  <c r="E53" i="22"/>
  <c r="E32" i="22"/>
  <c r="D62" i="22"/>
  <c r="F62" i="22" s="1"/>
  <c r="D69" i="22"/>
  <c r="F69" i="22" s="1"/>
  <c r="D61" i="22"/>
  <c r="F61" i="22" s="1"/>
  <c r="D53" i="22"/>
  <c r="F53" i="22" s="1"/>
  <c r="E40" i="22"/>
  <c r="E12" i="22"/>
  <c r="F43" i="22"/>
  <c r="E70" i="22"/>
  <c r="E25" i="22"/>
  <c r="D70" i="22"/>
  <c r="F70" i="22" s="1"/>
  <c r="D46" i="22"/>
  <c r="F46" i="22" s="1"/>
  <c r="E68" i="22"/>
  <c r="E52" i="22"/>
  <c r="F50" i="22"/>
  <c r="D68" i="22"/>
  <c r="F68" i="22" s="1"/>
  <c r="D60" i="22"/>
  <c r="F60" i="22" s="1"/>
  <c r="D52" i="22"/>
  <c r="F52" i="22" s="1"/>
  <c r="D33" i="22"/>
  <c r="F33" i="22" s="1"/>
  <c r="D8" i="22"/>
  <c r="F8" i="22" s="1"/>
  <c r="E49" i="22"/>
  <c r="E29" i="22"/>
  <c r="E50" i="22"/>
  <c r="D42" i="22"/>
  <c r="F42" i="22" s="1"/>
  <c r="D15" i="22"/>
  <c r="F15" i="22" s="1"/>
  <c r="E7" i="22"/>
  <c r="F7" i="22"/>
  <c r="P8" i="21" l="1"/>
  <c r="P16" i="21"/>
  <c r="N63" i="26"/>
  <c r="N66" i="26"/>
  <c r="N33" i="26"/>
  <c r="N27" i="26"/>
  <c r="N36" i="26"/>
  <c r="N28" i="26"/>
  <c r="N31" i="26"/>
  <c r="N39" i="26"/>
  <c r="N24" i="26"/>
  <c r="D17" i="22"/>
  <c r="F17" i="22" s="1"/>
  <c r="E17" i="22"/>
  <c r="E20" i="22"/>
  <c r="D20" i="22"/>
  <c r="F20" i="22" s="1"/>
  <c r="D9" i="22"/>
  <c r="F9" i="22" s="1"/>
  <c r="G74" i="21"/>
  <c r="M10" i="21"/>
  <c r="N10" i="21"/>
  <c r="N21" i="26" l="1"/>
  <c r="H72" i="22"/>
  <c r="N16" i="26"/>
  <c r="O16" i="40"/>
  <c r="N8" i="26"/>
  <c r="O8" i="40"/>
  <c r="O10" i="21"/>
  <c r="P10" i="21" s="1"/>
  <c r="O10" i="40" s="1"/>
  <c r="N10" i="26" l="1"/>
  <c r="N18" i="26"/>
  <c r="N25" i="26" l="1"/>
  <c r="N52" i="26" l="1"/>
  <c r="N51" i="26"/>
  <c r="N44" i="26"/>
  <c r="N47" i="26"/>
  <c r="N35" i="26"/>
  <c r="N5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tc={6EC9F4A5-2302-430E-A379-CD8F9C9210D1}</author>
    <author>tc={B4F23D35-4033-41B0-B032-8E2939D16330}</author>
  </authors>
  <commentList>
    <comment ref="C18" authorId="0" shapeId="0" xr:uid="{6EC9F4A5-2302-430E-A379-CD8F9C9210D1}">
      <text>
        <t>[Threaded comment]
Your version of Excel allows you to read this threaded comment; however, any edits to it will get removed if the file is opened in a newer version of Excel. Learn more: https://go.microsoft.com/fwlink/?linkid=870924
Comment:
    Changes occur at substation level within zone.</t>
      </text>
    </comment>
    <comment ref="C19" authorId="1" shapeId="0" xr:uid="{B4F23D35-4033-41B0-B032-8E2939D16330}">
      <text>
        <t>[Threaded comment]
Your version of Excel allows you to read this threaded comment; however, any edits to it will get removed if the file is opened in a newer version of Excel. Learn more: https://go.microsoft.com/fwlink/?linkid=870924
Comment:
    Changes occur at substation level within zone.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tc={F9DB8576-D53C-43DE-95DF-B4E7D0496038}</author>
    <author>Barave, Sushant</author>
    <author>tc={1C4B5CC8-7F99-44E4-A256-0582399C7FC8}</author>
    <author>tc={78D3887D-BBE7-48A1-B189-B56579D91766}</author>
  </authors>
  <commentList>
    <comment ref="L7" authorId="0" shapeId="0" xr:uid="{F9DB8576-D53C-43DE-95DF-B4E7D0496038}">
      <text>
        <t>[Threaded comment]
Your version of Excel allows you to read this threaded comment; however, any edits to it will get removed if the file is opened in a newer version of Excel. Learn more: https://go.microsoft.com/fwlink/?linkid=870924
Comment:
    Source: Feb2020_Resolve_tx_zones</t>
      </text>
    </comment>
    <comment ref="L15" authorId="1" shapeId="0" xr:uid="{5845511B-1B76-4571-9700-E1306D545A41}">
      <text>
        <r>
          <rPr>
            <b/>
            <sz val="9"/>
            <color indexed="81"/>
            <rFont val="Tahoma"/>
            <family val="2"/>
          </rPr>
          <t>Barave, Sushant:</t>
        </r>
        <r>
          <rPr>
            <sz val="9"/>
            <color indexed="81"/>
            <rFont val="Tahoma"/>
            <family val="2"/>
          </rPr>
          <t xml:space="preserve">
1100 FC + 900 MW conventional gen + 10% increase</t>
        </r>
      </text>
    </comment>
    <comment ref="AM15" authorId="2" shapeId="0" xr:uid="{1C4B5CC8-7F99-44E4-A256-0582399C7FC8}">
      <text>
        <t xml:space="preserve">[Threaded comment]
Your version of Excel allows you to read this threaded comment; however, any edits to it will get removed if the file is opened in a newer version of Excel. Learn more: https://go.microsoft.com/fwlink/?linkid=870924
Comment:
    This appears as an exceedance, but in post-processing, the excess is assigned to Gates-Diablo 500 kV system which is electrically outside the constraint.
</t>
      </text>
    </comment>
    <comment ref="L16" authorId="1" shapeId="0" xr:uid="{BBAC5F14-07C6-4133-A0FA-4105C454DBFA}">
      <text>
        <r>
          <rPr>
            <b/>
            <sz val="9"/>
            <color indexed="81"/>
            <rFont val="Tahoma"/>
            <family val="2"/>
          </rPr>
          <t>Barave, Sushant:</t>
        </r>
        <r>
          <rPr>
            <sz val="9"/>
            <color indexed="81"/>
            <rFont val="Tahoma"/>
            <family val="2"/>
          </rPr>
          <t xml:space="preserve">
1000 FC + 2800 MW conventional gen + 10% increase</t>
        </r>
      </text>
    </comment>
    <comment ref="L18" authorId="1" shapeId="0" xr:uid="{AB0D8A9C-CCDA-4FFA-9D48-7B637A651459}">
      <text>
        <r>
          <rPr>
            <b/>
            <sz val="9"/>
            <color indexed="81"/>
            <rFont val="Tahoma"/>
            <family val="2"/>
          </rPr>
          <t>Barave, Sushant:</t>
        </r>
        <r>
          <rPr>
            <sz val="9"/>
            <color indexed="81"/>
            <rFont val="Tahoma"/>
            <family val="2"/>
          </rPr>
          <t xml:space="preserve">
1000 FC + 0 MW conventional gen</t>
        </r>
      </text>
    </comment>
    <comment ref="AM33" authorId="3" shapeId="0" xr:uid="{78D3887D-BBE7-48A1-B189-B56579D91766}">
      <text>
        <t xml:space="preserve">[Threaded comment]
Your version of Excel allows you to read this threaded comment; however, any edits to it will get removed if the file is opened in a newer version of Excel. Learn more: https://go.microsoft.com/fwlink/?linkid=870924
Comment:
    This appears as an exceedance, but it ok because the resource is pumped hydro energy storage.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tc={7C3F2510-AEEB-4B1B-9653-505EDD9E3961}</author>
    <author>tc={7BA9249C-FFD6-4169-85BE-5BA7056FFF35}</author>
    <author>tc={CF4E72CD-E1A1-49BF-BDB5-20AC6F357216}</author>
    <author>tc={CFD94EAB-590B-43C7-8F8F-B0A8EE25E5AA}</author>
    <author>tc={09B907EE-1A1C-4054-AE85-BB22D5ADD67A}</author>
    <author>tc={0B0B7300-B322-48CB-BCE6-2EF9107BBBBF}</author>
  </authors>
  <commentList>
    <comment ref="L35" authorId="0"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Note this is manually disentangled from resources physically located in AZ, with queue POI specified in Riverside Palm Springs zone</t>
      </text>
    </comment>
    <comment ref="S35" authorId="1" shapeId="0" xr:uid="{7BA9249C-FFD6-4169-85BE-5BA7056FFF35}">
      <text>
        <t>[Threaded comment]
Your version of Excel allows you to read this threaded comment; however, any edits to it will get removed if the file is opened in a newer version of Excel. Learn more: https://go.microsoft.com/fwlink/?linkid=870924
Comment:
    Note this is manually disentangled from resources physically located in AZ, with queue POI specified in Riverside Palm Springs zone</t>
      </text>
    </comment>
    <comment ref="L63" authorId="2"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Sumarized manually by state in queue spreadsheet, to distentangle overlap with other zones (RiversidePalm Springs and Greater Imperial)</t>
      </text>
    </comment>
    <comment ref="S63" authorId="3" shapeId="0" xr:uid="{CFD94EAB-590B-43C7-8F8F-B0A8EE25E5AA}">
      <text>
        <t>[Threaded comment]
Your version of Excel allows you to read this threaded comment; however, any edits to it will get removed if the file is opened in a newer version of Excel. Learn more: https://go.microsoft.com/fwlink/?linkid=870924
Comment:
    Sumarized manually by state in queue spreadsheet, to distentangle overlap with other zones (RiversidePalm Springs and Greater Imperial)</t>
      </text>
    </comment>
    <comment ref="L66" authorId="4" shapeId="0" xr:uid="{09B907EE-1A1C-4054-AE85-BB22D5ADD67A}">
      <text>
        <t>[Threaded comment]
Your version of Excel allows you to read this threaded comment; however, any edits to it will get removed if the file is opened in a newer version of Excel. Learn more: https://go.microsoft.com/fwlink/?linkid=870924
Comment:
    Summarized manually by county in queue spreadsheet, to distentangle overlap with other zones (Greater Imperial)</t>
      </text>
    </comment>
    <comment ref="S66" authorId="5" shapeId="0" xr:uid="{0B0B7300-B322-48CB-BCE6-2EF9107BBBBF}">
      <text>
        <t>[Threaded comment]
Your version of Excel allows you to read this threaded comment; however, any edits to it will get removed if the file is opened in a newer version of Excel. Learn more: https://go.microsoft.com/fwlink/?linkid=870924
Comment:
    Summarized manually by county in queue spreadsheet, to distentangle overlap with other zones (Greater Imperial)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tc={148F44C0-03D3-468A-968A-6D6C5F9CE93D}</author>
  </authors>
  <commentList>
    <comment ref="B4" authorId="0" shapeId="0" xr:uid="{00000000-0006-0000-0800-000001000000}">
      <text>
        <t xml:space="preserve">[Threaded comment]
Your version of Excel allows you to read this threaded comment; however, any edits to it will get removed if the file is opened in a newer version of Excel. Learn more: https://go.microsoft.com/fwlink/?linkid=870924
Comment:
    Source: Feb 2020 Busbar Allocation
</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SOLAR_RSP_12102019" description="Connection to the 'SOLAR_RSP_12102019' query in the workbook." type="5" refreshedVersion="6" background="1" saveData="1">
    <dbPr connection="Provider=Microsoft.Mashup.OleDb.1;Data Source=$Workbook$;Location=SOLAR_RSP_12102019;Extended Properties=&quot;&quot;" command="SELECT * FROM [SOLAR_RSP_12102019]"/>
  </connection>
  <connection id="2" xr16:uid="{00000000-0015-0000-FFFF-FFFF01000000}" keepAlive="1" name="Query - TBD_Intactness_Union_SUBS15_2020_SPJOIN" description="Connection to the 'TBD_Intactness_Union_SUBS15_2020_SPJOIN' query in the workbook." type="5" refreshedVersion="6" background="1" saveData="1">
    <dbPr connection="Provider=Microsoft.Mashup.OleDb.1;Data Source=$Workbook$;Location=TBD_Intactness_Union_SUBS15_2020_SPJOIN;Extended Properties=&quot;&quot;" command="SELECT * FROM [TBD_Intactness_Union_SUBS15_2020_SPJOIN]"/>
  </connection>
  <connection id="3" xr16:uid="{00000000-0015-0000-FFFF-FFFF02000000}" keepAlive="1" name="Query - Wind_Assignment_3" description="Connection to the 'Wind_Assignment_3' query in the workbook." type="5" refreshedVersion="6" background="1" saveData="1">
    <dbPr connection="Provider=Microsoft.Mashup.OleDb.1;Data Source=$Workbook$;Location=Wind_Assignment_3;Extended Properties=&quot;&quot;" command="SELECT * FROM [Wind_Assignment_3]"/>
  </connection>
</connections>
</file>

<file path=xl/sharedStrings.xml><?xml version="1.0" encoding="utf-8"?>
<sst xmlns="http://schemas.openxmlformats.org/spreadsheetml/2006/main" count="3883" uniqueCount="770">
  <si>
    <t xml:space="preserve">This dashboard provides an overview of busbar mapping results for the CPUC IRP Proceeding </t>
  </si>
  <si>
    <t xml:space="preserve">Resource-to-busbar mapping (“busbar mapping”) is the process of refining the geographically coarse portfolios produced in the California Public Utilities Commission’s (CPUC) Integrated Resource Plan (IRP) proceeding, into plausible network modeling locations for electrical analysis in the California Independent System Operator’s (CAISO) annual Transmission Planning Process (TPP). </t>
  </si>
  <si>
    <t>The purpose of this workbook is to communicate the results of the 2019 busbar mapping process performed by the CPUC, CAISO and California Energy Commission (CEC).</t>
  </si>
  <si>
    <t>Tabs shaded blue are authored by CEC: busbar allocation results</t>
  </si>
  <si>
    <t>Tabs shaded purple are authored by CPUC: these tabs show busbar mapping criteria and results</t>
  </si>
  <si>
    <t>Tabs shaded green are authored by CPUC: these tabs show the underlying calculations used to review busbar mapping results against mapping criteria</t>
  </si>
  <si>
    <t>See Methodology for more detail, available at:</t>
  </si>
  <si>
    <t>https://www.cpuc.ca.gov/General.aspx?id=6442464144</t>
  </si>
  <si>
    <t>Version #</t>
  </si>
  <si>
    <t>Mapping Rounds Performed</t>
  </si>
  <si>
    <t>Description</t>
  </si>
  <si>
    <t>Changes to Prior Version</t>
  </si>
  <si>
    <t>RESOLVE portfolio: 46MMT_20200207_2045_2GWPRM_NOOTCEXT_RSP_PD</t>
  </si>
  <si>
    <t>Not applicable</t>
  </si>
  <si>
    <t>Sending to CEC for mapping 3/10/20</t>
  </si>
  <si>
    <t>Updating commentary with latest status. Formatting.</t>
  </si>
  <si>
    <t>1 &amp; 2</t>
  </si>
  <si>
    <t>Includes feedback from ISO and PUC staff on 3/20 check-in call</t>
  </si>
  <si>
    <t xml:space="preserve">Imported round 2 mapping results, created round 2 dashboard, updated all criteria. </t>
  </si>
  <si>
    <t>Revised rounds 0 and 1 dashboards to retain criteria values prior to round 2 (hard coded from prior version)</t>
  </si>
  <si>
    <t>Cleaned up for public posting</t>
  </si>
  <si>
    <t>IRP Busbar Mapping Dashboard</t>
  </si>
  <si>
    <t>Purpose: Quickly communicate compliance of portfolio mapping with the criteria per the Methodology. Highlight MW amounts by zone that breach criteria, if any, and identify next steps as part of the iterative process.</t>
  </si>
  <si>
    <t>Pre Round 1 - RESOLVE selections</t>
  </si>
  <si>
    <t>Selected</t>
  </si>
  <si>
    <t xml:space="preserve">Selected </t>
  </si>
  <si>
    <t>Compliance with Criteria</t>
  </si>
  <si>
    <t>Resource Selection</t>
  </si>
  <si>
    <t>Resources</t>
  </si>
  <si>
    <t xml:space="preserve">  [1=Yes, 2=Possible/Moderate, 3=Materially in Breach] </t>
  </si>
  <si>
    <t>Actions</t>
  </si>
  <si>
    <t>Resource</t>
  </si>
  <si>
    <t>2030 FCDS MW</t>
  </si>
  <si>
    <t>2030 EO MW</t>
  </si>
  <si>
    <t>Total MW (2018 PSP)</t>
  </si>
  <si>
    <t>1. Distance to Trans.</t>
  </si>
  <si>
    <t xml:space="preserve">2. Trans. Capability
</t>
  </si>
  <si>
    <t xml:space="preserve">3a. Available Land Area
</t>
  </si>
  <si>
    <t>3b. High Env. Impl.</t>
  </si>
  <si>
    <t>[lookup formula]</t>
  </si>
  <si>
    <t xml:space="preserve">4. Comm. Interest
</t>
  </si>
  <si>
    <t xml:space="preserve">5. Consistency with Prior Year's Mapping
</t>
  </si>
  <si>
    <t>Sum of criteria</t>
  </si>
  <si>
    <t>Low-Effort Adjustment Available?</t>
  </si>
  <si>
    <t>Further Round of Mapping Needed?</t>
  </si>
  <si>
    <t>Comment; Potential Solutions for Consideration</t>
  </si>
  <si>
    <t xml:space="preserve">Include in display? </t>
  </si>
  <si>
    <t>InState_Biomass</t>
  </si>
  <si>
    <t/>
  </si>
  <si>
    <t>Greater_Imperial_Geothermal</t>
  </si>
  <si>
    <t>ok</t>
  </si>
  <si>
    <t>No</t>
  </si>
  <si>
    <t>[Prior yr]: &gt;1000 MW difference from prior year</t>
  </si>
  <si>
    <t>Inyokern_North_Kramer_Geothermal</t>
  </si>
  <si>
    <t>Northern_California_Geothermal</t>
  </si>
  <si>
    <t>Pacific_Northwest_Geothermal</t>
  </si>
  <si>
    <t>Riverside_Palm_Springs_Geothermal</t>
  </si>
  <si>
    <t>Solano_Geothermal</t>
  </si>
  <si>
    <t>Southern_Nevada_Geothermal</t>
  </si>
  <si>
    <t>Carrizo_Solar</t>
  </si>
  <si>
    <t>Carrizo_Wind</t>
  </si>
  <si>
    <t>[Prior yr]: &gt;60% difference from prior portfolio</t>
  </si>
  <si>
    <t>Central_Valley_North_Los_Banos_Solar</t>
  </si>
  <si>
    <t>Central_Valley_North_Los_Banos_Wind</t>
  </si>
  <si>
    <t>Yes</t>
  </si>
  <si>
    <t>Distributed_Solar</t>
  </si>
  <si>
    <t>Distributed_Wind</t>
  </si>
  <si>
    <t>Greater_Imperial_Solar</t>
  </si>
  <si>
    <t>Maybe?</t>
  </si>
  <si>
    <t>[Commercial interest]: model selecting less than queue (model = 548 MW, queue = 3051 MW)</t>
  </si>
  <si>
    <t>Greater_Imperial_Wind</t>
  </si>
  <si>
    <t>Greater_Kramer_Wind</t>
  </si>
  <si>
    <t>Humboldt_Wind</t>
  </si>
  <si>
    <t>Inyokern_North_Kramer_Solar</t>
  </si>
  <si>
    <t>[Commercial interest]: Model selecting less than queue (model = 97; queue = 824 MW)</t>
  </si>
  <si>
    <t>Kern_Greater_Carrizo_Solar</t>
  </si>
  <si>
    <t>Kern_Greater_Carrizo_Wind</t>
  </si>
  <si>
    <t>Kramer_Inyokern_Ex_Solar</t>
  </si>
  <si>
    <t>Kramer_Inyokern_Ex_Wind</t>
  </si>
  <si>
    <t>Mountain_Pass_El_Dorado_Solar</t>
  </si>
  <si>
    <t>[Tx capability]: bug in model means this resource should be converted from FD to EO. See tab "proposedAdjustments", adjustment 4. [Prior yr]: &gt;60% difference from prior portfolio</t>
  </si>
  <si>
    <t>North_Victor_Solar</t>
  </si>
  <si>
    <t>Northern_California_Ex_Solar</t>
  </si>
  <si>
    <t>Northern_California_Ex_Wind</t>
  </si>
  <si>
    <t>After Rnd 1</t>
  </si>
  <si>
    <t>[Tx capability]: Note overlap in the tx capability estimates between “Ex” zone and core tx constraint zones – the estimates for the core zones have greater confidence and should probably supersede</t>
  </si>
  <si>
    <t>NW_Ext_Tx_Wind</t>
  </si>
  <si>
    <t>Riverside_Palm_Springs_Solar</t>
  </si>
  <si>
    <t>[Commercial interest]: Model selecting less than queue (model = 0; queue = 2182 MW in zone, plus 2595 MW delivering to zone from AZ) [Prior yr]: Changed from 1622 MW to 0 MW</t>
  </si>
  <si>
    <t>Riverside_Palm_Springs_Wind</t>
  </si>
  <si>
    <t>NA</t>
  </si>
  <si>
    <t>Resource not included in latest version of RESOLVE</t>
  </si>
  <si>
    <t>Sacramento_River_Solar</t>
  </si>
  <si>
    <t>Sacramento_River_Wind</t>
  </si>
  <si>
    <t>SCADSNV_Solar</t>
  </si>
  <si>
    <t>SCADSNV_Wind</t>
  </si>
  <si>
    <t>Solano_Solar</t>
  </si>
  <si>
    <t>Solano_subzone_Solar</t>
  </si>
  <si>
    <t>Solano_subzone_Wind</t>
  </si>
  <si>
    <t>Solano_Wind</t>
  </si>
  <si>
    <t>Southern_California_Desert_Ex_Solar</t>
  </si>
  <si>
    <t>[Tx capability]: Note overlap in the tx capability estimates between “Ex” zone and core tx constraint zones – the estimates for the core zones have greater confidence and should probably supersede. [Commercial interest]: model selecting less than queue (model = 862 MW, queue = 2000 MW). [Prior yr]: &gt;60% difference from prior portfolio.</t>
  </si>
  <si>
    <t>Southern_California_Desert_Ex_Wind</t>
  </si>
  <si>
    <t>Southern_Nevada_Solar</t>
  </si>
  <si>
    <t>[Commercial interest]: Model selecting less than queue (model = 0; queue = 2000 MW.) [Prior yr]: Changed from 3006 MW to 0 MW</t>
  </si>
  <si>
    <t>Southern_Nevada_Wind</t>
  </si>
  <si>
    <t>SW_Ext_Tx_Wind</t>
  </si>
  <si>
    <t>Tehachapi_Solar</t>
  </si>
  <si>
    <t>&gt;1000 MW increase from prior year. Note Riverside Palm Springs went down to zero. Cosider balancing these two out.</t>
  </si>
  <si>
    <t>Tehachapi_Ex_Solar</t>
  </si>
  <si>
    <t>Tehachapi_Wind</t>
  </si>
  <si>
    <t>&gt;60% difference from prior portfolio</t>
  </si>
  <si>
    <t>Westlands_Ex_Solar</t>
  </si>
  <si>
    <t>[Tx capability]: Note overlap in the tx capability estimates between “Ex” zone and core tx constraint zones – the estimates for the core zones have greater confidence and should probably supersede. [Prior yr]: Changed from 0 to 1779 MW</t>
  </si>
  <si>
    <t>Westlands_Ex_Wind</t>
  </si>
  <si>
    <t>Westlands_Solar</t>
  </si>
  <si>
    <t xml:space="preserve"> [Commercial interest]: Model selecting less than queue (model = 58; queue = 5246 MW.) [Prior yr]: Changed from 0 to 58 MW.</t>
  </si>
  <si>
    <t>Cape_Mendocino_Offshore_Wind</t>
  </si>
  <si>
    <t>Del_Norte_Offshore_Wind</t>
  </si>
  <si>
    <t>Diablo_Canyon_Offshore_Wind_Ext_Tx</t>
  </si>
  <si>
    <t>Diablo_Canyon_Offshore_Wind</t>
  </si>
  <si>
    <t>Humboldt_Bay_Offshore_Wind</t>
  </si>
  <si>
    <t>Morro_Bay_Offshore_Wind</t>
  </si>
  <si>
    <t>Utah_Solar</t>
  </si>
  <si>
    <t>Arizona_Solar</t>
  </si>
  <si>
    <t>[Commercial interest]: model selecting less than queue (model = 2352, queue = 2595 MW) [Prior yr]:Changed from 428 to 2352 MW.</t>
  </si>
  <si>
    <t>New_Mexico_Solar</t>
  </si>
  <si>
    <t>Baja_California_Solar</t>
  </si>
  <si>
    <t>Baja_California_Wind</t>
  </si>
  <si>
    <t>[Consistency w prior year]: Baja wind does not appear in 2018 PSP busbar mapping results. Model selection is consistent with queue.</t>
  </si>
  <si>
    <t>Pacific_Northwest_Wind</t>
  </si>
  <si>
    <t>Idaho_Wind</t>
  </si>
  <si>
    <t>Utah_Wind</t>
  </si>
  <si>
    <t>Wyoming_Wind</t>
  </si>
  <si>
    <t>Arizona_Wind</t>
  </si>
  <si>
    <t>New_Mexico_Wind</t>
  </si>
  <si>
    <t xml:space="preserve">[Commercial interest]: Stakeholder comments indicate commercial interest, but New Mexico wind is not found by state in the queue.  [Prior yr]: Changed from 0 to 606 MW. </t>
  </si>
  <si>
    <t>Sub Total - Renewables</t>
  </si>
  <si>
    <t>Total</t>
  </si>
  <si>
    <t>Pre Round 1 - Adjusted with inter-resource Reallocations</t>
  </si>
  <si>
    <t>Adjusted</t>
  </si>
  <si>
    <t>2. Trans. Capability</t>
  </si>
  <si>
    <t>Yes after Round 1</t>
  </si>
  <si>
    <t>Moved 737 MW from Westlands_Ex solar to Kern Greater Carrizo, FCDS. See "porposedAdjustments" tab, adjustment 3.</t>
  </si>
  <si>
    <t>Converted from FD to EO</t>
  </si>
  <si>
    <t>Moved 862 MW from Southern California Desert Ex Solar to SNV solar. This improved criteria 2 (tx capability), 4 (comm int) and 5 (delta from prior yr). See tab  "proposedAdjustments", adjustment 2</t>
  </si>
  <si>
    <t>Moved 862 MW from Southern California Desert Ex Solar to SNV solar. This improved criteria 4 (comm int). See tab  "proposedAdjustments", adjustment 2</t>
  </si>
  <si>
    <t>Moved 1000 MW from Tehachapi solar to Riverside Palm Springs Solar. This did not change any criteria. See tab  "proposedAdjustments", adjustment 1</t>
  </si>
  <si>
    <t>Moved 1779 from Westlands_Ex solar to Westlands solar (same rationale as above). [Update]: only 1041 MW can be added to Westlands before breaching FCDS tx limit.  Move the remaining amount (737 MW) to Kern Greater Carrizo, FCDS. This improvied criteria 2 (tx capability) and 5 (delta from prior yr). See tab  "proposedAdjustments", adjustment 3.</t>
  </si>
  <si>
    <t>Moved 1779 from Westlands_Ex solar to core zones. [Update]: only 1041 MW can be added to Westlands before breaching FCDS tx limit.  Move the remaining amount (737 MW) to Kern Greater Carrizo, FCDS. This slightly improved criteria 4 (commercial interest), bringing Westlands solar up from 58 MW to 1099 MW, the max amount it can accept on the existing tx system without upgrades. It still falls short of commercial interest, which is ~5000 MW in this zone.  This worsened the delta from prior yr (changed it from 2 to 3), since the delta increased.  However, prior year departed from commercial interest even further, since prior year amount was zero. See tab  "proposedAdjustments", adjustment 3.</t>
  </si>
  <si>
    <t>Post Round 1</t>
  </si>
  <si>
    <t xml:space="preserve">2. Trans. Capability 
</t>
  </si>
  <si>
    <t>5. Consistency with Prior Year's Mapping</t>
  </si>
  <si>
    <t xml:space="preserve">[Available land area]: some sites exceed available land </t>
  </si>
  <si>
    <t xml:space="preserve">[Distance to transmission]: Move to Westlands zone, because Westlands has closer substation. [Available land area]: some sites exceed available land. </t>
  </si>
  <si>
    <t xml:space="preserve">[Distance to transmission]: Assign to Cholame Sub to reduce gentie distance. May require local upgrade to connect project(s) See "proposedAdjustments" tab, adjustment 8. </t>
  </si>
  <si>
    <t>[Tx capability]: Reverse FD to EO conversion. See tab "proposedAdjustments", adjustment 10.</t>
  </si>
  <si>
    <t>[Available land area]: some sites exceed available land.</t>
  </si>
  <si>
    <t>Post Round 2</t>
  </si>
  <si>
    <t>[Prior yr]: delta from prior yr is ok, per tri-agency working group discussion.</t>
  </si>
  <si>
    <t>[Distance to tx]: improved with adjustment: assigned to closer substation</t>
  </si>
  <si>
    <t>[Comm int]: not found in queue</t>
  </si>
  <si>
    <t>Criteria 2 improved</t>
  </si>
  <si>
    <t>[Prior yr]: Resource not considered in RESOLVE in 2019 model version</t>
  </si>
  <si>
    <t xml:space="preserve">[Prior yr]: Delta from prior year is ok. See tab "SNV_Detail". The amount at the individual substations is consistent with prior yr.  For example the sum of the allocation to three substations (Innovation, Desert View, Crazy Eyes) was 700 MW last year, and is 700 MW this year.  Two substations receive allocations from three RESOLVE resources: SCADSNV_Solar, Mountain_Pass_El_Dorado_Solar, Southern_Nevada_Solar. </t>
  </si>
  <si>
    <t>[Prior yr]: Delta from prior year is ok. Reducing MW to bring down closer to prior yr not possible: tried to move MW to SCADSNV but this exceeded tx capability in SCADSNV.</t>
  </si>
  <si>
    <t xml:space="preserve">[Tx limits]: What looks like an exceedance of transmission capability  is in fact alleviated by adjustments to Westlands solar at the substation level. Excess is allocated to Gates-Diablo 500 kV system. Gates-Diablo 500 kV system appears geographically in the Southern PG&amp;E zone, but electrically it is outside the transmission constraint.
[Comm int]: Not possible to increasing MW to bring amount up closer to commercial interest, because tx capability is binding.  Commercial interest = 5000 MW. Tx capability on existing system is 1100 MW. Criteria 2, 4 and 5 work against each other in this zone. Zero MW prior yr. 5000 MW commercial interest. 1000 MW tx capability. </t>
  </si>
  <si>
    <t>[Prior yr]: Delta from prior year is ok. Increased more than 1000 MW from prior yr, but this brings the total up closer to commercial interest (queue = 2595 MW)</t>
  </si>
  <si>
    <t>[Distance to tx]: confirmed delivery point to California with commercial interest. [Comm int]: not found in queue</t>
  </si>
  <si>
    <t>Pumped Storage Hydro</t>
  </si>
  <si>
    <t>[Tx limits]: Located in GreaterImpOutsideTxConstraintZones. Confirmed ok with ISO.</t>
  </si>
  <si>
    <t>Extract from:</t>
  </si>
  <si>
    <t>RESOLVE_Results_Viewer_2020-02-07</t>
  </si>
  <si>
    <t>46MMT_20200207_2045_2GWPRM_NOOTCEXT_RSP_PD</t>
  </si>
  <si>
    <t>Portfolio Analytics</t>
  </si>
  <si>
    <t>FCDS Renewable Resource Summary by Location (MW)</t>
  </si>
  <si>
    <t>EO Renewable Resource Summary by Location (MW)</t>
  </si>
  <si>
    <t>RESOLVE Resource</t>
  </si>
  <si>
    <t>Tx Zone</t>
  </si>
  <si>
    <t>2030 FD</t>
  </si>
  <si>
    <t>Proposed Adjustment</t>
  </si>
  <si>
    <t>Adjusted Value (FD)</t>
  </si>
  <si>
    <t>2030 EO</t>
  </si>
  <si>
    <t>Adjusted Value (EO)</t>
  </si>
  <si>
    <t xml:space="preserve">FD + EO </t>
  </si>
  <si>
    <t>Adjusted (FD + EO)</t>
  </si>
  <si>
    <t>None</t>
  </si>
  <si>
    <t>SCADSNV-Greater_Imperial</t>
  </si>
  <si>
    <t>Inyokern_North_Kramer-Greater_Kramer</t>
  </si>
  <si>
    <t>Northern_California_Ex_Geothermal</t>
  </si>
  <si>
    <t>Northern_California_Ex</t>
  </si>
  <si>
    <t>N/A</t>
  </si>
  <si>
    <t>SCADSNV-Riverside_Palm_Springs</t>
  </si>
  <si>
    <t>Sacramento_River-Solano</t>
  </si>
  <si>
    <t>Mountain_Pass_El_Dorado-SCADSNV</t>
  </si>
  <si>
    <t>Carrizo-Kern_Greater_Carrizo-SPGE</t>
  </si>
  <si>
    <t>Central_Valley_North_Los_Banos-SPGE</t>
  </si>
  <si>
    <t>Greater_Kramer</t>
  </si>
  <si>
    <t>Humboldt-Sacramento_River</t>
  </si>
  <si>
    <t>Kern_Greater_Carrizo-SPGE</t>
  </si>
  <si>
    <t>Kramer_Inyokern_Ex</t>
  </si>
  <si>
    <t>North_Victor-Greater_Kramer</t>
  </si>
  <si>
    <t>Sacramento_River</t>
  </si>
  <si>
    <t>SCADSNV</t>
  </si>
  <si>
    <t>Sacramento_River-Solano-Solano_subzone</t>
  </si>
  <si>
    <t>Southern_California_Desert_Ex</t>
  </si>
  <si>
    <t>SCADSNV-GLW_VEA</t>
  </si>
  <si>
    <t>Tehachapi</t>
  </si>
  <si>
    <t>Tehachapi_Ex</t>
  </si>
  <si>
    <t>Westlands_Ex</t>
  </si>
  <si>
    <t>In-State</t>
  </si>
  <si>
    <t>Out-Of-State</t>
  </si>
  <si>
    <t>Grand Total</t>
  </si>
  <si>
    <t>Note: Resources with #N/A as transmission zone were not made available to the model for this scenario</t>
  </si>
  <si>
    <t>GreaterImpOutsideTxConstraintZones</t>
  </si>
  <si>
    <t>Proposed Adjustments</t>
  </si>
  <si>
    <t>FD</t>
  </si>
  <si>
    <t>EO</t>
  </si>
  <si>
    <t>Move 1000 MW from Tehachapi solar to Riverside Palm Springs Solar (Tehachapi model selection increased a lot, and Riverside Palm Springs model selection decreased a lot, for reasons which are not well understood)</t>
  </si>
  <si>
    <t>Move 862 MW from Southern California Desert Ex Solar to SNV solar (due to overlap in the tx capability estimates between “Ex” zone and core tx constraint zones – the estimates for the core zones have greater confidence and should probably supersede)</t>
  </si>
  <si>
    <t>Amount that can fit without exceeding tx limits (note overflow to Greater_Imperial)</t>
  </si>
  <si>
    <t xml:space="preserve">Move 1779 from Westlands_Ex solar to Westlands solar (same rationale as above) </t>
  </si>
  <si>
    <t xml:space="preserve">[Note: the full amount could not fit within Westlands tx fcds limit, so the excess was allocated to Central Valley North Los Banos) </t>
  </si>
  <si>
    <t>Move the overflow solar (737 MW) from Westlands_Ex and Westlands  to Kern and Greater Carrizo instead of Central Valley North Los Banos, to better reflect commercial interest</t>
  </si>
  <si>
    <t>Convert Mountain_Pass_El_Dorado_Solar from FD to EO per E3 guidance</t>
  </si>
  <si>
    <t xml:space="preserve">Move the excess to Gates-Diablo 500 kV system, per ISO guidance. </t>
  </si>
  <si>
    <t>Gates-Diablo 500 kV system appears geographically in the Southern PG&amp;E zone, but electrically it is outside the transmission constraint.</t>
  </si>
  <si>
    <t>Reverse adjustment 1</t>
  </si>
  <si>
    <t>Assign to Cholame Sub to reduce gentie distance.</t>
  </si>
  <si>
    <t>Move this selection (173 MW) to Westlands tx zone because Westlands has closer substation. Note there is no "Westlands_Wind" RESOLVE resource, so this will appear as a tx-zone re-assignment in RESOLVE</t>
  </si>
  <si>
    <t>Remove the Mountain pass el dorado FD to EO conversion.</t>
  </si>
  <si>
    <t>Add pumped storage hydro to busbar mapping. No change to RESOLVE selection, simply new to busbar mapping.</t>
  </si>
  <si>
    <t>What constitutes level 3 criteria flag?</t>
  </si>
  <si>
    <t>Selected portfolio exceeds tx capability (FD or EO)</t>
  </si>
  <si>
    <t>What constitutes level 2 criteria flag?</t>
  </si>
  <si>
    <t>What constitutes level 1 criteria flag?</t>
  </si>
  <si>
    <t>All other</t>
  </si>
  <si>
    <t>Transmission Capability Estimated for IRP (dated May 20, 2019)</t>
  </si>
  <si>
    <t>Transmission Zones</t>
  </si>
  <si>
    <t>Estimated FCDS Capability (MW)</t>
  </si>
  <si>
    <t>Incremental Upgrade Cost Estimate ($million)</t>
  </si>
  <si>
    <t>Estimated EODS Capability (MW)</t>
  </si>
  <si>
    <t>Zone</t>
  </si>
  <si>
    <t>Selected by RESOLVE</t>
  </si>
  <si>
    <t>Selected by RESOLVE (FD)</t>
  </si>
  <si>
    <t>FD tx limit check</t>
  </si>
  <si>
    <t>Selected by RESOLVE (EO)</t>
  </si>
  <si>
    <t>EO tx limit check</t>
  </si>
  <si>
    <t>FD + EO tx limit check</t>
  </si>
  <si>
    <t xml:space="preserve"> Adjusted Selected resources (FD)</t>
  </si>
  <si>
    <t xml:space="preserve"> Adjusted Selected resources (EO)</t>
  </si>
  <si>
    <t>Existing System</t>
  </si>
  <si>
    <t>Minor Upgrades</t>
  </si>
  <si>
    <t>Major Upgrade #1</t>
  </si>
  <si>
    <t>Major Upgrade #2</t>
  </si>
  <si>
    <t>Zone Name in RESOLVE</t>
  </si>
  <si>
    <t>Selected Resource (FD MW)</t>
  </si>
  <si>
    <t>Selected Resource (EO MW)</t>
  </si>
  <si>
    <t>Remaining Tx Capability (FD)</t>
  </si>
  <si>
    <t>Exceeds Tx Capability (FD)?</t>
  </si>
  <si>
    <t>Remaining Tx Capability (EO)</t>
  </si>
  <si>
    <t>Exceeds Tx Capability (EO)?</t>
  </si>
  <si>
    <t>Northern CA</t>
  </si>
  <si>
    <t>SCADSNV_Z3_GreaterImperial</t>
  </si>
  <si>
    <t xml:space="preserve">    Round Mountain</t>
  </si>
  <si>
    <t>GK_Z2_InyokernAndNorthOfKramer</t>
  </si>
  <si>
    <t xml:space="preserve">    Humboldt</t>
  </si>
  <si>
    <t>Norcal_Z3_SacramentoRiver</t>
  </si>
  <si>
    <t>Norcal_Z2_Humboldt</t>
  </si>
  <si>
    <t xml:space="preserve">    Sacramento River</t>
  </si>
  <si>
    <t xml:space="preserve">    Solano</t>
  </si>
  <si>
    <t>SCADSNV_Z4_RiversideAndPalmSprings</t>
  </si>
  <si>
    <t>Norcal_Z4_Solano</t>
  </si>
  <si>
    <t>Norcal_Z4_Solano_subzone</t>
  </si>
  <si>
    <t>Southern PG&amp;E</t>
  </si>
  <si>
    <t>SCADSNV_Z5_SCADSNV</t>
  </si>
  <si>
    <t xml:space="preserve">    Westlands</t>
  </si>
  <si>
    <t>SPGE_Z3_Carrizo</t>
  </si>
  <si>
    <t>SPGE_Z1_Westlands</t>
  </si>
  <si>
    <t xml:space="preserve">    Kern and Greater Carrizo</t>
  </si>
  <si>
    <t>SPGE_Z2_KernAndGreaterCarrizo</t>
  </si>
  <si>
    <t xml:space="preserve">    Carrizo</t>
  </si>
  <si>
    <t>SPGE_Z4_CentralValleyAndLosBanos</t>
  </si>
  <si>
    <t xml:space="preserve">    Central Valley North &amp; Los Banos</t>
  </si>
  <si>
    <t>Greater Kramer (North of Lugo)</t>
  </si>
  <si>
    <t>GK_Z1_GreaterKramer</t>
  </si>
  <si>
    <t xml:space="preserve">    North of Victor</t>
  </si>
  <si>
    <t>GK_Z3_NorthOfVictor</t>
  </si>
  <si>
    <t xml:space="preserve">    Inyokern and North of Kramer</t>
  </si>
  <si>
    <t xml:space="preserve">    Pisgah</t>
  </si>
  <si>
    <t>GK_Z4_Pisgah</t>
  </si>
  <si>
    <t>Southern CA Desert and Southern NV</t>
  </si>
  <si>
    <t xml:space="preserve">    El Dorado and Mountain Pass 230 kV</t>
  </si>
  <si>
    <t>SCADSNV_Z1_EldoradoAndMtnPass</t>
  </si>
  <si>
    <t xml:space="preserve">    Southern NV (GLW-VEA)</t>
  </si>
  <si>
    <t>SCADSNV_Z2_GLW_VEA</t>
  </si>
  <si>
    <t xml:space="preserve">    Greater Imperial*</t>
  </si>
  <si>
    <t xml:space="preserve">    Riverside East &amp; Palm Springs</t>
  </si>
  <si>
    <t>NorCalOutsideTxConstraintZones</t>
  </si>
  <si>
    <t>Ex Zones</t>
  </si>
  <si>
    <t>KramerInyoOutsideTxConstraintZones</t>
  </si>
  <si>
    <t>TehachapiOutsideTxConstraintZones</t>
  </si>
  <si>
    <t>WestlandsOutsideTxConstraintZones</t>
  </si>
  <si>
    <t>SCADOutsideTxConstraintZones</t>
  </si>
  <si>
    <t>Analysis of compliance of Round 1 mapping with criterion 2 (transmission limits), to inform changes needed in Round 2 of mapping</t>
  </si>
  <si>
    <t>Estimated FCDS Capacity (MW) Existing System</t>
  </si>
  <si>
    <t>Selected Resource Adj (FD MW)</t>
  </si>
  <si>
    <t>Moved 1779 from Westlands_Ex solar to Westlands solar, with overflow to Kern and Greater Carrizo</t>
  </si>
  <si>
    <t>Mapped the excess to Gates-Diablo 500 kV line, per ISO guidance.  Appears geographically in the Southern PG&amp;E zone, but electrically outside the transmission constraint.</t>
  </si>
  <si>
    <t>Moved 862 MW from Southern California Desert Ex Solar to SNV solar</t>
  </si>
  <si>
    <t>Exceeds this percentage utilization of available land in proximity to substation</t>
  </si>
  <si>
    <t>SELECTED</t>
  </si>
  <si>
    <t>Tx Zone/Substation</t>
  </si>
  <si>
    <t>ACRES_15_LOW</t>
  </si>
  <si>
    <t>ACRES_15_HIGH</t>
  </si>
  <si>
    <t>TOTAL ACRES_15</t>
  </si>
  <si>
    <t>Porportion of Total Acres</t>
  </si>
  <si>
    <t>Potential MW</t>
  </si>
  <si>
    <t>Potential MW Low</t>
  </si>
  <si>
    <t>Potential MW High</t>
  </si>
  <si>
    <t>MW Allocation</t>
  </si>
  <si>
    <t>Percent Total ACRES</t>
  </si>
  <si>
    <t>Percent ACRES Low</t>
  </si>
  <si>
    <t>RESOLVE MW</t>
  </si>
  <si>
    <t>Aggregated RESOLVE Resource</t>
  </si>
  <si>
    <t>Kramer</t>
  </si>
  <si>
    <t>Randsburg</t>
  </si>
  <si>
    <t>Caldwell</t>
  </si>
  <si>
    <t xml:space="preserve"> </t>
  </si>
  <si>
    <t>Cool Water</t>
  </si>
  <si>
    <t>Coolwater</t>
  </si>
  <si>
    <t>Victor</t>
  </si>
  <si>
    <t>Calcite</t>
  </si>
  <si>
    <t>Lugo</t>
  </si>
  <si>
    <t>Pisgah</t>
  </si>
  <si>
    <t>Batiquitos</t>
  </si>
  <si>
    <t>Calpeak Power Enterprise 7</t>
  </si>
  <si>
    <t>Doublett</t>
  </si>
  <si>
    <t>Elliott</t>
  </si>
  <si>
    <t>Encina</t>
  </si>
  <si>
    <t>Escondido</t>
  </si>
  <si>
    <t>Fashion Valley</t>
  </si>
  <si>
    <t xml:space="preserve">Summary of Solar Resource Acre Values within 15 miles of Selected Substations </t>
  </si>
  <si>
    <t>Friars</t>
  </si>
  <si>
    <t>Substation</t>
  </si>
  <si>
    <t>Acres_15_ LOW</t>
  </si>
  <si>
    <t>Acres_15_HIGH</t>
  </si>
  <si>
    <t>Total ACRES</t>
  </si>
  <si>
    <t>Potential MW_LOW</t>
  </si>
  <si>
    <t>Potential MW_HIGH</t>
  </si>
  <si>
    <t>Percent of Total _MW</t>
  </si>
  <si>
    <t>Percent of ACRES_LOW</t>
  </si>
  <si>
    <t>Main St.</t>
  </si>
  <si>
    <t>Mesa Rim</t>
  </si>
  <si>
    <t>Mission</t>
  </si>
  <si>
    <t>North City West</t>
  </si>
  <si>
    <t>Old Town</t>
  </si>
  <si>
    <t>Palomar Airport</t>
  </si>
  <si>
    <t>Penasquitos</t>
  </si>
  <si>
    <t>San Luis Rey</t>
  </si>
  <si>
    <t>San Onofre</t>
  </si>
  <si>
    <t>Shadowridge</t>
  </si>
  <si>
    <t>Silvergate</t>
  </si>
  <si>
    <t>Sycamore Canyon</t>
  </si>
  <si>
    <t>Chino</t>
  </si>
  <si>
    <t>Etiwanda</t>
  </si>
  <si>
    <t>Mira Loma</t>
  </si>
  <si>
    <t>Padua</t>
  </si>
  <si>
    <t>Rancho Vista</t>
  </si>
  <si>
    <t>San Bernardino</t>
  </si>
  <si>
    <t>Soquel</t>
  </si>
  <si>
    <t>Vista</t>
  </si>
  <si>
    <t>Carberry</t>
  </si>
  <si>
    <t>Delevan</t>
  </si>
  <si>
    <t>Glenn</t>
  </si>
  <si>
    <t>Hat Creek 2</t>
  </si>
  <si>
    <t>Palermo</t>
  </si>
  <si>
    <t>Pit 1</t>
  </si>
  <si>
    <t>Pit 1 Ph</t>
  </si>
  <si>
    <t>Rio Oso</t>
  </si>
  <si>
    <t>Table Mt.</t>
  </si>
  <si>
    <t>Thermalito</t>
  </si>
  <si>
    <t>Amerigas</t>
  </si>
  <si>
    <t>Bear Canyon</t>
  </si>
  <si>
    <t>Big Geysers</t>
  </si>
  <si>
    <t>Calistoga 19</t>
  </si>
  <si>
    <t>Calpeak Power Vaca Dixon 1</t>
  </si>
  <si>
    <t>Castro Valley</t>
  </si>
  <si>
    <t>Cayetano</t>
  </si>
  <si>
    <t>Cobb Creek</t>
  </si>
  <si>
    <t>Contra Costa</t>
  </si>
  <si>
    <t>Contra Costa Power</t>
  </si>
  <si>
    <t>Fulton</t>
  </si>
  <si>
    <t>Fumarole</t>
  </si>
  <si>
    <t>Geysers Unit 3</t>
  </si>
  <si>
    <t>Grant 20</t>
  </si>
  <si>
    <t>Lake View</t>
  </si>
  <si>
    <t>Lakeville</t>
  </si>
  <si>
    <t>Lambie Energy</t>
  </si>
  <si>
    <t>Lone Tree</t>
  </si>
  <si>
    <t>Mccabe</t>
  </si>
  <si>
    <t>N.N.</t>
  </si>
  <si>
    <t>Ncpa 1 &amp; 2</t>
  </si>
  <si>
    <t>Ncpa 3 &amp; 4</t>
  </si>
  <si>
    <t>Oakmont North</t>
  </si>
  <si>
    <t>Oakmont South</t>
  </si>
  <si>
    <t>Peabody</t>
  </si>
  <si>
    <t>Quicksilver</t>
  </si>
  <si>
    <t>San Ramon</t>
  </si>
  <si>
    <t>San Ramon Research Cntr.</t>
  </si>
  <si>
    <t>Shiloh II</t>
  </si>
  <si>
    <t>Shiloh III</t>
  </si>
  <si>
    <t>Socrates 18</t>
  </si>
  <si>
    <t>Sonoma 3</t>
  </si>
  <si>
    <t>Sulphur Springs</t>
  </si>
  <si>
    <t>Tassajara</t>
  </si>
  <si>
    <t>Technical Ecological Services</t>
  </si>
  <si>
    <t>Trans Bay Cable</t>
  </si>
  <si>
    <t>Tulucay</t>
  </si>
  <si>
    <t>Vaca-Dixon &amp; Gc Yard</t>
  </si>
  <si>
    <t>West Ford Flat</t>
  </si>
  <si>
    <t>Bahia</t>
  </si>
  <si>
    <t>Embarcadero (Sf Z)</t>
  </si>
  <si>
    <t>Ignacio</t>
  </si>
  <si>
    <t>Moraga</t>
  </si>
  <si>
    <t>Parkway</t>
  </si>
  <si>
    <t>Pittsburg</t>
  </si>
  <si>
    <t>Rossmoor</t>
  </si>
  <si>
    <t>Sobrante</t>
  </si>
  <si>
    <t>Tidewater</t>
  </si>
  <si>
    <t>Unocal</t>
  </si>
  <si>
    <t>Brighton</t>
  </si>
  <si>
    <t>Gold Hill</t>
  </si>
  <si>
    <t>Jefferson</t>
  </si>
  <si>
    <t>Logan Creek</t>
  </si>
  <si>
    <t>Martin</t>
  </si>
  <si>
    <t>San Mateo</t>
  </si>
  <si>
    <t>Cima</t>
  </si>
  <si>
    <t>ElDorado</t>
  </si>
  <si>
    <t>East County</t>
  </si>
  <si>
    <t>Imperial Valley</t>
  </si>
  <si>
    <t>Ocotillo Express</t>
  </si>
  <si>
    <t>Suncrest</t>
  </si>
  <si>
    <t>Colorado River</t>
  </si>
  <si>
    <t>Red Bluff</t>
  </si>
  <si>
    <t>Capacitor</t>
  </si>
  <si>
    <t>Eagle Mt.</t>
  </si>
  <si>
    <t>Iron Mt.</t>
  </si>
  <si>
    <t>Julian Hinds</t>
  </si>
  <si>
    <t>Los Coches</t>
  </si>
  <si>
    <t>Miguel</t>
  </si>
  <si>
    <t>Mohave</t>
  </si>
  <si>
    <t>Otay Mesa</t>
  </si>
  <si>
    <t>South Bay</t>
  </si>
  <si>
    <t>Ashlan Ave.</t>
  </si>
  <si>
    <t>Fig Garden</t>
  </si>
  <si>
    <t>Gates</t>
  </si>
  <si>
    <t>Gregg</t>
  </si>
  <si>
    <t>Helm</t>
  </si>
  <si>
    <t>Henrietta</t>
  </si>
  <si>
    <t>Herndon</t>
  </si>
  <si>
    <t>Kearney (New)</t>
  </si>
  <si>
    <t>Los Banos</t>
  </si>
  <si>
    <t>Mc Call</t>
  </si>
  <si>
    <t>Mc Mullin</t>
  </si>
  <si>
    <t>Oxford</t>
  </si>
  <si>
    <t>Panoche</t>
  </si>
  <si>
    <t>San Luis</t>
  </si>
  <si>
    <t>San Luis 3</t>
  </si>
  <si>
    <t>San Luis 5</t>
  </si>
  <si>
    <t>Wright</t>
  </si>
  <si>
    <t>Arco</t>
  </si>
  <si>
    <t>Buena Vista Pumps</t>
  </si>
  <si>
    <t>Kern Power</t>
  </si>
  <si>
    <t>Midway</t>
  </si>
  <si>
    <t>Renfro</t>
  </si>
  <si>
    <t>Stockdale</t>
  </si>
  <si>
    <t>Wheeler Ridge</t>
  </si>
  <si>
    <t>Caliente</t>
  </si>
  <si>
    <t>Mesa</t>
  </si>
  <si>
    <t>Solar</t>
  </si>
  <si>
    <t>Templeton</t>
  </si>
  <si>
    <t>Bellota</t>
  </si>
  <si>
    <t>Cottle</t>
  </si>
  <si>
    <t>Eight Mile</t>
  </si>
  <si>
    <t>Stagg</t>
  </si>
  <si>
    <t>Storey</t>
  </si>
  <si>
    <t>Weber</t>
  </si>
  <si>
    <t>Wilson</t>
  </si>
  <si>
    <t>Antelope</t>
  </si>
  <si>
    <t>Arbwind</t>
  </si>
  <si>
    <t>Bailey</t>
  </si>
  <si>
    <t>Highwind</t>
  </si>
  <si>
    <t>Mojave 17</t>
  </si>
  <si>
    <t>Pardee</t>
  </si>
  <si>
    <t>Pearblossom</t>
  </si>
  <si>
    <t>Saugus</t>
  </si>
  <si>
    <t>Sky River North</t>
  </si>
  <si>
    <t>Vincent</t>
  </si>
  <si>
    <t>Warne</t>
  </si>
  <si>
    <t>Westwind</t>
  </si>
  <si>
    <t>Whirlwind</t>
  </si>
  <si>
    <t>Winderness</t>
  </si>
  <si>
    <t>Windhub</t>
  </si>
  <si>
    <t>Airchem</t>
  </si>
  <si>
    <t>Arcogen</t>
  </si>
  <si>
    <t>Crazy Eyes</t>
  </si>
  <si>
    <t>Cameron</t>
  </si>
  <si>
    <t>Desert View</t>
  </si>
  <si>
    <t>Casitas</t>
  </si>
  <si>
    <t>Innovation</t>
  </si>
  <si>
    <t>Center</t>
  </si>
  <si>
    <t>El Dorado 230kV</t>
  </si>
  <si>
    <t>Chevmain</t>
  </si>
  <si>
    <t>Del Amo</t>
  </si>
  <si>
    <t>Eagle Rock</t>
  </si>
  <si>
    <t>Mohave 500kV</t>
  </si>
  <si>
    <t>El Nido</t>
  </si>
  <si>
    <t>El Segundo</t>
  </si>
  <si>
    <t>Federalgen</t>
  </si>
  <si>
    <t>Goodrich</t>
  </si>
  <si>
    <t>Gould</t>
  </si>
  <si>
    <t>Harborgen</t>
  </si>
  <si>
    <t>Hinson</t>
  </si>
  <si>
    <t>Kinetic</t>
  </si>
  <si>
    <t>La Cienega</t>
  </si>
  <si>
    <t>La Fresa</t>
  </si>
  <si>
    <t>Laguna Bell</t>
  </si>
  <si>
    <t>Lawndale</t>
  </si>
  <si>
    <t>Lighthipe</t>
  </si>
  <si>
    <t>Mandalay</t>
  </si>
  <si>
    <t>Moorpark</t>
  </si>
  <si>
    <t>Olinda</t>
  </si>
  <si>
    <t>Ormond Beach</t>
  </si>
  <si>
    <t>Redondo 1</t>
  </si>
  <si>
    <t>Repro</t>
  </si>
  <si>
    <t>Rio Hondo</t>
  </si>
  <si>
    <t>Rosecrans</t>
  </si>
  <si>
    <t>Santa Clara</t>
  </si>
  <si>
    <t>Stadium</t>
  </si>
  <si>
    <t>Stanhill</t>
  </si>
  <si>
    <t>Tahiti</t>
  </si>
  <si>
    <t>Venice Hydro</t>
  </si>
  <si>
    <t>Walnut</t>
  </si>
  <si>
    <t>Windsor Hills</t>
  </si>
  <si>
    <t>Coburn</t>
  </si>
  <si>
    <t>Diablo Canyon</t>
  </si>
  <si>
    <t>Goleta</t>
  </si>
  <si>
    <t>Wind Project</t>
  </si>
  <si>
    <t>ACRES_LOW</t>
  </si>
  <si>
    <t>ACRES_HIGH</t>
  </si>
  <si>
    <t>TOTAL_ACRES</t>
  </si>
  <si>
    <t>PROJECT ACRES</t>
  </si>
  <si>
    <t>Percent of Acres_LOW</t>
  </si>
  <si>
    <t>Carrizo Wind</t>
  </si>
  <si>
    <t>Wind 124</t>
  </si>
  <si>
    <t>No low value land</t>
  </si>
  <si>
    <t>Central Valley and North Los Banos Wind</t>
  </si>
  <si>
    <t>Wind 112</t>
  </si>
  <si>
    <t>Humboldt Wind</t>
  </si>
  <si>
    <t>Bridgeville</t>
  </si>
  <si>
    <t>Wind 7</t>
  </si>
  <si>
    <t>Wind 8</t>
  </si>
  <si>
    <t>No Low Value ACRES</t>
  </si>
  <si>
    <t>Kern Greater Carrizo Wind</t>
  </si>
  <si>
    <t>Cholame</t>
  </si>
  <si>
    <t>Wind 207</t>
  </si>
  <si>
    <t>Sacramento Valley Wind</t>
  </si>
  <si>
    <t>Wind 34</t>
  </si>
  <si>
    <t>Wind 35</t>
  </si>
  <si>
    <t>Wind 36</t>
  </si>
  <si>
    <t>Wind 37</t>
  </si>
  <si>
    <t>Wind 38</t>
  </si>
  <si>
    <t>Wind 39</t>
  </si>
  <si>
    <t>Wind 40</t>
  </si>
  <si>
    <t>Wind 42</t>
  </si>
  <si>
    <t>Wind 43</t>
  </si>
  <si>
    <t>Wind 50</t>
  </si>
  <si>
    <t>Wind 51</t>
  </si>
  <si>
    <t>Wind 204</t>
  </si>
  <si>
    <t>Wind 31</t>
  </si>
  <si>
    <t>Wind 32</t>
  </si>
  <si>
    <t>Wind 33</t>
  </si>
  <si>
    <t>Wind 52</t>
  </si>
  <si>
    <t>Wind 53</t>
  </si>
  <si>
    <t>Wind 54</t>
  </si>
  <si>
    <t>Wind 55</t>
  </si>
  <si>
    <t>Wind 56</t>
  </si>
  <si>
    <t>Wind 202</t>
  </si>
  <si>
    <t>Wind 62</t>
  </si>
  <si>
    <t>Wind 73</t>
  </si>
  <si>
    <t>Wind 77</t>
  </si>
  <si>
    <t>Wind 78</t>
  </si>
  <si>
    <t>Wind 79</t>
  </si>
  <si>
    <t>Solano Wind</t>
  </si>
  <si>
    <t>Wind 198</t>
  </si>
  <si>
    <t>Wind 101</t>
  </si>
  <si>
    <t>Wind 102</t>
  </si>
  <si>
    <t>Wind 196</t>
  </si>
  <si>
    <t>Wind 197</t>
  </si>
  <si>
    <t>Wind 199</t>
  </si>
  <si>
    <t>Wind 103</t>
  </si>
  <si>
    <t>Wind 106</t>
  </si>
  <si>
    <t>Vaca-Dixon &amp; GC Yard</t>
  </si>
  <si>
    <t>Wind 80</t>
  </si>
  <si>
    <t>Wind 81</t>
  </si>
  <si>
    <t>Wind 82</t>
  </si>
  <si>
    <t>Wind 83</t>
  </si>
  <si>
    <t>Wind 84</t>
  </si>
  <si>
    <t>Wind 85</t>
  </si>
  <si>
    <t>Shilo III</t>
  </si>
  <si>
    <t>Wind 91</t>
  </si>
  <si>
    <t>Wind 206</t>
  </si>
  <si>
    <t>Wind 88</t>
  </si>
  <si>
    <t>Wind 90</t>
  </si>
  <si>
    <t>Wind 104</t>
  </si>
  <si>
    <t>Wind 107</t>
  </si>
  <si>
    <t>Tehachapi Wind</t>
  </si>
  <si>
    <t>Wind 129</t>
  </si>
  <si>
    <t>Wind 156</t>
  </si>
  <si>
    <t>Wind 157</t>
  </si>
  <si>
    <t xml:space="preserve"> Exceeds this percentage utilization of available land in proximity to substation </t>
  </si>
  <si>
    <t xml:space="preserve"> All other </t>
  </si>
  <si>
    <t xml:space="preserve"> MW Allocation </t>
  </si>
  <si>
    <t xml:space="preserve"> RESOLVE MW </t>
  </si>
  <si>
    <t>Exceeds 0.2 Total?</t>
  </si>
  <si>
    <t>Exceeds 0.2 Low?</t>
  </si>
  <si>
    <t>Criteria Threshold: Exceeds 0.2 (Total)?</t>
  </si>
  <si>
    <t>Criteria Threshold: Exceeds 0.2 (Low)?</t>
  </si>
  <si>
    <t xml:space="preserve"> -   </t>
  </si>
  <si>
    <t>########</t>
  </si>
  <si>
    <t>MW</t>
  </si>
  <si>
    <t>Model selection 300 MW or more, in absence of any commercial interest</t>
  </si>
  <si>
    <t>Difference from commercial interest</t>
  </si>
  <si>
    <t>MW or greater</t>
  </si>
  <si>
    <t>Adjusted Portfolio</t>
  </si>
  <si>
    <t>Summary of Commercial Interest (Interconnection Queue / Zones Intersection)</t>
  </si>
  <si>
    <t>Summary of Selected Portfolio (new RSP)</t>
  </si>
  <si>
    <t>Technology</t>
  </si>
  <si>
    <t>Commercial Interest, Summarized by RESOLVE Resource</t>
  </si>
  <si>
    <t>Difference  (Selected Portfolio) - (Commercial Interest)</t>
  </si>
  <si>
    <t>Selected Portfolio, as Percent of Queue</t>
  </si>
  <si>
    <t>Boolean: significant model selection in absence of commercial interest</t>
  </si>
  <si>
    <t>Mapping criteria compliance level</t>
  </si>
  <si>
    <t>Row Labels</t>
  </si>
  <si>
    <t>Sum of MW-1</t>
  </si>
  <si>
    <t>Geothermal</t>
  </si>
  <si>
    <t>Photovoltaic</t>
  </si>
  <si>
    <t>Storage</t>
  </si>
  <si>
    <t>Wind Turbine</t>
  </si>
  <si>
    <t>Hydro</t>
  </si>
  <si>
    <t xml:space="preserve">Model selecting less than queue (model = 0; queue = 2182 MW.) Note queue summary for this zone includes significant AZ solar (2595 MW), with POI specified in Riverside.   </t>
  </si>
  <si>
    <t>Steam Turbine</t>
  </si>
  <si>
    <t xml:space="preserve">Model selecting less than queue (model = 0; queue = 2000 MW.) </t>
  </si>
  <si>
    <t>Combined Cycle</t>
  </si>
  <si>
    <t>Gas Turbine</t>
  </si>
  <si>
    <t>Model selecting less than queue (model = 0; queue = 2595 MW). Sumarized manually by state in queue spreadsheet, to distentangle AZ solar overlap with other zones (interconnecting to substations in RiversidePalm Springs and Greater Imperial)</t>
  </si>
  <si>
    <t>#N/A</t>
  </si>
  <si>
    <t>Outside</t>
  </si>
  <si>
    <t>Source: PublicQueueReport_2019-12-04_matchedToZones_iso.xlsx</t>
  </si>
  <si>
    <t>Source: CEC BUSBAR ALLOCATION_IRP 2020_PSP_02212020.xlsx</t>
  </si>
  <si>
    <t>2018 PSP with Baseline Reconciliation and Norcal Geo Adjustments</t>
  </si>
  <si>
    <t>Selected Renewables by Location</t>
  </si>
  <si>
    <t>Renewable Resource Summary by Location (MW)</t>
  </si>
  <si>
    <t>Revised Busbar Allocation</t>
  </si>
  <si>
    <t>TOTAL</t>
  </si>
  <si>
    <t>SUBSTATION</t>
  </si>
  <si>
    <t>MW ASSIGNED</t>
  </si>
  <si>
    <t>Greater_Imperial</t>
  </si>
  <si>
    <t>Bannister 230kV (IID)</t>
  </si>
  <si>
    <t>IID</t>
  </si>
  <si>
    <t>Hudson Ranch 230kV (IID)</t>
  </si>
  <si>
    <t>Connecting to IID Midway 230kV</t>
  </si>
  <si>
    <t>Inyokern_North_Kramer</t>
  </si>
  <si>
    <t>Round Mountain</t>
  </si>
  <si>
    <t>Riverside_Palm_Springs</t>
  </si>
  <si>
    <t>Solano</t>
  </si>
  <si>
    <t>Mountain_Pass_El_Dorado</t>
  </si>
  <si>
    <t>Carrizo</t>
  </si>
  <si>
    <t>Central_Valley_North_Los_Banos</t>
  </si>
  <si>
    <t>Humboldt</t>
  </si>
  <si>
    <t>Victor Substation alloction removed due to significant land overlap with Caldwell Substation 81 MW reassigned form Victor to Caldwell</t>
  </si>
  <si>
    <t>Pisgah 230kV</t>
  </si>
  <si>
    <t>Connect Cool Water MWs at Pisgah, due to Tx constraints.</t>
  </si>
  <si>
    <t>Calcite (Proposed)</t>
  </si>
  <si>
    <t>Kramer 230kV</t>
  </si>
  <si>
    <t>Kern_Greater_Carrizo</t>
  </si>
  <si>
    <t>Devers</t>
  </si>
  <si>
    <t>Solano_subzone</t>
  </si>
  <si>
    <t>Shilo II</t>
  </si>
  <si>
    <t>VA 700 MW FCDS Tx Constraint Limit</t>
  </si>
  <si>
    <t>El Dorado 500 kV</t>
  </si>
  <si>
    <t xml:space="preserve">EO </t>
  </si>
  <si>
    <t xml:space="preserve">El Dorado 230 kV </t>
  </si>
  <si>
    <t>Mohave 500 kV</t>
  </si>
  <si>
    <t>EO Only</t>
  </si>
  <si>
    <t>WindHub</t>
  </si>
  <si>
    <t>Westlands</t>
  </si>
  <si>
    <t>Hassayampa</t>
  </si>
  <si>
    <t>Hoodoo Wash Switchyard</t>
  </si>
  <si>
    <t>Delaney-Colorado 500kV</t>
  </si>
  <si>
    <t>Source file: CEC BUSBAR ALLOCATION_IRP 2020_SENSITIVITY1_v5.xlsx received 3/20/20</t>
  </si>
  <si>
    <t>46MMT_20200207_2045_2GWPRM_NOOTCEXT_RSP_PD    03-10-2020</t>
  </si>
  <si>
    <t>(Sensitivity 1 with Adjustments)</t>
  </si>
  <si>
    <t>Busbar Allocation</t>
  </si>
  <si>
    <t>CEC NOTES</t>
  </si>
  <si>
    <t>Los Banos 230kV</t>
  </si>
  <si>
    <t>Assign this Wind Resource and MW to Westlands Tx Zone</t>
  </si>
  <si>
    <t>Bridgeville 115kv</t>
  </si>
  <si>
    <t xml:space="preserve"> Gen-tie 19-23 miles, add to Arco solar MW </t>
  </si>
  <si>
    <t>EL Dorado 500kV</t>
  </si>
  <si>
    <t>FD 700 MW</t>
  </si>
  <si>
    <t>El Dorado 500kV</t>
  </si>
  <si>
    <t>Palo Verde</t>
  </si>
  <si>
    <t>SunZia/Devers-Palo Verde 500kV</t>
  </si>
  <si>
    <t>Source: CEC BUSBAR ALLOCATION_IRP 2020_SENSITIVITY1_v6.xlsx received 3/25/20</t>
  </si>
  <si>
    <t>46MMT_20200207_2045_2GWPRM_NOOTCEXT_RSP_PD    03-25-2020</t>
  </si>
  <si>
    <t>Central_Valley_North_Los_Banos-SPGE/SPGE_Z1_Westlands</t>
  </si>
  <si>
    <t>Adjustment Made</t>
  </si>
  <si>
    <t>Cholame  70 kV</t>
  </si>
  <si>
    <t>Assign to Cholame Sub to reduce gentie distance. May require local upgrade to connect project(s)</t>
  </si>
  <si>
    <t>Northern_California_Ex/Sacramento_River</t>
  </si>
  <si>
    <t>Assign this Wind Resource and MW to Sacramento_River Tx Zone</t>
  </si>
  <si>
    <t>Alternate Allocation</t>
  </si>
  <si>
    <t>Gates 500kV</t>
  </si>
  <si>
    <t>New Gates to Diablo 500kV Tx Line</t>
  </si>
  <si>
    <t>Pumped Storage Project</t>
  </si>
  <si>
    <t>Lee Lake 500kV (Proposed)</t>
  </si>
  <si>
    <t>Sycamore  Canyon 230kV</t>
  </si>
  <si>
    <t>Analysis of Round 2 mapping with focus on Southern Nevada</t>
  </si>
  <si>
    <t>SCADSNV_Solar EO</t>
  </si>
  <si>
    <t>Southern_Nevada_Solar FD</t>
  </si>
  <si>
    <t>Southern_Nevada_Solar EO</t>
  </si>
  <si>
    <t>Southern_Nevada_Wind FD</t>
  </si>
  <si>
    <t>Substation Totals</t>
  </si>
  <si>
    <t>FDCS</t>
  </si>
  <si>
    <t>Totals</t>
  </si>
  <si>
    <t>or greater</t>
  </si>
  <si>
    <t>Difference from prior year</t>
  </si>
  <si>
    <t>032019 FD + EO</t>
  </si>
  <si>
    <t>2018 PSP</t>
  </si>
  <si>
    <t>Delta</t>
  </si>
  <si>
    <t>Difference &gt; 1000 MW?</t>
  </si>
  <si>
    <t>Dashboard value</t>
  </si>
  <si>
    <t>&gt;1000 MW difference from prior year</t>
  </si>
  <si>
    <t>[Tx capability]: After adjustment 1, the sum of the subzones exceeded the SCADSNV outermost zone limit.  Reverse adjustment. Move 1000 MW back from Riverside to Techachapi. See tab proposed adjustments, adjustment 6.</t>
  </si>
  <si>
    <t xml:space="preserve">Moved 1000 MW from Tehachapi solar to Riverside Palm Springs Solar. This improved criteria 4 (commercial interest) and 5 (delta from prior yr). See tab  "proposedAdjustments", adjustment 1. However, after adjustment 1, the sum of the subzones exceeded the SCADSNV outermost zone limit. </t>
  </si>
  <si>
    <t xml:space="preserve">[Tx capability]: Adjustment 3 caused the sum of the subzones to exceed the Southern PG&amp;E outermost zone capability.  Move the excess to Gates-Diablo 500 kV system, per ISO guidance. Gates-Diablo 500 kV system appears geographically in the Southern PG&amp;E zone, but electrically it is outside the transmission constraint. See tab "proposedAdjustments" adjustment 5. </t>
  </si>
  <si>
    <t>[Prior yr]: Adding MW to bring up closer to prior year created SCADSNV outermost zone tx limit exceedance</t>
  </si>
  <si>
    <t xml:space="preserve">Reverse this adjustment. Doesn't meet SCADSNV outermost zone transmission limits. </t>
  </si>
  <si>
    <t>Adjustment 3 above caused the sum of the subzones to exceed the Southern PG&amp;E outermost zone limit.</t>
  </si>
  <si>
    <t xml:space="preserve">Although adjustment 1 above was ok with respect to the subzones, the sum of the subzones exceeded the SCADSNV outermost zone limit.  </t>
  </si>
  <si>
    <t>Remaining tx capacity (outermost zone)</t>
  </si>
  <si>
    <t>Remaining tx capability (FD MW)  (subzone)</t>
  </si>
  <si>
    <t>Remaining tx capability (FD MW) (outermost zone)</t>
  </si>
  <si>
    <t>Remaining tx capacity (subzone)</t>
  </si>
  <si>
    <t>The above changes were ok with respect to subzone limits, but the sum of changes results in exceeding outermost zone limits.</t>
  </si>
  <si>
    <t>Movedthe excess to Mohave/Eldorado 500 kV substations. These are electrically outside the SCADSNV outermost zone transmission constraint.</t>
  </si>
  <si>
    <t>[Tx capability]: Adjustment 2 resulted in the sum of subzones exceeding outermost zone tx capability. Move the excess (264 MW) to Mohave/Eldorado 500 kV substations. These are electrically outside the SCADSNV outermost zone transmission constraint. See tab "proposedAdjustments" adjustment 7.</t>
  </si>
  <si>
    <t>Adjustment 2 resulted in exceeding outermost zone limits. Move the excess to Mohave/Eldorado 500 kV substations. These are electrically outside the SCADSNV outermost zone transmission constraint.</t>
  </si>
  <si>
    <t>[Tx capability]: After adjustment 3, the sum of the subzones exceeded the Southern PG&amp;E outermost zone capability. Move the excess to Gates-Diablo 500 kV system, per ISO guidance. See tab "proposed adjustments", adjustment 5.</t>
  </si>
  <si>
    <t>2019 RSP</t>
  </si>
  <si>
    <t>Total MW (2019 RSP)</t>
  </si>
  <si>
    <t>Total MW (2019 RSP adj)</t>
  </si>
  <si>
    <t>RESOLVE Selected Portfolio (2019 RSP)</t>
  </si>
  <si>
    <t>RESOLVE Selected Portfolio (2019RSP) Aggregated and Compared to Tx Constraint Zone Limits</t>
  </si>
  <si>
    <t>2019 RSP (Adjusted)</t>
  </si>
  <si>
    <t>Selected by RESOLVE (2019 RSP)</t>
  </si>
  <si>
    <t>Selected by RESOLVE (2019 RSP adj)</t>
  </si>
  <si>
    <t>2019 RSP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</si>
</sst>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
  </numFmts>
  <fonts count="3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1"/>
      <color theme="1"/>
      <name val="Calibri"/>
      <family val="2"/>
    </font>
    <font>
      <b/>
      <sz val="10"/>
      <color rgb="FFFFFFFF"/>
      <name val="Calibri"/>
      <family val="2"/>
    </font>
    <font>
      <sz val="10"/>
      <color rgb="FF000000"/>
      <name val="Calibri"/>
      <family val="2"/>
    </font>
    <font>
      <b/>
      <sz val="12"/>
      <name val="Calibri"/>
      <family val="2"/>
      <scheme val="minor"/>
    </font>
    <font>
      <b/>
      <sz val="10"/>
      <color rgb="FF000000"/>
      <name val="Calibri"/>
      <family val="2"/>
    </font>
    <font>
      <b/>
      <sz val="11"/>
      <color rgb="FF0070C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6"/>
      <color theme="1"/>
      <name val="Calibri"/>
      <family val="2"/>
      <scheme val="minor"/>
    </font>
    <font>
      <sz val="12"/>
      <color theme="0"/>
      <name val="Calibri"/>
      <family val="2"/>
      <scheme val="minor"/>
    </font>
    <font>
      <sz val="12"/>
      <color rgb="FF000000"/>
      <name val="Calibri"/>
      <family val="2"/>
      <scheme val="minor"/>
    </font>
    <font>
      <sz val="12"/>
      <color rgb="FF3F3F76"/>
      <name val="Calibri"/>
      <family val="2"/>
      <scheme val="minor"/>
    </font>
    <font>
      <b/>
      <sz val="10"/>
      <name val="Calibri"/>
      <family val="2"/>
    </font>
    <font>
      <b/>
      <sz val="10"/>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sz val="11"/>
      <color rgb="FF000000"/>
      <name val="Calibri"/>
      <family val="2"/>
      <scheme val="minor"/>
    </font>
    <font>
      <sz val="10"/>
      <color theme="1"/>
      <name val="Calibri (Body)"/>
    </font>
    <font>
      <sz val="11"/>
      <color rgb="FF000000"/>
      <name val="Calibri"/>
      <family val="2"/>
    </font>
    <font>
      <b/>
      <sz val="11"/>
      <color rgb="FF000000"/>
      <name val="Calibri"/>
      <family val="2"/>
    </font>
    <font>
      <b/>
      <sz val="11"/>
      <color rgb="FF0000FF"/>
      <name val="Calibri"/>
      <family val="2"/>
      <scheme val="minor"/>
    </font>
    <font>
      <sz val="11"/>
      <color rgb="FF0000FF"/>
      <name val="Calibri"/>
      <family val="2"/>
      <scheme val="minor"/>
    </font>
    <font>
      <b/>
      <sz val="9"/>
      <color indexed="81"/>
      <name val="Tahoma"/>
      <family val="2"/>
    </font>
    <font>
      <sz val="9"/>
      <color indexed="81"/>
      <name val="Tahoma"/>
      <family val="2"/>
    </font>
    <font>
      <sz val="11"/>
      <color rgb="FF444444"/>
      <name val="Calibri"/>
      <family val="2"/>
      <charset val="1"/>
    </font>
    <font>
      <u/>
      <sz val="11"/>
      <color theme="10"/>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5070"/>
        <bgColor rgb="FF000000"/>
      </patternFill>
    </fill>
    <fill>
      <patternFill patternType="solid">
        <fgColor rgb="FF005070"/>
        <bgColor indexed="64"/>
      </patternFill>
    </fill>
    <fill>
      <patternFill patternType="solid">
        <fgColor theme="2" tint="-9.9978637043366805E-2"/>
        <bgColor indexed="64"/>
      </patternFill>
    </fill>
    <fill>
      <patternFill patternType="solid">
        <fgColor rgb="FFFFCC99"/>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79998168889431442"/>
        <bgColor rgb="FF000000"/>
      </patternFill>
    </fill>
    <fill>
      <patternFill patternType="solid">
        <fgColor theme="4" tint="0.79998168889431442"/>
        <bgColor theme="4" tint="0.79998168889431442"/>
      </patternFill>
    </fill>
    <fill>
      <patternFill patternType="solid">
        <fgColor rgb="FFFFFF00"/>
        <bgColor rgb="FF000000"/>
      </patternFill>
    </fill>
    <fill>
      <patternFill patternType="solid">
        <fgColor rgb="FFFFFF0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E2EFDA"/>
        <bgColor indexed="64"/>
      </patternFill>
    </fill>
    <fill>
      <patternFill patternType="solid">
        <fgColor rgb="FFFFF2CC"/>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n">
        <color theme="4" tint="0.39997558519241921"/>
      </bottom>
      <diagonal/>
    </border>
    <border>
      <left/>
      <right/>
      <top style="thin">
        <color theme="4" tint="0.39997558519241921"/>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s>
  <cellStyleXfs count="15">
    <xf numFmtId="0" fontId="0"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1" fillId="0" borderId="0"/>
    <xf numFmtId="0" fontId="4" fillId="0" borderId="0"/>
    <xf numFmtId="0" fontId="1" fillId="0" borderId="0"/>
    <xf numFmtId="43" fontId="1" fillId="0" borderId="0" applyFont="0" applyFill="0" applyBorder="0" applyAlignment="0" applyProtection="0"/>
    <xf numFmtId="0" fontId="1" fillId="0" borderId="0"/>
    <xf numFmtId="0" fontId="22" fillId="8" borderId="32" applyNumberFormat="0" applyAlignment="0" applyProtection="0"/>
    <xf numFmtId="0" fontId="1" fillId="0" borderId="0"/>
    <xf numFmtId="0" fontId="1" fillId="0" borderId="0"/>
    <xf numFmtId="0" fontId="37" fillId="0" borderId="0" applyNumberFormat="0" applyFill="0" applyBorder="0" applyAlignment="0" applyProtection="0"/>
  </cellStyleXfs>
  <cellXfs count="531">
    <xf numFmtId="0" fontId="0" fillId="0" borderId="0" xfId="0"/>
    <xf numFmtId="0" fontId="0" fillId="0" borderId="0" xfId="0" pivotButton="1"/>
    <xf numFmtId="164" fontId="0" fillId="0" borderId="0" xfId="1" applyNumberFormat="1" applyFont="1"/>
    <xf numFmtId="164" fontId="0" fillId="0" borderId="7" xfId="1" applyNumberFormat="1" applyFont="1" applyBorder="1"/>
    <xf numFmtId="0" fontId="0" fillId="0" borderId="0" xfId="0" applyAlignment="1">
      <alignment wrapText="1"/>
    </xf>
    <xf numFmtId="0" fontId="0" fillId="0" borderId="7" xfId="0" applyBorder="1" applyAlignment="1">
      <alignment wrapText="1"/>
    </xf>
    <xf numFmtId="164" fontId="0" fillId="0" borderId="7" xfId="1" applyNumberFormat="1" applyFont="1" applyBorder="1" applyAlignment="1">
      <alignment wrapText="1"/>
    </xf>
    <xf numFmtId="0" fontId="8" fillId="0" borderId="0" xfId="0" applyFont="1"/>
    <xf numFmtId="0" fontId="7" fillId="2" borderId="10" xfId="0" applyFont="1" applyFill="1" applyBorder="1" applyAlignment="1">
      <alignment wrapText="1"/>
    </xf>
    <xf numFmtId="0" fontId="7" fillId="2" borderId="7" xfId="0" applyFont="1" applyFill="1" applyBorder="1" applyAlignment="1">
      <alignment wrapText="1"/>
    </xf>
    <xf numFmtId="0" fontId="6" fillId="3" borderId="8" xfId="0" applyFont="1" applyFill="1" applyBorder="1" applyAlignment="1">
      <alignment wrapText="1"/>
    </xf>
    <xf numFmtId="164" fontId="0" fillId="0" borderId="7" xfId="1" applyNumberFormat="1" applyFont="1" applyBorder="1" applyAlignment="1">
      <alignment vertical="top" wrapText="1"/>
    </xf>
    <xf numFmtId="0" fontId="0" fillId="0" borderId="7" xfId="0" applyBorder="1" applyAlignment="1">
      <alignment vertical="top" wrapText="1"/>
    </xf>
    <xf numFmtId="0" fontId="0" fillId="0" borderId="0" xfId="0" applyAlignment="1">
      <alignment vertical="top"/>
    </xf>
    <xf numFmtId="0" fontId="9" fillId="0" borderId="0" xfId="0" applyFont="1"/>
    <xf numFmtId="164" fontId="9" fillId="0" borderId="0" xfId="1" applyNumberFormat="1" applyFont="1" applyFill="1" applyBorder="1"/>
    <xf numFmtId="0" fontId="10" fillId="5" borderId="1" xfId="0" applyFont="1" applyFill="1" applyBorder="1"/>
    <xf numFmtId="164" fontId="10" fillId="5" borderId="1" xfId="1" applyNumberFormat="1" applyFont="1" applyFill="1" applyBorder="1"/>
    <xf numFmtId="0" fontId="11" fillId="0" borderId="3" xfId="0" applyFont="1" applyBorder="1"/>
    <xf numFmtId="0" fontId="6" fillId="3" borderId="9" xfId="0" applyFont="1" applyFill="1" applyBorder="1" applyAlignment="1">
      <alignment horizontal="center" vertical="top" wrapText="1"/>
    </xf>
    <xf numFmtId="0" fontId="6" fillId="3" borderId="8" xfId="0" applyFont="1" applyFill="1" applyBorder="1" applyAlignment="1">
      <alignment vertical="top" wrapText="1"/>
    </xf>
    <xf numFmtId="0" fontId="0" fillId="0" borderId="7" xfId="0" applyBorder="1" applyAlignment="1">
      <alignment vertical="top"/>
    </xf>
    <xf numFmtId="0" fontId="6" fillId="3" borderId="9" xfId="0" applyFont="1" applyFill="1" applyBorder="1" applyAlignment="1">
      <alignment horizontal="center" wrapText="1"/>
    </xf>
    <xf numFmtId="0" fontId="10" fillId="5" borderId="1" xfId="1" applyNumberFormat="1" applyFont="1" applyFill="1" applyBorder="1" applyAlignment="1">
      <alignment horizontal="center"/>
    </xf>
    <xf numFmtId="0" fontId="0" fillId="0" borderId="7" xfId="0" applyFill="1" applyBorder="1" applyAlignment="1">
      <alignment wrapText="1"/>
    </xf>
    <xf numFmtId="0" fontId="0" fillId="0" borderId="11" xfId="0" applyFill="1" applyBorder="1" applyAlignment="1">
      <alignment vertical="top"/>
    </xf>
    <xf numFmtId="0" fontId="0" fillId="0" borderId="13" xfId="0" applyFill="1" applyBorder="1" applyAlignment="1">
      <alignment vertical="top"/>
    </xf>
    <xf numFmtId="164" fontId="0" fillId="0" borderId="14" xfId="1" applyNumberFormat="1" applyFont="1" applyFill="1" applyBorder="1" applyAlignment="1">
      <alignment vertical="top"/>
    </xf>
    <xf numFmtId="0" fontId="0" fillId="0" borderId="18" xfId="0" applyFill="1" applyBorder="1"/>
    <xf numFmtId="0" fontId="9" fillId="0" borderId="7" xfId="0" applyFont="1" applyFill="1" applyBorder="1"/>
    <xf numFmtId="0" fontId="9" fillId="0" borderId="19" xfId="1" applyNumberFormat="1" applyFont="1" applyFill="1" applyBorder="1"/>
    <xf numFmtId="0" fontId="9" fillId="0" borderId="18" xfId="0" applyFont="1" applyFill="1" applyBorder="1" applyAlignment="1">
      <alignment horizontal="left"/>
    </xf>
    <xf numFmtId="0" fontId="9" fillId="0" borderId="7" xfId="0" applyFont="1" applyFill="1" applyBorder="1" applyAlignment="1">
      <alignment horizontal="left"/>
    </xf>
    <xf numFmtId="0" fontId="0" fillId="0" borderId="7" xfId="0" applyFill="1" applyBorder="1"/>
    <xf numFmtId="0" fontId="0" fillId="0" borderId="19" xfId="1" applyNumberFormat="1" applyFont="1" applyFill="1" applyBorder="1"/>
    <xf numFmtId="0" fontId="0" fillId="0" borderId="15" xfId="0" applyFill="1" applyBorder="1"/>
    <xf numFmtId="0" fontId="0" fillId="0" borderId="16" xfId="0" applyFill="1" applyBorder="1"/>
    <xf numFmtId="0" fontId="0" fillId="0" borderId="17" xfId="1" applyNumberFormat="1" applyFont="1" applyFill="1" applyBorder="1"/>
    <xf numFmtId="0" fontId="0" fillId="0" borderId="0" xfId="0" applyFill="1"/>
    <xf numFmtId="164" fontId="0" fillId="0" borderId="0" xfId="1" applyNumberFormat="1" applyFont="1" applyFill="1"/>
    <xf numFmtId="164" fontId="0" fillId="0" borderId="7" xfId="0" applyNumberFormat="1" applyFill="1" applyBorder="1"/>
    <xf numFmtId="0" fontId="9" fillId="0" borderId="11" xfId="0" applyFont="1"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xf>
    <xf numFmtId="0" fontId="9" fillId="0" borderId="18" xfId="0" applyFont="1" applyFill="1" applyBorder="1"/>
    <xf numFmtId="164" fontId="0" fillId="0" borderId="19" xfId="0" applyNumberFormat="1" applyFill="1" applyBorder="1"/>
    <xf numFmtId="0" fontId="0" fillId="0" borderId="19" xfId="0" applyFill="1" applyBorder="1"/>
    <xf numFmtId="0" fontId="9" fillId="0" borderId="19" xfId="0" applyFont="1" applyFill="1" applyBorder="1" applyAlignment="1">
      <alignment horizontal="left"/>
    </xf>
    <xf numFmtId="9" fontId="0" fillId="0" borderId="7" xfId="5" applyFont="1" applyFill="1" applyBorder="1"/>
    <xf numFmtId="164" fontId="0" fillId="0" borderId="18" xfId="1" applyNumberFormat="1" applyFont="1" applyFill="1" applyBorder="1"/>
    <xf numFmtId="0" fontId="0" fillId="0" borderId="22" xfId="0" applyFill="1" applyBorder="1"/>
    <xf numFmtId="164" fontId="0" fillId="0" borderId="23" xfId="0" applyNumberFormat="1" applyFill="1" applyBorder="1"/>
    <xf numFmtId="0" fontId="0" fillId="0" borderId="23" xfId="0" applyFill="1" applyBorder="1"/>
    <xf numFmtId="0" fontId="0" fillId="0" borderId="24" xfId="0" applyFill="1" applyBorder="1"/>
    <xf numFmtId="164" fontId="0" fillId="0" borderId="11" xfId="1" applyNumberFormat="1" applyFont="1" applyFill="1" applyBorder="1" applyAlignment="1">
      <alignment vertical="top" wrapText="1"/>
    </xf>
    <xf numFmtId="164" fontId="9" fillId="0" borderId="18" xfId="1" applyNumberFormat="1" applyFont="1" applyFill="1" applyBorder="1"/>
    <xf numFmtId="164" fontId="0" fillId="0" borderId="22" xfId="1" applyNumberFormat="1" applyFont="1" applyFill="1" applyBorder="1"/>
    <xf numFmtId="0" fontId="0" fillId="0" borderId="23" xfId="0" applyBorder="1"/>
    <xf numFmtId="164" fontId="6" fillId="0" borderId="7" xfId="1" applyNumberFormat="1" applyFont="1" applyBorder="1"/>
    <xf numFmtId="164" fontId="4" fillId="0" borderId="7" xfId="1" applyNumberFormat="1" applyBorder="1"/>
    <xf numFmtId="164" fontId="6" fillId="0" borderId="7" xfId="1" applyNumberFormat="1" applyFont="1" applyBorder="1" applyAlignment="1"/>
    <xf numFmtId="164" fontId="4" fillId="0" borderId="7" xfId="1" applyNumberFormat="1" applyBorder="1" applyAlignment="1"/>
    <xf numFmtId="0" fontId="6" fillId="0" borderId="1" xfId="7" applyFont="1" applyBorder="1"/>
    <xf numFmtId="0" fontId="6" fillId="0" borderId="2" xfId="7" applyFont="1" applyBorder="1"/>
    <xf numFmtId="0" fontId="6" fillId="0" borderId="4" xfId="7" applyFont="1" applyBorder="1" applyAlignment="1">
      <alignment horizontal="center" vertical="center" wrapText="1"/>
    </xf>
    <xf numFmtId="164" fontId="6" fillId="0" borderId="5" xfId="1" applyNumberFormat="1" applyFont="1" applyFill="1" applyBorder="1" applyAlignment="1">
      <alignment horizontal="center" vertical="center" wrapText="1"/>
    </xf>
    <xf numFmtId="164" fontId="4" fillId="0" borderId="0" xfId="1" applyNumberFormat="1" applyBorder="1" applyAlignment="1">
      <alignment horizontal="left"/>
    </xf>
    <xf numFmtId="164" fontId="4" fillId="0" borderId="0" xfId="1" applyNumberFormat="1" applyBorder="1" applyAlignment="1">
      <alignment horizontal="center"/>
    </xf>
    <xf numFmtId="164" fontId="4" fillId="0" borderId="0" xfId="1" applyNumberFormat="1" applyBorder="1"/>
    <xf numFmtId="164" fontId="0" fillId="0" borderId="0" xfId="1" applyNumberFormat="1" applyFont="1" applyBorder="1"/>
    <xf numFmtId="164" fontId="4" fillId="0" borderId="0" xfId="1" applyNumberFormat="1" applyBorder="1" applyAlignment="1"/>
    <xf numFmtId="164" fontId="6" fillId="0" borderId="7" xfId="1" applyNumberFormat="1" applyFont="1" applyFill="1" applyBorder="1" applyAlignment="1">
      <alignment horizontal="center" vertical="center" wrapText="1"/>
    </xf>
    <xf numFmtId="0" fontId="9" fillId="0" borderId="7" xfId="0" applyFont="1" applyFill="1" applyBorder="1" applyAlignment="1">
      <alignment vertical="top" wrapText="1"/>
    </xf>
    <xf numFmtId="0" fontId="0" fillId="0" borderId="7" xfId="0" applyFill="1" applyBorder="1" applyAlignment="1">
      <alignment vertical="top"/>
    </xf>
    <xf numFmtId="0" fontId="0" fillId="0" borderId="7" xfId="0" applyFill="1" applyBorder="1" applyAlignment="1">
      <alignment vertical="top" wrapText="1"/>
    </xf>
    <xf numFmtId="164" fontId="0" fillId="0" borderId="0" xfId="1" applyNumberFormat="1" applyFont="1" applyAlignment="1">
      <alignment wrapText="1"/>
    </xf>
    <xf numFmtId="164" fontId="0" fillId="0" borderId="7" xfId="1" applyNumberFormat="1" applyFont="1" applyFill="1" applyBorder="1"/>
    <xf numFmtId="0" fontId="0" fillId="0" borderId="12" xfId="0" applyFill="1" applyBorder="1" applyAlignment="1">
      <alignment vertical="top" wrapText="1"/>
    </xf>
    <xf numFmtId="164" fontId="0" fillId="0" borderId="10" xfId="1" applyNumberFormat="1" applyFont="1" applyFill="1" applyBorder="1"/>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Fill="1" applyBorder="1" applyAlignment="1">
      <alignment horizontal="center" vertical="center" wrapText="1"/>
    </xf>
    <xf numFmtId="0" fontId="0" fillId="0" borderId="7" xfId="0" applyBorder="1" applyAlignment="1">
      <alignment vertical="center" wrapText="1"/>
    </xf>
    <xf numFmtId="0" fontId="6" fillId="0" borderId="0" xfId="0" applyFont="1" applyAlignment="1">
      <alignment wrapText="1"/>
    </xf>
    <xf numFmtId="164" fontId="6" fillId="0" borderId="4" xfId="1" applyNumberFormat="1" applyFont="1" applyBorder="1" applyAlignment="1">
      <alignment horizontal="center" vertical="center" wrapText="1"/>
    </xf>
    <xf numFmtId="0" fontId="6" fillId="0" borderId="4" xfId="0" applyFont="1" applyBorder="1" applyAlignment="1">
      <alignment horizontal="center" vertical="center" wrapText="1"/>
    </xf>
    <xf numFmtId="164" fontId="6" fillId="0" borderId="4" xfId="1" applyNumberFormat="1" applyFont="1" applyBorder="1" applyAlignment="1">
      <alignment vertical="top" wrapText="1"/>
    </xf>
    <xf numFmtId="0" fontId="6" fillId="0" borderId="7" xfId="0" applyFont="1" applyBorder="1"/>
    <xf numFmtId="0" fontId="6" fillId="0" borderId="7" xfId="0" applyFont="1" applyBorder="1" applyAlignment="1">
      <alignment horizontal="center" vertical="center"/>
    </xf>
    <xf numFmtId="164" fontId="0" fillId="0" borderId="7" xfId="1" applyNumberFormat="1" applyFont="1" applyBorder="1" applyAlignment="1">
      <alignment vertical="center" wrapText="1"/>
    </xf>
    <xf numFmtId="164" fontId="6" fillId="0" borderId="4" xfId="1" applyNumberFormat="1" applyFont="1" applyBorder="1" applyAlignment="1">
      <alignment vertical="center" wrapText="1"/>
    </xf>
    <xf numFmtId="0" fontId="0" fillId="0" borderId="0" xfId="0" applyBorder="1"/>
    <xf numFmtId="164" fontId="0" fillId="0" borderId="4" xfId="0" applyNumberFormat="1" applyBorder="1"/>
    <xf numFmtId="0" fontId="0" fillId="0" borderId="0" xfId="0" applyAlignment="1"/>
    <xf numFmtId="0" fontId="6" fillId="0" borderId="4" xfId="0" applyFont="1" applyFill="1" applyBorder="1" applyAlignment="1">
      <alignment horizontal="center" vertical="center" wrapText="1"/>
    </xf>
    <xf numFmtId="0" fontId="0" fillId="0" borderId="7" xfId="0" applyFill="1" applyBorder="1" applyAlignment="1">
      <alignment horizontal="center" vertical="center"/>
    </xf>
    <xf numFmtId="0" fontId="6" fillId="0" borderId="7" xfId="0" applyFont="1" applyFill="1" applyBorder="1" applyAlignment="1">
      <alignment horizontal="center" vertical="center"/>
    </xf>
    <xf numFmtId="0" fontId="0" fillId="0" borderId="0" xfId="0" applyBorder="1" applyAlignment="1">
      <alignment horizontal="left" vertical="center" indent="1"/>
    </xf>
    <xf numFmtId="0" fontId="6" fillId="4" borderId="8" xfId="0" applyFont="1" applyFill="1" applyBorder="1" applyAlignment="1">
      <alignment horizontal="center" wrapText="1"/>
    </xf>
    <xf numFmtId="0" fontId="7" fillId="2" borderId="9" xfId="0" applyFont="1" applyFill="1" applyBorder="1" applyAlignment="1"/>
    <xf numFmtId="0" fontId="7" fillId="2" borderId="7" xfId="0" applyFont="1" applyFill="1" applyBorder="1" applyAlignment="1"/>
    <xf numFmtId="0" fontId="6" fillId="0" borderId="4" xfId="0" applyFont="1" applyFill="1" applyBorder="1" applyAlignment="1">
      <alignment vertical="top"/>
    </xf>
    <xf numFmtId="0" fontId="6" fillId="0" borderId="7" xfId="0" applyFont="1" applyFill="1" applyBorder="1" applyAlignment="1"/>
    <xf numFmtId="0" fontId="0" fillId="0" borderId="0" xfId="0"/>
    <xf numFmtId="0" fontId="6" fillId="4" borderId="6" xfId="0" applyFont="1" applyFill="1" applyBorder="1" applyAlignment="1">
      <alignment horizontal="center" vertical="top" wrapText="1"/>
    </xf>
    <xf numFmtId="0" fontId="6" fillId="3" borderId="10" xfId="0" applyFont="1" applyFill="1" applyBorder="1" applyAlignment="1"/>
    <xf numFmtId="0" fontId="6" fillId="3" borderId="8" xfId="0" applyFont="1" applyFill="1" applyBorder="1" applyAlignment="1"/>
    <xf numFmtId="0" fontId="6" fillId="3" borderId="27"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2" xfId="0" applyFont="1" applyFill="1" applyBorder="1" applyAlignment="1"/>
    <xf numFmtId="0" fontId="6" fillId="3" borderId="26" xfId="0" applyFont="1" applyFill="1" applyBorder="1" applyAlignment="1"/>
    <xf numFmtId="0" fontId="6" fillId="3" borderId="28" xfId="0" applyFont="1" applyFill="1" applyBorder="1" applyAlignment="1"/>
    <xf numFmtId="0" fontId="6" fillId="3" borderId="29" xfId="0" applyFont="1" applyFill="1" applyBorder="1" applyAlignment="1"/>
    <xf numFmtId="0" fontId="6" fillId="4" borderId="4" xfId="0" applyFont="1" applyFill="1" applyBorder="1" applyAlignment="1">
      <alignment wrapText="1"/>
    </xf>
    <xf numFmtId="0" fontId="6" fillId="4" borderId="6" xfId="0" applyFont="1" applyFill="1" applyBorder="1" applyAlignment="1">
      <alignment wrapText="1"/>
    </xf>
    <xf numFmtId="0" fontId="6" fillId="4" borderId="6" xfId="0" applyFont="1" applyFill="1" applyBorder="1" applyAlignment="1">
      <alignment vertical="top" wrapText="1"/>
    </xf>
    <xf numFmtId="0" fontId="14" fillId="4" borderId="6" xfId="0" applyFont="1" applyFill="1" applyBorder="1" applyAlignment="1">
      <alignment wrapText="1"/>
    </xf>
    <xf numFmtId="0" fontId="0" fillId="0" borderId="0" xfId="0"/>
    <xf numFmtId="0" fontId="13" fillId="0" borderId="0" xfId="0" applyFont="1"/>
    <xf numFmtId="0" fontId="11" fillId="0" borderId="0" xfId="0" applyFont="1"/>
    <xf numFmtId="0" fontId="10" fillId="5" borderId="2" xfId="0" applyFont="1" applyFill="1" applyBorder="1"/>
    <xf numFmtId="0" fontId="11" fillId="0" borderId="25" xfId="0" applyFont="1" applyBorder="1"/>
    <xf numFmtId="0" fontId="11" fillId="0" borderId="27" xfId="0" applyFont="1" applyBorder="1"/>
    <xf numFmtId="0" fontId="11" fillId="0" borderId="26" xfId="0" applyFont="1" applyBorder="1"/>
    <xf numFmtId="0" fontId="10" fillId="5" borderId="4" xfId="0" applyFont="1" applyFill="1" applyBorder="1"/>
    <xf numFmtId="164" fontId="11" fillId="0" borderId="5" xfId="1" applyNumberFormat="1" applyFont="1" applyFill="1" applyBorder="1"/>
    <xf numFmtId="164" fontId="11" fillId="0" borderId="6" xfId="1" applyNumberFormat="1" applyFont="1" applyFill="1" applyBorder="1"/>
    <xf numFmtId="0" fontId="0" fillId="0" borderId="10" xfId="0" applyBorder="1"/>
    <xf numFmtId="0" fontId="0" fillId="0" borderId="8" xfId="0" applyBorder="1"/>
    <xf numFmtId="164" fontId="0" fillId="0" borderId="9" xfId="0" applyNumberFormat="1" applyBorder="1"/>
    <xf numFmtId="0" fontId="9" fillId="0" borderId="19" xfId="1" pivotButton="1" applyNumberFormat="1" applyFont="1" applyFill="1" applyBorder="1"/>
    <xf numFmtId="0" fontId="9" fillId="0" borderId="18" xfId="0" pivotButton="1" applyFont="1" applyFill="1" applyBorder="1"/>
    <xf numFmtId="0" fontId="0" fillId="0" borderId="7" xfId="0" pivotButton="1" applyFill="1" applyBorder="1"/>
    <xf numFmtId="164" fontId="0" fillId="0" borderId="19" xfId="0" pivotButton="1" applyNumberFormat="1" applyFill="1" applyBorder="1"/>
    <xf numFmtId="0" fontId="0" fillId="0" borderId="21" xfId="0" applyFill="1" applyBorder="1"/>
    <xf numFmtId="0" fontId="0" fillId="0" borderId="4" xfId="0" applyFill="1" applyBorder="1"/>
    <xf numFmtId="0" fontId="0" fillId="0" borderId="20" xfId="1" applyNumberFormat="1" applyFont="1" applyFill="1" applyBorder="1"/>
    <xf numFmtId="0" fontId="11" fillId="0" borderId="0" xfId="0" applyFont="1" applyBorder="1"/>
    <xf numFmtId="0" fontId="11" fillId="0" borderId="25" xfId="0" applyFont="1" applyFill="1" applyBorder="1"/>
    <xf numFmtId="0" fontId="15" fillId="0" borderId="0" xfId="0" applyFont="1"/>
    <xf numFmtId="0" fontId="16" fillId="0" borderId="0" xfId="0" applyFont="1"/>
    <xf numFmtId="0" fontId="17" fillId="6" borderId="1" xfId="0" applyFont="1" applyFill="1" applyBorder="1"/>
    <xf numFmtId="0" fontId="17" fillId="6" borderId="2" xfId="0" applyFont="1" applyFill="1" applyBorder="1"/>
    <xf numFmtId="0" fontId="16" fillId="0" borderId="3" xfId="0" applyFont="1" applyBorder="1"/>
    <xf numFmtId="0" fontId="16" fillId="0" borderId="25" xfId="0" applyFont="1" applyBorder="1"/>
    <xf numFmtId="0" fontId="16" fillId="0" borderId="1" xfId="0" applyFont="1" applyBorder="1"/>
    <xf numFmtId="0" fontId="16" fillId="0" borderId="2" xfId="0" applyFont="1" applyBorder="1"/>
    <xf numFmtId="0" fontId="16" fillId="0" borderId="27" xfId="0" applyFont="1" applyBorder="1"/>
    <xf numFmtId="0" fontId="16" fillId="0" borderId="26" xfId="0" applyFont="1" applyBorder="1"/>
    <xf numFmtId="0" fontId="18" fillId="0" borderId="0" xfId="0" applyFont="1"/>
    <xf numFmtId="0" fontId="17" fillId="6" borderId="4" xfId="0" applyFont="1" applyFill="1" applyBorder="1"/>
    <xf numFmtId="164" fontId="16" fillId="0" borderId="5" xfId="1" applyNumberFormat="1" applyFont="1" applyBorder="1"/>
    <xf numFmtId="164" fontId="16" fillId="0" borderId="4" xfId="1" applyNumberFormat="1" applyFont="1" applyBorder="1"/>
    <xf numFmtId="164" fontId="16" fillId="0" borderId="6" xfId="1" applyNumberFormat="1" applyFont="1" applyFill="1" applyBorder="1"/>
    <xf numFmtId="164" fontId="16" fillId="0" borderId="0" xfId="0" applyNumberFormat="1" applyFont="1"/>
    <xf numFmtId="164" fontId="0" fillId="0" borderId="5" xfId="0" applyNumberFormat="1" applyBorder="1"/>
    <xf numFmtId="164" fontId="0" fillId="0" borderId="6" xfId="0" applyNumberFormat="1" applyBorder="1"/>
    <xf numFmtId="0" fontId="19" fillId="0" borderId="0" xfId="0" applyFont="1"/>
    <xf numFmtId="0" fontId="6" fillId="3" borderId="9" xfId="0" applyFont="1" applyFill="1" applyBorder="1" applyAlignment="1"/>
    <xf numFmtId="0" fontId="6" fillId="3" borderId="29" xfId="0" applyFont="1" applyFill="1" applyBorder="1" applyAlignment="1">
      <alignment horizontal="center" wrapText="1"/>
    </xf>
    <xf numFmtId="0" fontId="6" fillId="3" borderId="1" xfId="0" applyFont="1" applyFill="1" applyBorder="1" applyAlignment="1"/>
    <xf numFmtId="0" fontId="6" fillId="3" borderId="27" xfId="0" applyFont="1" applyFill="1" applyBorder="1" applyAlignment="1">
      <alignment horizontal="center"/>
    </xf>
    <xf numFmtId="0" fontId="6" fillId="3" borderId="26" xfId="0" applyFont="1" applyFill="1" applyBorder="1" applyAlignment="1">
      <alignment horizontal="center"/>
    </xf>
    <xf numFmtId="0" fontId="0" fillId="4" borderId="7" xfId="0" applyFill="1" applyBorder="1"/>
    <xf numFmtId="0" fontId="1" fillId="0" borderId="0" xfId="8"/>
    <xf numFmtId="164" fontId="1" fillId="0" borderId="0" xfId="1" applyNumberFormat="1" applyFont="1"/>
    <xf numFmtId="0" fontId="20" fillId="6" borderId="0" xfId="8" applyFont="1" applyFill="1"/>
    <xf numFmtId="164" fontId="20" fillId="6" borderId="0" xfId="1" applyNumberFormat="1" applyFont="1" applyFill="1"/>
    <xf numFmtId="0" fontId="16" fillId="0" borderId="0" xfId="8" applyFont="1"/>
    <xf numFmtId="0" fontId="15" fillId="0" borderId="0" xfId="8" applyFont="1"/>
    <xf numFmtId="0" fontId="17" fillId="6" borderId="2" xfId="8" applyFont="1" applyFill="1" applyBorder="1"/>
    <xf numFmtId="0" fontId="16" fillId="0" borderId="25" xfId="8" applyFont="1" applyBorder="1"/>
    <xf numFmtId="164" fontId="16" fillId="0" borderId="1" xfId="9" applyNumberFormat="1" applyFont="1" applyBorder="1"/>
    <xf numFmtId="164" fontId="16" fillId="0" borderId="4" xfId="9" applyNumberFormat="1" applyFont="1" applyBorder="1"/>
    <xf numFmtId="164" fontId="16" fillId="0" borderId="3" xfId="9" applyNumberFormat="1" applyFont="1" applyBorder="1"/>
    <xf numFmtId="164" fontId="16" fillId="0" borderId="5" xfId="9" applyNumberFormat="1" applyFont="1" applyBorder="1"/>
    <xf numFmtId="0" fontId="16" fillId="7" borderId="3" xfId="8" applyFont="1" applyFill="1" applyBorder="1"/>
    <xf numFmtId="0" fontId="16" fillId="7" borderId="25" xfId="8" applyFont="1" applyFill="1" applyBorder="1"/>
    <xf numFmtId="164" fontId="16" fillId="7" borderId="3" xfId="9" applyNumberFormat="1" applyFont="1" applyFill="1" applyBorder="1"/>
    <xf numFmtId="164" fontId="16" fillId="7" borderId="5" xfId="9" applyNumberFormat="1" applyFont="1" applyFill="1" applyBorder="1"/>
    <xf numFmtId="164" fontId="16" fillId="7" borderId="25" xfId="1" applyNumberFormat="1" applyFont="1" applyFill="1" applyBorder="1"/>
    <xf numFmtId="0" fontId="16" fillId="0" borderId="5" xfId="8" applyFont="1" applyBorder="1"/>
    <xf numFmtId="1" fontId="21" fillId="0" borderId="7" xfId="0" applyNumberFormat="1" applyFont="1" applyBorder="1"/>
    <xf numFmtId="0" fontId="21" fillId="0" borderId="9" xfId="0" applyFont="1" applyBorder="1"/>
    <xf numFmtId="0" fontId="21" fillId="0" borderId="30" xfId="0" applyFont="1" applyBorder="1" applyAlignment="1">
      <alignment wrapText="1"/>
    </xf>
    <xf numFmtId="1" fontId="21" fillId="0" borderId="6" xfId="0" applyNumberFormat="1" applyFont="1" applyBorder="1"/>
    <xf numFmtId="0" fontId="21" fillId="0" borderId="26" xfId="0" applyFont="1" applyBorder="1"/>
    <xf numFmtId="0" fontId="21" fillId="0" borderId="31" xfId="0" applyFont="1" applyBorder="1" applyAlignment="1">
      <alignment wrapText="1"/>
    </xf>
    <xf numFmtId="0" fontId="0" fillId="0" borderId="0" xfId="0" applyAlignment="1">
      <alignment vertical="center"/>
    </xf>
    <xf numFmtId="164" fontId="16" fillId="0" borderId="3" xfId="9" applyNumberFormat="1" applyFont="1" applyFill="1" applyBorder="1"/>
    <xf numFmtId="164" fontId="16" fillId="0" borderId="5" xfId="9" applyNumberFormat="1" applyFont="1" applyFill="1" applyBorder="1"/>
    <xf numFmtId="0" fontId="16" fillId="7" borderId="25" xfId="0" applyFont="1" applyFill="1" applyBorder="1"/>
    <xf numFmtId="164" fontId="16" fillId="7" borderId="27" xfId="9" applyNumberFormat="1" applyFont="1" applyFill="1" applyBorder="1"/>
    <xf numFmtId="164" fontId="16" fillId="7" borderId="6" xfId="9" applyNumberFormat="1" applyFont="1" applyFill="1" applyBorder="1"/>
    <xf numFmtId="0" fontId="16" fillId="0" borderId="1" xfId="8" applyFont="1" applyBorder="1"/>
    <xf numFmtId="0" fontId="16" fillId="0" borderId="2" xfId="8" applyFont="1" applyBorder="1"/>
    <xf numFmtId="164" fontId="16" fillId="0" borderId="28" xfId="9" applyNumberFormat="1" applyFont="1" applyBorder="1"/>
    <xf numFmtId="0" fontId="16" fillId="0" borderId="27" xfId="8" applyFont="1" applyBorder="1"/>
    <xf numFmtId="0" fontId="16" fillId="0" borderId="26" xfId="8" applyFont="1" applyBorder="1"/>
    <xf numFmtId="164" fontId="16" fillId="0" borderId="29" xfId="9" applyNumberFormat="1" applyFont="1" applyBorder="1"/>
    <xf numFmtId="164" fontId="16" fillId="0" borderId="6" xfId="9" applyNumberFormat="1" applyFont="1" applyBorder="1"/>
    <xf numFmtId="164" fontId="1" fillId="0" borderId="0" xfId="8" applyNumberFormat="1"/>
    <xf numFmtId="164" fontId="0" fillId="0" borderId="7" xfId="1" applyNumberFormat="1" applyFont="1" applyFill="1" applyBorder="1" applyAlignment="1">
      <alignment vertical="center" wrapText="1"/>
    </xf>
    <xf numFmtId="0" fontId="0" fillId="0" borderId="0" xfId="0"/>
    <xf numFmtId="0" fontId="16" fillId="0" borderId="3" xfId="8" applyFont="1" applyBorder="1"/>
    <xf numFmtId="164" fontId="16" fillId="0" borderId="0" xfId="1" applyNumberFormat="1" applyFont="1" applyBorder="1"/>
    <xf numFmtId="164" fontId="11" fillId="0" borderId="0" xfId="1" applyNumberFormat="1" applyFont="1" applyFill="1" applyBorder="1"/>
    <xf numFmtId="0" fontId="10" fillId="5" borderId="0" xfId="0" applyFont="1" applyFill="1" applyBorder="1" applyAlignment="1">
      <alignment wrapText="1"/>
    </xf>
    <xf numFmtId="0" fontId="0" fillId="0" borderId="5" xfId="0" applyFill="1" applyBorder="1"/>
    <xf numFmtId="164" fontId="0" fillId="0" borderId="27" xfId="0" applyNumberFormat="1" applyBorder="1"/>
    <xf numFmtId="0" fontId="0" fillId="9" borderId="0" xfId="0" applyFill="1"/>
    <xf numFmtId="164" fontId="0" fillId="9" borderId="0" xfId="0" applyNumberFormat="1" applyFill="1"/>
    <xf numFmtId="0" fontId="12" fillId="9" borderId="7" xfId="7" applyFont="1" applyFill="1" applyBorder="1" applyAlignment="1">
      <alignment horizontal="center" vertical="center"/>
    </xf>
    <xf numFmtId="0" fontId="0" fillId="9" borderId="7" xfId="0" applyFill="1" applyBorder="1" applyAlignment="1">
      <alignment vertical="top" wrapText="1"/>
    </xf>
    <xf numFmtId="164" fontId="0" fillId="9" borderId="7" xfId="1" applyNumberFormat="1" applyFont="1" applyFill="1" applyBorder="1"/>
    <xf numFmtId="1" fontId="0" fillId="0" borderId="7" xfId="0" applyNumberFormat="1" applyBorder="1"/>
    <xf numFmtId="0" fontId="0" fillId="9" borderId="7" xfId="0" applyFill="1" applyBorder="1"/>
    <xf numFmtId="164" fontId="0" fillId="0" borderId="0" xfId="0" applyNumberFormat="1" applyFill="1"/>
    <xf numFmtId="164" fontId="4" fillId="0" borderId="7" xfId="1" applyNumberFormat="1" applyFill="1" applyBorder="1" applyAlignment="1"/>
    <xf numFmtId="164" fontId="6" fillId="9" borderId="7" xfId="1" applyNumberFormat="1" applyFont="1" applyFill="1" applyBorder="1" applyAlignment="1">
      <alignment horizontal="center" vertical="center" wrapText="1"/>
    </xf>
    <xf numFmtId="164" fontId="0" fillId="9" borderId="7" xfId="0" applyNumberFormat="1" applyFill="1" applyBorder="1"/>
    <xf numFmtId="0" fontId="0" fillId="4" borderId="7" xfId="0" applyFill="1" applyBorder="1" applyAlignment="1">
      <alignment wrapText="1"/>
    </xf>
    <xf numFmtId="0" fontId="11" fillId="9" borderId="0" xfId="0" applyFont="1" applyFill="1"/>
    <xf numFmtId="164" fontId="11" fillId="9" borderId="5" xfId="1" applyNumberFormat="1" applyFont="1" applyFill="1" applyBorder="1"/>
    <xf numFmtId="164" fontId="11" fillId="9" borderId="4" xfId="1" applyNumberFormat="1" applyFont="1" applyFill="1" applyBorder="1"/>
    <xf numFmtId="164" fontId="0" fillId="9" borderId="6" xfId="0" applyNumberFormat="1" applyFill="1" applyBorder="1"/>
    <xf numFmtId="0" fontId="23" fillId="11" borderId="4" xfId="0" applyFont="1" applyFill="1" applyBorder="1" applyAlignment="1">
      <alignment wrapText="1"/>
    </xf>
    <xf numFmtId="0" fontId="16" fillId="9" borderId="0" xfId="0" applyFont="1" applyFill="1"/>
    <xf numFmtId="164" fontId="16" fillId="9" borderId="5" xfId="1" applyNumberFormat="1" applyFont="1" applyFill="1" applyBorder="1"/>
    <xf numFmtId="164" fontId="16" fillId="9" borderId="0" xfId="0" applyNumberFormat="1" applyFont="1" applyFill="1"/>
    <xf numFmtId="164" fontId="0" fillId="9" borderId="5" xfId="0" applyNumberFormat="1" applyFill="1" applyBorder="1"/>
    <xf numFmtId="0" fontId="24" fillId="9" borderId="4" xfId="0" applyFont="1" applyFill="1" applyBorder="1" applyAlignment="1">
      <alignment wrapText="1"/>
    </xf>
    <xf numFmtId="0" fontId="0" fillId="9" borderId="13" xfId="0" applyFill="1" applyBorder="1" applyAlignment="1">
      <alignment vertical="top" wrapText="1"/>
    </xf>
    <xf numFmtId="0" fontId="0" fillId="0" borderId="0" xfId="0" applyFill="1" applyBorder="1"/>
    <xf numFmtId="0" fontId="0" fillId="0" borderId="0" xfId="0" applyFill="1" applyBorder="1" applyAlignment="1">
      <alignment vertical="top"/>
    </xf>
    <xf numFmtId="164" fontId="0" fillId="9" borderId="0" xfId="1" applyNumberFormat="1" applyFont="1" applyFill="1"/>
    <xf numFmtId="164" fontId="0" fillId="9" borderId="11" xfId="1" applyNumberFormat="1" applyFont="1" applyFill="1" applyBorder="1" applyAlignment="1">
      <alignment vertical="top" wrapText="1"/>
    </xf>
    <xf numFmtId="0" fontId="0" fillId="9" borderId="12" xfId="0" applyFill="1" applyBorder="1" applyAlignment="1">
      <alignment vertical="top" wrapText="1"/>
    </xf>
    <xf numFmtId="9" fontId="0" fillId="9" borderId="7" xfId="5" applyFont="1" applyFill="1" applyBorder="1"/>
    <xf numFmtId="164" fontId="0" fillId="9" borderId="10" xfId="1" applyNumberFormat="1" applyFont="1" applyFill="1" applyBorder="1"/>
    <xf numFmtId="9" fontId="0" fillId="9" borderId="0" xfId="5" applyFont="1" applyFill="1"/>
    <xf numFmtId="164" fontId="0" fillId="9" borderId="7" xfId="1" applyNumberFormat="1" applyFont="1" applyFill="1" applyBorder="1" applyAlignment="1">
      <alignment vertical="center" wrapText="1"/>
    </xf>
    <xf numFmtId="164" fontId="6" fillId="9" borderId="4" xfId="1" applyNumberFormat="1" applyFont="1" applyFill="1" applyBorder="1" applyAlignment="1">
      <alignment vertical="center" wrapText="1"/>
    </xf>
    <xf numFmtId="0" fontId="0" fillId="0" borderId="0" xfId="0" applyFill="1" applyAlignment="1"/>
    <xf numFmtId="0" fontId="0" fillId="0" borderId="7" xfId="0" applyFill="1" applyBorder="1" applyAlignment="1">
      <alignment horizontal="center" vertical="top" wrapText="1"/>
    </xf>
    <xf numFmtId="0" fontId="0" fillId="0" borderId="7" xfId="0" applyFill="1" applyBorder="1" applyAlignment="1">
      <alignment horizontal="center" wrapText="1"/>
    </xf>
    <xf numFmtId="0" fontId="0" fillId="0" borderId="0" xfId="0" applyFill="1" applyAlignment="1">
      <alignment wrapText="1"/>
    </xf>
    <xf numFmtId="0" fontId="0" fillId="0" borderId="0" xfId="0" applyFont="1" applyFill="1" applyAlignment="1"/>
    <xf numFmtId="0" fontId="16" fillId="0" borderId="0" xfId="0" applyFont="1" applyFill="1" applyAlignment="1">
      <alignment vertical="center"/>
    </xf>
    <xf numFmtId="0" fontId="0" fillId="0" borderId="7" xfId="0" applyBorder="1" applyAlignment="1">
      <alignment horizontal="center" wrapText="1"/>
    </xf>
    <xf numFmtId="0" fontId="0" fillId="0" borderId="7" xfId="0" applyBorder="1" applyAlignment="1">
      <alignment horizontal="center" vertical="top" wrapText="1"/>
    </xf>
    <xf numFmtId="0" fontId="6" fillId="3" borderId="29" xfId="0" applyFont="1" applyFill="1" applyBorder="1" applyAlignment="1">
      <alignment vertical="top" wrapText="1"/>
    </xf>
    <xf numFmtId="0" fontId="0" fillId="0" borderId="0" xfId="0"/>
    <xf numFmtId="0" fontId="17" fillId="6" borderId="2" xfId="8" applyFont="1" applyFill="1" applyBorder="1" applyAlignment="1">
      <alignment horizontal="center"/>
    </xf>
    <xf numFmtId="164" fontId="17" fillId="6" borderId="2" xfId="1" applyNumberFormat="1" applyFont="1" applyFill="1" applyBorder="1" applyAlignment="1">
      <alignment horizontal="center"/>
    </xf>
    <xf numFmtId="164" fontId="16" fillId="0" borderId="25" xfId="1" applyNumberFormat="1" applyFont="1" applyBorder="1"/>
    <xf numFmtId="164" fontId="16" fillId="0" borderId="5" xfId="1" applyNumberFormat="1" applyFont="1" applyFill="1" applyBorder="1"/>
    <xf numFmtId="164" fontId="16" fillId="0" borderId="25" xfId="1" applyNumberFormat="1" applyFont="1" applyFill="1" applyBorder="1"/>
    <xf numFmtId="164" fontId="16" fillId="0" borderId="25" xfId="1" applyNumberFormat="1" applyFont="1" applyBorder="1" applyAlignment="1">
      <alignment horizontal="center"/>
    </xf>
    <xf numFmtId="164" fontId="16" fillId="0" borderId="6" xfId="1" applyNumberFormat="1" applyFont="1" applyBorder="1"/>
    <xf numFmtId="0" fontId="25" fillId="0" borderId="0" xfId="0" applyFont="1"/>
    <xf numFmtId="0" fontId="26" fillId="0" borderId="0" xfId="0" applyFont="1"/>
    <xf numFmtId="0" fontId="27" fillId="5" borderId="1" xfId="0" applyFont="1" applyFill="1" applyBorder="1"/>
    <xf numFmtId="0" fontId="27" fillId="5" borderId="2" xfId="0" applyFont="1" applyFill="1" applyBorder="1"/>
    <xf numFmtId="0" fontId="26" fillId="0" borderId="3" xfId="0" applyFont="1" applyBorder="1"/>
    <xf numFmtId="0" fontId="26" fillId="13" borderId="3" xfId="0" applyFont="1" applyFill="1" applyBorder="1"/>
    <xf numFmtId="0" fontId="26" fillId="0" borderId="1" xfId="0" applyFont="1" applyBorder="1"/>
    <xf numFmtId="0" fontId="26" fillId="0" borderId="27" xfId="0" applyFont="1" applyBorder="1"/>
    <xf numFmtId="0" fontId="26" fillId="14" borderId="3" xfId="0" applyFont="1" applyFill="1" applyBorder="1"/>
    <xf numFmtId="164" fontId="0" fillId="0" borderId="0" xfId="1" applyNumberFormat="1" applyFont="1"/>
    <xf numFmtId="0" fontId="0" fillId="0" borderId="0" xfId="0" applyAlignment="1">
      <alignment horizontal="left"/>
    </xf>
    <xf numFmtId="164" fontId="0" fillId="0" borderId="0" xfId="0" applyNumberFormat="1"/>
    <xf numFmtId="0" fontId="0" fillId="0" borderId="0" xfId="0" applyAlignment="1">
      <alignment horizontal="left" indent="1"/>
    </xf>
    <xf numFmtId="43" fontId="0" fillId="0" borderId="0" xfId="1" applyFont="1"/>
    <xf numFmtId="43" fontId="0" fillId="0" borderId="0" xfId="1" applyFont="1" applyAlignment="1">
      <alignment horizontal="left" indent="1"/>
    </xf>
    <xf numFmtId="0" fontId="0" fillId="0" borderId="7" xfId="0" applyBorder="1"/>
    <xf numFmtId="164" fontId="0" fillId="0" borderId="7" xfId="0" applyNumberFormat="1" applyBorder="1"/>
    <xf numFmtId="164" fontId="16" fillId="14" borderId="5" xfId="1" applyNumberFormat="1" applyFont="1" applyFill="1" applyBorder="1"/>
    <xf numFmtId="0" fontId="1" fillId="0" borderId="25" xfId="8" applyBorder="1"/>
    <xf numFmtId="0" fontId="21" fillId="0" borderId="3" xfId="0" applyFont="1" applyBorder="1"/>
    <xf numFmtId="164" fontId="0" fillId="0" borderId="25" xfId="0" applyNumberFormat="1" applyBorder="1"/>
    <xf numFmtId="0" fontId="1" fillId="0" borderId="26" xfId="8" applyBorder="1"/>
    <xf numFmtId="164" fontId="16" fillId="0" borderId="4" xfId="1" applyNumberFormat="1" applyFont="1" applyFill="1" applyBorder="1"/>
    <xf numFmtId="0" fontId="1" fillId="0" borderId="5" xfId="8" applyBorder="1"/>
    <xf numFmtId="0" fontId="1" fillId="0" borderId="4" xfId="8" applyBorder="1"/>
    <xf numFmtId="0" fontId="16" fillId="0" borderId="5" xfId="8" applyFont="1" applyBorder="1" applyAlignment="1">
      <alignment horizontal="right"/>
    </xf>
    <xf numFmtId="0" fontId="1" fillId="0" borderId="6" xfId="8" applyBorder="1"/>
    <xf numFmtId="0" fontId="16" fillId="14" borderId="5" xfId="8" applyFont="1" applyFill="1" applyBorder="1" applyAlignment="1">
      <alignment horizontal="right"/>
    </xf>
    <xf numFmtId="164" fontId="16" fillId="14" borderId="25" xfId="1" applyNumberFormat="1" applyFont="1" applyFill="1" applyBorder="1" applyAlignment="1">
      <alignment horizontal="center"/>
    </xf>
    <xf numFmtId="0" fontId="28" fillId="0" borderId="0" xfId="0" applyFont="1"/>
    <xf numFmtId="164" fontId="28" fillId="0" borderId="0" xfId="0" applyNumberFormat="1" applyFont="1"/>
    <xf numFmtId="43" fontId="28" fillId="0" borderId="0" xfId="0" applyNumberFormat="1" applyFont="1"/>
    <xf numFmtId="0" fontId="28" fillId="0" borderId="0" xfId="0" applyFont="1" applyAlignment="1">
      <alignment horizontal="left"/>
    </xf>
    <xf numFmtId="0" fontId="17" fillId="6" borderId="1" xfId="8" applyFont="1" applyFill="1" applyBorder="1"/>
    <xf numFmtId="164" fontId="17" fillId="6" borderId="1" xfId="1" applyNumberFormat="1" applyFont="1" applyFill="1" applyBorder="1"/>
    <xf numFmtId="166" fontId="17" fillId="6" borderId="1" xfId="5" applyNumberFormat="1" applyFont="1" applyFill="1" applyBorder="1"/>
    <xf numFmtId="0" fontId="6" fillId="12" borderId="34" xfId="0" applyFont="1" applyFill="1" applyBorder="1" applyAlignment="1">
      <alignment horizontal="left"/>
    </xf>
    <xf numFmtId="164" fontId="16" fillId="14" borderId="25" xfId="1" applyNumberFormat="1" applyFont="1" applyFill="1" applyBorder="1"/>
    <xf numFmtId="0" fontId="16" fillId="0" borderId="5" xfId="8" applyFont="1" applyBorder="1" applyAlignment="1">
      <alignment horizontal="center"/>
    </xf>
    <xf numFmtId="0" fontId="29" fillId="0" borderId="5" xfId="8" applyFont="1" applyBorder="1" applyAlignment="1">
      <alignment horizontal="center" wrapText="1"/>
    </xf>
    <xf numFmtId="0" fontId="6" fillId="12" borderId="33" xfId="0" applyFont="1" applyFill="1" applyBorder="1"/>
    <xf numFmtId="0" fontId="6" fillId="0" borderId="33" xfId="0" applyFont="1" applyBorder="1" applyAlignment="1">
      <alignment horizontal="left"/>
    </xf>
    <xf numFmtId="164" fontId="0" fillId="10" borderId="0" xfId="0" applyNumberFormat="1" applyFill="1"/>
    <xf numFmtId="164" fontId="0" fillId="10" borderId="0" xfId="1" applyNumberFormat="1" applyFont="1" applyFill="1"/>
    <xf numFmtId="10" fontId="0" fillId="0" borderId="0" xfId="5" applyNumberFormat="1" applyFont="1" applyAlignment="1">
      <alignment horizontal="center"/>
    </xf>
    <xf numFmtId="9" fontId="0" fillId="0" borderId="0" xfId="5" applyFont="1" applyAlignment="1">
      <alignment horizontal="center"/>
    </xf>
    <xf numFmtId="0" fontId="0" fillId="0" borderId="0" xfId="0" applyAlignment="1">
      <alignment horizontal="right"/>
    </xf>
    <xf numFmtId="0" fontId="28" fillId="0" borderId="0" xfId="0" applyFont="1" applyAlignment="1">
      <alignment horizontal="right"/>
    </xf>
    <xf numFmtId="10" fontId="0" fillId="0" borderId="0" xfId="1" applyNumberFormat="1" applyFont="1" applyAlignment="1">
      <alignment horizontal="left" indent="1"/>
    </xf>
    <xf numFmtId="9" fontId="0" fillId="0" borderId="0" xfId="5" applyFont="1"/>
    <xf numFmtId="9" fontId="28" fillId="0" borderId="0" xfId="5" applyFont="1"/>
    <xf numFmtId="164" fontId="6" fillId="12" borderId="0" xfId="1" applyNumberFormat="1" applyFont="1" applyFill="1" applyBorder="1"/>
    <xf numFmtId="164" fontId="1" fillId="0" borderId="25" xfId="8" applyNumberFormat="1" applyBorder="1"/>
    <xf numFmtId="0" fontId="0" fillId="0" borderId="0" xfId="0" applyAlignment="1">
      <alignment horizontal="right" indent="1"/>
    </xf>
    <xf numFmtId="0" fontId="26" fillId="7" borderId="3" xfId="0" applyFont="1" applyFill="1" applyBorder="1"/>
    <xf numFmtId="0" fontId="26" fillId="15" borderId="3" xfId="0" applyFont="1" applyFill="1" applyBorder="1"/>
    <xf numFmtId="0" fontId="11" fillId="0" borderId="5" xfId="0" applyFont="1" applyBorder="1"/>
    <xf numFmtId="0" fontId="26" fillId="0" borderId="5" xfId="0" applyFont="1" applyBorder="1"/>
    <xf numFmtId="0" fontId="26" fillId="0" borderId="3" xfId="0" applyFont="1" applyFill="1" applyBorder="1"/>
    <xf numFmtId="0" fontId="16" fillId="0" borderId="5" xfId="8" applyFont="1" applyFill="1" applyBorder="1" applyAlignment="1">
      <alignment horizontal="right"/>
    </xf>
    <xf numFmtId="0" fontId="1" fillId="0" borderId="25" xfId="8" applyFill="1" applyBorder="1"/>
    <xf numFmtId="164" fontId="16" fillId="0" borderId="25" xfId="1" applyNumberFormat="1" applyFont="1" applyFill="1" applyBorder="1" applyAlignment="1">
      <alignment horizontal="center"/>
    </xf>
    <xf numFmtId="0" fontId="26" fillId="0" borderId="1" xfId="0" applyFont="1" applyFill="1" applyBorder="1"/>
    <xf numFmtId="0" fontId="26" fillId="16" borderId="3" xfId="0" applyFont="1" applyFill="1" applyBorder="1"/>
    <xf numFmtId="0" fontId="6" fillId="4" borderId="6" xfId="0" applyFont="1" applyFill="1" applyBorder="1" applyAlignment="1">
      <alignment horizontal="center" vertical="center" wrapText="1"/>
    </xf>
    <xf numFmtId="0" fontId="7" fillId="2" borderId="7" xfId="0" applyFont="1" applyFill="1" applyBorder="1" applyAlignment="1">
      <alignment vertical="top" wrapText="1"/>
    </xf>
    <xf numFmtId="0" fontId="7" fillId="2" borderId="7" xfId="0" applyFont="1" applyFill="1" applyBorder="1" applyAlignment="1">
      <alignment vertical="top"/>
    </xf>
    <xf numFmtId="0" fontId="6" fillId="12" borderId="0" xfId="0" applyFont="1" applyFill="1"/>
    <xf numFmtId="43" fontId="6" fillId="12" borderId="0" xfId="1" applyFont="1" applyFill="1" applyBorder="1"/>
    <xf numFmtId="0" fontId="0" fillId="0" borderId="3" xfId="0" applyBorder="1"/>
    <xf numFmtId="0" fontId="0" fillId="0" borderId="5" xfId="0" applyBorder="1"/>
    <xf numFmtId="0" fontId="28" fillId="15" borderId="0" xfId="0" applyFont="1" applyFill="1"/>
    <xf numFmtId="0" fontId="0" fillId="15" borderId="0" xfId="0" applyFill="1" applyAlignment="1">
      <alignment horizontal="left" indent="1"/>
    </xf>
    <xf numFmtId="166" fontId="17" fillId="6" borderId="1" xfId="5" applyNumberFormat="1" applyFont="1" applyFill="1" applyBorder="1" applyAlignment="1">
      <alignment horizontal="center" wrapText="1"/>
    </xf>
    <xf numFmtId="166" fontId="17" fillId="6" borderId="0" xfId="5" applyNumberFormat="1" applyFont="1" applyFill="1" applyBorder="1" applyAlignment="1">
      <alignment horizontal="center" wrapText="1"/>
    </xf>
    <xf numFmtId="0" fontId="11" fillId="0" borderId="7" xfId="0" applyFont="1" applyBorder="1"/>
    <xf numFmtId="0" fontId="16" fillId="0" borderId="7" xfId="0" applyFont="1" applyBorder="1"/>
    <xf numFmtId="0" fontId="6" fillId="0" borderId="7" xfId="0" applyFont="1" applyFill="1" applyBorder="1" applyAlignment="1">
      <alignment vertical="top"/>
    </xf>
    <xf numFmtId="0" fontId="0" fillId="0" borderId="0" xfId="0" applyAlignment="1">
      <alignment horizontal="center"/>
    </xf>
    <xf numFmtId="164" fontId="0" fillId="0" borderId="7" xfId="1" applyNumberFormat="1" applyFont="1" applyBorder="1" applyAlignment="1">
      <alignment horizontal="center" vertical="top" wrapText="1"/>
    </xf>
    <xf numFmtId="0" fontId="0" fillId="0" borderId="0" xfId="0"/>
    <xf numFmtId="165" fontId="0" fillId="0" borderId="7" xfId="0" applyNumberFormat="1" applyBorder="1" applyAlignment="1">
      <alignment vertical="top"/>
    </xf>
    <xf numFmtId="0" fontId="16" fillId="0" borderId="3" xfId="0" applyFont="1" applyBorder="1" applyAlignment="1">
      <alignment vertical="top"/>
    </xf>
    <xf numFmtId="0" fontId="6" fillId="0" borderId="4" xfId="0" applyFont="1" applyBorder="1" applyAlignment="1">
      <alignment vertical="top" wrapText="1"/>
    </xf>
    <xf numFmtId="0" fontId="6" fillId="0" borderId="7" xfId="0" applyFont="1" applyFill="1" applyBorder="1" applyAlignment="1">
      <alignment vertical="top" wrapText="1"/>
    </xf>
    <xf numFmtId="164" fontId="0" fillId="0" borderId="7" xfId="1" applyNumberFormat="1" applyFont="1" applyFill="1" applyBorder="1" applyAlignment="1">
      <alignment horizontal="right" vertical="center" wrapText="1"/>
    </xf>
    <xf numFmtId="0" fontId="6" fillId="3" borderId="27"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6" xfId="0" applyFont="1" applyFill="1" applyBorder="1" applyAlignment="1">
      <alignment horizontal="left" vertical="top" wrapText="1"/>
    </xf>
    <xf numFmtId="164" fontId="0" fillId="9" borderId="7" xfId="1" applyNumberFormat="1" applyFont="1" applyFill="1" applyBorder="1" applyAlignment="1">
      <alignment vertical="top" wrapText="1"/>
    </xf>
    <xf numFmtId="0" fontId="6" fillId="0" borderId="4" xfId="0" applyFont="1" applyBorder="1" applyAlignment="1">
      <alignment horizontal="center" vertical="top" wrapText="1"/>
    </xf>
    <xf numFmtId="0" fontId="0" fillId="0" borderId="7" xfId="0" applyBorder="1" applyAlignment="1">
      <alignment horizontal="center" vertical="top"/>
    </xf>
    <xf numFmtId="0" fontId="6" fillId="0" borderId="7" xfId="0" applyFont="1" applyBorder="1" applyAlignment="1">
      <alignment horizontal="center" vertical="top"/>
    </xf>
    <xf numFmtId="164" fontId="0" fillId="0" borderId="7" xfId="1" applyNumberFormat="1" applyFont="1" applyFill="1" applyBorder="1" applyAlignment="1">
      <alignment vertical="top" wrapText="1"/>
    </xf>
    <xf numFmtId="164" fontId="0" fillId="0" borderId="7" xfId="1" applyNumberFormat="1" applyFont="1" applyFill="1" applyBorder="1" applyAlignment="1">
      <alignment horizontal="right" vertical="top" wrapText="1"/>
    </xf>
    <xf numFmtId="0" fontId="6" fillId="3" borderId="4" xfId="0" applyFont="1" applyFill="1" applyBorder="1" applyAlignment="1"/>
    <xf numFmtId="0" fontId="6" fillId="3" borderId="6" xfId="0" applyFont="1" applyFill="1" applyBorder="1" applyAlignment="1">
      <alignment vertical="top" wrapText="1"/>
    </xf>
    <xf numFmtId="164" fontId="4" fillId="9" borderId="7" xfId="1" applyNumberFormat="1" applyFont="1" applyFill="1" applyBorder="1" applyAlignment="1">
      <alignment vertical="center" wrapText="1"/>
    </xf>
    <xf numFmtId="164" fontId="4" fillId="9" borderId="7" xfId="1" applyNumberFormat="1" applyFont="1" applyFill="1" applyBorder="1" applyAlignment="1">
      <alignment horizontal="right" vertical="center" wrapText="1"/>
    </xf>
    <xf numFmtId="0" fontId="29" fillId="0" borderId="7" xfId="8" applyFont="1" applyBorder="1" applyAlignment="1">
      <alignment horizontal="left"/>
    </xf>
    <xf numFmtId="0" fontId="30" fillId="0" borderId="0" xfId="0" applyFont="1" applyFill="1" applyBorder="1" applyAlignment="1">
      <alignment wrapText="1"/>
    </xf>
    <xf numFmtId="0" fontId="30" fillId="0" borderId="0" xfId="0" applyFont="1" applyFill="1" applyBorder="1" applyAlignment="1"/>
    <xf numFmtId="0" fontId="31" fillId="0" borderId="0" xfId="0" applyFont="1" applyFill="1" applyBorder="1" applyAlignment="1"/>
    <xf numFmtId="164" fontId="30" fillId="0" borderId="0" xfId="0" applyNumberFormat="1" applyFont="1" applyFill="1" applyBorder="1" applyAlignment="1">
      <alignment wrapText="1"/>
    </xf>
    <xf numFmtId="164" fontId="6" fillId="0" borderId="0" xfId="0" applyNumberFormat="1" applyFont="1"/>
    <xf numFmtId="164" fontId="30" fillId="17" borderId="0" xfId="0" applyNumberFormat="1" applyFont="1" applyFill="1" applyBorder="1" applyAlignment="1">
      <alignment wrapText="1"/>
    </xf>
    <xf numFmtId="0" fontId="30" fillId="17" borderId="0" xfId="0" applyFont="1" applyFill="1" applyBorder="1" applyAlignment="1">
      <alignment wrapText="1"/>
    </xf>
    <xf numFmtId="164" fontId="0" fillId="17" borderId="0" xfId="0" applyNumberFormat="1" applyFill="1"/>
    <xf numFmtId="0" fontId="0" fillId="17" borderId="0" xfId="0" applyFill="1"/>
    <xf numFmtId="164" fontId="6" fillId="17" borderId="0" xfId="0" applyNumberFormat="1" applyFont="1" applyFill="1"/>
    <xf numFmtId="0" fontId="6" fillId="17" borderId="0" xfId="0" applyFont="1" applyFill="1"/>
    <xf numFmtId="164" fontId="6" fillId="18" borderId="0" xfId="0" applyNumberFormat="1" applyFont="1" applyFill="1"/>
    <xf numFmtId="0" fontId="10" fillId="5" borderId="7" xfId="0" applyFont="1" applyFill="1" applyBorder="1"/>
    <xf numFmtId="164" fontId="0" fillId="0" borderId="7" xfId="1" quotePrefix="1" applyNumberFormat="1" applyFont="1" applyBorder="1"/>
    <xf numFmtId="164" fontId="10" fillId="5" borderId="7" xfId="1" applyNumberFormat="1" applyFont="1" applyFill="1" applyBorder="1"/>
    <xf numFmtId="164" fontId="10" fillId="5" borderId="7" xfId="1" applyNumberFormat="1" applyFont="1" applyFill="1" applyBorder="1" applyAlignment="1">
      <alignment horizontal="center"/>
    </xf>
    <xf numFmtId="164" fontId="10" fillId="5" borderId="7" xfId="1" applyNumberFormat="1" applyFont="1" applyFill="1" applyBorder="1" applyAlignment="1">
      <alignment wrapText="1"/>
    </xf>
    <xf numFmtId="164" fontId="23" fillId="11" borderId="7" xfId="1" applyNumberFormat="1" applyFont="1" applyFill="1" applyBorder="1" applyAlignment="1">
      <alignment horizontal="center" wrapText="1"/>
    </xf>
    <xf numFmtId="164" fontId="23" fillId="11" borderId="7" xfId="1" applyNumberFormat="1" applyFont="1" applyFill="1" applyBorder="1"/>
    <xf numFmtId="0" fontId="0" fillId="15" borderId="7" xfId="0" applyFill="1" applyBorder="1" applyAlignment="1">
      <alignment horizontal="center" vertical="center" wrapText="1"/>
    </xf>
    <xf numFmtId="0" fontId="11" fillId="15" borderId="7" xfId="0" applyFont="1" applyFill="1" applyBorder="1"/>
    <xf numFmtId="164" fontId="0" fillId="15" borderId="7" xfId="0" applyNumberFormat="1" applyFill="1" applyBorder="1"/>
    <xf numFmtId="0" fontId="0" fillId="15" borderId="7" xfId="0" applyFill="1" applyBorder="1"/>
    <xf numFmtId="0" fontId="0" fillId="0" borderId="0" xfId="0" applyAlignment="1"/>
    <xf numFmtId="164" fontId="16" fillId="0" borderId="27" xfId="1" applyNumberFormat="1" applyFont="1" applyFill="1" applyBorder="1"/>
    <xf numFmtId="164" fontId="11" fillId="9" borderId="6" xfId="1" applyNumberFormat="1" applyFont="1" applyFill="1" applyBorder="1"/>
    <xf numFmtId="164" fontId="11" fillId="0" borderId="27" xfId="1" applyNumberFormat="1" applyFont="1" applyFill="1" applyBorder="1"/>
    <xf numFmtId="164" fontId="6" fillId="0" borderId="7" xfId="0" applyNumberFormat="1" applyFont="1" applyBorder="1"/>
    <xf numFmtId="0" fontId="32" fillId="9" borderId="7" xfId="0" applyFont="1" applyFill="1" applyBorder="1" applyAlignment="1">
      <alignment horizontal="right" vertical="center"/>
    </xf>
    <xf numFmtId="0" fontId="33" fillId="9" borderId="7" xfId="0" applyFont="1" applyFill="1" applyBorder="1" applyAlignment="1">
      <alignment horizontal="right" vertical="center"/>
    </xf>
    <xf numFmtId="0" fontId="0" fillId="9" borderId="7" xfId="0" applyFill="1" applyBorder="1" applyAlignment="1">
      <alignment horizontal="right" vertical="center"/>
    </xf>
    <xf numFmtId="0" fontId="26" fillId="14" borderId="3" xfId="0" applyFont="1" applyFill="1" applyBorder="1" applyAlignment="1">
      <alignment wrapText="1"/>
    </xf>
    <xf numFmtId="0" fontId="29" fillId="14" borderId="5" xfId="8" applyFont="1" applyFill="1" applyBorder="1" applyAlignment="1">
      <alignment horizontal="center" wrapText="1"/>
    </xf>
    <xf numFmtId="0" fontId="11" fillId="0" borderId="4" xfId="0" applyFont="1" applyBorder="1"/>
    <xf numFmtId="0" fontId="26" fillId="0" borderId="4" xfId="0" applyFont="1" applyBorder="1" applyAlignment="1">
      <alignment horizontal="center"/>
    </xf>
    <xf numFmtId="0" fontId="26" fillId="0" borderId="2" xfId="0" applyFont="1" applyBorder="1" applyAlignment="1">
      <alignment horizontal="center"/>
    </xf>
    <xf numFmtId="0" fontId="16" fillId="0" borderId="5" xfId="13" applyFont="1" applyBorder="1" applyAlignment="1">
      <alignment horizontal="right"/>
    </xf>
    <xf numFmtId="164" fontId="16" fillId="0" borderId="5" xfId="1" applyNumberFormat="1" applyFont="1" applyBorder="1" applyAlignment="1">
      <alignment horizontal="center"/>
    </xf>
    <xf numFmtId="0" fontId="1" fillId="0" borderId="5" xfId="13" applyBorder="1"/>
    <xf numFmtId="0" fontId="1" fillId="0" borderId="25" xfId="13" applyBorder="1"/>
    <xf numFmtId="0" fontId="16" fillId="0" borderId="6" xfId="13" applyFont="1" applyBorder="1" applyAlignment="1">
      <alignment horizontal="right"/>
    </xf>
    <xf numFmtId="164" fontId="16" fillId="0" borderId="6" xfId="1" applyNumberFormat="1" applyFont="1" applyBorder="1" applyAlignment="1">
      <alignment horizontal="center"/>
    </xf>
    <xf numFmtId="164" fontId="16" fillId="0" borderId="26" xfId="1" applyNumberFormat="1" applyFont="1" applyBorder="1" applyAlignment="1">
      <alignment horizontal="center"/>
    </xf>
    <xf numFmtId="0" fontId="1" fillId="14" borderId="0" xfId="8" applyFill="1"/>
    <xf numFmtId="164" fontId="0" fillId="14" borderId="0" xfId="1" applyNumberFormat="1" applyFont="1" applyFill="1"/>
    <xf numFmtId="0" fontId="0" fillId="0" borderId="0" xfId="0"/>
    <xf numFmtId="0" fontId="0" fillId="0" borderId="0" xfId="0" applyFill="1"/>
    <xf numFmtId="164" fontId="11" fillId="0" borderId="3" xfId="1" applyNumberFormat="1" applyFont="1" applyFill="1" applyBorder="1"/>
    <xf numFmtId="0" fontId="0" fillId="19" borderId="7" xfId="0" applyFill="1" applyBorder="1" applyAlignment="1">
      <alignment horizontal="center" vertical="center" wrapText="1"/>
    </xf>
    <xf numFmtId="0" fontId="9" fillId="15" borderId="18" xfId="0" applyFont="1" applyFill="1" applyBorder="1"/>
    <xf numFmtId="164" fontId="9" fillId="15" borderId="18" xfId="1" applyNumberFormat="1" applyFont="1" applyFill="1" applyBorder="1"/>
    <xf numFmtId="9" fontId="0" fillId="15" borderId="7" xfId="5" applyFont="1" applyFill="1" applyBorder="1"/>
    <xf numFmtId="164" fontId="0" fillId="15" borderId="10" xfId="1" applyNumberFormat="1" applyFont="1" applyFill="1" applyBorder="1"/>
    <xf numFmtId="0" fontId="0" fillId="0" borderId="14" xfId="0" applyFill="1" applyBorder="1" applyAlignment="1">
      <alignment vertical="top" wrapText="1"/>
    </xf>
    <xf numFmtId="164" fontId="0" fillId="0" borderId="19" xfId="1" applyNumberFormat="1" applyFont="1" applyFill="1" applyBorder="1"/>
    <xf numFmtId="164" fontId="0" fillId="15" borderId="19" xfId="1" applyNumberFormat="1" applyFont="1" applyFill="1" applyBorder="1"/>
    <xf numFmtId="0" fontId="0" fillId="9" borderId="14" xfId="0" applyFill="1" applyBorder="1" applyAlignment="1">
      <alignment vertical="top" wrapText="1"/>
    </xf>
    <xf numFmtId="164" fontId="0" fillId="9" borderId="18" xfId="1" applyNumberFormat="1" applyFont="1" applyFill="1" applyBorder="1"/>
    <xf numFmtId="0" fontId="0" fillId="9" borderId="19" xfId="0" applyFill="1" applyBorder="1"/>
    <xf numFmtId="164" fontId="0" fillId="9" borderId="22" xfId="1" applyNumberFormat="1" applyFont="1" applyFill="1" applyBorder="1"/>
    <xf numFmtId="0" fontId="0" fillId="9" borderId="23" xfId="0" applyFill="1" applyBorder="1"/>
    <xf numFmtId="0" fontId="0" fillId="9" borderId="24" xfId="0" applyFill="1" applyBorder="1"/>
    <xf numFmtId="164" fontId="0" fillId="15" borderId="18" xfId="1" applyNumberFormat="1" applyFont="1" applyFill="1" applyBorder="1"/>
    <xf numFmtId="0" fontId="9" fillId="15" borderId="7" xfId="0" applyFont="1" applyFill="1" applyBorder="1"/>
    <xf numFmtId="164" fontId="0" fillId="15" borderId="7" xfId="1" applyNumberFormat="1" applyFont="1" applyFill="1" applyBorder="1"/>
    <xf numFmtId="0" fontId="0" fillId="15" borderId="7" xfId="0" applyFill="1" applyBorder="1" applyAlignment="1">
      <alignment vertical="top"/>
    </xf>
    <xf numFmtId="0" fontId="7" fillId="2" borderId="10" xfId="0" applyFont="1" applyFill="1" applyBorder="1" applyAlignment="1">
      <alignment horizontal="center" wrapText="1"/>
    </xf>
    <xf numFmtId="0" fontId="7" fillId="2" borderId="7" xfId="0" applyFont="1" applyFill="1" applyBorder="1" applyAlignment="1">
      <alignment horizontal="center" wrapText="1"/>
    </xf>
    <xf numFmtId="0" fontId="5" fillId="6" borderId="0" xfId="8" applyFont="1" applyFill="1"/>
    <xf numFmtId="0" fontId="0" fillId="0" borderId="0" xfId="0"/>
    <xf numFmtId="164" fontId="6" fillId="0" borderId="7" xfId="0" applyNumberFormat="1" applyFont="1" applyBorder="1" applyAlignment="1">
      <alignment vertical="top"/>
    </xf>
    <xf numFmtId="0" fontId="1" fillId="0" borderId="35" xfId="8" applyBorder="1"/>
    <xf numFmtId="9" fontId="30" fillId="0" borderId="0" xfId="0" applyNumberFormat="1" applyFont="1" applyFill="1" applyBorder="1" applyAlignment="1"/>
    <xf numFmtId="3" fontId="30" fillId="0" borderId="0" xfId="0" applyNumberFormat="1" applyFont="1" applyFill="1" applyBorder="1" applyAlignment="1"/>
    <xf numFmtId="10" fontId="30" fillId="0" borderId="0" xfId="0" applyNumberFormat="1" applyFont="1" applyFill="1" applyBorder="1" applyAlignment="1"/>
    <xf numFmtId="0" fontId="10" fillId="5" borderId="1" xfId="0" applyFont="1" applyFill="1" applyBorder="1" applyAlignment="1">
      <alignment wrapText="1"/>
    </xf>
    <xf numFmtId="0" fontId="6" fillId="12" borderId="33" xfId="0" applyFont="1" applyFill="1" applyBorder="1" applyAlignment="1">
      <alignment wrapText="1"/>
    </xf>
    <xf numFmtId="0" fontId="30" fillId="18" borderId="0" xfId="0" applyFont="1" applyFill="1" applyBorder="1" applyAlignment="1"/>
    <xf numFmtId="0" fontId="36" fillId="0" borderId="36" xfId="0" quotePrefix="1" applyFont="1" applyBorder="1"/>
    <xf numFmtId="0" fontId="30" fillId="0" borderId="10" xfId="0" applyFont="1" applyFill="1" applyBorder="1" applyAlignment="1"/>
    <xf numFmtId="0" fontId="30" fillId="0" borderId="27" xfId="0" applyFont="1" applyFill="1" applyBorder="1" applyAlignment="1"/>
    <xf numFmtId="0" fontId="30" fillId="0" borderId="0" xfId="0" applyFont="1"/>
    <xf numFmtId="0" fontId="6" fillId="4" borderId="0" xfId="0" applyFont="1" applyFill="1" applyBorder="1" applyAlignment="1">
      <alignment wrapText="1"/>
    </xf>
    <xf numFmtId="0" fontId="0" fillId="15" borderId="7" xfId="0" applyFill="1" applyBorder="1" applyAlignment="1">
      <alignment horizontal="center" vertical="center"/>
    </xf>
    <xf numFmtId="0" fontId="0" fillId="15" borderId="7" xfId="0" applyFill="1" applyBorder="1" applyAlignment="1">
      <alignment horizontal="center" vertical="top"/>
    </xf>
    <xf numFmtId="0" fontId="0" fillId="0" borderId="7" xfId="0" applyFill="1" applyBorder="1" applyAlignment="1">
      <alignment horizontal="center" vertical="top"/>
    </xf>
    <xf numFmtId="0" fontId="0" fillId="0" borderId="7" xfId="0" applyFill="1" applyBorder="1" applyAlignment="1">
      <alignment horizontal="center"/>
    </xf>
    <xf numFmtId="0" fontId="6" fillId="0" borderId="4" xfId="0" applyFont="1" applyFill="1" applyBorder="1" applyAlignment="1">
      <alignment horizontal="center" vertical="center"/>
    </xf>
    <xf numFmtId="164" fontId="6" fillId="0" borderId="0" xfId="1" applyNumberFormat="1" applyFont="1"/>
    <xf numFmtId="0" fontId="0" fillId="0" borderId="0" xfId="0" applyBorder="1" applyAlignment="1">
      <alignment horizontal="left" vertical="center" wrapText="1" indent="1"/>
    </xf>
    <xf numFmtId="0" fontId="0" fillId="0" borderId="0" xfId="0" applyFill="1" applyBorder="1" applyAlignment="1">
      <alignment horizontal="left" vertical="center" wrapText="1" indent="1"/>
    </xf>
    <xf numFmtId="0" fontId="37" fillId="0" borderId="0" xfId="14" applyFill="1" applyBorder="1" applyAlignment="1">
      <alignment horizontal="left" vertical="center" wrapText="1" indent="1"/>
    </xf>
    <xf numFmtId="0" fontId="0" fillId="0" borderId="1" xfId="0" applyBorder="1"/>
    <xf numFmtId="0" fontId="0" fillId="0" borderId="28" xfId="0" applyBorder="1"/>
    <xf numFmtId="0" fontId="0" fillId="0" borderId="2" xfId="0" applyBorder="1"/>
    <xf numFmtId="0" fontId="0" fillId="0" borderId="25" xfId="0" applyBorder="1"/>
    <xf numFmtId="0" fontId="0" fillId="0" borderId="27" xfId="0" applyBorder="1"/>
    <xf numFmtId="0" fontId="0" fillId="0" borderId="29" xfId="0" applyBorder="1"/>
    <xf numFmtId="0" fontId="0" fillId="0" borderId="26" xfId="0" applyBorder="1"/>
    <xf numFmtId="0" fontId="6" fillId="3" borderId="10" xfId="0" applyFont="1" applyFill="1" applyBorder="1" applyAlignment="1">
      <alignment horizontal="center"/>
    </xf>
    <xf numFmtId="0" fontId="6" fillId="3" borderId="8" xfId="0" applyFont="1" applyFill="1" applyBorder="1" applyAlignment="1">
      <alignment horizontal="center"/>
    </xf>
    <xf numFmtId="164" fontId="4" fillId="0" borderId="7" xfId="1" applyNumberFormat="1" applyBorder="1" applyAlignment="1">
      <alignment horizontal="center"/>
    </xf>
    <xf numFmtId="0" fontId="5" fillId="2" borderId="0" xfId="7" applyFont="1" applyFill="1" applyBorder="1" applyAlignment="1">
      <alignment horizontal="center" vertical="center"/>
    </xf>
    <xf numFmtId="164" fontId="4" fillId="0" borderId="7" xfId="1" applyNumberFormat="1" applyBorder="1" applyAlignment="1">
      <alignment horizontal="left"/>
    </xf>
    <xf numFmtId="0" fontId="0" fillId="0" borderId="0" xfId="0" applyAlignment="1"/>
    <xf numFmtId="0" fontId="1" fillId="0" borderId="5" xfId="8" applyFill="1" applyBorder="1"/>
    <xf numFmtId="0" fontId="16" fillId="0" borderId="5" xfId="8" applyFont="1" applyFill="1" applyBorder="1" applyAlignment="1">
      <alignment horizontal="center" wrapText="1"/>
    </xf>
    <xf numFmtId="0" fontId="29" fillId="0" borderId="5" xfId="8" applyFont="1" applyFill="1" applyBorder="1" applyAlignment="1">
      <alignment horizontal="center" wrapText="1"/>
    </xf>
    <xf numFmtId="0" fontId="11" fillId="15" borderId="37" xfId="0" applyFont="1" applyFill="1" applyBorder="1"/>
    <xf numFmtId="0" fontId="11" fillId="15" borderId="38" xfId="0" applyFont="1" applyFill="1" applyBorder="1"/>
    <xf numFmtId="164" fontId="11" fillId="15" borderId="39" xfId="1" applyNumberFormat="1" applyFont="1" applyFill="1" applyBorder="1"/>
    <xf numFmtId="164" fontId="11" fillId="15" borderId="40" xfId="1" applyNumberFormat="1" applyFont="1" applyFill="1" applyBorder="1"/>
    <xf numFmtId="164" fontId="16" fillId="15" borderId="39" xfId="1" applyNumberFormat="1" applyFont="1" applyFill="1" applyBorder="1"/>
    <xf numFmtId="164" fontId="16" fillId="15" borderId="40" xfId="1" applyNumberFormat="1" applyFont="1" applyFill="1" applyBorder="1"/>
    <xf numFmtId="164" fontId="0" fillId="15" borderId="39" xfId="0" applyNumberFormat="1" applyFill="1" applyBorder="1"/>
    <xf numFmtId="0" fontId="16" fillId="0" borderId="0" xfId="0" applyFont="1" applyFill="1"/>
    <xf numFmtId="0" fontId="0" fillId="20" borderId="0" xfId="0" applyFill="1" applyAlignment="1"/>
    <xf numFmtId="0" fontId="0" fillId="20" borderId="0" xfId="0" applyFill="1" applyAlignment="1">
      <alignment wrapText="1"/>
    </xf>
    <xf numFmtId="0" fontId="0" fillId="20" borderId="0" xfId="0" applyFill="1"/>
    <xf numFmtId="0" fontId="0" fillId="20" borderId="0" xfId="0" applyFont="1" applyFill="1" applyAlignment="1"/>
    <xf numFmtId="164" fontId="0" fillId="17" borderId="7" xfId="1" applyNumberFormat="1" applyFont="1" applyFill="1" applyBorder="1" applyAlignment="1">
      <alignment vertical="center" wrapText="1"/>
    </xf>
    <xf numFmtId="164" fontId="6" fillId="0" borderId="7" xfId="1" applyNumberFormat="1" applyFont="1" applyBorder="1" applyAlignment="1">
      <alignment vertical="center" wrapText="1"/>
    </xf>
    <xf numFmtId="164" fontId="6" fillId="9" borderId="7" xfId="1" applyNumberFormat="1" applyFont="1" applyFill="1" applyBorder="1" applyAlignment="1">
      <alignment vertical="center" wrapText="1"/>
    </xf>
    <xf numFmtId="164" fontId="4" fillId="0" borderId="4" xfId="1" applyNumberFormat="1" applyFont="1" applyBorder="1" applyAlignment="1">
      <alignment vertical="top" wrapText="1"/>
    </xf>
    <xf numFmtId="0" fontId="0" fillId="0" borderId="4" xfId="0" applyBorder="1" applyAlignment="1">
      <alignment horizontal="left" vertical="top"/>
    </xf>
    <xf numFmtId="0" fontId="0" fillId="0" borderId="6" xfId="0" applyBorder="1" applyAlignment="1">
      <alignment horizontal="left" vertical="top"/>
    </xf>
    <xf numFmtId="165" fontId="0" fillId="0" borderId="4" xfId="0" applyNumberFormat="1" applyBorder="1" applyAlignment="1">
      <alignment horizontal="right" vertical="top"/>
    </xf>
    <xf numFmtId="165" fontId="0" fillId="0" borderId="6" xfId="0" applyNumberFormat="1" applyBorder="1" applyAlignment="1">
      <alignment horizontal="right" vertical="top"/>
    </xf>
    <xf numFmtId="0" fontId="6" fillId="4" borderId="4"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3" borderId="7" xfId="0" applyFont="1" applyFill="1" applyBorder="1" applyAlignment="1">
      <alignment horizontal="center"/>
    </xf>
    <xf numFmtId="0" fontId="6" fillId="3" borderId="28" xfId="0" applyFont="1" applyFill="1" applyBorder="1" applyAlignment="1">
      <alignment horizontal="center"/>
    </xf>
    <xf numFmtId="0" fontId="6" fillId="3" borderId="10"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27" xfId="0" applyFont="1" applyFill="1" applyBorder="1" applyAlignment="1">
      <alignment horizontal="left"/>
    </xf>
    <xf numFmtId="0" fontId="6" fillId="3" borderId="29" xfId="0" applyFont="1" applyFill="1" applyBorder="1" applyAlignment="1">
      <alignment horizontal="center"/>
    </xf>
    <xf numFmtId="0" fontId="6" fillId="3" borderId="29" xfId="0" applyFont="1" applyFill="1" applyBorder="1" applyAlignment="1">
      <alignment horizontal="left"/>
    </xf>
    <xf numFmtId="0" fontId="6" fillId="3" borderId="26" xfId="0" applyFont="1" applyFill="1" applyBorder="1" applyAlignment="1">
      <alignment horizontal="left"/>
    </xf>
    <xf numFmtId="0" fontId="6" fillId="3" borderId="10" xfId="0" applyFont="1" applyFill="1"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5" fillId="2" borderId="0" xfId="7" applyFont="1" applyFill="1" applyBorder="1" applyAlignment="1">
      <alignment horizontal="center" vertical="center"/>
    </xf>
    <xf numFmtId="0" fontId="4" fillId="0" borderId="10" xfId="7" applyBorder="1" applyAlignment="1">
      <alignment horizontal="center" vertical="center" wrapText="1"/>
    </xf>
    <xf numFmtId="0" fontId="4" fillId="0" borderId="9" xfId="7" applyBorder="1" applyAlignment="1">
      <alignment horizontal="center" vertical="center" wrapText="1"/>
    </xf>
    <xf numFmtId="164" fontId="4" fillId="0" borderId="7" xfId="1" applyNumberFormat="1" applyBorder="1" applyAlignment="1">
      <alignment horizontal="center"/>
    </xf>
    <xf numFmtId="164" fontId="4" fillId="0" borderId="7" xfId="1" applyNumberFormat="1" applyBorder="1" applyAlignment="1">
      <alignment horizontal="left"/>
    </xf>
    <xf numFmtId="164" fontId="6" fillId="0" borderId="7" xfId="1" applyNumberFormat="1" applyFont="1" applyBorder="1" applyAlignment="1">
      <alignment horizontal="left"/>
    </xf>
    <xf numFmtId="0" fontId="4" fillId="0" borderId="8" xfId="7" applyBorder="1" applyAlignment="1">
      <alignment horizontal="center" vertical="center" wrapText="1"/>
    </xf>
    <xf numFmtId="164" fontId="4" fillId="0" borderId="10" xfId="1" applyNumberFormat="1" applyBorder="1" applyAlignment="1">
      <alignment horizontal="left"/>
    </xf>
    <xf numFmtId="164" fontId="4" fillId="0" borderId="9" xfId="1" applyNumberFormat="1" applyBorder="1" applyAlignment="1">
      <alignment horizontal="left"/>
    </xf>
    <xf numFmtId="0" fontId="5" fillId="6" borderId="0" xfId="8" applyFont="1" applyFill="1" applyAlignment="1"/>
    <xf numFmtId="0" fontId="0" fillId="0" borderId="0" xfId="0" applyAlignment="1"/>
    <xf numFmtId="0" fontId="16" fillId="0" borderId="5" xfId="8" applyFont="1" applyBorder="1" applyAlignment="1">
      <alignment wrapText="1"/>
    </xf>
    <xf numFmtId="0" fontId="16" fillId="0" borderId="5" xfId="0" applyFont="1" applyBorder="1" applyAlignment="1">
      <alignment wrapText="1"/>
    </xf>
    <xf numFmtId="0" fontId="16" fillId="0" borderId="3" xfId="8" applyFont="1" applyBorder="1" applyAlignment="1">
      <alignment vertical="center"/>
    </xf>
    <xf numFmtId="0" fontId="0" fillId="0" borderId="3" xfId="0" applyBorder="1" applyAlignment="1">
      <alignment vertical="center"/>
    </xf>
    <xf numFmtId="0" fontId="15" fillId="0" borderId="29" xfId="8" applyFont="1" applyBorder="1" applyAlignment="1">
      <alignment horizontal="center"/>
    </xf>
    <xf numFmtId="0" fontId="16" fillId="0" borderId="5" xfId="8"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right" vertical="top"/>
    </xf>
    <xf numFmtId="0" fontId="0" fillId="0" borderId="4" xfId="0" applyBorder="1" applyAlignment="1">
      <alignment horizontal="right" vertical="top"/>
    </xf>
    <xf numFmtId="0" fontId="0" fillId="0" borderId="6" xfId="0" applyBorder="1" applyAlignment="1">
      <alignment horizontal="right" vertical="top"/>
    </xf>
    <xf numFmtId="0" fontId="0" fillId="0" borderId="7" xfId="0" applyFont="1" applyBorder="1" applyAlignment="1">
      <alignment vertical="top"/>
    </xf>
    <xf numFmtId="0" fontId="0" fillId="0" borderId="7" xfId="0" applyFont="1" applyBorder="1" applyAlignment="1">
      <alignment horizontal="right" vertical="top"/>
    </xf>
    <xf numFmtId="0" fontId="0" fillId="0" borderId="7" xfId="0" applyFont="1" applyBorder="1" applyAlignment="1">
      <alignment vertical="top" wrapText="1"/>
    </xf>
  </cellXfs>
  <cellStyles count="15">
    <cellStyle name="Comma" xfId="1" builtinId="3"/>
    <cellStyle name="Comma 2" xfId="3" xr:uid="{00000000-0005-0000-0000-000001000000}"/>
    <cellStyle name="Comma 2 2" xfId="9" xr:uid="{4F1BB886-62EC-4A27-8811-5646A0DC5071}"/>
    <cellStyle name="Hyperlink" xfId="14" builtinId="8"/>
    <cellStyle name="Input 2" xfId="11" xr:uid="{DB766B98-7656-48B4-815C-E5147604321D}"/>
    <cellStyle name="Normal" xfId="0" builtinId="0"/>
    <cellStyle name="Normal 2" xfId="2" xr:uid="{00000000-0005-0000-0000-000004000000}"/>
    <cellStyle name="Normal 2 2" xfId="8" xr:uid="{A52B1397-3248-49C6-A556-D68768F55E35}"/>
    <cellStyle name="Normal 2 2 2" xfId="12" xr:uid="{72DAB2E1-FC09-46F2-896D-A5A32C236E4D}"/>
    <cellStyle name="Normal 2 3" xfId="7" xr:uid="{00000000-0005-0000-0000-000005000000}"/>
    <cellStyle name="Normal 2 3 2" xfId="13" xr:uid="{A7D5BD34-8EEF-4186-91D7-9482290E6FF1}"/>
    <cellStyle name="Normal 3" xfId="4" xr:uid="{00000000-0005-0000-0000-000006000000}"/>
    <cellStyle name="Normal 3 2" xfId="10" xr:uid="{C4B11C87-F096-4230-BACE-DDFB3E9A180C}"/>
    <cellStyle name="Normal 4" xfId="6" xr:uid="{00000000-0005-0000-0000-000007000000}"/>
    <cellStyle name="Percent" xfId="5" builtinId="5"/>
  </cellStyles>
  <dxfs count="4">
    <dxf>
      <fill>
        <patternFill>
          <bgColor rgb="FF00B050"/>
        </patternFill>
      </fill>
    </dxf>
    <dxf>
      <fill>
        <patternFill>
          <bgColor rgb="FF00B05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A673F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Selected Resources Compared to Commercial Interest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'4_CommercialInterest'!$G$6</c:f>
              <c:strCache>
                <c:ptCount val="1"/>
                <c:pt idx="0">
                  <c:v>Selected by RESOLVE (2019 RSP)</c:v>
                </c:pt>
              </c:strCache>
            </c:strRef>
          </c:tx>
          <c:spPr>
            <a:solidFill>
              <a:schemeClr val="accent1">
                <a:lumMod val="40000"/>
                <a:lumOff val="60000"/>
              </a:schemeClr>
            </a:solidFill>
            <a:ln>
              <a:noFill/>
            </a:ln>
            <a:effectLst/>
          </c:spPr>
          <c:invertIfNegative val="0"/>
          <c:cat>
            <c:strRef>
              <c:f>'4_CommercialInterest'!$F$7:$F$72</c:f>
              <c:strCache>
                <c:ptCount val="66"/>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Riverside_Palm_Springs_Wind</c:v>
                </c:pt>
                <c:pt idx="30">
                  <c:v>Sacramento_River_Solar</c:v>
                </c:pt>
                <c:pt idx="31">
                  <c:v>Sacramento_River_Wind</c:v>
                </c:pt>
                <c:pt idx="32">
                  <c:v>SCADSNV_Solar</c:v>
                </c:pt>
                <c:pt idx="33">
                  <c:v>SCADSNV_Wind</c:v>
                </c:pt>
                <c:pt idx="34">
                  <c:v>Solano_Solar</c:v>
                </c:pt>
                <c:pt idx="35">
                  <c:v>Solano_subzone_Solar</c:v>
                </c:pt>
                <c:pt idx="36">
                  <c:v>Solano_subzone_Wind</c:v>
                </c:pt>
                <c:pt idx="37">
                  <c:v>Solano_Wind</c:v>
                </c:pt>
                <c:pt idx="38">
                  <c:v>Southern_California_Desert_Ex_Solar</c:v>
                </c:pt>
                <c:pt idx="39">
                  <c:v>Southern_California_Desert_Ex_Wind</c:v>
                </c:pt>
                <c:pt idx="40">
                  <c:v>Southern_Nevada_Solar</c:v>
                </c:pt>
                <c:pt idx="41">
                  <c:v>Southern_Nevada_Wind</c:v>
                </c:pt>
                <c:pt idx="42">
                  <c:v>SW_Ext_Tx_Wind</c:v>
                </c:pt>
                <c:pt idx="43">
                  <c:v>Tehachapi_Solar</c:v>
                </c:pt>
                <c:pt idx="44">
                  <c:v>Tehachapi_Ex_Solar</c:v>
                </c:pt>
                <c:pt idx="45">
                  <c:v>Tehachapi_Wind</c:v>
                </c:pt>
                <c:pt idx="46">
                  <c:v>Westlands_Ex_Solar</c:v>
                </c:pt>
                <c:pt idx="47">
                  <c:v>Westlands_Ex_Wind</c:v>
                </c:pt>
                <c:pt idx="48">
                  <c:v>Westlands_Solar</c:v>
                </c:pt>
                <c:pt idx="49">
                  <c:v>Cape_Mendocino_Offshore_Wind</c:v>
                </c:pt>
                <c:pt idx="50">
                  <c:v>Del_Norte_Offshore_Wind</c:v>
                </c:pt>
                <c:pt idx="51">
                  <c:v>Diablo_Canyon_Offshore_Wind_Ext_Tx</c:v>
                </c:pt>
                <c:pt idx="52">
                  <c:v>Diablo_Canyon_Offshore_Wind</c:v>
                </c:pt>
                <c:pt idx="53">
                  <c:v>Humboldt_Bay_Offshore_Wind</c:v>
                </c:pt>
                <c:pt idx="54">
                  <c:v>Morro_Bay_Offshore_Wind</c:v>
                </c:pt>
                <c:pt idx="55">
                  <c:v>Utah_Solar</c:v>
                </c:pt>
                <c:pt idx="56">
                  <c:v>Arizona_Solar</c:v>
                </c:pt>
                <c:pt idx="57">
                  <c:v>New_Mexico_Solar</c:v>
                </c:pt>
                <c:pt idx="58">
                  <c:v>Baja_California_Solar</c:v>
                </c:pt>
                <c:pt idx="59">
                  <c:v>Baja_California_Wind</c:v>
                </c:pt>
                <c:pt idx="60">
                  <c:v>Pacific_Northwest_Wind</c:v>
                </c:pt>
                <c:pt idx="61">
                  <c:v>Idaho_Wind</c:v>
                </c:pt>
                <c:pt idx="62">
                  <c:v>Utah_Wind</c:v>
                </c:pt>
                <c:pt idx="63">
                  <c:v>Wyoming_Wind</c:v>
                </c:pt>
                <c:pt idx="64">
                  <c:v>Arizona_Wind</c:v>
                </c:pt>
                <c:pt idx="65">
                  <c:v>New_Mexico_Wind</c:v>
                </c:pt>
              </c:strCache>
            </c:strRef>
          </c:cat>
          <c:val>
            <c:numRef>
              <c:f>'4_CommercialInterest'!$G$7:$G$72</c:f>
              <c:numCache>
                <c:formatCode>_(* #,##0_);_(* \(#,##0\);_(* "-"??_);_(@_)</c:formatCode>
                <c:ptCount val="66"/>
                <c:pt idx="0">
                  <c:v>0</c:v>
                </c:pt>
                <c:pt idx="1">
                  <c:v>0</c:v>
                </c:pt>
                <c:pt idx="2">
                  <c:v>0</c:v>
                </c:pt>
                <c:pt idx="3">
                  <c:v>0</c:v>
                </c:pt>
                <c:pt idx="4">
                  <c:v>0</c:v>
                </c:pt>
                <c:pt idx="5">
                  <c:v>0</c:v>
                </c:pt>
                <c:pt idx="6">
                  <c:v>0</c:v>
                </c:pt>
                <c:pt idx="7">
                  <c:v>0</c:v>
                </c:pt>
                <c:pt idx="8">
                  <c:v>0</c:v>
                </c:pt>
                <c:pt idx="9">
                  <c:v>287</c:v>
                </c:pt>
                <c:pt idx="10">
                  <c:v>0</c:v>
                </c:pt>
                <c:pt idx="11">
                  <c:v>173</c:v>
                </c:pt>
                <c:pt idx="12">
                  <c:v>0</c:v>
                </c:pt>
                <c:pt idx="13">
                  <c:v>0</c:v>
                </c:pt>
                <c:pt idx="14">
                  <c:v>547.9</c:v>
                </c:pt>
                <c:pt idx="15">
                  <c:v>0</c:v>
                </c:pt>
                <c:pt idx="16">
                  <c:v>0</c:v>
                </c:pt>
                <c:pt idx="17">
                  <c:v>34</c:v>
                </c:pt>
                <c:pt idx="18">
                  <c:v>97</c:v>
                </c:pt>
                <c:pt idx="19">
                  <c:v>241.66000000000003</c:v>
                </c:pt>
                <c:pt idx="20">
                  <c:v>60</c:v>
                </c:pt>
                <c:pt idx="21">
                  <c:v>0</c:v>
                </c:pt>
                <c:pt idx="22">
                  <c:v>0</c:v>
                </c:pt>
                <c:pt idx="23">
                  <c:v>248</c:v>
                </c:pt>
                <c:pt idx="24">
                  <c:v>300</c:v>
                </c:pt>
                <c:pt idx="25">
                  <c:v>0</c:v>
                </c:pt>
                <c:pt idx="26">
                  <c:v>865.9</c:v>
                </c:pt>
                <c:pt idx="27">
                  <c:v>0</c:v>
                </c:pt>
                <c:pt idx="28">
                  <c:v>0</c:v>
                </c:pt>
                <c:pt idx="29">
                  <c:v>0</c:v>
                </c:pt>
                <c:pt idx="30">
                  <c:v>0</c:v>
                </c:pt>
                <c:pt idx="31">
                  <c:v>0</c:v>
                </c:pt>
                <c:pt idx="32">
                  <c:v>330</c:v>
                </c:pt>
                <c:pt idx="33">
                  <c:v>0</c:v>
                </c:pt>
                <c:pt idx="34">
                  <c:v>0</c:v>
                </c:pt>
                <c:pt idx="35">
                  <c:v>0</c:v>
                </c:pt>
                <c:pt idx="36">
                  <c:v>0</c:v>
                </c:pt>
                <c:pt idx="37">
                  <c:v>542</c:v>
                </c:pt>
                <c:pt idx="38">
                  <c:v>862</c:v>
                </c:pt>
                <c:pt idx="39">
                  <c:v>0</c:v>
                </c:pt>
                <c:pt idx="40">
                  <c:v>0</c:v>
                </c:pt>
                <c:pt idx="41">
                  <c:v>0</c:v>
                </c:pt>
                <c:pt idx="42">
                  <c:v>0</c:v>
                </c:pt>
                <c:pt idx="43">
                  <c:v>4202</c:v>
                </c:pt>
                <c:pt idx="44">
                  <c:v>0</c:v>
                </c:pt>
                <c:pt idx="45">
                  <c:v>275</c:v>
                </c:pt>
                <c:pt idx="46">
                  <c:v>1778.57</c:v>
                </c:pt>
                <c:pt idx="47">
                  <c:v>0</c:v>
                </c:pt>
                <c:pt idx="48">
                  <c:v>58.21</c:v>
                </c:pt>
                <c:pt idx="49">
                  <c:v>0</c:v>
                </c:pt>
                <c:pt idx="50">
                  <c:v>0</c:v>
                </c:pt>
                <c:pt idx="51">
                  <c:v>0</c:v>
                </c:pt>
                <c:pt idx="52">
                  <c:v>0</c:v>
                </c:pt>
                <c:pt idx="53">
                  <c:v>0</c:v>
                </c:pt>
                <c:pt idx="54">
                  <c:v>0</c:v>
                </c:pt>
                <c:pt idx="55">
                  <c:v>0</c:v>
                </c:pt>
                <c:pt idx="56">
                  <c:v>2352.08</c:v>
                </c:pt>
                <c:pt idx="57">
                  <c:v>0</c:v>
                </c:pt>
                <c:pt idx="58">
                  <c:v>0</c:v>
                </c:pt>
                <c:pt idx="59">
                  <c:v>600</c:v>
                </c:pt>
                <c:pt idx="60">
                  <c:v>0</c:v>
                </c:pt>
                <c:pt idx="61">
                  <c:v>0</c:v>
                </c:pt>
                <c:pt idx="62">
                  <c:v>0</c:v>
                </c:pt>
                <c:pt idx="63">
                  <c:v>0</c:v>
                </c:pt>
                <c:pt idx="64">
                  <c:v>0</c:v>
                </c:pt>
                <c:pt idx="65">
                  <c:v>606.16999999999996</c:v>
                </c:pt>
              </c:numCache>
            </c:numRef>
          </c:val>
          <c:extLst>
            <c:ext xmlns:c16="http://schemas.microsoft.com/office/drawing/2014/chart" uri="{C3380CC4-5D6E-409C-BE32-E72D297353CC}">
              <c16:uniqueId val="{00000000-DCD2-4F69-99F6-04F61760C998}"/>
            </c:ext>
          </c:extLst>
        </c:ser>
        <c:ser>
          <c:idx val="2"/>
          <c:order val="1"/>
          <c:tx>
            <c:strRef>
              <c:f>'4_CommercialInterest'!$H$6</c:f>
              <c:strCache>
                <c:ptCount val="1"/>
                <c:pt idx="0">
                  <c:v>Selected by RESOLVE (2019 RSP adj)</c:v>
                </c:pt>
              </c:strCache>
            </c:strRef>
          </c:tx>
          <c:spPr>
            <a:solidFill>
              <a:srgbClr val="0070C0"/>
            </a:solidFill>
            <a:ln>
              <a:noFill/>
            </a:ln>
            <a:effectLst/>
          </c:spPr>
          <c:invertIfNegative val="0"/>
          <c:val>
            <c:numRef>
              <c:f>'4_CommercialInterest'!$H$7:$H$72</c:f>
              <c:numCache>
                <c:formatCode>_(* #,##0_);_(* \(#,##0\);_(* "-"??_);_(@_)</c:formatCode>
                <c:ptCount val="66"/>
                <c:pt idx="0">
                  <c:v>0</c:v>
                </c:pt>
                <c:pt idx="1">
                  <c:v>0</c:v>
                </c:pt>
                <c:pt idx="2">
                  <c:v>0</c:v>
                </c:pt>
                <c:pt idx="3">
                  <c:v>0</c:v>
                </c:pt>
                <c:pt idx="4">
                  <c:v>0</c:v>
                </c:pt>
                <c:pt idx="5">
                  <c:v>0</c:v>
                </c:pt>
                <c:pt idx="6">
                  <c:v>0</c:v>
                </c:pt>
                <c:pt idx="7">
                  <c:v>0</c:v>
                </c:pt>
                <c:pt idx="8">
                  <c:v>0</c:v>
                </c:pt>
                <c:pt idx="9">
                  <c:v>287</c:v>
                </c:pt>
                <c:pt idx="10">
                  <c:v>0</c:v>
                </c:pt>
                <c:pt idx="11">
                  <c:v>173</c:v>
                </c:pt>
                <c:pt idx="12">
                  <c:v>0</c:v>
                </c:pt>
                <c:pt idx="13">
                  <c:v>0</c:v>
                </c:pt>
                <c:pt idx="14">
                  <c:v>547.9</c:v>
                </c:pt>
                <c:pt idx="15">
                  <c:v>0</c:v>
                </c:pt>
                <c:pt idx="16">
                  <c:v>0</c:v>
                </c:pt>
                <c:pt idx="17">
                  <c:v>34</c:v>
                </c:pt>
                <c:pt idx="18">
                  <c:v>97</c:v>
                </c:pt>
                <c:pt idx="19">
                  <c:v>241.66000000000003</c:v>
                </c:pt>
                <c:pt idx="20">
                  <c:v>60</c:v>
                </c:pt>
                <c:pt idx="21">
                  <c:v>0</c:v>
                </c:pt>
                <c:pt idx="22">
                  <c:v>0</c:v>
                </c:pt>
                <c:pt idx="23">
                  <c:v>248</c:v>
                </c:pt>
                <c:pt idx="24">
                  <c:v>300</c:v>
                </c:pt>
                <c:pt idx="25">
                  <c:v>0</c:v>
                </c:pt>
                <c:pt idx="26">
                  <c:v>865.9</c:v>
                </c:pt>
                <c:pt idx="27">
                  <c:v>0</c:v>
                </c:pt>
                <c:pt idx="28">
                  <c:v>0</c:v>
                </c:pt>
                <c:pt idx="29">
                  <c:v>0</c:v>
                </c:pt>
                <c:pt idx="30">
                  <c:v>0</c:v>
                </c:pt>
                <c:pt idx="31">
                  <c:v>0</c:v>
                </c:pt>
                <c:pt idx="32">
                  <c:v>330</c:v>
                </c:pt>
                <c:pt idx="33">
                  <c:v>0</c:v>
                </c:pt>
                <c:pt idx="34">
                  <c:v>0</c:v>
                </c:pt>
                <c:pt idx="35">
                  <c:v>0</c:v>
                </c:pt>
                <c:pt idx="36">
                  <c:v>0</c:v>
                </c:pt>
                <c:pt idx="37">
                  <c:v>542</c:v>
                </c:pt>
                <c:pt idx="38">
                  <c:v>0</c:v>
                </c:pt>
                <c:pt idx="39">
                  <c:v>0</c:v>
                </c:pt>
                <c:pt idx="40">
                  <c:v>862</c:v>
                </c:pt>
                <c:pt idx="41">
                  <c:v>0</c:v>
                </c:pt>
                <c:pt idx="42">
                  <c:v>0</c:v>
                </c:pt>
                <c:pt idx="43">
                  <c:v>4202</c:v>
                </c:pt>
                <c:pt idx="44">
                  <c:v>0</c:v>
                </c:pt>
                <c:pt idx="45">
                  <c:v>275</c:v>
                </c:pt>
                <c:pt idx="46">
                  <c:v>-0.43000000000006366</c:v>
                </c:pt>
                <c:pt idx="47">
                  <c:v>0</c:v>
                </c:pt>
                <c:pt idx="48">
                  <c:v>1836.21</c:v>
                </c:pt>
                <c:pt idx="49">
                  <c:v>0</c:v>
                </c:pt>
                <c:pt idx="50">
                  <c:v>0</c:v>
                </c:pt>
                <c:pt idx="51">
                  <c:v>0</c:v>
                </c:pt>
                <c:pt idx="52">
                  <c:v>0</c:v>
                </c:pt>
                <c:pt idx="53">
                  <c:v>0</c:v>
                </c:pt>
                <c:pt idx="54">
                  <c:v>0</c:v>
                </c:pt>
                <c:pt idx="55">
                  <c:v>0</c:v>
                </c:pt>
                <c:pt idx="56">
                  <c:v>2352.08</c:v>
                </c:pt>
                <c:pt idx="57">
                  <c:v>0</c:v>
                </c:pt>
                <c:pt idx="58">
                  <c:v>0</c:v>
                </c:pt>
                <c:pt idx="59">
                  <c:v>600</c:v>
                </c:pt>
                <c:pt idx="60">
                  <c:v>0</c:v>
                </c:pt>
                <c:pt idx="61">
                  <c:v>0</c:v>
                </c:pt>
                <c:pt idx="62">
                  <c:v>0</c:v>
                </c:pt>
                <c:pt idx="63">
                  <c:v>0</c:v>
                </c:pt>
                <c:pt idx="64">
                  <c:v>0</c:v>
                </c:pt>
                <c:pt idx="65">
                  <c:v>606.16999999999996</c:v>
                </c:pt>
              </c:numCache>
            </c:numRef>
          </c:val>
          <c:extLst>
            <c:ext xmlns:c16="http://schemas.microsoft.com/office/drawing/2014/chart" uri="{C3380CC4-5D6E-409C-BE32-E72D297353CC}">
              <c16:uniqueId val="{00000000-E885-45BE-895F-B185289B3EED}"/>
            </c:ext>
          </c:extLst>
        </c:ser>
        <c:ser>
          <c:idx val="1"/>
          <c:order val="2"/>
          <c:tx>
            <c:strRef>
              <c:f>'4_CommercialInterest'!$L$6</c:f>
              <c:strCache>
                <c:ptCount val="1"/>
                <c:pt idx="0">
                  <c:v> Commercial Interest, Summarized by RESOLVE Resource </c:v>
                </c:pt>
              </c:strCache>
            </c:strRef>
          </c:tx>
          <c:spPr>
            <a:solidFill>
              <a:schemeClr val="accent2"/>
            </a:solidFill>
            <a:ln>
              <a:noFill/>
            </a:ln>
            <a:effectLst/>
          </c:spPr>
          <c:invertIfNegative val="0"/>
          <c:cat>
            <c:strRef>
              <c:f>'4_CommercialInterest'!$F$7:$F$72</c:f>
              <c:strCache>
                <c:ptCount val="66"/>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Riverside_Palm_Springs_Wind</c:v>
                </c:pt>
                <c:pt idx="30">
                  <c:v>Sacramento_River_Solar</c:v>
                </c:pt>
                <c:pt idx="31">
                  <c:v>Sacramento_River_Wind</c:v>
                </c:pt>
                <c:pt idx="32">
                  <c:v>SCADSNV_Solar</c:v>
                </c:pt>
                <c:pt idx="33">
                  <c:v>SCADSNV_Wind</c:v>
                </c:pt>
                <c:pt idx="34">
                  <c:v>Solano_Solar</c:v>
                </c:pt>
                <c:pt idx="35">
                  <c:v>Solano_subzone_Solar</c:v>
                </c:pt>
                <c:pt idx="36">
                  <c:v>Solano_subzone_Wind</c:v>
                </c:pt>
                <c:pt idx="37">
                  <c:v>Solano_Wind</c:v>
                </c:pt>
                <c:pt idx="38">
                  <c:v>Southern_California_Desert_Ex_Solar</c:v>
                </c:pt>
                <c:pt idx="39">
                  <c:v>Southern_California_Desert_Ex_Wind</c:v>
                </c:pt>
                <c:pt idx="40">
                  <c:v>Southern_Nevada_Solar</c:v>
                </c:pt>
                <c:pt idx="41">
                  <c:v>Southern_Nevada_Wind</c:v>
                </c:pt>
                <c:pt idx="42">
                  <c:v>SW_Ext_Tx_Wind</c:v>
                </c:pt>
                <c:pt idx="43">
                  <c:v>Tehachapi_Solar</c:v>
                </c:pt>
                <c:pt idx="44">
                  <c:v>Tehachapi_Ex_Solar</c:v>
                </c:pt>
                <c:pt idx="45">
                  <c:v>Tehachapi_Wind</c:v>
                </c:pt>
                <c:pt idx="46">
                  <c:v>Westlands_Ex_Solar</c:v>
                </c:pt>
                <c:pt idx="47">
                  <c:v>Westlands_Ex_Wind</c:v>
                </c:pt>
                <c:pt idx="48">
                  <c:v>Westlands_Solar</c:v>
                </c:pt>
                <c:pt idx="49">
                  <c:v>Cape_Mendocino_Offshore_Wind</c:v>
                </c:pt>
                <c:pt idx="50">
                  <c:v>Del_Norte_Offshore_Wind</c:v>
                </c:pt>
                <c:pt idx="51">
                  <c:v>Diablo_Canyon_Offshore_Wind_Ext_Tx</c:v>
                </c:pt>
                <c:pt idx="52">
                  <c:v>Diablo_Canyon_Offshore_Wind</c:v>
                </c:pt>
                <c:pt idx="53">
                  <c:v>Humboldt_Bay_Offshore_Wind</c:v>
                </c:pt>
                <c:pt idx="54">
                  <c:v>Morro_Bay_Offshore_Wind</c:v>
                </c:pt>
                <c:pt idx="55">
                  <c:v>Utah_Solar</c:v>
                </c:pt>
                <c:pt idx="56">
                  <c:v>Arizona_Solar</c:v>
                </c:pt>
                <c:pt idx="57">
                  <c:v>New_Mexico_Solar</c:v>
                </c:pt>
                <c:pt idx="58">
                  <c:v>Baja_California_Solar</c:v>
                </c:pt>
                <c:pt idx="59">
                  <c:v>Baja_California_Wind</c:v>
                </c:pt>
                <c:pt idx="60">
                  <c:v>Pacific_Northwest_Wind</c:v>
                </c:pt>
                <c:pt idx="61">
                  <c:v>Idaho_Wind</c:v>
                </c:pt>
                <c:pt idx="62">
                  <c:v>Utah_Wind</c:v>
                </c:pt>
                <c:pt idx="63">
                  <c:v>Wyoming_Wind</c:v>
                </c:pt>
                <c:pt idx="64">
                  <c:v>Arizona_Wind</c:v>
                </c:pt>
                <c:pt idx="65">
                  <c:v>New_Mexico_Wind</c:v>
                </c:pt>
              </c:strCache>
            </c:strRef>
          </c:cat>
          <c:val>
            <c:numRef>
              <c:f>'4_CommercialInterest'!$L$7:$L$72</c:f>
              <c:numCache>
                <c:formatCode>_(* #,##0_);_(* \(#,##0\);_(* "-"??_);_(@_)</c:formatCode>
                <c:ptCount val="66"/>
                <c:pt idx="0">
                  <c:v>0</c:v>
                </c:pt>
                <c:pt idx="1">
                  <c:v>100</c:v>
                </c:pt>
                <c:pt idx="2">
                  <c:v>0</c:v>
                </c:pt>
                <c:pt idx="3">
                  <c:v>0</c:v>
                </c:pt>
                <c:pt idx="4">
                  <c:v>0</c:v>
                </c:pt>
                <c:pt idx="5">
                  <c:v>0</c:v>
                </c:pt>
                <c:pt idx="6">
                  <c:v>0</c:v>
                </c:pt>
                <c:pt idx="7">
                  <c:v>0</c:v>
                </c:pt>
                <c:pt idx="8">
                  <c:v>0</c:v>
                </c:pt>
                <c:pt idx="9">
                  <c:v>0</c:v>
                </c:pt>
                <c:pt idx="10">
                  <c:v>298.35000000000002</c:v>
                </c:pt>
                <c:pt idx="11">
                  <c:v>0</c:v>
                </c:pt>
                <c:pt idx="12">
                  <c:v>0</c:v>
                </c:pt>
                <c:pt idx="13">
                  <c:v>0</c:v>
                </c:pt>
                <c:pt idx="14">
                  <c:v>3050.58</c:v>
                </c:pt>
                <c:pt idx="15">
                  <c:v>1715.3</c:v>
                </c:pt>
                <c:pt idx="16">
                  <c:v>0</c:v>
                </c:pt>
                <c:pt idx="17">
                  <c:v>0</c:v>
                </c:pt>
                <c:pt idx="18">
                  <c:v>824.26</c:v>
                </c:pt>
                <c:pt idx="19">
                  <c:v>1898.1960000000001</c:v>
                </c:pt>
                <c:pt idx="20">
                  <c:v>1030.2</c:v>
                </c:pt>
                <c:pt idx="21">
                  <c:v>0</c:v>
                </c:pt>
                <c:pt idx="22">
                  <c:v>0</c:v>
                </c:pt>
                <c:pt idx="23">
                  <c:v>300</c:v>
                </c:pt>
                <c:pt idx="24">
                  <c:v>210.88</c:v>
                </c:pt>
                <c:pt idx="25">
                  <c:v>20.6</c:v>
                </c:pt>
                <c:pt idx="26">
                  <c:v>1774</c:v>
                </c:pt>
                <c:pt idx="27">
                  <c:v>0</c:v>
                </c:pt>
                <c:pt idx="28">
                  <c:v>2182</c:v>
                </c:pt>
                <c:pt idx="29">
                  <c:v>0</c:v>
                </c:pt>
                <c:pt idx="30">
                  <c:v>12</c:v>
                </c:pt>
                <c:pt idx="31">
                  <c:v>0</c:v>
                </c:pt>
                <c:pt idx="32">
                  <c:v>2000.104</c:v>
                </c:pt>
                <c:pt idx="33">
                  <c:v>310</c:v>
                </c:pt>
                <c:pt idx="34">
                  <c:v>431.4</c:v>
                </c:pt>
                <c:pt idx="35">
                  <c:v>0</c:v>
                </c:pt>
                <c:pt idx="36">
                  <c:v>0</c:v>
                </c:pt>
                <c:pt idx="37">
                  <c:v>433.70400000000001</c:v>
                </c:pt>
                <c:pt idx="38">
                  <c:v>0</c:v>
                </c:pt>
                <c:pt idx="39">
                  <c:v>0</c:v>
                </c:pt>
                <c:pt idx="40">
                  <c:v>2000.104</c:v>
                </c:pt>
                <c:pt idx="41">
                  <c:v>0</c:v>
                </c:pt>
                <c:pt idx="42">
                  <c:v>0</c:v>
                </c:pt>
                <c:pt idx="43">
                  <c:v>4697.9115600000005</c:v>
                </c:pt>
                <c:pt idx="44">
                  <c:v>0</c:v>
                </c:pt>
                <c:pt idx="45">
                  <c:v>728.66000000000008</c:v>
                </c:pt>
                <c:pt idx="46">
                  <c:v>604.23900000000003</c:v>
                </c:pt>
                <c:pt idx="47">
                  <c:v>1568</c:v>
                </c:pt>
                <c:pt idx="48">
                  <c:v>5245.9970000000003</c:v>
                </c:pt>
                <c:pt idx="49">
                  <c:v>0</c:v>
                </c:pt>
                <c:pt idx="50">
                  <c:v>0</c:v>
                </c:pt>
                <c:pt idx="51">
                  <c:v>0</c:v>
                </c:pt>
                <c:pt idx="52">
                  <c:v>0</c:v>
                </c:pt>
                <c:pt idx="53">
                  <c:v>0</c:v>
                </c:pt>
                <c:pt idx="54">
                  <c:v>0</c:v>
                </c:pt>
                <c:pt idx="55">
                  <c:v>0</c:v>
                </c:pt>
                <c:pt idx="56">
                  <c:v>2595</c:v>
                </c:pt>
                <c:pt idx="57">
                  <c:v>0</c:v>
                </c:pt>
                <c:pt idx="58">
                  <c:v>0</c:v>
                </c:pt>
                <c:pt idx="59">
                  <c:v>556</c:v>
                </c:pt>
                <c:pt idx="60">
                  <c:v>0</c:v>
                </c:pt>
                <c:pt idx="61">
                  <c:v>0</c:v>
                </c:pt>
                <c:pt idx="62">
                  <c:v>0</c:v>
                </c:pt>
                <c:pt idx="63">
                  <c:v>0</c:v>
                </c:pt>
                <c:pt idx="64">
                  <c:v>0</c:v>
                </c:pt>
                <c:pt idx="65">
                  <c:v>0</c:v>
                </c:pt>
              </c:numCache>
            </c:numRef>
          </c:val>
          <c:extLst>
            <c:ext xmlns:c16="http://schemas.microsoft.com/office/drawing/2014/chart" uri="{C3380CC4-5D6E-409C-BE32-E72D297353CC}">
              <c16:uniqueId val="{00000001-DCD2-4F69-99F6-04F61760C998}"/>
            </c:ext>
          </c:extLst>
        </c:ser>
        <c:dLbls>
          <c:showLegendKey val="0"/>
          <c:showVal val="0"/>
          <c:showCatName val="0"/>
          <c:showSerName val="0"/>
          <c:showPercent val="0"/>
          <c:showBubbleSize val="0"/>
        </c:dLbls>
        <c:gapWidth val="219"/>
        <c:overlap val="-27"/>
        <c:axId val="1442476655"/>
        <c:axId val="1437674383"/>
      </c:barChart>
      <c:catAx>
        <c:axId val="144247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74383"/>
        <c:crosses val="autoZero"/>
        <c:auto val="1"/>
        <c:lblAlgn val="ctr"/>
        <c:lblOffset val="100"/>
        <c:tickLblSkip val="1"/>
        <c:noMultiLvlLbl val="0"/>
      </c:catAx>
      <c:valAx>
        <c:axId val="143767438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47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Comparison to Prior Year</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'5b_ComparToPrevYr'!$B$5</c:f>
              <c:strCache>
                <c:ptCount val="1"/>
                <c:pt idx="0">
                  <c:v> 2018 PSP </c:v>
                </c:pt>
              </c:strCache>
            </c:strRef>
          </c:tx>
          <c:spPr>
            <a:solidFill>
              <a:srgbClr val="92D050"/>
            </a:solidFill>
            <a:ln>
              <a:noFill/>
            </a:ln>
            <a:effectLst/>
          </c:spPr>
          <c:invertIfNegative val="0"/>
          <c:cat>
            <c:strRef>
              <c:f>'5b_ComparToPrevYr'!$A$6:$A$70</c:f>
              <c:strCache>
                <c:ptCount val="65"/>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Sacramento_River_Solar</c:v>
                </c:pt>
                <c:pt idx="30">
                  <c:v>Sacramento_River_Wind</c:v>
                </c:pt>
                <c:pt idx="31">
                  <c:v>SCADSNV_Solar</c:v>
                </c:pt>
                <c:pt idx="32">
                  <c:v>SCADSNV_Wind</c:v>
                </c:pt>
                <c:pt idx="33">
                  <c:v>Solano_Solar</c:v>
                </c:pt>
                <c:pt idx="34">
                  <c:v>Solano_subzone_Solar</c:v>
                </c:pt>
                <c:pt idx="35">
                  <c:v>Solano_subzone_Wind</c:v>
                </c:pt>
                <c:pt idx="36">
                  <c:v>Solano_Wind</c:v>
                </c:pt>
                <c:pt idx="37">
                  <c:v>Southern_California_Desert_Ex_Solar</c:v>
                </c:pt>
                <c:pt idx="38">
                  <c:v>Southern_California_Desert_Ex_Wind</c:v>
                </c:pt>
                <c:pt idx="39">
                  <c:v>Southern_Nevada_Solar</c:v>
                </c:pt>
                <c:pt idx="40">
                  <c:v>Southern_Nevada_Wind</c:v>
                </c:pt>
                <c:pt idx="41">
                  <c:v>SW_Ext_Tx_Wind</c:v>
                </c:pt>
                <c:pt idx="42">
                  <c:v>Tehachapi_Solar</c:v>
                </c:pt>
                <c:pt idx="43">
                  <c:v>Tehachapi_Ex_Solar</c:v>
                </c:pt>
                <c:pt idx="44">
                  <c:v>Tehachapi_Wind</c:v>
                </c:pt>
                <c:pt idx="45">
                  <c:v>Westlands_Ex_Solar</c:v>
                </c:pt>
                <c:pt idx="46">
                  <c:v>Westlands_Ex_Wind</c:v>
                </c:pt>
                <c:pt idx="47">
                  <c:v>Westlands_Solar</c:v>
                </c:pt>
                <c:pt idx="48">
                  <c:v>Cape_Mendocino_Offshore_Wind</c:v>
                </c:pt>
                <c:pt idx="49">
                  <c:v>Del_Norte_Offshore_Wind</c:v>
                </c:pt>
                <c:pt idx="50">
                  <c:v>Diablo_Canyon_Offshore_Wind_Ext_Tx</c:v>
                </c:pt>
                <c:pt idx="51">
                  <c:v>Diablo_Canyon_Offshore_Wind</c:v>
                </c:pt>
                <c:pt idx="52">
                  <c:v>Humboldt_Bay_Offshore_Wind</c:v>
                </c:pt>
                <c:pt idx="53">
                  <c:v>Morro_Bay_Offshore_Wind</c:v>
                </c:pt>
                <c:pt idx="54">
                  <c:v>Utah_Solar</c:v>
                </c:pt>
                <c:pt idx="55">
                  <c:v>Arizona_Solar</c:v>
                </c:pt>
                <c:pt idx="56">
                  <c:v>New_Mexico_Solar</c:v>
                </c:pt>
                <c:pt idx="57">
                  <c:v>Baja_California_Solar</c:v>
                </c:pt>
                <c:pt idx="58">
                  <c:v>Baja_California_Wind</c:v>
                </c:pt>
                <c:pt idx="59">
                  <c:v>Pacific_Northwest_Wind</c:v>
                </c:pt>
                <c:pt idx="60">
                  <c:v>Idaho_Wind</c:v>
                </c:pt>
                <c:pt idx="61">
                  <c:v>Utah_Wind</c:v>
                </c:pt>
                <c:pt idx="62">
                  <c:v>Wyoming_Wind</c:v>
                </c:pt>
                <c:pt idx="63">
                  <c:v>Arizona_Wind</c:v>
                </c:pt>
                <c:pt idx="64">
                  <c:v>New_Mexico_Wind</c:v>
                </c:pt>
              </c:strCache>
            </c:strRef>
          </c:cat>
          <c:val>
            <c:numRef>
              <c:f>'5b_ComparToPrevYr'!$B$6:$B$70</c:f>
              <c:numCache>
                <c:formatCode>_(* #,##0_);_(* \(#,##0\);_(* "-"??_);_(@_)</c:formatCode>
                <c:ptCount val="65"/>
                <c:pt idx="0">
                  <c:v>0</c:v>
                </c:pt>
                <c:pt idx="1">
                  <c:v>1256</c:v>
                </c:pt>
                <c:pt idx="2">
                  <c:v>0</c:v>
                </c:pt>
                <c:pt idx="3">
                  <c:v>0</c:v>
                </c:pt>
                <c:pt idx="4">
                  <c:v>0</c:v>
                </c:pt>
                <c:pt idx="5">
                  <c:v>0</c:v>
                </c:pt>
                <c:pt idx="6">
                  <c:v>0</c:v>
                </c:pt>
                <c:pt idx="7">
                  <c:v>0</c:v>
                </c:pt>
                <c:pt idx="8">
                  <c:v>0</c:v>
                </c:pt>
                <c:pt idx="9">
                  <c:v>160</c:v>
                </c:pt>
                <c:pt idx="10">
                  <c:v>0</c:v>
                </c:pt>
                <c:pt idx="11">
                  <c:v>146</c:v>
                </c:pt>
                <c:pt idx="12">
                  <c:v>0</c:v>
                </c:pt>
                <c:pt idx="13">
                  <c:v>0</c:v>
                </c:pt>
                <c:pt idx="14">
                  <c:v>0</c:v>
                </c:pt>
                <c:pt idx="15">
                  <c:v>0</c:v>
                </c:pt>
                <c:pt idx="16">
                  <c:v>0</c:v>
                </c:pt>
                <c:pt idx="17">
                  <c:v>0</c:v>
                </c:pt>
                <c:pt idx="18">
                  <c:v>554</c:v>
                </c:pt>
                <c:pt idx="19">
                  <c:v>0</c:v>
                </c:pt>
                <c:pt idx="20">
                  <c:v>0</c:v>
                </c:pt>
                <c:pt idx="21">
                  <c:v>0</c:v>
                </c:pt>
                <c:pt idx="22">
                  <c:v>0</c:v>
                </c:pt>
                <c:pt idx="23">
                  <c:v>0</c:v>
                </c:pt>
                <c:pt idx="24">
                  <c:v>0</c:v>
                </c:pt>
                <c:pt idx="25">
                  <c:v>0</c:v>
                </c:pt>
                <c:pt idx="26">
                  <c:v>0</c:v>
                </c:pt>
                <c:pt idx="27">
                  <c:v>0</c:v>
                </c:pt>
                <c:pt idx="28">
                  <c:v>1622</c:v>
                </c:pt>
                <c:pt idx="29">
                  <c:v>0</c:v>
                </c:pt>
                <c:pt idx="30">
                  <c:v>0</c:v>
                </c:pt>
                <c:pt idx="31">
                  <c:v>0</c:v>
                </c:pt>
                <c:pt idx="32">
                  <c:v>0</c:v>
                </c:pt>
                <c:pt idx="33">
                  <c:v>0</c:v>
                </c:pt>
                <c:pt idx="34">
                  <c:v>0</c:v>
                </c:pt>
                <c:pt idx="35">
                  <c:v>0</c:v>
                </c:pt>
                <c:pt idx="36">
                  <c:v>644</c:v>
                </c:pt>
                <c:pt idx="37">
                  <c:v>0</c:v>
                </c:pt>
                <c:pt idx="38">
                  <c:v>0</c:v>
                </c:pt>
                <c:pt idx="39">
                  <c:v>3006</c:v>
                </c:pt>
                <c:pt idx="40">
                  <c:v>0</c:v>
                </c:pt>
                <c:pt idx="41">
                  <c:v>0</c:v>
                </c:pt>
                <c:pt idx="42">
                  <c:v>1153</c:v>
                </c:pt>
                <c:pt idx="43">
                  <c:v>0</c:v>
                </c:pt>
                <c:pt idx="44">
                  <c:v>0</c:v>
                </c:pt>
                <c:pt idx="45">
                  <c:v>0</c:v>
                </c:pt>
                <c:pt idx="46">
                  <c:v>0</c:v>
                </c:pt>
                <c:pt idx="47">
                  <c:v>0</c:v>
                </c:pt>
                <c:pt idx="48">
                  <c:v>0</c:v>
                </c:pt>
                <c:pt idx="49">
                  <c:v>0</c:v>
                </c:pt>
                <c:pt idx="50">
                  <c:v>0</c:v>
                </c:pt>
                <c:pt idx="51">
                  <c:v>0</c:v>
                </c:pt>
                <c:pt idx="52">
                  <c:v>0</c:v>
                </c:pt>
                <c:pt idx="53">
                  <c:v>0</c:v>
                </c:pt>
                <c:pt idx="54">
                  <c:v>0</c:v>
                </c:pt>
                <c:pt idx="55">
                  <c:v>428</c:v>
                </c:pt>
                <c:pt idx="56">
                  <c:v>0</c:v>
                </c:pt>
                <c:pt idx="57">
                  <c:v>0</c:v>
                </c:pt>
                <c:pt idx="58">
                  <c:v>0</c:v>
                </c:pt>
                <c:pt idx="59">
                  <c:v>0</c:v>
                </c:pt>
                <c:pt idx="60">
                  <c:v>0</c:v>
                </c:pt>
                <c:pt idx="61">
                  <c:v>0</c:v>
                </c:pt>
                <c:pt idx="62">
                  <c:v>0</c:v>
                </c:pt>
                <c:pt idx="63">
                  <c:v>0</c:v>
                </c:pt>
                <c:pt idx="64">
                  <c:v>0</c:v>
                </c:pt>
              </c:numCache>
            </c:numRef>
          </c:val>
          <c:extLst>
            <c:ext xmlns:c16="http://schemas.microsoft.com/office/drawing/2014/chart" uri="{C3380CC4-5D6E-409C-BE32-E72D297353CC}">
              <c16:uniqueId val="{00000000-221F-4310-8FCE-033040E3A56B}"/>
            </c:ext>
          </c:extLst>
        </c:ser>
        <c:ser>
          <c:idx val="1"/>
          <c:order val="1"/>
          <c:tx>
            <c:strRef>
              <c:f>'5b_ComparToPrevYr'!$C$5</c:f>
              <c:strCache>
                <c:ptCount val="1"/>
                <c:pt idx="0">
                  <c:v> 2019 RSP </c:v>
                </c:pt>
              </c:strCache>
            </c:strRef>
          </c:tx>
          <c:spPr>
            <a:solidFill>
              <a:srgbClr val="0070C0"/>
            </a:solidFill>
            <a:ln>
              <a:noFill/>
            </a:ln>
            <a:effectLst/>
          </c:spPr>
          <c:invertIfNegative val="0"/>
          <c:cat>
            <c:strRef>
              <c:f>'5b_ComparToPrevYr'!$A$6:$A$70</c:f>
              <c:strCache>
                <c:ptCount val="65"/>
                <c:pt idx="0">
                  <c:v>InState_Biomass</c:v>
                </c:pt>
                <c:pt idx="1">
                  <c:v>Greater_Imperial_Geothermal</c:v>
                </c:pt>
                <c:pt idx="2">
                  <c:v>Inyokern_North_Kramer_Geothermal</c:v>
                </c:pt>
                <c:pt idx="3">
                  <c:v>Northern_California_Ex_Geothermal</c:v>
                </c:pt>
                <c:pt idx="4">
                  <c:v>Pacific_Northwest_Geothermal</c:v>
                </c:pt>
                <c:pt idx="5">
                  <c:v>Riverside_Palm_Springs_Geothermal</c:v>
                </c:pt>
                <c:pt idx="6">
                  <c:v>Solano_Geothermal</c:v>
                </c:pt>
                <c:pt idx="7">
                  <c:v>Southern_Nevada_Geothermal</c:v>
                </c:pt>
                <c:pt idx="8">
                  <c:v>Carrizo_Solar</c:v>
                </c:pt>
                <c:pt idx="9">
                  <c:v>Carrizo_Wind</c:v>
                </c:pt>
                <c:pt idx="10">
                  <c:v>Central_Valley_North_Los_Banos_Solar</c:v>
                </c:pt>
                <c:pt idx="11">
                  <c:v>Central_Valley_North_Los_Banos_Wind</c:v>
                </c:pt>
                <c:pt idx="12">
                  <c:v>Distributed_Solar</c:v>
                </c:pt>
                <c:pt idx="13">
                  <c:v>Distributed_Wind</c:v>
                </c:pt>
                <c:pt idx="14">
                  <c:v>Greater_Imperial_Solar</c:v>
                </c:pt>
                <c:pt idx="15">
                  <c:v>Greater_Imperial_Wind</c:v>
                </c:pt>
                <c:pt idx="16">
                  <c:v>Greater_Kramer_Wind</c:v>
                </c:pt>
                <c:pt idx="17">
                  <c:v>Humboldt_Wind</c:v>
                </c:pt>
                <c:pt idx="18">
                  <c:v>Inyokern_North_Kramer_Solar</c:v>
                </c:pt>
                <c:pt idx="19">
                  <c:v>Kern_Greater_Carrizo_Solar</c:v>
                </c:pt>
                <c:pt idx="20">
                  <c:v>Kern_Greater_Carrizo_Wind</c:v>
                </c:pt>
                <c:pt idx="21">
                  <c:v>Kramer_Inyokern_Ex_Solar</c:v>
                </c:pt>
                <c:pt idx="22">
                  <c:v>Kramer_Inyokern_Ex_Wind</c:v>
                </c:pt>
                <c:pt idx="23">
                  <c:v>Mountain_Pass_El_Dorado_Solar</c:v>
                </c:pt>
                <c:pt idx="24">
                  <c:v>North_Victor_Solar</c:v>
                </c:pt>
                <c:pt idx="25">
                  <c:v>Northern_California_Ex_Solar</c:v>
                </c:pt>
                <c:pt idx="26">
                  <c:v>Northern_California_Ex_Wind</c:v>
                </c:pt>
                <c:pt idx="27">
                  <c:v>NW_Ext_Tx_Wind</c:v>
                </c:pt>
                <c:pt idx="28">
                  <c:v>Riverside_Palm_Springs_Solar</c:v>
                </c:pt>
                <c:pt idx="29">
                  <c:v>Sacramento_River_Solar</c:v>
                </c:pt>
                <c:pt idx="30">
                  <c:v>Sacramento_River_Wind</c:v>
                </c:pt>
                <c:pt idx="31">
                  <c:v>SCADSNV_Solar</c:v>
                </c:pt>
                <c:pt idx="32">
                  <c:v>SCADSNV_Wind</c:v>
                </c:pt>
                <c:pt idx="33">
                  <c:v>Solano_Solar</c:v>
                </c:pt>
                <c:pt idx="34">
                  <c:v>Solano_subzone_Solar</c:v>
                </c:pt>
                <c:pt idx="35">
                  <c:v>Solano_subzone_Wind</c:v>
                </c:pt>
                <c:pt idx="36">
                  <c:v>Solano_Wind</c:v>
                </c:pt>
                <c:pt idx="37">
                  <c:v>Southern_California_Desert_Ex_Solar</c:v>
                </c:pt>
                <c:pt idx="38">
                  <c:v>Southern_California_Desert_Ex_Wind</c:v>
                </c:pt>
                <c:pt idx="39">
                  <c:v>Southern_Nevada_Solar</c:v>
                </c:pt>
                <c:pt idx="40">
                  <c:v>Southern_Nevada_Wind</c:v>
                </c:pt>
                <c:pt idx="41">
                  <c:v>SW_Ext_Tx_Wind</c:v>
                </c:pt>
                <c:pt idx="42">
                  <c:v>Tehachapi_Solar</c:v>
                </c:pt>
                <c:pt idx="43">
                  <c:v>Tehachapi_Ex_Solar</c:v>
                </c:pt>
                <c:pt idx="44">
                  <c:v>Tehachapi_Wind</c:v>
                </c:pt>
                <c:pt idx="45">
                  <c:v>Westlands_Ex_Solar</c:v>
                </c:pt>
                <c:pt idx="46">
                  <c:v>Westlands_Ex_Wind</c:v>
                </c:pt>
                <c:pt idx="47">
                  <c:v>Westlands_Solar</c:v>
                </c:pt>
                <c:pt idx="48">
                  <c:v>Cape_Mendocino_Offshore_Wind</c:v>
                </c:pt>
                <c:pt idx="49">
                  <c:v>Del_Norte_Offshore_Wind</c:v>
                </c:pt>
                <c:pt idx="50">
                  <c:v>Diablo_Canyon_Offshore_Wind_Ext_Tx</c:v>
                </c:pt>
                <c:pt idx="51">
                  <c:v>Diablo_Canyon_Offshore_Wind</c:v>
                </c:pt>
                <c:pt idx="52">
                  <c:v>Humboldt_Bay_Offshore_Wind</c:v>
                </c:pt>
                <c:pt idx="53">
                  <c:v>Morro_Bay_Offshore_Wind</c:v>
                </c:pt>
                <c:pt idx="54">
                  <c:v>Utah_Solar</c:v>
                </c:pt>
                <c:pt idx="55">
                  <c:v>Arizona_Solar</c:v>
                </c:pt>
                <c:pt idx="56">
                  <c:v>New_Mexico_Solar</c:v>
                </c:pt>
                <c:pt idx="57">
                  <c:v>Baja_California_Solar</c:v>
                </c:pt>
                <c:pt idx="58">
                  <c:v>Baja_California_Wind</c:v>
                </c:pt>
                <c:pt idx="59">
                  <c:v>Pacific_Northwest_Wind</c:v>
                </c:pt>
                <c:pt idx="60">
                  <c:v>Idaho_Wind</c:v>
                </c:pt>
                <c:pt idx="61">
                  <c:v>Utah_Wind</c:v>
                </c:pt>
                <c:pt idx="62">
                  <c:v>Wyoming_Wind</c:v>
                </c:pt>
                <c:pt idx="63">
                  <c:v>Arizona_Wind</c:v>
                </c:pt>
                <c:pt idx="64">
                  <c:v>New_Mexico_Wind</c:v>
                </c:pt>
              </c:strCache>
            </c:strRef>
          </c:cat>
          <c:val>
            <c:numRef>
              <c:f>'5b_ComparToPrevYr'!$C$6:$C$70</c:f>
              <c:numCache>
                <c:formatCode>_(* #,##0_);_(* \(#,##0\);_(* "-"??_);_(@_)</c:formatCode>
                <c:ptCount val="65"/>
                <c:pt idx="0">
                  <c:v>0</c:v>
                </c:pt>
                <c:pt idx="1">
                  <c:v>0</c:v>
                </c:pt>
                <c:pt idx="2">
                  <c:v>0</c:v>
                </c:pt>
                <c:pt idx="3">
                  <c:v>0</c:v>
                </c:pt>
                <c:pt idx="4">
                  <c:v>0</c:v>
                </c:pt>
                <c:pt idx="5">
                  <c:v>0</c:v>
                </c:pt>
                <c:pt idx="6">
                  <c:v>0</c:v>
                </c:pt>
                <c:pt idx="7">
                  <c:v>0</c:v>
                </c:pt>
                <c:pt idx="8">
                  <c:v>0</c:v>
                </c:pt>
                <c:pt idx="9">
                  <c:v>287</c:v>
                </c:pt>
                <c:pt idx="10">
                  <c:v>0</c:v>
                </c:pt>
                <c:pt idx="11">
                  <c:v>173</c:v>
                </c:pt>
                <c:pt idx="12">
                  <c:v>0</c:v>
                </c:pt>
                <c:pt idx="13">
                  <c:v>0</c:v>
                </c:pt>
                <c:pt idx="14">
                  <c:v>547.9</c:v>
                </c:pt>
                <c:pt idx="15">
                  <c:v>0</c:v>
                </c:pt>
                <c:pt idx="16">
                  <c:v>0</c:v>
                </c:pt>
                <c:pt idx="17">
                  <c:v>34</c:v>
                </c:pt>
                <c:pt idx="18">
                  <c:v>97</c:v>
                </c:pt>
                <c:pt idx="19">
                  <c:v>241.66000000000003</c:v>
                </c:pt>
                <c:pt idx="20">
                  <c:v>60</c:v>
                </c:pt>
                <c:pt idx="21">
                  <c:v>0</c:v>
                </c:pt>
                <c:pt idx="22">
                  <c:v>0</c:v>
                </c:pt>
                <c:pt idx="23">
                  <c:v>248</c:v>
                </c:pt>
                <c:pt idx="24">
                  <c:v>300</c:v>
                </c:pt>
                <c:pt idx="25">
                  <c:v>0</c:v>
                </c:pt>
                <c:pt idx="26">
                  <c:v>865.9</c:v>
                </c:pt>
                <c:pt idx="27">
                  <c:v>0</c:v>
                </c:pt>
                <c:pt idx="28">
                  <c:v>0</c:v>
                </c:pt>
                <c:pt idx="29">
                  <c:v>0</c:v>
                </c:pt>
                <c:pt idx="30">
                  <c:v>0</c:v>
                </c:pt>
                <c:pt idx="31">
                  <c:v>330</c:v>
                </c:pt>
                <c:pt idx="32">
                  <c:v>0</c:v>
                </c:pt>
                <c:pt idx="33">
                  <c:v>0</c:v>
                </c:pt>
                <c:pt idx="34">
                  <c:v>0</c:v>
                </c:pt>
                <c:pt idx="35">
                  <c:v>0</c:v>
                </c:pt>
                <c:pt idx="36">
                  <c:v>542</c:v>
                </c:pt>
                <c:pt idx="37">
                  <c:v>862</c:v>
                </c:pt>
                <c:pt idx="38">
                  <c:v>0</c:v>
                </c:pt>
                <c:pt idx="39">
                  <c:v>0</c:v>
                </c:pt>
                <c:pt idx="40">
                  <c:v>0</c:v>
                </c:pt>
                <c:pt idx="41">
                  <c:v>0</c:v>
                </c:pt>
                <c:pt idx="42">
                  <c:v>4202</c:v>
                </c:pt>
                <c:pt idx="43">
                  <c:v>0</c:v>
                </c:pt>
                <c:pt idx="44">
                  <c:v>275</c:v>
                </c:pt>
                <c:pt idx="45">
                  <c:v>1778.57</c:v>
                </c:pt>
                <c:pt idx="46">
                  <c:v>0</c:v>
                </c:pt>
                <c:pt idx="47">
                  <c:v>58.21</c:v>
                </c:pt>
                <c:pt idx="48">
                  <c:v>0</c:v>
                </c:pt>
                <c:pt idx="49">
                  <c:v>0</c:v>
                </c:pt>
                <c:pt idx="50">
                  <c:v>0</c:v>
                </c:pt>
                <c:pt idx="51">
                  <c:v>0</c:v>
                </c:pt>
                <c:pt idx="52">
                  <c:v>0</c:v>
                </c:pt>
                <c:pt idx="53">
                  <c:v>0</c:v>
                </c:pt>
                <c:pt idx="54">
                  <c:v>0</c:v>
                </c:pt>
                <c:pt idx="55">
                  <c:v>2352.08</c:v>
                </c:pt>
                <c:pt idx="56">
                  <c:v>0</c:v>
                </c:pt>
                <c:pt idx="57">
                  <c:v>0</c:v>
                </c:pt>
                <c:pt idx="58">
                  <c:v>600</c:v>
                </c:pt>
                <c:pt idx="59">
                  <c:v>0</c:v>
                </c:pt>
                <c:pt idx="60">
                  <c:v>0</c:v>
                </c:pt>
                <c:pt idx="61">
                  <c:v>0</c:v>
                </c:pt>
                <c:pt idx="62">
                  <c:v>0</c:v>
                </c:pt>
                <c:pt idx="63">
                  <c:v>0</c:v>
                </c:pt>
                <c:pt idx="64">
                  <c:v>606.16999999999996</c:v>
                </c:pt>
              </c:numCache>
            </c:numRef>
          </c:val>
          <c:extLst>
            <c:ext xmlns:c16="http://schemas.microsoft.com/office/drawing/2014/chart" uri="{C3380CC4-5D6E-409C-BE32-E72D297353CC}">
              <c16:uniqueId val="{00000001-221F-4310-8FCE-033040E3A56B}"/>
            </c:ext>
          </c:extLst>
        </c:ser>
        <c:ser>
          <c:idx val="2"/>
          <c:order val="2"/>
          <c:tx>
            <c:strRef>
              <c:f>'5b_ComparToPrevYr'!$H$5</c:f>
              <c:strCache>
                <c:ptCount val="1"/>
                <c:pt idx="0">
                  <c:v> 2019 RSP adj </c:v>
                </c:pt>
              </c:strCache>
            </c:strRef>
          </c:tx>
          <c:spPr>
            <a:solidFill>
              <a:schemeClr val="accent3"/>
            </a:solidFill>
            <a:ln>
              <a:noFill/>
            </a:ln>
            <a:effectLst/>
          </c:spPr>
          <c:invertIfNegative val="0"/>
          <c:val>
            <c:numRef>
              <c:f>'5b_ComparToPrevYr'!$H$6:$H$70</c:f>
              <c:numCache>
                <c:formatCode>_(* #,##0_);_(* \(#,##0\);_(* "-"??_);_(@_)</c:formatCode>
                <c:ptCount val="65"/>
                <c:pt idx="0">
                  <c:v>0</c:v>
                </c:pt>
                <c:pt idx="1">
                  <c:v>0</c:v>
                </c:pt>
                <c:pt idx="2">
                  <c:v>0</c:v>
                </c:pt>
                <c:pt idx="3">
                  <c:v>0</c:v>
                </c:pt>
                <c:pt idx="4">
                  <c:v>0</c:v>
                </c:pt>
                <c:pt idx="5">
                  <c:v>0</c:v>
                </c:pt>
                <c:pt idx="6">
                  <c:v>0</c:v>
                </c:pt>
                <c:pt idx="7">
                  <c:v>0</c:v>
                </c:pt>
                <c:pt idx="8">
                  <c:v>0</c:v>
                </c:pt>
                <c:pt idx="9">
                  <c:v>287</c:v>
                </c:pt>
                <c:pt idx="10">
                  <c:v>0</c:v>
                </c:pt>
                <c:pt idx="11">
                  <c:v>173</c:v>
                </c:pt>
                <c:pt idx="12">
                  <c:v>0</c:v>
                </c:pt>
                <c:pt idx="13">
                  <c:v>0</c:v>
                </c:pt>
                <c:pt idx="14">
                  <c:v>547.9</c:v>
                </c:pt>
                <c:pt idx="15">
                  <c:v>0</c:v>
                </c:pt>
                <c:pt idx="16">
                  <c:v>0</c:v>
                </c:pt>
                <c:pt idx="17">
                  <c:v>34</c:v>
                </c:pt>
                <c:pt idx="18">
                  <c:v>97</c:v>
                </c:pt>
                <c:pt idx="19">
                  <c:v>241.66000000000003</c:v>
                </c:pt>
                <c:pt idx="20">
                  <c:v>60</c:v>
                </c:pt>
                <c:pt idx="21">
                  <c:v>0</c:v>
                </c:pt>
                <c:pt idx="22">
                  <c:v>0</c:v>
                </c:pt>
                <c:pt idx="23">
                  <c:v>248</c:v>
                </c:pt>
                <c:pt idx="24">
                  <c:v>300</c:v>
                </c:pt>
                <c:pt idx="25">
                  <c:v>0</c:v>
                </c:pt>
                <c:pt idx="26">
                  <c:v>865.9</c:v>
                </c:pt>
                <c:pt idx="27">
                  <c:v>0</c:v>
                </c:pt>
                <c:pt idx="28">
                  <c:v>0</c:v>
                </c:pt>
                <c:pt idx="29">
                  <c:v>0</c:v>
                </c:pt>
                <c:pt idx="30">
                  <c:v>0</c:v>
                </c:pt>
                <c:pt idx="31">
                  <c:v>330</c:v>
                </c:pt>
                <c:pt idx="32">
                  <c:v>0</c:v>
                </c:pt>
                <c:pt idx="33">
                  <c:v>0</c:v>
                </c:pt>
                <c:pt idx="34">
                  <c:v>0</c:v>
                </c:pt>
                <c:pt idx="35">
                  <c:v>0</c:v>
                </c:pt>
                <c:pt idx="36">
                  <c:v>542</c:v>
                </c:pt>
                <c:pt idx="37">
                  <c:v>0</c:v>
                </c:pt>
                <c:pt idx="38">
                  <c:v>0</c:v>
                </c:pt>
                <c:pt idx="39">
                  <c:v>862</c:v>
                </c:pt>
                <c:pt idx="40">
                  <c:v>0</c:v>
                </c:pt>
                <c:pt idx="41">
                  <c:v>0</c:v>
                </c:pt>
                <c:pt idx="42">
                  <c:v>4202</c:v>
                </c:pt>
                <c:pt idx="43">
                  <c:v>0</c:v>
                </c:pt>
                <c:pt idx="44">
                  <c:v>275</c:v>
                </c:pt>
                <c:pt idx="45">
                  <c:v>-0.43000000000006366</c:v>
                </c:pt>
                <c:pt idx="46">
                  <c:v>0</c:v>
                </c:pt>
                <c:pt idx="47">
                  <c:v>1836.21</c:v>
                </c:pt>
                <c:pt idx="48">
                  <c:v>0</c:v>
                </c:pt>
                <c:pt idx="49">
                  <c:v>0</c:v>
                </c:pt>
                <c:pt idx="50">
                  <c:v>0</c:v>
                </c:pt>
                <c:pt idx="51">
                  <c:v>0</c:v>
                </c:pt>
                <c:pt idx="52">
                  <c:v>0</c:v>
                </c:pt>
                <c:pt idx="53">
                  <c:v>0</c:v>
                </c:pt>
                <c:pt idx="54">
                  <c:v>0</c:v>
                </c:pt>
                <c:pt idx="55">
                  <c:v>2352.08</c:v>
                </c:pt>
                <c:pt idx="56">
                  <c:v>0</c:v>
                </c:pt>
                <c:pt idx="57">
                  <c:v>0</c:v>
                </c:pt>
                <c:pt idx="58">
                  <c:v>600</c:v>
                </c:pt>
                <c:pt idx="59">
                  <c:v>0</c:v>
                </c:pt>
                <c:pt idx="60">
                  <c:v>0</c:v>
                </c:pt>
                <c:pt idx="61">
                  <c:v>0</c:v>
                </c:pt>
                <c:pt idx="62">
                  <c:v>0</c:v>
                </c:pt>
                <c:pt idx="63">
                  <c:v>0</c:v>
                </c:pt>
                <c:pt idx="64">
                  <c:v>606.16999999999996</c:v>
                </c:pt>
              </c:numCache>
            </c:numRef>
          </c:val>
          <c:extLst>
            <c:ext xmlns:c16="http://schemas.microsoft.com/office/drawing/2014/chart" uri="{C3380CC4-5D6E-409C-BE32-E72D297353CC}">
              <c16:uniqueId val="{00000000-36F3-407F-B4A0-40F9D0668667}"/>
            </c:ext>
          </c:extLst>
        </c:ser>
        <c:dLbls>
          <c:showLegendKey val="0"/>
          <c:showVal val="0"/>
          <c:showCatName val="0"/>
          <c:showSerName val="0"/>
          <c:showPercent val="0"/>
          <c:showBubbleSize val="0"/>
        </c:dLbls>
        <c:gapWidth val="219"/>
        <c:overlap val="-27"/>
        <c:axId val="1442476655"/>
        <c:axId val="1437674383"/>
      </c:barChart>
      <c:catAx>
        <c:axId val="1442476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7674383"/>
        <c:crosses val="autoZero"/>
        <c:auto val="1"/>
        <c:lblAlgn val="ctr"/>
        <c:lblOffset val="100"/>
        <c:tickLblSkip val="1"/>
        <c:noMultiLvlLbl val="0"/>
      </c:catAx>
      <c:valAx>
        <c:axId val="143767438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247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250824</xdr:colOff>
      <xdr:row>0</xdr:row>
      <xdr:rowOff>152400</xdr:rowOff>
    </xdr:from>
    <xdr:to>
      <xdr:col>15</xdr:col>
      <xdr:colOff>463550</xdr:colOff>
      <xdr:row>21</xdr:row>
      <xdr:rowOff>38099</xdr:rowOff>
    </xdr:to>
    <xdr:graphicFrame macro="">
      <xdr:nvGraphicFramePr>
        <xdr:cNvPr id="4" name="Chart 3">
          <a:extLst>
            <a:ext uri="{FF2B5EF4-FFF2-40B4-BE49-F238E27FC236}">
              <a16:creationId xmlns:a16="http://schemas.microsoft.com/office/drawing/2014/main" id="{DCD4B153-9D49-422C-BC8D-7AB4D8296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16</xdr:col>
      <xdr:colOff>212726</xdr:colOff>
      <xdr:row>22</xdr:row>
      <xdr:rowOff>73024</xdr:rowOff>
    </xdr:to>
    <xdr:graphicFrame macro="">
      <xdr:nvGraphicFramePr>
        <xdr:cNvPr id="2" name="Chart 1">
          <a:extLst>
            <a:ext uri="{FF2B5EF4-FFF2-40B4-BE49-F238E27FC236}">
              <a16:creationId xmlns:a16="http://schemas.microsoft.com/office/drawing/2014/main" id="{D94C419B-B9A6-4C09-82E2-1A9C35F8B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mily Leslie" id="{A492F4E2-0FD3-458C-8717-82F42CD79720}" userId="Emily Leslie" providerId="None"/>
  <person displayName="Emily Leslie" id="{CCB47EC2-BCDF-41A7-B074-536D3E87FF3A}" userId="ab1a03dafdb1a48b" providerId="Windows Live"/>
  <person displayName="Emily Leslie (Consultant)" id="{F5AC1198-A0F0-404B-A9AD-0CD13C5941B0}" userId="S::emily.leslie@cpuc.ca.gov::efeb9d8e-d835-4da8-8f9f-1b77a3d64101"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elesl\OneDrive\Documents\EnergyReflections\IRP\busbarMapping\_ExZoneReview\PublicQueueReport_2019-12-04_matchedToZones_is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ily Leslie" refreshedDate="43894.488205208334" createdVersion="6" refreshedVersion="6" minRefreshableVersion="3" recordCount="302" xr:uid="{DA1AF0F6-A7E6-4582-92D8-CF800674FB47}">
  <cacheSource type="worksheet">
    <worksheetSource ref="A4:AD306" sheet="Grid GenerationQueue wZones" r:id="rId2"/>
  </cacheSource>
  <cacheFields count="30">
    <cacheField name="Project Name" numFmtId="0">
      <sharedItems/>
    </cacheField>
    <cacheField name="Queue Position" numFmtId="0">
      <sharedItems containsMixedTypes="1" containsNumber="1" containsInteger="1" minValue="32" maxValue="1675"/>
    </cacheField>
    <cacheField name="Interconnection Request_x000a_Receive Date" numFmtId="14">
      <sharedItems containsSemiMixedTypes="0" containsNonDate="0" containsDate="1" containsString="0" minDate="2004-05-12T00:00:00" maxDate="2019-04-17T00:00:00"/>
    </cacheField>
    <cacheField name="Queue Date" numFmtId="14">
      <sharedItems containsSemiMixedTypes="0" containsNonDate="0" containsDate="1" containsString="0" minDate="2004-05-24T07:00:00" maxDate="2019-05-07T07:00:00"/>
    </cacheField>
    <cacheField name="Application Status" numFmtId="0">
      <sharedItems/>
    </cacheField>
    <cacheField name="Study_x000a_Process" numFmtId="0">
      <sharedItems/>
    </cacheField>
    <cacheField name="Type-1" numFmtId="0">
      <sharedItems count="7">
        <s v="Wind Turbine"/>
        <s v="Storage"/>
        <s v="Photovoltaic"/>
        <s v="Steam Turbine"/>
        <s v="Hydro"/>
        <s v="Combined Cycle"/>
        <s v="Gas Turbine"/>
      </sharedItems>
    </cacheField>
    <cacheField name="Type-2" numFmtId="0">
      <sharedItems containsBlank="1"/>
    </cacheField>
    <cacheField name="Fuel-1" numFmtId="0">
      <sharedItems/>
    </cacheField>
    <cacheField name="Fuel-2" numFmtId="0">
      <sharedItems containsBlank="1"/>
    </cacheField>
    <cacheField name="MW-1" numFmtId="0">
      <sharedItems containsSemiMixedTypes="0" containsString="0" containsNumber="1" minValue="0.5" maxValue="1920"/>
    </cacheField>
    <cacheField name="MW-2" numFmtId="0">
      <sharedItems containsString="0" containsBlank="1" containsNumber="1" minValue="5" maxValue="3200"/>
    </cacheField>
    <cacheField name="MW Total" numFmtId="0">
      <sharedItems containsSemiMixedTypes="0" containsString="0" containsNumber="1" minValue="0" maxValue="3200"/>
    </cacheField>
    <cacheField name="Full Capacity, Partial or Energy Only (FC/P/EO)" numFmtId="0">
      <sharedItems/>
    </cacheField>
    <cacheField name="County" numFmtId="0">
      <sharedItems/>
    </cacheField>
    <cacheField name="State" numFmtId="0">
      <sharedItems/>
    </cacheField>
    <cacheField name="Utility" numFmtId="0">
      <sharedItems/>
    </cacheField>
    <cacheField name="Station or Transmission Line" numFmtId="0">
      <sharedItems/>
    </cacheField>
    <cacheField name="Simplified Substation Name " numFmtId="0">
      <sharedItems containsBlank="1"/>
    </cacheField>
    <cacheField name="Index in GIS substation list" numFmtId="0">
      <sharedItems containsMixedTypes="1" containsNumber="1" containsInteger="1" minValue="5" maxValue="3220"/>
    </cacheField>
    <cacheField name="Zone" numFmtId="0">
      <sharedItems containsMixedTypes="1" containsNumber="1" containsInteger="1" minValue="0" maxValue="0" count="26">
        <s v="SCADSNV_Z3_GreaterImperial"/>
        <s v="SPGE_Z4_CentralValleyAndLosBanos"/>
        <s v="Tehachapi"/>
        <n v="0"/>
        <s v="SPGE_Z1_Westlands"/>
        <s v="SCADSNV_Z4_RiversideAndPalmSprings"/>
        <e v="#N/A"/>
        <s v="Norcal_Z3_SacramentoRiver"/>
        <s v="NorCalOutsideTxConstraintZones"/>
        <s v="SPGE_Z2_KernAndGreaterCarrizo"/>
        <s v="SCADSNV_Z5_SCADSNV"/>
        <s v="GreaterImpOutsideTxConstraintZones"/>
        <s v="Norcal_Z4_Solano"/>
        <s v="None"/>
        <s v="Outside"/>
        <s v="GK_Z2_InyokernAndNorthOfKramer"/>
        <s v="GK_Z4_Pisgah"/>
        <s v="Norcal_Z2_Humboldt"/>
        <s v="GK_Z1_GreaterKramer"/>
        <s v="SCADSNV_Z1_EldoradoAndMtnPass"/>
        <s v="TehachapiOutsideTxConstraintZones"/>
        <s v="GK_Z3_NorthOfVictor"/>
        <s v="Norcal_Z4_Solano_subzone"/>
        <s v="SPGE_Z3_Carrizo"/>
        <s v="WestlandsOutsideTxConstraintZones"/>
        <s v="KramerInyoOutsideTxConstraintZones"/>
      </sharedItems>
    </cacheField>
    <cacheField name="Error flag" numFmtId="0">
      <sharedItems containsString="0" containsBlank="1" containsNumber="1" containsInteger="1" minValue="1" maxValue="1"/>
    </cacheField>
    <cacheField name="Correct Tx Zone" numFmtId="0">
      <sharedItems containsBlank="1"/>
    </cacheField>
    <cacheField name="Proposed_x000a_On-line Date_x000a_(as filed with IR)" numFmtId="14">
      <sharedItems containsSemiMixedTypes="0" containsNonDate="0" containsDate="1" containsString="0" minDate="2007-09-01T07:00:00" maxDate="2026-04-01T07:00:00"/>
    </cacheField>
    <cacheField name="Current_x000a_On-line Date" numFmtId="14">
      <sharedItems containsSemiMixedTypes="0" containsNonDate="0" containsDate="1" containsString="0" minDate="2016-12-01T08:00:00" maxDate="2026-04-01T07:00:00"/>
    </cacheField>
    <cacheField name="Feasibility Study or Supplemental Review" numFmtId="0">
      <sharedItems/>
    </cacheField>
    <cacheField name="System Impact Study or _x000a_Phase I Cluster Study" numFmtId="0">
      <sharedItems containsBlank="1"/>
    </cacheField>
    <cacheField name="Facilities Study (FAS) or _x000a_Phase II Cluster Study" numFmtId="0">
      <sharedItems containsBlank="1"/>
    </cacheField>
    <cacheField name="Optional Study_x000a_(OS)" numFmtId="0">
      <sharedItems/>
    </cacheField>
    <cacheField name="Interconnection Agreement _x000a_Stat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2">
  <r>
    <s v="TULE WIND"/>
    <n v="32"/>
    <d v="2004-05-12T00:00:00"/>
    <d v="2004-05-24T07:00:00"/>
    <s v="ACTIVE"/>
    <s v="Serial LGIP"/>
    <x v="0"/>
    <m/>
    <s v="Wind Turbine"/>
    <m/>
    <n v="201"/>
    <m/>
    <n v="193.8"/>
    <s v="Partial Deliverability"/>
    <s v="SAN DIEGO"/>
    <s v="CA"/>
    <s v="SDGE"/>
    <s v="Boulevard East Substation 138kV"/>
    <s v="Boulevard"/>
    <n v="1382"/>
    <x v="0"/>
    <m/>
    <m/>
    <d v="2007-09-01T07:00:00"/>
    <d v="2019-12-31T08:00:00"/>
    <s v="Waived"/>
    <s v="Complete"/>
    <s v="Complete"/>
    <s v="None"/>
    <s v="Executed"/>
  </r>
  <r>
    <s v="LAKE ELSINORE ADVANCED PUMPED STORAGE PROJECT"/>
    <n v="72"/>
    <d v="2005-04-26T00:00:00"/>
    <d v="2005-06-21T07:00:00"/>
    <s v="ACTIVE"/>
    <s v="Serial LGIP"/>
    <x v="1"/>
    <m/>
    <s v="Pumped-Storage hydro"/>
    <m/>
    <n v="500"/>
    <m/>
    <n v="500"/>
    <s v="Full Capacity"/>
    <s v="RIVERSIDE"/>
    <s v="CA"/>
    <s v="SDGE"/>
    <s v="Proposed Lee Lake Substation 500kV"/>
    <s v="Lee"/>
    <n v="1513"/>
    <x v="1"/>
    <n v="1"/>
    <s v="?"/>
    <d v="2008-12-31T08:00:00"/>
    <d v="2021-12-31T08:00:00"/>
    <s v="Waived"/>
    <s v="Complete"/>
    <s v="Re-Study"/>
    <s v="None"/>
    <s v="Executed"/>
  </r>
  <r>
    <s v="AVALON HYBRID"/>
    <n v="84"/>
    <d v="2005-11-22T00:00:00"/>
    <d v="2005-12-01T08:00:00"/>
    <s v="ACTIVE"/>
    <s v="Serial LGIP"/>
    <x v="2"/>
    <m/>
    <s v="Solar"/>
    <m/>
    <n v="100"/>
    <m/>
    <n v="100"/>
    <s v="Full Capacity"/>
    <s v="KERN"/>
    <s v="CA"/>
    <s v="SCE"/>
    <s v="Whirlwind Sub 230kV Bus"/>
    <s v="Whirlwind"/>
    <n v="3054"/>
    <x v="2"/>
    <m/>
    <m/>
    <d v="2009-12-31T08:00:00"/>
    <d v="2019-12-01T08:00:00"/>
    <s v="Waived"/>
    <s v="Complete"/>
    <s v="Complete"/>
    <s v="None"/>
    <s v="Executed"/>
  </r>
  <r>
    <s v="VOYAGER WIND"/>
    <n v="93"/>
    <d v="2006-02-15T00:00:00"/>
    <d v="2006-03-01T08:00:00"/>
    <s v="ACTIVE"/>
    <s v="Serial LGIP"/>
    <x v="0"/>
    <m/>
    <s v="Wind Turbine"/>
    <m/>
    <n v="220"/>
    <m/>
    <n v="220"/>
    <s v="Full Capacity"/>
    <s v="KERN"/>
    <s v="CA"/>
    <s v="SCE"/>
    <s v="Windhub Substation 220kV bus"/>
    <s v="Windhub"/>
    <n v="2978"/>
    <x v="2"/>
    <m/>
    <m/>
    <d v="2008-12-31T08:00:00"/>
    <d v="2019-12-31T08:00:00"/>
    <s v="Waived"/>
    <s v="Complete"/>
    <s v="Complete"/>
    <s v="None"/>
    <s v="Executed"/>
  </r>
  <r>
    <s v="TECATE HYBRID"/>
    <s v="106A"/>
    <d v="2006-05-01T00:00:00"/>
    <d v="2006-06-06T07:00:00"/>
    <s v="ACTIVE"/>
    <s v="Serial LGIP"/>
    <x v="2"/>
    <s v="Storage"/>
    <s v="Solar"/>
    <s v="Battery"/>
    <n v="50"/>
    <n v="50"/>
    <n v="100"/>
    <s v="Full Capacity"/>
    <s v="SAN DIEGO"/>
    <s v="CA"/>
    <s v="SDGE"/>
    <s v="Boulevard East Substation 138kV"/>
    <s v="Boulevard"/>
    <n v="1382"/>
    <x v="0"/>
    <m/>
    <m/>
    <d v="2008-06-30T07:00:00"/>
    <d v="2022-12-31T08:00:00"/>
    <s v="Required"/>
    <s v="Complete"/>
    <s v="Complete"/>
    <s v="None"/>
    <s v="Executed"/>
  </r>
  <r>
    <s v="VOYAGER WIND 2"/>
    <n v="119"/>
    <d v="2006-08-08T00:00:00"/>
    <d v="2006-08-08T07:00:00"/>
    <s v="ACTIVE"/>
    <s v="Serial LGIP"/>
    <x v="0"/>
    <m/>
    <s v="Wind Turbine"/>
    <m/>
    <n v="500"/>
    <m/>
    <n v="500"/>
    <s v="Full Capacity"/>
    <s v="KERN"/>
    <s v="CA"/>
    <s v="SCE"/>
    <s v="Windhub Sub 230kV Bus"/>
    <s v="Windhub"/>
    <n v="2978"/>
    <x v="2"/>
    <m/>
    <m/>
    <d v="2013-12-31T08:00:00"/>
    <d v="2019-12-31T08:00:00"/>
    <s v="Required"/>
    <s v="Complete"/>
    <s v="Complete"/>
    <s v="None"/>
    <s v="Executed"/>
  </r>
  <r>
    <s v="SILVER RIDGE MOUNT SIGNAL"/>
    <n v="124"/>
    <d v="2006-08-22T00:00:00"/>
    <d v="2006-08-22T07:00:00"/>
    <s v="ACTIVE"/>
    <s v="Serial LGIP"/>
    <x v="2"/>
    <m/>
    <s v="Solar"/>
    <m/>
    <n v="600"/>
    <m/>
    <n v="600"/>
    <s v="Full Capacity"/>
    <s v="IMPERIAL"/>
    <s v="CA"/>
    <s v="SDGE"/>
    <s v="Imperial Valley Substation 230kV"/>
    <s v="Imperial"/>
    <n v="491"/>
    <x v="0"/>
    <n v="1"/>
    <s v="Greater Imperial"/>
    <d v="2011-03-01T08:00:00"/>
    <d v="2020-06-01T07:00:00"/>
    <s v="Waived"/>
    <s v="Complete"/>
    <s v="Complete"/>
    <s v="None"/>
    <s v="Executed"/>
  </r>
  <r>
    <s v="SANDSTORM WIND POWER "/>
    <n v="138"/>
    <d v="2006-10-23T00:00:00"/>
    <d v="2006-10-23T07:00:00"/>
    <s v="ACTIVE"/>
    <s v="Serial LGIP"/>
    <x v="0"/>
    <m/>
    <s v="Wind Turbine"/>
    <m/>
    <n v="150"/>
    <m/>
    <n v="150"/>
    <s v="Full Capacity"/>
    <s v="RIVERSIDE"/>
    <s v="CA"/>
    <s v="SCE"/>
    <s v="Devers-Vista #1 230kV"/>
    <s v="Devers"/>
    <n v="1061"/>
    <x v="3"/>
    <m/>
    <m/>
    <d v="2008-12-31T08:00:00"/>
    <d v="2021-12-31T08:00:00"/>
    <s v="Waived"/>
    <s v="Complete"/>
    <s v="Complete"/>
    <s v="None"/>
    <s v="Executed"/>
  </r>
  <r>
    <s v="ENERGIA SIERRA JUAREZ WIND"/>
    <s v="159A"/>
    <d v="2006-12-06T00:00:00"/>
    <d v="2006-12-22T08:00:00"/>
    <s v="ACTIVE"/>
    <s v="Serial LGIP"/>
    <x v="0"/>
    <m/>
    <s v="Wind Turbine"/>
    <m/>
    <n v="256"/>
    <m/>
    <n v="256"/>
    <s v="Full Capacity"/>
    <s v="BAJA CALIFORNIA"/>
    <s v="MX"/>
    <s v="SDGE"/>
    <s v="East County (ECO) Substation 230kV"/>
    <s v="East County"/>
    <n v="3214"/>
    <x v="0"/>
    <m/>
    <m/>
    <d v="2009-06-01T07:00:00"/>
    <d v="2021-01-19T08:00:00"/>
    <s v="Required"/>
    <s v="Complete"/>
    <s v="Complete"/>
    <s v="None"/>
    <s v="Executed"/>
  </r>
  <r>
    <s v="AMERICAN KINGS SOLAR"/>
    <n v="272"/>
    <d v="2007-11-01T00:00:00"/>
    <d v="2007-11-01T07:00:00"/>
    <s v="ACTIVE"/>
    <s v="TC"/>
    <x v="2"/>
    <m/>
    <s v="Solar"/>
    <m/>
    <n v="123"/>
    <m/>
    <n v="123"/>
    <s v="Full Capacity"/>
    <s v="KINGS"/>
    <s v="CA"/>
    <s v="PGAE"/>
    <s v="Henrietta Substation 70kV bus"/>
    <s v="Henrietta"/>
    <n v="461"/>
    <x v="4"/>
    <m/>
    <m/>
    <d v="2012-06-01T07:00:00"/>
    <d v="2020-12-01T08:00:00"/>
    <s v="NA"/>
    <s v="Complete"/>
    <s v="Complete"/>
    <s v="NA"/>
    <s v="Executed"/>
  </r>
  <r>
    <s v="DRACKER SOLAR"/>
    <n v="294"/>
    <d v="2008-01-15T00:00:00"/>
    <d v="2008-01-16T08:00:00"/>
    <s v="ACTIVE"/>
    <s v="TC"/>
    <x v="2"/>
    <m/>
    <s v="Solar"/>
    <m/>
    <n v="485"/>
    <m/>
    <n v="485"/>
    <s v="Full Capacity"/>
    <s v="RIVERSIDE"/>
    <s v="CA"/>
    <s v="SCE"/>
    <s v="Colorado River Substation 500kV"/>
    <s v="Colorado River"/>
    <n v="3171"/>
    <x v="5"/>
    <m/>
    <m/>
    <d v="2012-06-01T07:00:00"/>
    <d v="2020-12-01T08:00:00"/>
    <s v="NA"/>
    <s v="Complete"/>
    <s v="Complete"/>
    <s v="NA"/>
    <s v="Executed"/>
  </r>
  <r>
    <s v="ALMASOL"/>
    <n v="365"/>
    <d v="2008-05-06T00:00:00"/>
    <d v="2008-05-12T07:00:00"/>
    <s v="ACTIVE"/>
    <s v="TC"/>
    <x v="2"/>
    <s v="Storage"/>
    <s v="Solar"/>
    <s v="Battery"/>
    <n v="500"/>
    <n v="250"/>
    <n v="500"/>
    <s v="Full Capacity"/>
    <s v="RIVERSIDE"/>
    <s v="CA"/>
    <s v="SCE"/>
    <s v="Red Bluff Substation 230kV"/>
    <s v="Red Bluff"/>
    <n v="1845"/>
    <x v="5"/>
    <n v="1"/>
    <s v="Riverside East"/>
    <d v="2013-12-28T08:00:00"/>
    <d v="2021-11-30T08:00:00"/>
    <s v="NA"/>
    <s v="Complete"/>
    <s v="Complete"/>
    <s v="NA"/>
    <s v="Executed"/>
  </r>
  <r>
    <s v="SLOTH "/>
    <n v="421"/>
    <d v="2008-05-30T00:00:00"/>
    <d v="2008-05-30T07:00:00"/>
    <s v="ACTIVE"/>
    <s v="TC"/>
    <x v="3"/>
    <m/>
    <s v="Solar"/>
    <m/>
    <n v="49.5"/>
    <m/>
    <n v="49.5"/>
    <s v="Full Capacity"/>
    <s v="RIVERSIDE"/>
    <s v="CA"/>
    <s v="SCE"/>
    <s v="Red Bluff Substation 220kV"/>
    <s v="Red Bluff"/>
    <n v="1845"/>
    <x v="5"/>
    <n v="1"/>
    <s v="Riverside East"/>
    <d v="2012-02-01T08:00:00"/>
    <d v="2021-12-31T08:00:00"/>
    <s v="NA"/>
    <s v="Complete"/>
    <s v="Complete"/>
    <s v="NA"/>
    <s v="Executed"/>
  </r>
  <r>
    <s v="ROSAMOND WEST SOLAR"/>
    <n v="506"/>
    <d v="2009-07-30T00:00:00"/>
    <d v="2009-07-31T07:00:00"/>
    <s v="ACTIVE"/>
    <s v="C01"/>
    <x v="2"/>
    <m/>
    <s v="Solar"/>
    <m/>
    <n v="300"/>
    <m/>
    <n v="300"/>
    <s v="Full Capacity"/>
    <s v="KERN"/>
    <s v="CA"/>
    <s v="SCE"/>
    <s v="Whirlwind Substation 230kV"/>
    <s v="Whirlwind"/>
    <n v="3054"/>
    <x v="2"/>
    <m/>
    <m/>
    <d v="2015-07-31T07:00:00"/>
    <d v="2022-07-01T07:00:00"/>
    <s v="NA"/>
    <s v="Complete"/>
    <s v="Complete"/>
    <s v="NA"/>
    <s v="Executed"/>
  </r>
  <r>
    <s v="ORD MOUNTAIN "/>
    <n v="552"/>
    <d v="2009-10-02T00:00:00"/>
    <d v="2010-02-01T08:00:00"/>
    <s v="ACTIVE"/>
    <s v="C02"/>
    <x v="2"/>
    <s v="Storage"/>
    <s v="Solar"/>
    <s v="Battery"/>
    <n v="60"/>
    <n v="60"/>
    <n v="60"/>
    <s v="Energy Only"/>
    <s v="SAN BERNARDINO"/>
    <s v="CA"/>
    <s v="SCE"/>
    <s v="Calcite Substation 220kV"/>
    <s v="Calcite"/>
    <e v="#N/A"/>
    <x v="6"/>
    <m/>
    <m/>
    <d v="2012-03-01T08:00:00"/>
    <d v="2020-12-01T08:00:00"/>
    <s v="NA"/>
    <s v="Complete"/>
    <s v="Complete"/>
    <s v="NA"/>
    <s v="Executed"/>
  </r>
  <r>
    <s v="BLYTHE MESA SOLAR"/>
    <n v="576"/>
    <d v="2010-01-29T00:00:00"/>
    <d v="2010-02-01T08:00:00"/>
    <s v="ACTIVE"/>
    <s v="C02"/>
    <x v="2"/>
    <m/>
    <s v="Solar"/>
    <m/>
    <n v="224"/>
    <m/>
    <n v="224"/>
    <s v="Full Capacity"/>
    <s v="RIVERSIDE"/>
    <s v="CA"/>
    <s v="SCE"/>
    <s v="Colorado River Sub 230kV Bus"/>
    <s v="Colorado River"/>
    <n v="3171"/>
    <x v="5"/>
    <m/>
    <m/>
    <d v="2013-12-31T08:00:00"/>
    <d v="2021-08-21T07:00:00"/>
    <s v="NA"/>
    <s v="Complete"/>
    <s v="Complete"/>
    <s v="NA"/>
    <s v="Executed"/>
  </r>
  <r>
    <s v="CATALINA SOLAR"/>
    <n v="602"/>
    <d v="2010-01-30T00:00:00"/>
    <d v="2010-02-01T08:00:00"/>
    <s v="ACTIVE"/>
    <s v="C02"/>
    <x v="2"/>
    <m/>
    <s v="Solar"/>
    <m/>
    <n v="150"/>
    <m/>
    <n v="150"/>
    <s v="Full Capacity"/>
    <s v="KERN"/>
    <s v="CA"/>
    <s v="SCE"/>
    <s v="Whirlwind Substation 230kV"/>
    <s v="Whirlwind"/>
    <n v="3054"/>
    <x v="2"/>
    <m/>
    <m/>
    <d v="2013-07-01T07:00:00"/>
    <d v="2021-12-01T08:00:00"/>
    <s v="NA"/>
    <s v="Complete"/>
    <s v="Complete"/>
    <s v="NA"/>
    <s v="Executed"/>
  </r>
  <r>
    <s v="DESERT HARVEST "/>
    <s v="643AE"/>
    <d v="2010-07-30T00:00:00"/>
    <d v="2010-07-31T07:00:00"/>
    <s v="ACTIVE"/>
    <s v="C03"/>
    <x v="2"/>
    <s v="Storage"/>
    <s v="Solar"/>
    <s v="Battery"/>
    <n v="150"/>
    <n v="35"/>
    <n v="150"/>
    <s v="Full Capacity"/>
    <s v="RIVERSIDE"/>
    <s v="CA"/>
    <s v="SCE"/>
    <s v="Red Bluff Sub 230kV Bus"/>
    <s v="Red Bluff"/>
    <n v="1845"/>
    <x v="5"/>
    <n v="1"/>
    <s v="Riverside East"/>
    <d v="2014-01-01T08:00:00"/>
    <d v="2020-12-01T08:00:00"/>
    <s v="NA"/>
    <s v="Complete"/>
    <s v="Complete"/>
    <s v="NA"/>
    <s v="Executed"/>
  </r>
  <r>
    <s v="APPARENT FIRST HYBRID"/>
    <s v="653F"/>
    <d v="2010-10-07T00:00:00"/>
    <d v="2010-10-13T07:00:00"/>
    <s v="ACTIVE"/>
    <s v="SGIP-TC"/>
    <x v="2"/>
    <s v="Storage"/>
    <s v="Solar"/>
    <s v="Battery"/>
    <n v="12"/>
    <n v="12.1"/>
    <n v="12"/>
    <s v="Full Capacity"/>
    <s v="YOLO"/>
    <s v="CA"/>
    <s v="PGAE"/>
    <s v="Woodland-Davis 115 kV"/>
    <s v="Woodland"/>
    <n v="2516"/>
    <x v="7"/>
    <m/>
    <m/>
    <d v="2012-05-01T07:00:00"/>
    <d v="2020-06-22T07:00:00"/>
    <s v="NA"/>
    <s v="Complete"/>
    <s v="Complete"/>
    <s v="NA"/>
    <s v="Executed"/>
  </r>
  <r>
    <s v="LASSEN LODGE HYDROELECTRIC"/>
    <n v="720"/>
    <d v="2011-03-31T00:00:00"/>
    <d v="2011-03-31T07:00:00"/>
    <s v="ACTIVE"/>
    <s v="C04"/>
    <x v="4"/>
    <m/>
    <s v="Water"/>
    <m/>
    <n v="4.5"/>
    <m/>
    <n v="4.5"/>
    <s v="Energy Only"/>
    <s v="TEHAMA"/>
    <s v="CA"/>
    <s v="PGAE"/>
    <s v="Vota - South 60 KV"/>
    <s v="Vota"/>
    <e v="#N/A"/>
    <x v="8"/>
    <n v="1"/>
    <s v="NorCalOutsideTxConstraintZones"/>
    <d v="2012-12-15T08:00:00"/>
    <d v="2020-10-15T07:00:00"/>
    <s v="NA"/>
    <s v="Complete"/>
    <s v="Complete"/>
    <s v="NA"/>
    <s v="Executed"/>
  </r>
  <r>
    <s v="LOTUS SOLAR FARM"/>
    <n v="723"/>
    <d v="2011-03-31T00:00:00"/>
    <d v="2011-03-31T07:00:00"/>
    <s v="ACTIVE"/>
    <s v="C04"/>
    <x v="2"/>
    <m/>
    <s v="Solar"/>
    <m/>
    <n v="50"/>
    <m/>
    <n v="50"/>
    <s v="Full Capacity"/>
    <s v="MADERA"/>
    <s v="CA"/>
    <s v="PGAE"/>
    <s v="Borden Sub 230 KV Bus"/>
    <s v="Borden"/>
    <n v="771"/>
    <x v="1"/>
    <m/>
    <m/>
    <d v="2014-07-01T07:00:00"/>
    <d v="2020-04-15T07:00:00"/>
    <s v="NA"/>
    <s v="Complete"/>
    <s v="Complete"/>
    <s v="NA"/>
    <s v="Executed"/>
  </r>
  <r>
    <s v="REDWOOD SOLAR FARM"/>
    <n v="744"/>
    <d v="2011-03-31T00:00:00"/>
    <d v="2011-03-31T07:00:00"/>
    <s v="ACTIVE"/>
    <s v="C04"/>
    <x v="2"/>
    <m/>
    <s v="Solar"/>
    <m/>
    <n v="90"/>
    <m/>
    <n v="90"/>
    <s v="Full Capacity"/>
    <s v="KERN"/>
    <s v="CA"/>
    <s v="PGAE"/>
    <s v="Lamont Sub 115 KV Bus"/>
    <s v="Lamont"/>
    <n v="370"/>
    <x v="4"/>
    <n v="1"/>
    <s v="Westlands"/>
    <d v="2014-07-01T07:00:00"/>
    <d v="2020-12-01T08:00:00"/>
    <s v="NA"/>
    <s v="Complete"/>
    <s v="Complete"/>
    <s v="NA"/>
    <s v="Executed"/>
  </r>
  <r>
    <s v="WRIGHT SOLAR"/>
    <n v="779"/>
    <d v="2011-03-31T00:00:00"/>
    <d v="2011-03-31T07:00:00"/>
    <s v="ACTIVE"/>
    <s v="C04"/>
    <x v="2"/>
    <m/>
    <s v="Solar"/>
    <m/>
    <n v="200"/>
    <m/>
    <n v="200"/>
    <s v="Full Capacity"/>
    <s v="MERCED"/>
    <s v="CA"/>
    <s v="PGAE"/>
    <s v="Los Banos-Panoche #1 230kV "/>
    <s v="Panoche"/>
    <n v="212"/>
    <x v="4"/>
    <m/>
    <m/>
    <d v="2014-01-06T08:00:00"/>
    <d v="2019-12-15T08:00:00"/>
    <s v="NA"/>
    <s v="Complete"/>
    <s v="Complete"/>
    <s v="NA"/>
    <s v="Executed"/>
  </r>
  <r>
    <s v="RUGGED SOLAR FARM"/>
    <n v="789"/>
    <d v="2011-03-30T00:00:00"/>
    <d v="2011-03-31T07:00:00"/>
    <s v="ACTIVE"/>
    <s v="C04"/>
    <x v="2"/>
    <m/>
    <s v="Solar"/>
    <m/>
    <n v="71.88"/>
    <m/>
    <n v="71.88"/>
    <s v="Energy Only"/>
    <s v="SAN DIEGO"/>
    <s v="CA"/>
    <s v="SDGE"/>
    <s v="Boulevard East Substation 69 kV"/>
    <s v="Boulevard"/>
    <n v="1382"/>
    <x v="0"/>
    <m/>
    <m/>
    <d v="2015-07-31T07:00:00"/>
    <d v="2020-07-30T07:00:00"/>
    <s v="NA"/>
    <s v="Complete"/>
    <s v="Complete"/>
    <s v="NA"/>
    <s v="Executed"/>
  </r>
  <r>
    <s v="BLUE HORNET SOLAR"/>
    <n v="838"/>
    <d v="2011-03-31T00:00:00"/>
    <d v="2011-03-31T07:00:00"/>
    <s v="ACTIVE"/>
    <s v="C04"/>
    <x v="2"/>
    <m/>
    <s v="Solar"/>
    <m/>
    <n v="100"/>
    <m/>
    <n v="100"/>
    <s v="Full Capacity"/>
    <s v="IMPERIAL"/>
    <s v="CA"/>
    <s v="SDGE"/>
    <s v="Imperial Valley Substation 230kV"/>
    <s v="Imperial"/>
    <n v="491"/>
    <x v="0"/>
    <n v="1"/>
    <s v="Greater Imperial"/>
    <d v="2015-12-31T08:00:00"/>
    <d v="2021-12-01T08:00:00"/>
    <s v="NA"/>
    <s v="Complete"/>
    <s v="Complete"/>
    <s v="NA"/>
    <s v="Executed"/>
  </r>
  <r>
    <s v="SORREL I SOLAR FARM"/>
    <n v="897"/>
    <d v="2012-04-02T00:00:00"/>
    <d v="2012-04-02T07:00:00"/>
    <s v="ACTIVE"/>
    <s v="C05"/>
    <x v="2"/>
    <m/>
    <s v="Solar"/>
    <m/>
    <n v="200"/>
    <m/>
    <n v="200"/>
    <s v="Full Capacity"/>
    <s v="SAN BERNARDINO"/>
    <s v="CA"/>
    <s v="SCE"/>
    <s v="Calcite Substation 220kV bus"/>
    <s v="Calcite"/>
    <e v="#N/A"/>
    <x v="6"/>
    <m/>
    <m/>
    <d v="2016-12-01T08:00:00"/>
    <d v="2022-08-01T07:00:00"/>
    <s v="NA"/>
    <s v="Complete"/>
    <s v="Complete"/>
    <s v="NA"/>
    <s v="Executed"/>
  </r>
  <r>
    <s v="NORTHERN ORCHARD SOLAR"/>
    <n v="946"/>
    <d v="2013-04-23T00:00:00"/>
    <d v="2013-04-30T07:00:00"/>
    <s v="ACTIVE"/>
    <s v="C06"/>
    <x v="2"/>
    <m/>
    <s v="Solar"/>
    <m/>
    <n v="100"/>
    <m/>
    <n v="100"/>
    <s v="Full Capacity"/>
    <s v="KERN"/>
    <s v="CA"/>
    <s v="PGAE"/>
    <s v="Midway- Wheeler Ridge  #2 - 230 kV Line"/>
    <s v="Midway"/>
    <n v="298"/>
    <x v="9"/>
    <n v="1"/>
    <s v="Kern and Carrizo"/>
    <d v="2015-12-01T08:00:00"/>
    <d v="2021-12-31T08:00:00"/>
    <s v="NA"/>
    <s v="Complete"/>
    <s v="Complete"/>
    <s v="NA"/>
    <s v="Executed"/>
  </r>
  <r>
    <s v="FIFTH STANDARD SOLAR"/>
    <n v="954"/>
    <d v="2013-04-29T00:00:00"/>
    <d v="2013-04-30T07:00:00"/>
    <s v="ACTIVE"/>
    <s v="C06"/>
    <x v="2"/>
    <m/>
    <s v="Solar"/>
    <m/>
    <n v="150"/>
    <m/>
    <n v="150"/>
    <s v="Full Capacity"/>
    <s v="FRESNO"/>
    <s v="CA"/>
    <s v="PGAE"/>
    <s v="Gates Substation 230 kV"/>
    <s v="Gates"/>
    <n v="193"/>
    <x v="4"/>
    <m/>
    <m/>
    <d v="2016-07-01T07:00:00"/>
    <d v="2021-12-31T08:00:00"/>
    <s v="NA"/>
    <s v="Complete"/>
    <s v="Complete"/>
    <s v="NA"/>
    <s v="Executed"/>
  </r>
  <r>
    <s v="ALGONQUIN POWER SANGER 2"/>
    <n v="955"/>
    <d v="2013-04-30T00:00:00"/>
    <d v="2013-04-30T07:00:00"/>
    <s v="ACTIVE"/>
    <s v="C06"/>
    <x v="5"/>
    <m/>
    <s v="Natural Gas"/>
    <m/>
    <n v="60"/>
    <m/>
    <n v="60"/>
    <s v="Full Capacity"/>
    <s v="FRESNO"/>
    <s v="CA"/>
    <s v="PGAE"/>
    <s v="Sanger Co-gen 115/13.8kV Sub"/>
    <s v="Sanger"/>
    <n v="219"/>
    <x v="4"/>
    <m/>
    <m/>
    <d v="2014-05-01T07:00:00"/>
    <d v="2020-11-01T07:00:00"/>
    <s v="NA"/>
    <s v="Complete"/>
    <s v="Complete"/>
    <s v="NA"/>
    <s v="Executed"/>
  </r>
  <r>
    <s v="JAVA SOLAR"/>
    <n v="965"/>
    <d v="2013-04-30T00:00:00"/>
    <d v="2013-04-30T07:00:00"/>
    <s v="ACTIVE"/>
    <s v="C06"/>
    <x v="2"/>
    <m/>
    <s v="Solar"/>
    <m/>
    <n v="13.5"/>
    <m/>
    <n v="13.5"/>
    <s v="Full Capacity"/>
    <s v="KINGS"/>
    <s v="CA"/>
    <s v="PGAE"/>
    <s v="Henrietta-GWF 115 kV Line"/>
    <s v="Henrietta"/>
    <n v="461"/>
    <x v="4"/>
    <m/>
    <m/>
    <d v="2016-10-01T07:00:00"/>
    <d v="2020-04-30T07:00:00"/>
    <s v="NA"/>
    <s v="Complete"/>
    <s v="Complete"/>
    <s v="NA"/>
    <s v="Executed"/>
  </r>
  <r>
    <s v="PALOMAR ENERGY CENTER 2"/>
    <n v="968"/>
    <d v="2013-04-30T00:00:00"/>
    <d v="2013-04-30T07:00:00"/>
    <s v="ACTIVE"/>
    <s v="C06"/>
    <x v="5"/>
    <m/>
    <s v="Natural Gas"/>
    <m/>
    <n v="35"/>
    <m/>
    <n v="35"/>
    <s v="Full Capacity"/>
    <s v="SAN DIEGO"/>
    <s v="CA"/>
    <s v="SDGE"/>
    <s v="Palomar Energy Substation 230kV"/>
    <s v="Palomar"/>
    <e v="#N/A"/>
    <x v="6"/>
    <m/>
    <m/>
    <d v="2015-03-01T08:00:00"/>
    <d v="2020-04-15T07:00:00"/>
    <s v="NA"/>
    <s v="Complete"/>
    <s v="Complete"/>
    <s v="NA"/>
    <s v="Executed"/>
  </r>
  <r>
    <s v="SUNSHINE VALLEY SOLAR 1"/>
    <n v="993"/>
    <d v="2013-04-30T00:00:00"/>
    <d v="2013-04-30T07:00:00"/>
    <s v="ACTIVE"/>
    <s v="C06"/>
    <x v="2"/>
    <m/>
    <s v="Solar"/>
    <m/>
    <n v="50"/>
    <m/>
    <n v="50"/>
    <s v="Full Capacity"/>
    <s v="NYE"/>
    <s v="NV"/>
    <s v="VEA"/>
    <s v="Valley Substation 138kV"/>
    <s v="Valley"/>
    <n v="315"/>
    <x v="10"/>
    <n v="1"/>
    <s v="Southern NV / Southern CA Desert"/>
    <d v="2016-12-31T08:00:00"/>
    <d v="2020-01-01T08:00:00"/>
    <s v="NA"/>
    <s v="Complete"/>
    <s v="Complete"/>
    <s v="NA"/>
    <s v="Executed"/>
  </r>
  <r>
    <s v="SUNSHINE VALLEY SOLAR 2 "/>
    <n v="994"/>
    <d v="2013-05-01T00:00:00"/>
    <d v="2013-04-30T07:00:00"/>
    <s v="ACTIVE"/>
    <s v="C06"/>
    <x v="2"/>
    <m/>
    <s v="Solar"/>
    <m/>
    <n v="50"/>
    <m/>
    <n v="50"/>
    <s v="Full Capacity"/>
    <s v="NYE"/>
    <s v="NV"/>
    <s v="VEA"/>
    <s v="Valley Substation 138kV "/>
    <s v="Valley"/>
    <n v="315"/>
    <x v="10"/>
    <n v="1"/>
    <s v="Southern NV / Southern CA Desert"/>
    <d v="2016-12-31T08:00:00"/>
    <d v="2020-01-01T08:00:00"/>
    <s v="NA"/>
    <s v="Complete"/>
    <s v="Complete"/>
    <s v="NA"/>
    <s v="Executed"/>
  </r>
  <r>
    <s v="LASSEN LODGE HYDROELECTRIC 2"/>
    <n v="1002"/>
    <d v="2013-05-01T00:00:00"/>
    <d v="2013-04-30T07:00:00"/>
    <s v="ACTIVE"/>
    <s v="C06"/>
    <x v="4"/>
    <m/>
    <s v="Water"/>
    <m/>
    <n v="0.5"/>
    <m/>
    <n v="0.5"/>
    <s v="Energy Only"/>
    <s v="TEHAMA"/>
    <s v="CA"/>
    <s v="PGAE"/>
    <s v="Volta-South 60 kV Line"/>
    <s v="Volta"/>
    <e v="#N/A"/>
    <x v="8"/>
    <n v="1"/>
    <s v="NorCalOutsideTxConstraintZones"/>
    <d v="2015-11-15T08:00:00"/>
    <d v="2020-10-15T07:00:00"/>
    <s v="NA"/>
    <s v="Complete"/>
    <s v="Complete"/>
    <s v="NA"/>
    <s v="Executed"/>
  </r>
  <r>
    <s v="DYER SUMMIT WIND REPOWER"/>
    <n v="1010"/>
    <d v="2014-04-28T00:00:00"/>
    <d v="2014-04-30T07:00:00"/>
    <s v="ACTIVE"/>
    <s v="C07"/>
    <x v="0"/>
    <m/>
    <s v="Wind Turbine"/>
    <m/>
    <n v="46.1"/>
    <m/>
    <n v="44.8"/>
    <s v="Full Capacity"/>
    <s v="SAN JOAQUIN"/>
    <s v="CA"/>
    <s v="PGAE"/>
    <s v="Vasco-Herdlyn 60kV line"/>
    <s v="Vasco"/>
    <n v="33"/>
    <x v="3"/>
    <m/>
    <m/>
    <d v="2015-12-01T08:00:00"/>
    <d v="2019-11-01T07:00:00"/>
    <s v="NA"/>
    <s v="Complete"/>
    <s v="Complete"/>
    <s v="NA"/>
    <s v="Executed"/>
  </r>
  <r>
    <s v="COLINAS DE ORO"/>
    <n v="1011"/>
    <d v="2014-04-28T00:00:00"/>
    <d v="2014-04-30T07:00:00"/>
    <s v="ACTIVE"/>
    <s v="C07"/>
    <x v="1"/>
    <m/>
    <s v="Battery"/>
    <m/>
    <n v="30"/>
    <m/>
    <n v="30"/>
    <s v="Full Capacity"/>
    <s v="ALAMEDA"/>
    <s v="CA"/>
    <s v="PGAE"/>
    <s v="Tesla Substation 115kV"/>
    <s v="Tesla"/>
    <n v="31"/>
    <x v="3"/>
    <m/>
    <m/>
    <d v="2016-12-01T08:00:00"/>
    <d v="2021-03-01T08:00:00"/>
    <s v="NA"/>
    <s v="Complete"/>
    <s v="Complete"/>
    <s v="NA"/>
    <s v="Executed"/>
  </r>
  <r>
    <s v="BLACKBRIAR"/>
    <n v="1027"/>
    <d v="2014-05-01T00:00:00"/>
    <d v="2014-04-30T07:00:00"/>
    <s v="ACTIVE"/>
    <s v="C07"/>
    <x v="1"/>
    <m/>
    <s v="Battery"/>
    <m/>
    <n v="20"/>
    <m/>
    <n v="20"/>
    <s v="Full Capacity"/>
    <s v="FRESNO"/>
    <s v="CA"/>
    <s v="PGAE"/>
    <s v="Gates Substation 230kV"/>
    <s v="Gates"/>
    <n v="193"/>
    <x v="4"/>
    <m/>
    <m/>
    <d v="2016-06-01T07:00:00"/>
    <d v="2021-12-31T08:00:00"/>
    <s v="NA"/>
    <s v="Complete"/>
    <s v="Complete"/>
    <s v="NA"/>
    <s v="Executed"/>
  </r>
  <r>
    <s v="LITTLE BEAR SOLAR 1"/>
    <n v="1028"/>
    <d v="2014-04-30T00:00:00"/>
    <d v="2014-04-30T07:00:00"/>
    <s v="ACTIVE"/>
    <s v="C07"/>
    <x v="2"/>
    <m/>
    <s v="Solar"/>
    <m/>
    <n v="20"/>
    <m/>
    <n v="20"/>
    <s v="Full Capacity"/>
    <s v="FRESNO"/>
    <s v="CA"/>
    <s v="PGAE"/>
    <s v="Mendota Substation 115 kV"/>
    <s v="Mendota"/>
    <n v="208"/>
    <x v="4"/>
    <m/>
    <m/>
    <d v="2016-12-01T08:00:00"/>
    <d v="2020-09-01T07:00:00"/>
    <s v="NA"/>
    <s v="Complete"/>
    <s v="Complete"/>
    <s v="NA"/>
    <s v="Executed"/>
  </r>
  <r>
    <s v="LITTLE BEAR SOLAR 2"/>
    <n v="1029"/>
    <d v="2014-04-30T00:00:00"/>
    <d v="2014-04-30T07:00:00"/>
    <s v="ACTIVE"/>
    <s v="C07"/>
    <x v="2"/>
    <m/>
    <s v="Solar"/>
    <m/>
    <n v="20"/>
    <m/>
    <n v="20"/>
    <s v="Full Capacity"/>
    <s v="FRESNO"/>
    <s v="CA"/>
    <s v="PGAE"/>
    <s v="Mendota Substation 115 kV"/>
    <s v="Mendota"/>
    <n v="208"/>
    <x v="4"/>
    <m/>
    <m/>
    <d v="2018-09-01T07:00:00"/>
    <d v="2020-09-01T07:00:00"/>
    <s v="NA"/>
    <s v="Complete"/>
    <s v="Complete"/>
    <s v="NA"/>
    <s v="Executed"/>
  </r>
  <r>
    <s v="SOUTH LAKE SOLAR"/>
    <n v="1030"/>
    <d v="2014-04-30T00:00:00"/>
    <d v="2014-04-30T07:00:00"/>
    <s v="ACTIVE"/>
    <s v="C07"/>
    <x v="2"/>
    <s v="Storage"/>
    <s v="Solar"/>
    <s v="Battery"/>
    <n v="15"/>
    <n v="5"/>
    <n v="20"/>
    <s v="Energy Only"/>
    <s v="FRESNO"/>
    <s v="CA"/>
    <s v="PGAE"/>
    <s v="Schindler-Huron-Gates Tap 70kV "/>
    <s v="Schindler"/>
    <n v="220"/>
    <x v="4"/>
    <m/>
    <m/>
    <d v="2016-12-15T08:00:00"/>
    <d v="2021-04-15T07:00:00"/>
    <s v="NA"/>
    <s v="Complete"/>
    <s v="Complete"/>
    <s v="NA"/>
    <s v="Executed"/>
  </r>
  <r>
    <s v="MUSTANG 2"/>
    <n v="1036"/>
    <d v="2014-04-30T00:00:00"/>
    <d v="2014-04-30T07:00:00"/>
    <s v="ACTIVE"/>
    <s v="C07"/>
    <x v="2"/>
    <s v="Storage"/>
    <s v="Solar"/>
    <s v="Battery"/>
    <n v="153.4"/>
    <n v="150"/>
    <n v="153.4"/>
    <s v="Full Capacity"/>
    <s v="KINGS"/>
    <s v="CA"/>
    <s v="PGAE"/>
    <s v="Mustang Switchyard 230 kV"/>
    <s v="Mustang"/>
    <e v="#N/A"/>
    <x v="4"/>
    <n v="1"/>
    <s v="Westlands"/>
    <d v="2016-09-30T07:00:00"/>
    <d v="2020-10-01T07:00:00"/>
    <s v="NA"/>
    <s v="Complete"/>
    <s v="Complete"/>
    <s v="NA"/>
    <s v="Executed"/>
  </r>
  <r>
    <s v="CHULA VISTA ENERGY CENTER 2"/>
    <n v="1045"/>
    <d v="2014-04-30T00:00:00"/>
    <d v="2014-04-30T07:00:00"/>
    <s v="ACTIVE"/>
    <s v="C07"/>
    <x v="1"/>
    <m/>
    <s v="Battery"/>
    <m/>
    <n v="50"/>
    <m/>
    <n v="50"/>
    <s v="Energy Only"/>
    <s v="SAN DIEGO"/>
    <s v="CA"/>
    <s v="SDGE"/>
    <s v="Otay Substation 69 kV"/>
    <s v="Otay"/>
    <n v="1436"/>
    <x v="10"/>
    <m/>
    <m/>
    <d v="2019-11-01T07:00:00"/>
    <d v="2021-03-15T07:00:00"/>
    <s v="NA"/>
    <s v="Complete"/>
    <s v="Complete"/>
    <s v="NA"/>
    <s v="In Progress"/>
  </r>
  <r>
    <s v="NORTH JOHNSON ENERGY CENTER"/>
    <n v="1047"/>
    <d v="2014-04-30T00:00:00"/>
    <d v="2014-04-30T07:00:00"/>
    <s v="ACTIVE"/>
    <s v="C07"/>
    <x v="1"/>
    <m/>
    <s v="Battery"/>
    <m/>
    <n v="50"/>
    <m/>
    <n v="50"/>
    <s v="Energy Only"/>
    <s v="SAN DIEGO"/>
    <s v="CA"/>
    <s v="SDGE"/>
    <s v="El Cajon Substation 69kV"/>
    <s v="El Cajon"/>
    <n v="1397"/>
    <x v="10"/>
    <m/>
    <m/>
    <d v="2019-11-01T07:00:00"/>
    <d v="2021-03-15T07:00:00"/>
    <s v="NA"/>
    <s v="Complete"/>
    <s v="Complete"/>
    <s v="NA"/>
    <s v="In Progress"/>
  </r>
  <r>
    <s v="ESCONDIDO ENERGY CENTER 2"/>
    <n v="1048"/>
    <d v="2014-04-30T00:00:00"/>
    <d v="2014-04-30T07:00:00"/>
    <s v="ACTIVE"/>
    <s v="C07"/>
    <x v="1"/>
    <m/>
    <s v="Battery"/>
    <m/>
    <n v="50"/>
    <m/>
    <n v="50"/>
    <s v="Energy Only"/>
    <s v="SAN DIEGO"/>
    <s v="CA"/>
    <s v="SDGE"/>
    <s v="Escondido Substation 69 kV"/>
    <s v="Escondido"/>
    <n v="1402"/>
    <x v="11"/>
    <m/>
    <m/>
    <d v="2019-11-01T07:00:00"/>
    <d v="2021-03-15T07:00:00"/>
    <s v="NA"/>
    <s v="Complete"/>
    <s v="Complete"/>
    <s v="NA"/>
    <s v="In Progress"/>
  </r>
  <r>
    <s v="WHITE WING RANCH SOLAR "/>
    <n v="1062"/>
    <d v="2014-04-30T00:00:00"/>
    <d v="2014-04-30T07:00:00"/>
    <s v="ACTIVE"/>
    <s v="C07"/>
    <x v="2"/>
    <m/>
    <s v="Solar"/>
    <m/>
    <n v="200"/>
    <m/>
    <n v="200"/>
    <s v="Energy Only"/>
    <s v="YUMA"/>
    <s v="AZ"/>
    <s v="SDGE"/>
    <s v="Hoodoo Wash Switchyard 500 kV"/>
    <s v="Hoodoo"/>
    <e v="#N/A"/>
    <x v="0"/>
    <n v="1"/>
    <s v="Greater Imperial"/>
    <d v="2018-12-31T08:00:00"/>
    <d v="2018-12-31T08:00:00"/>
    <s v="NA"/>
    <s v="Complete"/>
    <s v="Complete"/>
    <s v="NA"/>
    <s v="In Progress"/>
  </r>
  <r>
    <s v="ARES NEVADA "/>
    <n v="1064"/>
    <d v="2014-04-30T00:00:00"/>
    <d v="2014-04-30T07:00:00"/>
    <s v="ACTIVE"/>
    <s v="C07"/>
    <x v="1"/>
    <m/>
    <s v="Gravity via Rail"/>
    <m/>
    <n v="44"/>
    <m/>
    <n v="44"/>
    <s v="Full Capacity"/>
    <s v="NYE"/>
    <s v="NV"/>
    <s v="GWT"/>
    <s v="Gamebird Switchyard 230kV"/>
    <s v="Gamebird"/>
    <e v="#N/A"/>
    <x v="10"/>
    <n v="1"/>
    <s v="Southern NV / Southern CA Desert"/>
    <d v="2017-01-01T08:00:00"/>
    <d v="2020-06-19T07:00:00"/>
    <s v="NA"/>
    <s v="Complete"/>
    <s v="Complete"/>
    <s v="NA"/>
    <s v="Executed"/>
  </r>
  <r>
    <s v="GASKELL WEST"/>
    <n v="1074"/>
    <d v="2014-04-30T00:00:00"/>
    <d v="2014-04-30T07:00:00"/>
    <s v="ACTIVE"/>
    <s v="C07"/>
    <x v="2"/>
    <m/>
    <s v="Solar"/>
    <m/>
    <n v="128.07"/>
    <m/>
    <n v="128.07"/>
    <s v="Full Capacity"/>
    <s v="KERN"/>
    <s v="CA"/>
    <s v="SCE"/>
    <s v="Whirlwind Substation 220 kV"/>
    <s v="Whirlwind"/>
    <n v="3054"/>
    <x v="2"/>
    <m/>
    <m/>
    <d v="2016-06-30T07:00:00"/>
    <d v="2020-10-01T07:00:00"/>
    <s v="NA"/>
    <s v="Complete"/>
    <s v="Complete"/>
    <s v="NA"/>
    <s v="Executed"/>
  </r>
  <r>
    <s v="WILLOW SPRINGS SOLAR 3"/>
    <n v="1076"/>
    <d v="2014-04-30T00:00:00"/>
    <d v="2014-04-30T07:00:00"/>
    <s v="ACTIVE"/>
    <s v="C07"/>
    <x v="2"/>
    <m/>
    <s v="Solar"/>
    <m/>
    <n v="50"/>
    <m/>
    <n v="50"/>
    <s v="Full Capacity"/>
    <s v="KERN"/>
    <s v="CA"/>
    <s v="SCE"/>
    <s v="Whirlwind Substation 230 kV"/>
    <s v="Whirlwind"/>
    <n v="3054"/>
    <x v="2"/>
    <m/>
    <m/>
    <d v="2017-06-30T07:00:00"/>
    <d v="2021-04-15T07:00:00"/>
    <s v="NA"/>
    <s v="Complete"/>
    <s v="Complete"/>
    <s v="NA"/>
    <s v="Executed"/>
  </r>
  <r>
    <s v="ALTAMONT MIDWAY LTD"/>
    <n v="1096"/>
    <d v="2015-02-24T00:00:00"/>
    <d v="2015-04-13T07:00:00"/>
    <s v="ACTIVE"/>
    <s v="FT"/>
    <x v="0"/>
    <m/>
    <s v="Wind Turbine"/>
    <m/>
    <n v="5"/>
    <m/>
    <n v="5"/>
    <s v="Energy Only"/>
    <s v="ALAMEDA"/>
    <s v="CA"/>
    <s v="PGAE"/>
    <s v="Altamont Midway Substation 230 kV "/>
    <s v="Altamont"/>
    <n v="5"/>
    <x v="3"/>
    <m/>
    <m/>
    <d v="2015-08-31T07:00:00"/>
    <d v="2019-12-31T08:00:00"/>
    <s v="None"/>
    <s v="NA"/>
    <s v="NA"/>
    <s v="NA"/>
    <s v="Executed"/>
  </r>
  <r>
    <s v="BEAR CANYON ENERGY STORAGE"/>
    <n v="1097"/>
    <d v="2015-04-29T00:00:00"/>
    <d v="2015-04-30T07:00:00"/>
    <s v="ACTIVE"/>
    <s v="C08"/>
    <x v="1"/>
    <m/>
    <s v="Battery"/>
    <m/>
    <n v="13.25"/>
    <m/>
    <n v="13"/>
    <s v="Full Capacity"/>
    <s v="LAKE"/>
    <s v="CA"/>
    <s v="PGAE"/>
    <s v="Geysers #12-Fulton 230kV line"/>
    <s v="Geysers"/>
    <e v="#N/A"/>
    <x v="12"/>
    <n v="1"/>
    <s v="Norcal_Z4_Solano"/>
    <d v="2018-01-01T08:00:00"/>
    <d v="2021-09-01T07:00:00"/>
    <s v="NA"/>
    <s v="Complete"/>
    <s v="Complete"/>
    <s v="NA"/>
    <s v="Executed"/>
  </r>
  <r>
    <s v="CENTRAL 40"/>
    <n v="1103"/>
    <d v="2015-04-30T00:00:00"/>
    <d v="2015-04-30T07:00:00"/>
    <s v="ACTIVE"/>
    <s v="C08"/>
    <x v="2"/>
    <m/>
    <s v="Solar"/>
    <m/>
    <n v="40"/>
    <m/>
    <n v="40"/>
    <s v="Full Capacity"/>
    <s v="STANISLAUS"/>
    <s v="CA"/>
    <s v="PGAE"/>
    <s v="Miller #1 115 kV line"/>
    <s v="Miller"/>
    <n v="1822"/>
    <x v="4"/>
    <m/>
    <m/>
    <d v="2017-08-01T07:00:00"/>
    <d v="2020-11-30T08:00:00"/>
    <s v="NA"/>
    <s v="Complete"/>
    <s v="Complete"/>
    <s v="NA"/>
    <s v="Executed"/>
  </r>
  <r>
    <s v="FOUNTAIN WIND"/>
    <n v="1106"/>
    <d v="2015-04-30T00:00:00"/>
    <d v="2015-04-30T07:00:00"/>
    <s v="ACTIVE"/>
    <s v="C08"/>
    <x v="0"/>
    <m/>
    <s v="Wind Turbine"/>
    <m/>
    <n v="206"/>
    <m/>
    <n v="200"/>
    <s v="Full Capacity"/>
    <s v="SHASTA"/>
    <s v="CA"/>
    <s v="PGAE"/>
    <s v="Pit1-Cottonwood 230kV line "/>
    <s v="Pit1"/>
    <e v="#N/A"/>
    <x v="8"/>
    <n v="1"/>
    <s v="NorCalOutsideTxConstraintZones"/>
    <d v="2020-10-15T07:00:00"/>
    <d v="2024-03-15T07:00:00"/>
    <s v="NA"/>
    <s v="Complete"/>
    <s v="Complete"/>
    <s v="NA"/>
    <s v="Executed"/>
  </r>
  <r>
    <s v="NORTH CENTRAL VALLEY"/>
    <n v="1109"/>
    <d v="2015-04-30T00:00:00"/>
    <d v="2015-04-30T07:00:00"/>
    <s v="ACTIVE"/>
    <s v="C08"/>
    <x v="1"/>
    <m/>
    <s v="Battery"/>
    <m/>
    <n v="150"/>
    <m/>
    <n v="132"/>
    <s v="Full Capacity"/>
    <s v="SAN JOAQUIN"/>
    <s v="CA"/>
    <s v="PGAE"/>
    <s v="Belotta Substation 115 kV"/>
    <s v="Belotta"/>
    <e v="#N/A"/>
    <x v="1"/>
    <n v="1"/>
    <s v="Central Valley"/>
    <d v="2021-06-01T07:00:00"/>
    <d v="2022-04-01T07:00:00"/>
    <s v="NA"/>
    <s v="Complete"/>
    <s v="Complete"/>
    <s v="NA"/>
    <s v="Executed"/>
  </r>
  <r>
    <s v="BLACK DIAMOND ENERGY STORAGE"/>
    <n v="1111"/>
    <d v="2015-04-30T00:00:00"/>
    <d v="2015-04-30T07:00:00"/>
    <s v="ACTIVE"/>
    <s v="C08"/>
    <x v="1"/>
    <m/>
    <s v="Battery"/>
    <m/>
    <n v="200"/>
    <m/>
    <n v="200"/>
    <s v="Full Capacity"/>
    <s v="CONTRA COSTA"/>
    <s v="CA"/>
    <s v="PGAE"/>
    <s v="Pittsburgh Substation 230kV"/>
    <s v="Pittsburgh"/>
    <e v="#N/A"/>
    <x v="13"/>
    <n v="1"/>
    <s v="None "/>
    <d v="2018-06-01T07:00:00"/>
    <d v="2021-05-01T07:00:00"/>
    <s v="NA"/>
    <s v="Complete"/>
    <s v="Complete"/>
    <s v="NA"/>
    <s v="Executed"/>
  </r>
  <r>
    <s v="ULTRAPOWER CHINESE STATION BESS"/>
    <n v="1116"/>
    <d v="2015-04-30T00:00:00"/>
    <d v="2015-04-30T07:00:00"/>
    <s v="ACTIVE"/>
    <s v="C08"/>
    <x v="1"/>
    <m/>
    <s v="Battery"/>
    <m/>
    <n v="10"/>
    <m/>
    <n v="10"/>
    <s v="Full Capacity"/>
    <s v="TUOLUMNE"/>
    <s v="CA"/>
    <s v="PGAE"/>
    <s v="Melones-Curtis 115kV line"/>
    <s v="Melones"/>
    <n v="75"/>
    <x v="3"/>
    <m/>
    <m/>
    <d v="2017-03-31T07:00:00"/>
    <d v="2020-08-31T07:00:00"/>
    <s v="NA"/>
    <s v="Complete"/>
    <s v="Complete"/>
    <s v="NA"/>
    <s v="Executed"/>
  </r>
  <r>
    <s v="AQUAMARINE WESTSIDE"/>
    <n v="1117"/>
    <d v="2015-04-30T00:00:00"/>
    <d v="2015-04-30T07:00:00"/>
    <s v="ACTIVE"/>
    <s v="C08"/>
    <x v="2"/>
    <m/>
    <s v="Solar"/>
    <m/>
    <n v="254"/>
    <m/>
    <n v="250"/>
    <s v="Full Capacity"/>
    <s v="KINGS"/>
    <s v="CA"/>
    <s v="PGAE"/>
    <s v="Gates Substation 230 kV"/>
    <s v="Gates"/>
    <n v="193"/>
    <x v="4"/>
    <m/>
    <m/>
    <d v="2019-06-18T07:00:00"/>
    <d v="2020-11-06T08:00:00"/>
    <s v="NA"/>
    <s v="Complete"/>
    <s v="Complete"/>
    <s v="NA"/>
    <s v="Executed"/>
  </r>
  <r>
    <s v="CHESTNUT WESTSIDE "/>
    <n v="1120"/>
    <d v="2015-04-30T00:00:00"/>
    <d v="2015-04-30T07:00:00"/>
    <s v="ACTIVE"/>
    <s v="C08"/>
    <x v="2"/>
    <m/>
    <s v="Solar"/>
    <m/>
    <n v="152"/>
    <m/>
    <n v="150"/>
    <s v="Full Capacity"/>
    <s v="KINGS"/>
    <s v="CA"/>
    <s v="PGAE"/>
    <s v="Gates Substation 230kV"/>
    <s v="Gates"/>
    <n v="193"/>
    <x v="4"/>
    <m/>
    <m/>
    <d v="2021-04-19T07:00:00"/>
    <d v="2022-04-29T07:00:00"/>
    <s v="NA"/>
    <s v="Complete"/>
    <s v="Complete"/>
    <s v="NA"/>
    <s v="Executed"/>
  </r>
  <r>
    <s v="LITTLE BEAR 3"/>
    <n v="1127"/>
    <d v="2015-04-28T00:00:00"/>
    <d v="2015-04-30T07:00:00"/>
    <s v="ACTIVE"/>
    <s v="C08"/>
    <x v="2"/>
    <m/>
    <s v="Solar"/>
    <m/>
    <n v="20.440000000000001"/>
    <m/>
    <n v="20"/>
    <s v="Full Capacity"/>
    <s v="FRESNO"/>
    <s v="CA"/>
    <s v="PGAE"/>
    <s v="Mendota Substation 115kV"/>
    <s v="Mendota"/>
    <n v="208"/>
    <x v="4"/>
    <m/>
    <m/>
    <d v="2020-08-01T07:00:00"/>
    <d v="2020-08-01T07:00:00"/>
    <s v="NA"/>
    <s v="Complete"/>
    <s v="Complete"/>
    <s v="NA"/>
    <s v="Executed"/>
  </r>
  <r>
    <s v="LITTLE BEAR 4"/>
    <n v="1128"/>
    <d v="2015-04-28T00:00:00"/>
    <d v="2015-04-30T07:00:00"/>
    <s v="ACTIVE"/>
    <s v="C08"/>
    <x v="2"/>
    <m/>
    <s v="Solar"/>
    <m/>
    <n v="103.09"/>
    <m/>
    <n v="100"/>
    <s v="Full Capacity"/>
    <s v="FRESNO"/>
    <s v="CA"/>
    <s v="PGAE"/>
    <s v="Mendota Substation 115kV"/>
    <s v="Mendota"/>
    <n v="208"/>
    <x v="4"/>
    <m/>
    <m/>
    <d v="2020-12-01T08:00:00"/>
    <d v="2020-08-01T07:00:00"/>
    <s v="NA"/>
    <s v="Complete"/>
    <s v="Complete"/>
    <s v="NA"/>
    <s v="Executed"/>
  </r>
  <r>
    <s v="LUNA VALLEY SOLAR"/>
    <n v="1129"/>
    <d v="2015-04-30T00:00:00"/>
    <d v="2015-04-30T07:00:00"/>
    <s v="ACTIVE"/>
    <s v="C08"/>
    <x v="2"/>
    <m/>
    <s v="Solar"/>
    <m/>
    <n v="204"/>
    <m/>
    <n v="200"/>
    <s v="Full Capacity"/>
    <s v="FRESNO"/>
    <s v="CA"/>
    <s v="PGAE"/>
    <s v="Tranquility Substation 230kV"/>
    <s v="Tranquility"/>
    <e v="#N/A"/>
    <x v="4"/>
    <n v="1"/>
    <s v="Westlands"/>
    <d v="2018-12-31T08:00:00"/>
    <d v="2022-04-29T07:00:00"/>
    <s v="NA"/>
    <s v="Complete"/>
    <s v="Complete"/>
    <s v="NA"/>
    <s v="Executed"/>
  </r>
  <r>
    <s v="SCARLET"/>
    <n v="1135"/>
    <d v="2015-04-29T00:00:00"/>
    <d v="2015-04-30T07:00:00"/>
    <s v="ACTIVE"/>
    <s v="C08"/>
    <x v="2"/>
    <s v="Storage"/>
    <s v="Solar"/>
    <s v="Battery"/>
    <n v="417.9"/>
    <n v="420"/>
    <n v="400"/>
    <s v="Full Capacity"/>
    <s v="FRESNO"/>
    <s v="CA"/>
    <s v="PGAE"/>
    <s v="Tranquillity Switching Station 230kV"/>
    <s v="Tranquility"/>
    <e v="#N/A"/>
    <x v="4"/>
    <n v="1"/>
    <s v="Westlands"/>
    <d v="2018-12-31T08:00:00"/>
    <d v="2022-12-31T08:00:00"/>
    <s v="NA"/>
    <s v="Complete"/>
    <s v="Complete"/>
    <s v="NA"/>
    <s v="Executed"/>
  </r>
  <r>
    <s v="WESTLANDS ALMOND"/>
    <n v="1136"/>
    <d v="2015-04-30T00:00:00"/>
    <d v="2015-04-30T07:00:00"/>
    <s v="ACTIVE"/>
    <s v="C08"/>
    <x v="2"/>
    <m/>
    <s v="Solar"/>
    <m/>
    <n v="20"/>
    <m/>
    <n v="20"/>
    <s v="Energy Only"/>
    <s v="KINGS"/>
    <s v="CA"/>
    <s v="PGAE"/>
    <s v="Kent SW STA 70 kV"/>
    <s v="Kent"/>
    <n v="3220"/>
    <x v="4"/>
    <m/>
    <m/>
    <d v="2016-11-14T08:00:00"/>
    <d v="2022-02-15T08:00:00"/>
    <s v="NA"/>
    <s v="Complete"/>
    <s v="Complete"/>
    <s v="NA"/>
    <s v="Executed"/>
  </r>
  <r>
    <s v="WESTLANDS SOLAR BLUE"/>
    <n v="1139"/>
    <d v="2015-04-30T00:00:00"/>
    <d v="2015-04-30T07:00:00"/>
    <s v="ACTIVE"/>
    <s v="C08"/>
    <x v="2"/>
    <m/>
    <s v="Solar"/>
    <m/>
    <n v="252.04"/>
    <m/>
    <n v="250"/>
    <s v="Full Capacity"/>
    <s v="KINGS"/>
    <s v="CA"/>
    <s v="PGAE"/>
    <s v="Gates Substation 230kV"/>
    <s v="Gates"/>
    <n v="193"/>
    <x v="4"/>
    <m/>
    <m/>
    <d v="2020-04-20T07:00:00"/>
    <d v="2022-03-30T07:00:00"/>
    <s v="NA"/>
    <s v="Complete"/>
    <s v="Complete"/>
    <s v="NA"/>
    <s v="Executed"/>
  </r>
  <r>
    <s v="ALAMO SPRINGS SOLAR 1"/>
    <n v="1141"/>
    <d v="2015-04-30T00:00:00"/>
    <d v="2015-04-30T07:00:00"/>
    <s v="ACTIVE"/>
    <s v="C08"/>
    <x v="2"/>
    <m/>
    <s v="Solar"/>
    <m/>
    <n v="80"/>
    <m/>
    <n v="80"/>
    <s v="Full Capacity"/>
    <s v="KERN"/>
    <s v="CA"/>
    <s v="PGAE"/>
    <s v="Arco Substation 70kV"/>
    <s v="Arco"/>
    <n v="338"/>
    <x v="9"/>
    <m/>
    <m/>
    <d v="2018-12-31T08:00:00"/>
    <d v="2022-04-28T07:00:00"/>
    <s v="NA"/>
    <s v="Complete"/>
    <s v="Complete"/>
    <s v="NA"/>
    <s v="Executed"/>
  </r>
  <r>
    <s v="LAKE ALPAUGH BATTERY STORAGE"/>
    <n v="1143"/>
    <d v="2015-04-29T00:00:00"/>
    <d v="2015-04-30T07:00:00"/>
    <s v="ACTIVE"/>
    <s v="C08"/>
    <x v="1"/>
    <m/>
    <s v="Battery"/>
    <m/>
    <n v="10"/>
    <m/>
    <n v="10"/>
    <s v="Full Capacity"/>
    <s v="TULARE"/>
    <s v="CA"/>
    <s v="PGAE"/>
    <s v="Corcoran-Olive Switching Station 115 kV "/>
    <s v="Corcoran"/>
    <n v="457"/>
    <x v="4"/>
    <m/>
    <m/>
    <d v="2017-12-31T08:00:00"/>
    <d v="2021-12-31T08:00:00"/>
    <s v="NA"/>
    <s v="Complete"/>
    <s v="Complete"/>
    <s v="NA"/>
    <s v="Executed"/>
  </r>
  <r>
    <s v="ALAMO SPRINGS SOLAR 2 "/>
    <n v="1157"/>
    <d v="2015-04-22T00:00:00"/>
    <d v="2015-04-30T07:00:00"/>
    <s v="ACTIVE"/>
    <s v="C08"/>
    <x v="2"/>
    <m/>
    <s v="Solar"/>
    <m/>
    <n v="50"/>
    <m/>
    <n v="50"/>
    <s v="Full Capacity"/>
    <s v="KERN"/>
    <s v="CA"/>
    <s v="PGAE"/>
    <s v="Arco Substation 70kV"/>
    <s v="Arco"/>
    <n v="338"/>
    <x v="9"/>
    <m/>
    <m/>
    <d v="2018-12-31T08:00:00"/>
    <d v="2022-04-28T07:00:00"/>
    <s v="NA"/>
    <s v="Complete"/>
    <s v="Complete"/>
    <s v="NA"/>
    <s v="Executed"/>
  </r>
  <r>
    <s v="SLATE"/>
    <n v="1158"/>
    <d v="2015-04-29T00:00:00"/>
    <d v="2015-04-30T07:00:00"/>
    <s v="ACTIVE"/>
    <s v="C08"/>
    <x v="2"/>
    <s v="Storage"/>
    <s v="Solar"/>
    <s v="Battery"/>
    <n v="308.5"/>
    <n v="308.7"/>
    <n v="300"/>
    <s v="Full Capacity"/>
    <s v="KINGS"/>
    <s v="CA"/>
    <s v="PGAE"/>
    <s v="Mustang Switching Station 230kV"/>
    <s v="Mustang"/>
    <e v="#N/A"/>
    <x v="4"/>
    <n v="1"/>
    <s v="Westlands"/>
    <d v="2018-12-31T08:00:00"/>
    <d v="2020-12-31T08:00:00"/>
    <s v="NA"/>
    <s v="Complete"/>
    <s v="Complete"/>
    <s v="NA"/>
    <s v="Executed"/>
  </r>
  <r>
    <s v="BIG ROCK SOLAR FARM"/>
    <n v="1166"/>
    <d v="2015-04-30T00:00:00"/>
    <d v="2015-04-30T07:00:00"/>
    <s v="ACTIVE"/>
    <s v="C08"/>
    <x v="2"/>
    <m/>
    <s v="Solar"/>
    <m/>
    <n v="200"/>
    <m/>
    <n v="200"/>
    <s v="Full Capacity"/>
    <s v="IMPERIAL"/>
    <s v="CA"/>
    <s v="SDGE"/>
    <s v="Imperial Valley Substation 230 kV"/>
    <s v="Imperial"/>
    <n v="491"/>
    <x v="0"/>
    <n v="1"/>
    <s v="Greater Imperial"/>
    <d v="2020-06-01T07:00:00"/>
    <d v="2022-03-31T07:00:00"/>
    <s v="NA"/>
    <s v="Complete"/>
    <s v="Complete"/>
    <s v="NA"/>
    <s v="Executed"/>
  </r>
  <r>
    <s v="FALLBROOK ENERGY STORAGE"/>
    <n v="1169"/>
    <d v="2015-04-30T00:00:00"/>
    <d v="2015-04-30T07:00:00"/>
    <s v="ACTIVE"/>
    <s v="C08"/>
    <x v="1"/>
    <m/>
    <s v="Battery"/>
    <m/>
    <n v="70"/>
    <m/>
    <n v="69.599999999999994"/>
    <s v="Full Capacity"/>
    <s v="SAN DIEGO"/>
    <s v="CA"/>
    <s v="SDGE"/>
    <s v="Avocado Substation 69kV"/>
    <s v="Avocado"/>
    <n v="1375"/>
    <x v="11"/>
    <m/>
    <m/>
    <d v="2020-02-01T08:00:00"/>
    <d v="2021-03-24T07:00:00"/>
    <s v="NA"/>
    <s v="Complete"/>
    <s v="Complete"/>
    <s v="NA"/>
    <s v="Executed"/>
  </r>
  <r>
    <s v="GATEWAY ENERGY STORAGE"/>
    <n v="1170"/>
    <d v="2015-04-30T00:00:00"/>
    <d v="2015-04-30T07:00:00"/>
    <s v="ACTIVE"/>
    <s v="C08"/>
    <x v="1"/>
    <m/>
    <s v="Battery"/>
    <m/>
    <n v="250"/>
    <m/>
    <n v="250"/>
    <s v="Full Capacity"/>
    <s v="SAN DIEGO"/>
    <s v="CA"/>
    <s v="SDGE"/>
    <s v="Otay Mesa Switchyard 230 kV"/>
    <s v="Otay"/>
    <n v="1436"/>
    <x v="14"/>
    <n v="1"/>
    <s v="Outside "/>
    <d v="2018-09-01T07:00:00"/>
    <d v="2020-01-01T08:00:00"/>
    <s v="NA"/>
    <s v="Complete"/>
    <s v="Complete"/>
    <s v="NA"/>
    <s v="Executed"/>
  </r>
  <r>
    <s v="MCFARLAND SOLAR"/>
    <n v="1171"/>
    <d v="2015-04-30T00:00:00"/>
    <d v="2015-04-30T07:00:00"/>
    <s v="ACTIVE"/>
    <s v="C08"/>
    <x v="2"/>
    <m/>
    <s v="Solar"/>
    <m/>
    <n v="500"/>
    <m/>
    <n v="500"/>
    <s v="Full Capacity"/>
    <s v="YUMA"/>
    <s v="AZ"/>
    <s v="SDGE"/>
    <s v="Hoodoo Wash Switchyard 500 kV"/>
    <s v="Hoodoo"/>
    <e v="#N/A"/>
    <x v="0"/>
    <n v="1"/>
    <s v="Greater Imperial"/>
    <d v="2018-12-31T08:00:00"/>
    <d v="2021-06-01T07:00:00"/>
    <s v="NA"/>
    <s v="Complete"/>
    <s v="Complete"/>
    <s v="NA"/>
    <s v="In Progress"/>
  </r>
  <r>
    <s v="LA CONTE ENERGY STORAGE"/>
    <n v="1175"/>
    <d v="2015-04-29T00:00:00"/>
    <d v="2015-04-30T07:00:00"/>
    <s v="ACTIVE"/>
    <s v="C08"/>
    <x v="1"/>
    <m/>
    <s v="Battery"/>
    <m/>
    <n v="125"/>
    <m/>
    <n v="125"/>
    <s v="Energy Only"/>
    <s v="IMPERIAL"/>
    <s v="CA"/>
    <s v="SDGE"/>
    <s v="Imperial Valley Substation 230 kV"/>
    <s v="Imperial"/>
    <n v="491"/>
    <x v="0"/>
    <n v="1"/>
    <s v="Greater Imperial"/>
    <d v="2018-09-01T07:00:00"/>
    <d v="2021-01-15T08:00:00"/>
    <s v="NA"/>
    <s v="Complete"/>
    <s v="Complete"/>
    <s v="NA"/>
    <s v="In Progress"/>
  </r>
  <r>
    <s v="SUN STREAMS SOLAR 2"/>
    <n v="1189"/>
    <d v="2015-04-28T00:00:00"/>
    <d v="2015-04-30T07:00:00"/>
    <s v="ACTIVE"/>
    <s v="C08"/>
    <x v="2"/>
    <m/>
    <s v="Solar"/>
    <m/>
    <n v="150"/>
    <m/>
    <n v="150"/>
    <s v="Full Capacity"/>
    <s v="MARICOPA"/>
    <s v="AZ"/>
    <s v="SDGE"/>
    <s v="Hassayampa Switchyard 500 kV common bus"/>
    <s v="Hassayampa"/>
    <e v="#N/A"/>
    <x v="0"/>
    <n v="1"/>
    <s v="Greater Imperial"/>
    <d v="2020-01-31T08:00:00"/>
    <d v="2020-01-31T08:00:00"/>
    <s v="NA"/>
    <s v="Complete"/>
    <s v="Complete"/>
    <s v="NA"/>
    <s v="In Progress"/>
  </r>
  <r>
    <s v="VALLEY CENTER RENEWABLE"/>
    <n v="1191"/>
    <d v="2015-04-30T00:00:00"/>
    <d v="2015-04-30T07:00:00"/>
    <s v="ACTIVE"/>
    <s v="C08"/>
    <x v="2"/>
    <m/>
    <s v="Solar"/>
    <m/>
    <n v="120"/>
    <m/>
    <n v="120"/>
    <s v="Full Capacity"/>
    <s v="SAN DIEGO"/>
    <s v="CA"/>
    <s v="SDGE"/>
    <s v="Valley Center Substation 69kV"/>
    <s v="Valley"/>
    <n v="315"/>
    <x v="0"/>
    <m/>
    <m/>
    <d v="2018-10-01T07:00:00"/>
    <d v="2021-12-15T08:00:00"/>
    <s v="NA"/>
    <s v="Complete"/>
    <s v="Complete"/>
    <s v="NA"/>
    <s v="In Progress"/>
  </r>
  <r>
    <s v="CRIMSON"/>
    <n v="1192"/>
    <d v="2015-04-29T00:00:00"/>
    <d v="2015-04-30T07:00:00"/>
    <s v="ACTIVE"/>
    <s v="C08"/>
    <x v="2"/>
    <s v="Storage"/>
    <s v="Solar"/>
    <s v="Battery"/>
    <n v="359.6"/>
    <n v="365"/>
    <n v="350"/>
    <s v="Full Capacity"/>
    <s v="RIVERSIDE"/>
    <s v="CA"/>
    <s v="SCE"/>
    <s v="Colorado River Substation 230kV"/>
    <s v="Colorado River"/>
    <n v="3171"/>
    <x v="5"/>
    <m/>
    <m/>
    <d v="2020-12-31T08:00:00"/>
    <d v="2021-09-30T07:00:00"/>
    <s v="NA"/>
    <s v="Complete"/>
    <s v="Complete"/>
    <s v="NA"/>
    <s v="Executed"/>
  </r>
  <r>
    <s v="ARLINGTON"/>
    <n v="1196"/>
    <d v="2015-04-30T00:00:00"/>
    <d v="2015-04-30T07:00:00"/>
    <s v="ACTIVE"/>
    <s v="C08"/>
    <x v="2"/>
    <m/>
    <s v="Solar"/>
    <m/>
    <n v="409.9"/>
    <m/>
    <n v="409.9"/>
    <s v="Full Capacity"/>
    <s v="RIVERSIDE"/>
    <s v="CA"/>
    <s v="SCE"/>
    <s v="Colorado River Substation 230kV"/>
    <s v="Colorado River"/>
    <n v="3171"/>
    <x v="5"/>
    <m/>
    <m/>
    <d v="2021-07-01T07:00:00"/>
    <d v="2023-07-01T07:00:00"/>
    <s v="NA"/>
    <s v="Complete"/>
    <s v="Complete"/>
    <s v="NA"/>
    <s v="Executed"/>
  </r>
  <r>
    <s v="QUARTZITE SOLAR 8"/>
    <n v="1198"/>
    <d v="2015-04-28T00:00:00"/>
    <d v="2015-04-30T07:00:00"/>
    <s v="ACTIVE"/>
    <s v="C08"/>
    <x v="2"/>
    <m/>
    <s v="Solar"/>
    <m/>
    <n v="150"/>
    <m/>
    <n v="150"/>
    <s v="Full Capacity"/>
    <s v="RIVERSIDE"/>
    <s v="CA"/>
    <s v="SCE"/>
    <s v="Colorado River Substation 220kV"/>
    <s v="Colorado River"/>
    <n v="3171"/>
    <x v="5"/>
    <m/>
    <m/>
    <d v="2020-12-01T08:00:00"/>
    <d v="2022-04-28T07:00:00"/>
    <s v="NA"/>
    <s v="Complete"/>
    <s v="Complete"/>
    <s v="NA"/>
    <s v="Executed"/>
  </r>
  <r>
    <s v="VICTORY PASS SOLAR"/>
    <n v="1200"/>
    <d v="2015-04-30T00:00:00"/>
    <d v="2015-04-30T07:00:00"/>
    <s v="ACTIVE"/>
    <s v="C08"/>
    <x v="2"/>
    <m/>
    <s v="Solar"/>
    <m/>
    <n v="200"/>
    <m/>
    <n v="200"/>
    <s v="Full Capacity"/>
    <s v="RIVERSIDE"/>
    <s v="CA"/>
    <s v="SCE"/>
    <s v="Red Bluff Substation 230kV"/>
    <s v="Red Bluff"/>
    <n v="1845"/>
    <x v="5"/>
    <n v="1"/>
    <s v="Riverside East"/>
    <d v="2018-12-31T08:00:00"/>
    <d v="2022-04-30T07:00:00"/>
    <s v="NA"/>
    <s v="Complete"/>
    <s v="Complete"/>
    <s v="NA"/>
    <s v="Executed"/>
  </r>
  <r>
    <s v="PEAK VALLEY SOLAR FARM"/>
    <n v="1204"/>
    <d v="2015-04-30T00:00:00"/>
    <d v="2015-04-30T07:00:00"/>
    <s v="ACTIVE"/>
    <s v="C08"/>
    <x v="2"/>
    <s v="Storage"/>
    <s v="Solar"/>
    <s v="Battery"/>
    <n v="200"/>
    <n v="200"/>
    <n v="200"/>
    <s v="Partial Deliverability"/>
    <s v="SAN BERNARDINO"/>
    <s v="CA"/>
    <s v="SCE"/>
    <s v="Kramer Substation 230kV"/>
    <s v="Kramer"/>
    <n v="1333"/>
    <x v="15"/>
    <m/>
    <m/>
    <d v="2020-06-01T07:00:00"/>
    <d v="2022-04-15T07:00:00"/>
    <s v="NA"/>
    <s v="Complete"/>
    <s v="Complete"/>
    <s v="NA"/>
    <s v="Executed"/>
  </r>
  <r>
    <s v="SIENNA SOLAR FARM"/>
    <n v="1207"/>
    <d v="2015-04-30T00:00:00"/>
    <d v="2015-04-30T07:00:00"/>
    <s v="ACTIVE"/>
    <s v="C08"/>
    <x v="2"/>
    <m/>
    <s v="Solar"/>
    <m/>
    <n v="200"/>
    <m/>
    <n v="200"/>
    <s v="Full Capacity"/>
    <s v="SAN BERNARDINO"/>
    <s v="CA"/>
    <s v="SCE"/>
    <s v="Calcite Substation 230kV"/>
    <s v="Calcite"/>
    <e v="#N/A"/>
    <x v="16"/>
    <n v="1"/>
    <s v="Pisgah"/>
    <d v="2020-06-01T07:00:00"/>
    <d v="2023-03-31T07:00:00"/>
    <s v="NA"/>
    <s v="Complete"/>
    <s v="Complete"/>
    <s v="NA"/>
    <s v="Executed"/>
  </r>
  <r>
    <s v="ANTELOPE SOLAR 2"/>
    <n v="1208"/>
    <d v="2015-04-30T00:00:00"/>
    <d v="2015-04-30T07:00:00"/>
    <s v="ACTIVE"/>
    <s v="C08"/>
    <x v="1"/>
    <s v="Photovoltaic"/>
    <s v="Battery"/>
    <s v="Solar"/>
    <n v="200"/>
    <n v="450"/>
    <n v="650"/>
    <s v="Full Capacity"/>
    <s v="LOS ANGELES"/>
    <s v="CA"/>
    <s v="SCE"/>
    <s v="Antelope Substation 220kV"/>
    <s v="Antelope"/>
    <n v="337"/>
    <x v="2"/>
    <n v="1"/>
    <s v="Tehachapi"/>
    <d v="2018-12-31T08:00:00"/>
    <d v="2021-03-31T07:00:00"/>
    <s v="NA"/>
    <s v="Complete"/>
    <s v="Complete"/>
    <s v="NA"/>
    <s v="Executed"/>
  </r>
  <r>
    <s v="ROSAMOND SOUTH EAST"/>
    <n v="1211"/>
    <d v="2015-04-30T00:00:00"/>
    <d v="2015-04-30T07:00:00"/>
    <s v="ACTIVE"/>
    <s v="C08"/>
    <x v="2"/>
    <m/>
    <s v="Solar"/>
    <m/>
    <n v="101.7"/>
    <m/>
    <n v="101.7"/>
    <s v="Full Capacity"/>
    <s v="KERN"/>
    <s v="CA"/>
    <s v="SCE"/>
    <s v="Whirlwind Substation 230kV"/>
    <s v="Whirlwind"/>
    <n v="3054"/>
    <x v="2"/>
    <m/>
    <m/>
    <d v="2018-06-30T07:00:00"/>
    <d v="2022-04-30T07:00:00"/>
    <s v="NA"/>
    <s v="Complete"/>
    <s v="Complete"/>
    <s v="NA"/>
    <s v="Executed"/>
  </r>
  <r>
    <s v="GOLDEN FIELDS SOLAR "/>
    <n v="1212"/>
    <d v="2015-04-30T00:00:00"/>
    <d v="2015-04-30T07:00:00"/>
    <s v="ACTIVE"/>
    <s v="C08"/>
    <x v="2"/>
    <m/>
    <s v="Solar"/>
    <m/>
    <n v="101.7"/>
    <m/>
    <n v="101.7"/>
    <s v="Full Capacity"/>
    <s v="KERN"/>
    <s v="CA"/>
    <s v="SCE"/>
    <s v="Whirlwind Substation 230kV "/>
    <s v="Whirlwind"/>
    <n v="3054"/>
    <x v="2"/>
    <m/>
    <m/>
    <d v="2018-06-30T07:00:00"/>
    <d v="2022-04-30T07:00:00"/>
    <s v="NA"/>
    <s v="Complete"/>
    <s v="Complete"/>
    <s v="NA"/>
    <s v="In Progress"/>
  </r>
  <r>
    <s v="RABBITBRUSH SOLAR"/>
    <n v="1215"/>
    <d v="2015-04-28T00:00:00"/>
    <d v="2015-04-30T07:00:00"/>
    <s v="ACTIVE"/>
    <s v="C08"/>
    <x v="2"/>
    <m/>
    <s v="Solar"/>
    <m/>
    <n v="153.72999999999999"/>
    <m/>
    <n v="153.72999999999999"/>
    <s v="Full Capacity"/>
    <s v="KERN"/>
    <s v="CA"/>
    <s v="SCE"/>
    <s v="Whirlwind Substation 230kV"/>
    <s v="Whirlwind"/>
    <n v="3054"/>
    <x v="2"/>
    <m/>
    <m/>
    <d v="2019-12-31T08:00:00"/>
    <d v="2021-12-31T08:00:00"/>
    <s v="NA"/>
    <s v="Complete"/>
    <s v="Complete"/>
    <s v="NA"/>
    <s v="Executed"/>
  </r>
  <r>
    <s v="WILLOW SPRINGS SOLAR 4"/>
    <n v="1217"/>
    <d v="2015-04-28T00:00:00"/>
    <d v="2015-04-30T07:00:00"/>
    <s v="ACTIVE"/>
    <s v="C08"/>
    <x v="2"/>
    <m/>
    <s v="Solar"/>
    <m/>
    <n v="101.96"/>
    <m/>
    <n v="75"/>
    <s v="Full Capacity"/>
    <s v="KERN"/>
    <s v="CA"/>
    <s v="SCE"/>
    <s v="Whirlwind Substation 230kV"/>
    <s v="Whirlwind"/>
    <n v="3054"/>
    <x v="2"/>
    <m/>
    <m/>
    <d v="2019-12-31T08:00:00"/>
    <d v="2021-06-30T07:00:00"/>
    <s v="NA"/>
    <s v="Complete"/>
    <s v="Complete"/>
    <s v="NA"/>
    <s v="Executed"/>
  </r>
  <r>
    <s v="NEVADA MOHAVE SOLAR"/>
    <n v="1218"/>
    <d v="2015-04-28T00:00:00"/>
    <d v="2015-04-30T07:00:00"/>
    <s v="ACTIVE"/>
    <s v="C08"/>
    <x v="2"/>
    <m/>
    <s v="Solar"/>
    <m/>
    <n v="400"/>
    <m/>
    <n v="400"/>
    <s v="Energy Only"/>
    <s v="CLARK"/>
    <s v="NV"/>
    <s v="SCE"/>
    <s v="Jointly-owned Mohave Switchyard 500kV "/>
    <s v="Mohave"/>
    <e v="#N/A"/>
    <x v="10"/>
    <n v="1"/>
    <s v="Southern NV / Southern CA Desert"/>
    <d v="2019-12-01T08:00:00"/>
    <d v="2024-06-15T07:00:00"/>
    <s v="NA"/>
    <s v="Complete"/>
    <s v="Complete"/>
    <s v="NA"/>
    <s v="In Progress"/>
  </r>
  <r>
    <s v="AGUA CALIENTE SOLAR 2"/>
    <n v="1222"/>
    <d v="2016-03-01T00:00:00"/>
    <d v="2016-03-08T08:00:00"/>
    <s v="ACTIVE"/>
    <s v="ISP"/>
    <x v="2"/>
    <m/>
    <s v="Solar"/>
    <m/>
    <n v="20"/>
    <m/>
    <n v="20"/>
    <s v="Energy Only"/>
    <s v="MARICOPA"/>
    <s v="AZ"/>
    <s v="SDGE"/>
    <s v="Hoodoo Wash Switchyard 500kV"/>
    <s v="Hoodoo"/>
    <e v="#N/A"/>
    <x v="0"/>
    <n v="1"/>
    <s v="Greater Imperial"/>
    <d v="2016-12-01T08:00:00"/>
    <d v="2016-12-01T08:00:00"/>
    <s v="NA"/>
    <m/>
    <m/>
    <s v="NA"/>
    <m/>
  </r>
  <r>
    <s v="AMERICAN KINGS 9"/>
    <n v="1223"/>
    <d v="2016-04-22T00:00:00"/>
    <d v="2016-05-02T07:00:00"/>
    <s v="ACTIVE"/>
    <s v="C09"/>
    <x v="2"/>
    <m/>
    <s v="Solar"/>
    <m/>
    <n v="310.70699999999999"/>
    <m/>
    <n v="300"/>
    <s v="Energy Only"/>
    <s v="KINGS"/>
    <s v="CA"/>
    <s v="PGAE"/>
    <s v="Mustang Switching Station 230kV"/>
    <s v="Mustang"/>
    <e v="#N/A"/>
    <x v="4"/>
    <n v="1"/>
    <s v="Westlands"/>
    <d v="2020-12-31T08:00:00"/>
    <d v="2023-07-18T07:00:00"/>
    <s v="NA"/>
    <s v="Complete"/>
    <s v="Complete"/>
    <s v="NA"/>
    <s v="In Progress"/>
  </r>
  <r>
    <s v="CINCO"/>
    <n v="1225"/>
    <d v="2016-04-27T00:00:00"/>
    <d v="2016-05-02T07:00:00"/>
    <s v="ACTIVE"/>
    <s v="C09"/>
    <x v="1"/>
    <s v="Photovoltaic"/>
    <s v="Battery"/>
    <s v="Solar"/>
    <n v="10.45"/>
    <n v="53.2"/>
    <n v="60"/>
    <s v="Energy Only"/>
    <s v="FRESNO"/>
    <s v="CA"/>
    <s v="PGAE"/>
    <s v="Five Points Substation 70 kV"/>
    <s v="Five Points"/>
    <e v="#N/A"/>
    <x v="6"/>
    <m/>
    <m/>
    <d v="2019-06-01T07:00:00"/>
    <d v="2021-12-31T08:00:00"/>
    <s v="NA"/>
    <s v="Complete"/>
    <s v="Complete"/>
    <s v="NA"/>
    <m/>
  </r>
  <r>
    <s v="HUDSON SOLAR 1"/>
    <n v="1235"/>
    <d v="2016-04-21T00:00:00"/>
    <d v="2016-05-02T07:00:00"/>
    <s v="ACTIVE"/>
    <s v="C09"/>
    <x v="2"/>
    <s v="Storage"/>
    <s v="Solar"/>
    <s v="Battery"/>
    <n v="86.64"/>
    <n v="99"/>
    <n v="85"/>
    <s v="Energy Only"/>
    <s v="FRESNO"/>
    <s v="CA"/>
    <s v="PGAE"/>
    <s v="Panoche Substation 115 kV"/>
    <s v="Panoche"/>
    <n v="212"/>
    <x v="4"/>
    <m/>
    <m/>
    <d v="2019-12-31T08:00:00"/>
    <d v="2022-12-31T08:00:00"/>
    <s v="NA"/>
    <s v="Complete"/>
    <s v="Complete"/>
    <s v="NA"/>
    <s v="Executed"/>
  </r>
  <r>
    <s v="MEDEIROS SOLAR"/>
    <n v="1239"/>
    <d v="2016-05-03T00:00:00"/>
    <d v="2016-05-02T07:00:00"/>
    <s v="ACTIVE"/>
    <s v="C09"/>
    <x v="2"/>
    <m/>
    <s v="Solar"/>
    <m/>
    <n v="28.35"/>
    <m/>
    <n v="26.5"/>
    <s v="Energy Only"/>
    <s v="MERCED"/>
    <s v="CA"/>
    <s v="PGAE"/>
    <s v="Los Banos - O'Neil PGP 70 kV Line"/>
    <s v="O'Neil"/>
    <e v="#N/A"/>
    <x v="1"/>
    <n v="1"/>
    <s v="Central Valley"/>
    <d v="2019-08-01T07:00:00"/>
    <d v="2019-08-01T07:00:00"/>
    <s v="NA"/>
    <s v="Complete"/>
    <s v="Complete"/>
    <s v="NA"/>
    <s v="In Progress"/>
  </r>
  <r>
    <s v="PLUOT"/>
    <n v="1242"/>
    <d v="2016-05-03T00:00:00"/>
    <d v="2016-05-02T07:00:00"/>
    <s v="ACTIVE"/>
    <s v="C09"/>
    <x v="2"/>
    <m/>
    <s v="Solar"/>
    <m/>
    <n v="254"/>
    <m/>
    <n v="246.4"/>
    <s v="Energy Only"/>
    <s v="KINGS"/>
    <s v="CA"/>
    <s v="PGAE"/>
    <s v="Gates 230 kV."/>
    <s v="Gates"/>
    <n v="193"/>
    <x v="4"/>
    <m/>
    <m/>
    <d v="2023-04-05T07:00:00"/>
    <d v="2023-04-05T07:00:00"/>
    <s v="NA"/>
    <s v="Complete"/>
    <s v="Complete"/>
    <s v="NA"/>
    <s v="In Progress"/>
  </r>
  <r>
    <s v="POMEGRANATE"/>
    <n v="1243"/>
    <d v="2016-05-03T00:00:00"/>
    <d v="2016-05-02T07:00:00"/>
    <s v="ACTIVE"/>
    <s v="C09"/>
    <x v="2"/>
    <m/>
    <s v="Solar"/>
    <m/>
    <n v="254"/>
    <m/>
    <n v="249.7"/>
    <s v="Energy Only"/>
    <s v="KINGS"/>
    <s v="CA"/>
    <s v="PGAE"/>
    <s v="Gates Substation 230kV"/>
    <s v="Gates"/>
    <n v="193"/>
    <x v="4"/>
    <m/>
    <m/>
    <d v="2022-04-06T07:00:00"/>
    <d v="2023-04-05T07:00:00"/>
    <s v="NA"/>
    <s v="Complete"/>
    <s v="Complete"/>
    <s v="NA"/>
    <s v="In Progress"/>
  </r>
  <r>
    <s v="PROXIMA SOLAR"/>
    <n v="1244"/>
    <d v="2016-04-30T00:00:00"/>
    <d v="2016-05-02T07:00:00"/>
    <s v="ACTIVE"/>
    <s v="C09"/>
    <x v="2"/>
    <s v="Storage"/>
    <s v="Solar"/>
    <s v="Battery"/>
    <n v="220"/>
    <n v="104.5"/>
    <n v="300"/>
    <s v="Full Capacity"/>
    <s v="STANISLAUS"/>
    <s v="CA"/>
    <s v="PGAE"/>
    <s v="Quinto-Westley 230 kV line"/>
    <s v="Quinto"/>
    <e v="#N/A"/>
    <x v="1"/>
    <n v="1"/>
    <s v="Central Valley"/>
    <d v="2020-03-10T07:00:00"/>
    <d v="2023-01-14T08:00:00"/>
    <s v="NA"/>
    <s v="Complete"/>
    <s v="Complete"/>
    <s v="NA"/>
    <s v="Executed"/>
  </r>
  <r>
    <s v="NORTHERN ORCHARD SOLAR 2"/>
    <n v="1259"/>
    <d v="2016-04-27T00:00:00"/>
    <d v="2016-05-02T07:00:00"/>
    <s v="ACTIVE"/>
    <s v="C09"/>
    <x v="2"/>
    <m/>
    <s v="Solar"/>
    <m/>
    <n v="133.6"/>
    <m/>
    <n v="130"/>
    <s v="Energy Only"/>
    <s v="KERN"/>
    <s v="CA"/>
    <s v="PGAE"/>
    <s v="Midway - Wheeler Ridge 230kV #2 line"/>
    <s v="Midway"/>
    <n v="298"/>
    <x v="9"/>
    <n v="1"/>
    <s v="Kern and Carrizo"/>
    <d v="2020-12-16T08:00:00"/>
    <d v="2021-12-31T08:00:00"/>
    <s v="NA"/>
    <s v="Complete"/>
    <s v="Complete"/>
    <s v="NA"/>
    <s v="In Progress"/>
  </r>
  <r>
    <s v="NORTHERN ORCHARD SOLAR 3"/>
    <n v="1260"/>
    <d v="2016-04-27T00:00:00"/>
    <d v="2016-05-02T07:00:00"/>
    <s v="ACTIVE"/>
    <s v="C09"/>
    <x v="2"/>
    <m/>
    <s v="Solar"/>
    <m/>
    <n v="102"/>
    <m/>
    <n v="100"/>
    <s v="Energy Only"/>
    <s v="KERN"/>
    <s v="CA"/>
    <s v="PGAE"/>
    <s v="Midway - Wheeler Ridge 230kV #2 line"/>
    <s v="Midway"/>
    <n v="298"/>
    <x v="9"/>
    <n v="1"/>
    <s v="Kern and Carrizo"/>
    <d v="2020-10-14T07:00:00"/>
    <d v="2021-12-31T08:00:00"/>
    <s v="NA"/>
    <s v="Complete"/>
    <s v="Complete"/>
    <s v="NA"/>
    <s v="In Progress"/>
  </r>
  <r>
    <s v="CAPETOWN HYBRID"/>
    <n v="1269"/>
    <d v="2016-04-29T00:00:00"/>
    <d v="2016-05-02T07:00:00"/>
    <s v="ACTIVE"/>
    <s v="C09"/>
    <x v="0"/>
    <m/>
    <s v="Wind Turbine"/>
    <m/>
    <n v="135.30000000000001"/>
    <m/>
    <n v="125"/>
    <s v="Energy Only"/>
    <s v="HUMBOLDT"/>
    <s v="CA"/>
    <s v="PGAE"/>
    <s v="Bridgeville 115 kV"/>
    <s v="Bridgeville"/>
    <n v="251"/>
    <x v="17"/>
    <m/>
    <m/>
    <d v="2019-12-31T08:00:00"/>
    <d v="2022-09-15T07:00:00"/>
    <s v="NA"/>
    <s v="Complete"/>
    <s v="Complete"/>
    <s v="NA"/>
    <s v="Executed"/>
  </r>
  <r>
    <s v="CORBY"/>
    <n v="1270"/>
    <d v="2016-04-27T00:00:00"/>
    <d v="2016-05-02T07:00:00"/>
    <s v="ACTIVE"/>
    <s v="C09"/>
    <x v="1"/>
    <m/>
    <s v="Battery"/>
    <m/>
    <n v="313.5"/>
    <m/>
    <n v="300"/>
    <s v="Full Capacity"/>
    <s v="SOLANO"/>
    <s v="CA"/>
    <s v="PGAE"/>
    <s v="Vaca-Dixon Substation 230kV"/>
    <s v="Vaca-Dixon"/>
    <e v="#N/A"/>
    <x v="6"/>
    <m/>
    <m/>
    <d v="2020-12-01T08:00:00"/>
    <d v="2022-06-01T07:00:00"/>
    <s v="NA"/>
    <s v="Complete"/>
    <s v="Complete"/>
    <s v="NA"/>
    <s v="In Progress"/>
  </r>
  <r>
    <s v="CASCADE ENERGY STORAGE"/>
    <n v="1272"/>
    <d v="2016-05-02T00:00:00"/>
    <d v="2016-05-02T07:00:00"/>
    <s v="ACTIVE"/>
    <s v="C09"/>
    <x v="1"/>
    <m/>
    <s v="Battery"/>
    <m/>
    <n v="25.2"/>
    <m/>
    <n v="25"/>
    <s v="Full Capacity"/>
    <s v="SAN JOAQUIN"/>
    <s v="CA"/>
    <s v="PGAE"/>
    <s v="Weber Substation 60kV "/>
    <s v="Weber"/>
    <n v="1526"/>
    <x v="1"/>
    <m/>
    <m/>
    <d v="2018-05-31T07:00:00"/>
    <d v="2021-12-31T08:00:00"/>
    <s v="NA"/>
    <s v="Complete"/>
    <s v="Complete"/>
    <s v="NA"/>
    <s v="Executed"/>
  </r>
  <r>
    <s v="KOLA"/>
    <n v="1275"/>
    <d v="2016-04-26T00:00:00"/>
    <d v="2016-05-02T07:00:00"/>
    <s v="ACTIVE"/>
    <s v="C09"/>
    <x v="1"/>
    <m/>
    <s v="Battery"/>
    <m/>
    <n v="418"/>
    <m/>
    <n v="418"/>
    <s v="Full Capacity"/>
    <s v="ALAMEDA"/>
    <s v="CA"/>
    <s v="PGAE"/>
    <s v="Tesla Substation 230kV"/>
    <s v="Tesla"/>
    <n v="31"/>
    <x v="3"/>
    <m/>
    <m/>
    <d v="2020-12-01T08:00:00"/>
    <d v="2023-04-10T07:00:00"/>
    <s v="NA"/>
    <s v="Complete"/>
    <s v="Complete"/>
    <s v="NA"/>
    <s v="Executed"/>
  </r>
  <r>
    <s v="MULQUEENEY RANCH WIND "/>
    <n v="1277"/>
    <d v="2016-05-02T00:00:00"/>
    <d v="2016-05-02T07:00:00"/>
    <s v="ACTIVE"/>
    <s v="C09"/>
    <x v="0"/>
    <m/>
    <s v="Wind Turbine"/>
    <m/>
    <n v="114"/>
    <m/>
    <n v="20"/>
    <s v="Full Capacity"/>
    <s v="ALAMEDA"/>
    <s v="CA"/>
    <s v="PGAE"/>
    <s v="Tesla 230 kV Bus &quot;C&quot;"/>
    <s v="Tesla"/>
    <n v="31"/>
    <x v="3"/>
    <m/>
    <m/>
    <d v="2020-03-01T08:00:00"/>
    <d v="2021-12-15T08:00:00"/>
    <s v="NA"/>
    <s v="Complete"/>
    <s v="Complete"/>
    <s v="NA"/>
    <s v="Executed"/>
  </r>
  <r>
    <s v="NORTHERN PINES"/>
    <n v="1278"/>
    <d v="2016-05-02T00:00:00"/>
    <d v="2016-05-02T07:00:00"/>
    <s v="ACTIVE"/>
    <s v="C09"/>
    <x v="2"/>
    <s v="Storage"/>
    <s v="Solar"/>
    <s v="Battery"/>
    <n v="20.6"/>
    <n v="27"/>
    <n v="46.018000000000001"/>
    <s v="Full Capacity"/>
    <s v="LASSEN"/>
    <s v="CA"/>
    <s v="PGAE"/>
    <s v="Westwood  60kV"/>
    <s v="Westwood"/>
    <n v="485"/>
    <x v="8"/>
    <m/>
    <m/>
    <d v="2020-12-31T08:00:00"/>
    <d v="2022-12-01T08:00:00"/>
    <s v="NA"/>
    <s v="Complete"/>
    <s v="Complete"/>
    <s v="NA"/>
    <s v="In Progress"/>
  </r>
  <r>
    <s v="WALKER RIDGE"/>
    <n v="1284"/>
    <d v="2016-05-23T00:00:00"/>
    <d v="2016-05-02T07:00:00"/>
    <s v="ACTIVE"/>
    <s v="C09"/>
    <x v="0"/>
    <m/>
    <s v="Wind Turbine"/>
    <m/>
    <n v="144.9"/>
    <m/>
    <n v="140.9"/>
    <s v="Partial Deliverability"/>
    <s v="LAKE"/>
    <s v="CA"/>
    <s v="PGAE"/>
    <s v="Cortina-Mendocino  and  Cortina-Eagle Rock 115kV Lines"/>
    <s v="Cortina"/>
    <n v="81"/>
    <x v="12"/>
    <m/>
    <m/>
    <d v="2019-02-01T08:00:00"/>
    <d v="2021-10-16T07:00:00"/>
    <s v="NA"/>
    <s v="Complete"/>
    <s v="Complete"/>
    <s v="NA"/>
    <s v="Executed"/>
  </r>
  <r>
    <s v="MESQUITE SOLAR 5"/>
    <n v="1291"/>
    <d v="2016-04-28T00:00:00"/>
    <d v="2016-05-02T07:00:00"/>
    <s v="ACTIVE"/>
    <s v="C09"/>
    <x v="1"/>
    <s v="Photovoltaic"/>
    <s v="Battery"/>
    <s v="Solar"/>
    <n v="20"/>
    <n v="300"/>
    <n v="300"/>
    <s v="Full Capacity"/>
    <s v="MARICOPA"/>
    <s v="AZ"/>
    <s v="SDGE"/>
    <s v="Hassayampa Switchyard 500kV common bus"/>
    <s v="Hassayampa"/>
    <e v="#N/A"/>
    <x v="0"/>
    <n v="1"/>
    <s v="Greater Imperial"/>
    <d v="2023-04-28T07:00:00"/>
    <d v="2023-04-28T07:00:00"/>
    <s v="NA"/>
    <s v="Complete"/>
    <s v="Complete"/>
    <s v="NA"/>
    <s v="Executed"/>
  </r>
  <r>
    <s v="SIGNAL PEAK"/>
    <n v="1293"/>
    <d v="2016-04-28T00:00:00"/>
    <d v="2016-05-02T07:00:00"/>
    <s v="ACTIVE"/>
    <s v="C09"/>
    <x v="2"/>
    <m/>
    <s v="Solar"/>
    <m/>
    <n v="400"/>
    <m/>
    <n v="400"/>
    <s v="Energy Only"/>
    <s v="YUMA"/>
    <s v="AZ"/>
    <s v="SDGE"/>
    <s v="Hoodoo Wash Switchyard 500 kV"/>
    <s v="Hoodoo"/>
    <e v="#N/A"/>
    <x v="0"/>
    <n v="1"/>
    <s v="Greater Imperial"/>
    <d v="2021-12-01T08:00:00"/>
    <d v="2021-12-01T08:00:00"/>
    <s v="NA"/>
    <s v="Complete"/>
    <s v="Complete"/>
    <s v="NA"/>
    <s v="In Progress"/>
  </r>
  <r>
    <s v="MARVEL"/>
    <n v="1295"/>
    <d v="2016-04-26T00:00:00"/>
    <d v="2016-05-02T07:00:00"/>
    <s v="ACTIVE"/>
    <s v="C09"/>
    <x v="1"/>
    <m/>
    <s v="Battery"/>
    <m/>
    <n v="405.85"/>
    <m/>
    <n v="400"/>
    <s v="Full Capacity"/>
    <s v="RIVERSIDE"/>
    <s v="CA"/>
    <s v="SCE"/>
    <s v="Devers Substation 230kV"/>
    <s v="Devers"/>
    <n v="1061"/>
    <x v="3"/>
    <m/>
    <m/>
    <d v="2022-04-01T07:00:00"/>
    <d v="2023-01-01T08:00:00"/>
    <s v="NA"/>
    <s v="Complete"/>
    <s v="Complete"/>
    <s v="NA"/>
    <s v="Executed"/>
  </r>
  <r>
    <s v="SOL CATCHER BESS"/>
    <n v="1302"/>
    <d v="2016-05-03T00:00:00"/>
    <d v="2016-05-02T07:00:00"/>
    <s v="ACTIVE"/>
    <s v="C09"/>
    <x v="1"/>
    <m/>
    <s v="Battery"/>
    <m/>
    <n v="220"/>
    <m/>
    <n v="213.5"/>
    <s v="Energy Only"/>
    <s v="RIVERSIDE"/>
    <s v="CA"/>
    <s v="SCE"/>
    <s v="Red Bluff 220 kV"/>
    <s v="Red Bluff"/>
    <n v="1845"/>
    <x v="5"/>
    <n v="1"/>
    <s v="Riverside East"/>
    <d v="2019-05-31T07:00:00"/>
    <d v="2021-06-30T07:00:00"/>
    <s v="NA"/>
    <s v="Complete"/>
    <s v="Complete"/>
    <s v="NA"/>
    <s v="In Progress"/>
  </r>
  <r>
    <s v="CALCITE SOLAR 1"/>
    <n v="1305"/>
    <d v="2016-04-22T00:00:00"/>
    <d v="2016-05-02T07:00:00"/>
    <s v="ACTIVE"/>
    <s v="C09"/>
    <x v="2"/>
    <s v="Storage"/>
    <s v="Solar"/>
    <s v="Battery"/>
    <n v="102.85"/>
    <n v="20.7"/>
    <n v="100"/>
    <s v="Energy Only"/>
    <s v="SAN BERNARDINO"/>
    <s v="CA"/>
    <s v="SCE"/>
    <s v="Calcite 230 kV Line"/>
    <s v="Calcite"/>
    <e v="#N/A"/>
    <x v="16"/>
    <n v="1"/>
    <s v="Pisgah"/>
    <d v="2020-08-01T07:00:00"/>
    <d v="2021-12-31T08:00:00"/>
    <s v="NA"/>
    <s v="Complete"/>
    <s v="Complete"/>
    <s v="NA"/>
    <s v="In Progress"/>
  </r>
  <r>
    <s v="DAGGETT SOLAR 1"/>
    <n v="1312"/>
    <d v="2016-04-28T00:00:00"/>
    <d v="2016-05-02T07:00:00"/>
    <s v="ACTIVE"/>
    <s v="C09"/>
    <x v="2"/>
    <s v="Storage"/>
    <s v="Solar"/>
    <s v="Battery"/>
    <n v="156"/>
    <n v="72"/>
    <n v="144"/>
    <s v="Full Capacity"/>
    <s v="SAN BERNARDINO"/>
    <s v="CA"/>
    <s v="SCE"/>
    <s v="Coolwater Substation 115kV"/>
    <s v="Coolwater"/>
    <e v="#N/A"/>
    <x v="18"/>
    <n v="1"/>
    <s v="Greater Kramer"/>
    <d v="2020-06-30T07:00:00"/>
    <d v="2021-12-15T08:00:00"/>
    <s v="NA"/>
    <s v="Complete"/>
    <s v="Complete"/>
    <s v="NA"/>
    <s v="Executed"/>
  </r>
  <r>
    <s v="DAGGETT SOLAR 2"/>
    <n v="1313"/>
    <d v="2016-04-28T00:00:00"/>
    <d v="2016-05-02T07:00:00"/>
    <s v="ACTIVE"/>
    <s v="C09"/>
    <x v="2"/>
    <s v="Storage"/>
    <s v="Solar"/>
    <s v="Battery"/>
    <n v="197.6"/>
    <n v="96"/>
    <n v="182"/>
    <s v="Full Capacity"/>
    <s v="SAN BERNARDINO"/>
    <s v="CA"/>
    <s v="SCE"/>
    <s v="Kramer Substation 230kV"/>
    <s v="Kramer"/>
    <n v="1333"/>
    <x v="15"/>
    <m/>
    <m/>
    <d v="2020-06-30T07:00:00"/>
    <d v="2023-04-15T07:00:00"/>
    <s v="NA"/>
    <s v="Complete"/>
    <s v="Complete"/>
    <s v="NA"/>
    <s v="Executed"/>
  </r>
  <r>
    <s v="DAGGETT SOLAR 3"/>
    <n v="1314"/>
    <d v="2016-04-28T00:00:00"/>
    <d v="2016-05-02T07:00:00"/>
    <s v="ACTIVE"/>
    <s v="C09"/>
    <x v="2"/>
    <s v="Storage"/>
    <s v="Solar"/>
    <s v="Battery"/>
    <n v="324.48"/>
    <n v="150"/>
    <n v="300"/>
    <s v="Full Capacity"/>
    <s v="SAN BERNARDINO"/>
    <s v="CA"/>
    <s v="SCE"/>
    <s v="Kramer Substation 230kV"/>
    <s v="Kramer"/>
    <n v="1333"/>
    <x v="15"/>
    <m/>
    <m/>
    <d v="2020-06-30T07:00:00"/>
    <d v="2023-04-15T07:00:00"/>
    <s v="NA"/>
    <s v="Complete"/>
    <s v="Complete"/>
    <s v="NA"/>
    <s v="Executed"/>
  </r>
  <r>
    <s v="WILLY 9"/>
    <n v="1319"/>
    <d v="2016-04-25T00:00:00"/>
    <d v="2016-05-02T07:00:00"/>
    <s v="ACTIVE"/>
    <s v="C09"/>
    <x v="2"/>
    <m/>
    <s v="Solar"/>
    <m/>
    <n v="259.84199999999998"/>
    <m/>
    <n v="250"/>
    <s v="Full Capacity"/>
    <s v="KERN"/>
    <s v="CA"/>
    <s v="SCE"/>
    <s v="Whirlwind Substation 230kV"/>
    <s v="Whirlwind"/>
    <n v="3054"/>
    <x v="2"/>
    <m/>
    <m/>
    <d v="2020-12-31T08:00:00"/>
    <d v="2021-07-31T07:00:00"/>
    <s v="NA"/>
    <s v="Complete"/>
    <s v="Complete"/>
    <s v="NA"/>
    <s v="Executed"/>
  </r>
  <r>
    <s v="SOLAR STAR 3"/>
    <n v="1322"/>
    <d v="2016-04-25T00:00:00"/>
    <d v="2016-05-02T07:00:00"/>
    <s v="ACTIVE"/>
    <s v="C09"/>
    <x v="1"/>
    <s v="Photovoltaic"/>
    <s v="Battery"/>
    <s v="Solar"/>
    <n v="24.95"/>
    <n v="25"/>
    <n v="24"/>
    <s v="Full Capacity"/>
    <s v="KERN"/>
    <s v="CA"/>
    <s v="SCE"/>
    <s v="Whirlwind Substation 230kV"/>
    <s v="Whirlwind"/>
    <n v="3054"/>
    <x v="2"/>
    <m/>
    <m/>
    <d v="2021-12-31T08:00:00"/>
    <d v="2021-12-30T08:00:00"/>
    <s v="NA"/>
    <s v="Complete"/>
    <s v="Complete"/>
    <s v="NA"/>
    <s v="Executed"/>
  </r>
  <r>
    <s v="SOLAR STAR 4"/>
    <n v="1323"/>
    <d v="2016-04-25T00:00:00"/>
    <d v="2016-05-02T07:00:00"/>
    <s v="ACTIVE"/>
    <s v="C09"/>
    <x v="1"/>
    <s v="Photovoltaic"/>
    <s v="Battery"/>
    <s v="Solar"/>
    <n v="24.95"/>
    <n v="25.05"/>
    <n v="24"/>
    <s v="Full Capacity"/>
    <s v="KERN"/>
    <s v="CA"/>
    <s v="SCE"/>
    <s v="Whirlwind Substation 230kV"/>
    <s v="Whirlwind"/>
    <n v="3054"/>
    <x v="2"/>
    <m/>
    <m/>
    <d v="2021-12-31T08:00:00"/>
    <d v="2021-12-30T08:00:00"/>
    <s v="NA"/>
    <s v="Complete"/>
    <s v="Complete"/>
    <s v="NA"/>
    <s v="Executed"/>
  </r>
  <r>
    <s v="SAGEBRUSH SOLAR 3"/>
    <n v="1324"/>
    <d v="2016-04-27T00:00:00"/>
    <d v="2016-05-02T07:00:00"/>
    <s v="ACTIVE"/>
    <s v="C09"/>
    <x v="2"/>
    <m/>
    <s v="Solar"/>
    <m/>
    <n v="311.39999999999998"/>
    <m/>
    <n v="300"/>
    <s v="Full Capacity"/>
    <s v="KERN"/>
    <s v="CA"/>
    <s v="SCE"/>
    <s v="Windhub Substation 230kV"/>
    <s v="Windhub"/>
    <n v="2978"/>
    <x v="2"/>
    <m/>
    <m/>
    <d v="2019-12-31T08:00:00"/>
    <d v="2022-06-01T07:00:00"/>
    <s v="NA"/>
    <s v="Complete"/>
    <s v="Complete"/>
    <s v="NA"/>
    <s v="In Progress"/>
  </r>
  <r>
    <s v="SAGEBRUSH SOLAR 2"/>
    <n v="1325"/>
    <d v="2016-04-27T00:00:00"/>
    <d v="2016-05-02T07:00:00"/>
    <s v="ACTIVE"/>
    <s v="C09"/>
    <x v="2"/>
    <m/>
    <s v="Solar"/>
    <m/>
    <n v="208"/>
    <m/>
    <n v="200"/>
    <s v="Energy Only"/>
    <s v="KERN"/>
    <s v="CA"/>
    <s v="SCE"/>
    <s v="Vincent Substation 230kV"/>
    <s v="Vincent"/>
    <n v="757"/>
    <x v="2"/>
    <m/>
    <m/>
    <d v="2019-12-31T08:00:00"/>
    <d v="2022-06-01T07:00:00"/>
    <s v="NA"/>
    <s v="Complete"/>
    <s v="Complete"/>
    <s v="NA"/>
    <s v="In Progress"/>
  </r>
  <r>
    <s v="CYCLONE SOLAR"/>
    <n v="1327"/>
    <d v="2016-04-29T00:00:00"/>
    <d v="2016-05-02T07:00:00"/>
    <s v="ACTIVE"/>
    <s v="C09"/>
    <x v="2"/>
    <m/>
    <s v="Solar"/>
    <m/>
    <n v="57.95"/>
    <m/>
    <n v="56.87"/>
    <s v="Full Capacity"/>
    <s v="KERN"/>
    <s v="CA"/>
    <s v="SCE"/>
    <s v="Whirlwind Substation 230kV"/>
    <s v="Whirlwind"/>
    <n v="3054"/>
    <x v="2"/>
    <m/>
    <m/>
    <d v="2019-07-01T07:00:00"/>
    <d v="2021-03-31T07:00:00"/>
    <s v="NA"/>
    <s v="Complete"/>
    <s v="Complete"/>
    <s v="NA"/>
    <s v="In Progress"/>
  </r>
  <r>
    <s v="TROPICO SOLAR"/>
    <n v="1329"/>
    <d v="2016-04-29T00:00:00"/>
    <d v="2016-05-02T07:00:00"/>
    <s v="ACTIVE"/>
    <s v="C09"/>
    <x v="2"/>
    <s v="Storage"/>
    <s v="Solar"/>
    <s v="Battery"/>
    <n v="112.26600000000001"/>
    <n v="40"/>
    <n v="110"/>
    <s v="Full Capacity"/>
    <s v="KERN"/>
    <s v="CA"/>
    <s v="SCE"/>
    <s v="Whirlwind Substation 230 kV "/>
    <s v="Whirlwind"/>
    <n v="3054"/>
    <x v="2"/>
    <m/>
    <m/>
    <d v="2021-12-01T08:00:00"/>
    <d v="2021-12-01T08:00:00"/>
    <s v="NA"/>
    <s v="Complete"/>
    <s v="Complete"/>
    <s v="NA"/>
    <s v="Executed"/>
  </r>
  <r>
    <s v="CLOVER ENERGY STORAGE PLANT"/>
    <n v="1330"/>
    <d v="2016-05-02T00:00:00"/>
    <d v="2016-05-02T07:00:00"/>
    <s v="ACTIVE"/>
    <s v="C09"/>
    <x v="1"/>
    <m/>
    <s v="Battery"/>
    <m/>
    <n v="300"/>
    <m/>
    <n v="120"/>
    <s v="Full Capacity"/>
    <s v="LOS ANGELES"/>
    <s v="CA"/>
    <s v="SCE"/>
    <s v="Antelope Substation 66kV"/>
    <s v="Antelope"/>
    <n v="337"/>
    <x v="2"/>
    <n v="1"/>
    <s v="Tehachapi"/>
    <d v="2019-06-01T07:00:00"/>
    <d v="2022-12-01T08:00:00"/>
    <s v="NA"/>
    <s v="Complete"/>
    <s v="Complete"/>
    <s v="NA"/>
    <s v="Executed"/>
  </r>
  <r>
    <s v="PASTORIA SOLAR"/>
    <n v="1335"/>
    <d v="2016-05-02T00:00:00"/>
    <d v="2016-05-02T07:00:00"/>
    <s v="ACTIVE"/>
    <s v="C09"/>
    <x v="2"/>
    <m/>
    <s v="Solar"/>
    <m/>
    <n v="106.875"/>
    <m/>
    <n v="105.2"/>
    <s v="Full Capacity"/>
    <s v="KERN"/>
    <s v="CA"/>
    <s v="SCE"/>
    <s v="Pastoria Substation 230kV"/>
    <s v="Pastoria"/>
    <n v="443"/>
    <x v="3"/>
    <m/>
    <m/>
    <d v="2019-09-01T07:00:00"/>
    <d v="2021-04-17T07:00:00"/>
    <s v="NA"/>
    <s v="Complete"/>
    <s v="Complete"/>
    <s v="NA"/>
    <s v="Executed"/>
  </r>
  <r>
    <s v="SOUTHLAND"/>
    <n v="1336"/>
    <d v="2016-04-27T00:00:00"/>
    <d v="2016-05-02T07:00:00"/>
    <s v="ACTIVE"/>
    <s v="C09"/>
    <x v="2"/>
    <m/>
    <s v="Solar"/>
    <m/>
    <n v="380.1"/>
    <m/>
    <n v="375"/>
    <s v="Full Capacity"/>
    <s v="CLARK"/>
    <s v="NV"/>
    <s v="SCE"/>
    <s v="Mohave Substation 500kV"/>
    <s v="Mohave"/>
    <e v="#N/A"/>
    <x v="10"/>
    <n v="1"/>
    <s v="Southern NV / Southern CA Desert"/>
    <d v="2019-12-01T08:00:00"/>
    <d v="2023-04-26T07:00:00"/>
    <s v="NA"/>
    <s v="Complete"/>
    <s v="Complete"/>
    <s v="NA"/>
    <s v="In Progress"/>
  </r>
  <r>
    <s v="TECHREN SOLAR"/>
    <n v="1339"/>
    <d v="2016-04-29T00:00:00"/>
    <d v="2016-05-02T07:00:00"/>
    <s v="ACTIVE"/>
    <s v="C09"/>
    <x v="2"/>
    <m/>
    <s v="Solar"/>
    <m/>
    <n v="300"/>
    <m/>
    <n v="300"/>
    <s v="Full Capacity"/>
    <s v="CLARK"/>
    <s v="NV"/>
    <s v="SCE"/>
    <s v="SCE owned Eldorado Bus 230kV"/>
    <s v="Eldorado"/>
    <e v="#N/A"/>
    <x v="19"/>
    <n v="1"/>
    <s v="Southern NV / Southern CA Desert"/>
    <d v="2019-07-31T07:00:00"/>
    <d v="2021-03-13T08:00:00"/>
    <s v="NA"/>
    <s v="Complete"/>
    <s v="Complete"/>
    <s v="NA"/>
    <s v="Executed"/>
  </r>
  <r>
    <s v="YELLOW PINE 2"/>
    <n v="1341"/>
    <d v="2016-04-26T00:00:00"/>
    <d v="2016-05-02T07:00:00"/>
    <s v="ACTIVE"/>
    <s v="C09"/>
    <x v="2"/>
    <m/>
    <s v="Solar"/>
    <m/>
    <n v="254.05"/>
    <m/>
    <n v="250"/>
    <s v="Full Capacity"/>
    <s v="CLARK"/>
    <s v="NV"/>
    <s v="GWT"/>
    <s v="Crazy Eyes Substation 230kV"/>
    <s v="Crazy Eyes"/>
    <e v="#N/A"/>
    <x v="10"/>
    <n v="1"/>
    <s v="Southern NV / Southern CA Desert"/>
    <d v="2019-12-01T08:00:00"/>
    <d v="2021-05-15T07:00:00"/>
    <s v="NA"/>
    <s v="Complete"/>
    <s v="Complete"/>
    <s v="NA"/>
    <s v="Executed"/>
  </r>
  <r>
    <s v="CRESCENT PEAK "/>
    <n v="1347"/>
    <d v="2016-05-02T00:00:00"/>
    <d v="2016-05-02T07:00:00"/>
    <s v="ACTIVE"/>
    <s v="C09"/>
    <x v="0"/>
    <m/>
    <s v="Wind Turbine"/>
    <m/>
    <n v="310"/>
    <m/>
    <n v="303"/>
    <s v="Partial Deliverability"/>
    <s v="CLARK"/>
    <s v="NV"/>
    <s v="GWT"/>
    <s v="Sloan Canyon Switching Station 230kV"/>
    <s v="Sloan"/>
    <e v="#N/A"/>
    <x v="10"/>
    <n v="1"/>
    <s v="Southern NV / Southern CA Desert"/>
    <d v="2019-07-31T07:00:00"/>
    <d v="2021-11-30T08:00:00"/>
    <s v="NA"/>
    <s v="Complete"/>
    <s v="Complete"/>
    <s v="NA"/>
    <s v="Executed"/>
  </r>
  <r>
    <s v="ARAMIS POWER PLANT"/>
    <n v="1349"/>
    <d v="2017-04-28T00:00:00"/>
    <d v="2017-05-01T07:00:00"/>
    <s v="ACTIVE"/>
    <s v="C10"/>
    <x v="2"/>
    <s v="Storage"/>
    <s v="Solar"/>
    <s v="Battery"/>
    <n v="101.4"/>
    <n v="101.3"/>
    <n v="100"/>
    <s v="Full Capacity"/>
    <s v="ALAMEDA"/>
    <s v="CA"/>
    <s v="PGAE"/>
    <s v="Cayetano Substation 230kV"/>
    <s v="Cayetano"/>
    <n v="2036"/>
    <x v="12"/>
    <m/>
    <m/>
    <d v="2020-12-31T08:00:00"/>
    <d v="2023-06-30T07:00:00"/>
    <s v="NA"/>
    <s v="Complete"/>
    <s v="Complete"/>
    <s v="NA"/>
    <s v="Executed"/>
  </r>
  <r>
    <s v="BELTRAN CENTRAL SOLAR"/>
    <n v="1350"/>
    <d v="2017-05-01T00:00:00"/>
    <d v="2017-05-01T07:00:00"/>
    <s v="ACTIVE"/>
    <s v="C10"/>
    <x v="2"/>
    <m/>
    <s v="Solar"/>
    <m/>
    <n v="20.32"/>
    <m/>
    <n v="20"/>
    <s v="Full Capacity"/>
    <s v="STANISLAUS"/>
    <s v="CA"/>
    <s v="PGAE"/>
    <s v="Crow Creek Switching Station 60kV"/>
    <s v="Crow Creek"/>
    <e v="#N/A"/>
    <x v="6"/>
    <m/>
    <m/>
    <d v="2019-12-31T08:00:00"/>
    <d v="2022-02-14T08:00:00"/>
    <s v="NA"/>
    <s v="Complete"/>
    <s v="Complete"/>
    <s v="NA"/>
    <s v="In Progress"/>
  </r>
  <r>
    <s v="EAST-BAY-WIND"/>
    <n v="1354"/>
    <d v="2017-04-25T00:00:00"/>
    <d v="2017-05-01T07:00:00"/>
    <s v="ACTIVE"/>
    <s v="C10"/>
    <x v="0"/>
    <m/>
    <s v="Wind Turbine"/>
    <m/>
    <n v="153.02000000000001"/>
    <m/>
    <n v="150"/>
    <s v="Full Capacity"/>
    <s v="ALAMEDA"/>
    <s v="CA"/>
    <s v="PGAE"/>
    <s v="Tesla Substation 230kV"/>
    <s v="Tesla"/>
    <n v="31"/>
    <x v="3"/>
    <m/>
    <m/>
    <d v="2020-12-01T08:00:00"/>
    <d v="2023-02-14T08:00:00"/>
    <s v="NA"/>
    <s v="Complete"/>
    <s v="Complete"/>
    <s v="NA"/>
    <m/>
  </r>
  <r>
    <s v="SAND HILL C"/>
    <n v="1363"/>
    <d v="2017-04-29T00:00:00"/>
    <d v="2017-05-01T07:00:00"/>
    <s v="ACTIVE"/>
    <s v="C10"/>
    <x v="0"/>
    <m/>
    <s v="Wind Turbine"/>
    <m/>
    <n v="84.25"/>
    <m/>
    <n v="80.8"/>
    <s v="Full Capacity"/>
    <s v="ALAMEDA"/>
    <s v="CA"/>
    <s v="PGAE"/>
    <s v="Delta Switching Yard-Tesla 230kV line"/>
    <s v="Delta"/>
    <e v="#N/A"/>
    <x v="12"/>
    <n v="1"/>
    <s v="Norcal_Z4_Solano"/>
    <d v="2019-12-31T08:00:00"/>
    <d v="2021-04-17T07:00:00"/>
    <s v="NA"/>
    <s v="Complete"/>
    <s v="Complete"/>
    <s v="NA"/>
    <s v="Executed"/>
  </r>
  <r>
    <s v="WEST FORD FLAT ENERGY STORAGE"/>
    <n v="1367"/>
    <d v="2017-04-28T00:00:00"/>
    <d v="2017-05-01T07:00:00"/>
    <s v="ACTIVE"/>
    <s v="C10"/>
    <x v="1"/>
    <m/>
    <s v="Battery"/>
    <m/>
    <n v="26.25"/>
    <m/>
    <n v="25"/>
    <s v="Full Capacity"/>
    <s v="LAKE"/>
    <s v="CA"/>
    <s v="PGAE"/>
    <s v="Fulton Substation 230kV"/>
    <s v="Fulton"/>
    <n v="1758"/>
    <x v="12"/>
    <m/>
    <m/>
    <d v="2020-01-01T08:00:00"/>
    <d v="2021-05-18T07:00:00"/>
    <s v="NA"/>
    <s v="Complete"/>
    <s v="Complete"/>
    <s v="NA"/>
    <m/>
  </r>
  <r>
    <s v="WILBUR ENERGY STORAGE"/>
    <n v="1368"/>
    <d v="2017-05-01T00:00:00"/>
    <d v="2017-05-01T07:00:00"/>
    <s v="ACTIVE"/>
    <s v="C10"/>
    <x v="1"/>
    <m/>
    <s v="Battery"/>
    <m/>
    <n v="94.5"/>
    <m/>
    <n v="91.3"/>
    <s v="Full Capacity"/>
    <s v="CONTRA COSTA"/>
    <s v="CA"/>
    <s v="PGAE"/>
    <s v="Contra Costa Switchyard 230kV"/>
    <s v="Contra Costa"/>
    <n v="108"/>
    <x v="12"/>
    <m/>
    <m/>
    <d v="2020-10-31T07:00:00"/>
    <d v="2023-11-13T08:00:00"/>
    <s v="NA"/>
    <s v="Complete"/>
    <s v="Complete"/>
    <s v="NA"/>
    <m/>
  </r>
  <r>
    <s v="ELKHORN ENERGY STORAGE"/>
    <n v="1374"/>
    <d v="2017-05-01T00:00:00"/>
    <d v="2017-05-01T07:00:00"/>
    <s v="ACTIVE"/>
    <s v="C10"/>
    <x v="1"/>
    <m/>
    <s v="Battery"/>
    <m/>
    <n v="189"/>
    <m/>
    <n v="182.5"/>
    <s v="Full Capacity"/>
    <s v="MONTEREY"/>
    <s v="CA"/>
    <s v="PGAE"/>
    <s v="Moss Landing Substation 115kV"/>
    <s v="Moss Landing"/>
    <e v="#N/A"/>
    <x v="13"/>
    <n v="1"/>
    <s v="None "/>
    <d v="2020-10-31T07:00:00"/>
    <d v="2020-10-31T07:00:00"/>
    <s v="NA"/>
    <s v="Complete"/>
    <s v="Complete"/>
    <s v="NA"/>
    <s v="Filed Unexecuted"/>
  </r>
  <r>
    <s v="GONZAGA WIND FARM"/>
    <n v="1378"/>
    <d v="2017-04-27T00:00:00"/>
    <d v="2017-05-01T07:00:00"/>
    <s v="ACTIVE"/>
    <s v="C10"/>
    <x v="0"/>
    <m/>
    <s v="Wind Turbine"/>
    <m/>
    <n v="80"/>
    <m/>
    <n v="76.349999999999994"/>
    <s v="Energy Only"/>
    <s v="MERCED"/>
    <s v="CA"/>
    <s v="PGAE"/>
    <s v="Los Banos Substation 70kV"/>
    <s v="Los Banos"/>
    <n v="841"/>
    <x v="4"/>
    <m/>
    <m/>
    <d v="2020-10-09T07:00:00"/>
    <d v="2023-10-16T07:00:00"/>
    <s v="NA"/>
    <s v="Complete"/>
    <s v="Complete"/>
    <s v="NA"/>
    <s v="Executed"/>
  </r>
  <r>
    <s v="HEARTLAND 1"/>
    <n v="1379"/>
    <d v="2017-04-26T00:00:00"/>
    <d v="2017-05-01T07:00:00"/>
    <s v="ACTIVE"/>
    <s v="C10"/>
    <x v="2"/>
    <m/>
    <s v="Solar"/>
    <m/>
    <n v="156.04"/>
    <m/>
    <n v="150"/>
    <s v="Energy Only"/>
    <s v="FRESNO"/>
    <s v="CA"/>
    <s v="PGAE"/>
    <s v="Tranquility Switching Station 230kV"/>
    <s v="Tranquility"/>
    <e v="#N/A"/>
    <x v="4"/>
    <n v="1"/>
    <s v="Westlands"/>
    <d v="2021-09-01T07:00:00"/>
    <d v="2023-12-31T08:00:00"/>
    <s v="NA"/>
    <s v="Complete"/>
    <s v="Complete"/>
    <s v="NA"/>
    <s v="In Progress"/>
  </r>
  <r>
    <s v="HEARTLAND 2"/>
    <n v="1380"/>
    <d v="2017-04-26T00:00:00"/>
    <d v="2017-05-01T07:00:00"/>
    <s v="ACTIVE"/>
    <s v="C10"/>
    <x v="2"/>
    <m/>
    <s v="Solar"/>
    <m/>
    <n v="156.05000000000001"/>
    <m/>
    <n v="150"/>
    <s v="Energy Only"/>
    <s v="FRESNO"/>
    <s v="CA"/>
    <s v="PGAE"/>
    <s v="Tranquility Switching Station 230kV"/>
    <s v="Tranquility"/>
    <e v="#N/A"/>
    <x v="4"/>
    <n v="1"/>
    <s v="Westlands"/>
    <d v="2021-09-01T07:00:00"/>
    <d v="2021-09-01T07:00:00"/>
    <s v="NA"/>
    <s v="Complete"/>
    <s v="Complete"/>
    <s v="NA"/>
    <s v="In Progress"/>
  </r>
  <r>
    <s v="LAS CAMAS 1"/>
    <n v="1382"/>
    <d v="2017-04-29T00:00:00"/>
    <d v="2017-05-01T07:00:00"/>
    <s v="ACTIVE"/>
    <s v="C10"/>
    <x v="2"/>
    <m/>
    <s v="Solar"/>
    <m/>
    <n v="102.5"/>
    <m/>
    <n v="100"/>
    <s v="Full Capacity"/>
    <s v="MERCED"/>
    <s v="CA"/>
    <s v="PGAE"/>
    <s v="Los Banos Substation 230kV"/>
    <s v="Los Banos"/>
    <n v="841"/>
    <x v="4"/>
    <m/>
    <m/>
    <d v="2021-11-30T08:00:00"/>
    <d v="2021-11-30T08:00:00"/>
    <s v="NA"/>
    <s v="Complete"/>
    <s v="Complete"/>
    <s v="NA"/>
    <m/>
  </r>
  <r>
    <s v="VANGUARD SOLAR BESS"/>
    <n v="1385"/>
    <d v="2017-04-29T00:00:00"/>
    <d v="2017-05-01T07:00:00"/>
    <s v="ACTIVE"/>
    <s v="C10"/>
    <x v="1"/>
    <s v="Photovoltaic"/>
    <s v="Battery"/>
    <s v="Solar"/>
    <n v="47"/>
    <n v="153.315"/>
    <n v="150"/>
    <s v="Full Capacity"/>
    <s v="FRESNO"/>
    <s v="CA"/>
    <s v="PGAE"/>
    <s v="Mustang Switching Station 230 kV"/>
    <s v="Mustang"/>
    <e v="#N/A"/>
    <x v="4"/>
    <n v="1"/>
    <s v="Westlands"/>
    <d v="2020-07-01T07:00:00"/>
    <d v="2025-03-31T07:00:00"/>
    <s v="NA"/>
    <s v="Complete"/>
    <s v="Complete"/>
    <s v="NA"/>
    <m/>
  </r>
  <r>
    <s v="REDUX SOLAR"/>
    <n v="1389"/>
    <d v="2017-05-01T00:00:00"/>
    <d v="2017-05-01T07:00:00"/>
    <s v="ACTIVE"/>
    <s v="C10"/>
    <x v="2"/>
    <m/>
    <s v="Solar"/>
    <m/>
    <n v="128.24"/>
    <m/>
    <n v="125"/>
    <s v="Full Capacity"/>
    <s v="FRESNO"/>
    <s v="CA"/>
    <s v="PGAE"/>
    <s v="Gates Substation 230kV"/>
    <s v="Gates"/>
    <n v="193"/>
    <x v="4"/>
    <m/>
    <m/>
    <d v="2020-12-30T08:00:00"/>
    <d v="2023-10-15T07:00:00"/>
    <s v="NA"/>
    <s v="Complete"/>
    <s v="Complete"/>
    <s v="NA"/>
    <m/>
  </r>
  <r>
    <s v="SONRISA"/>
    <n v="1391"/>
    <d v="2017-04-29T00:00:00"/>
    <d v="2017-05-01T07:00:00"/>
    <s v="ACTIVE"/>
    <s v="C10"/>
    <x v="2"/>
    <m/>
    <s v="Solar"/>
    <m/>
    <n v="205.1"/>
    <m/>
    <n v="200"/>
    <s v="Full Capacity"/>
    <s v="FRESNO"/>
    <s v="CA"/>
    <s v="PGAE"/>
    <s v="Tranquility Switching Station 230kV"/>
    <s v="Tranquility"/>
    <e v="#N/A"/>
    <x v="4"/>
    <n v="1"/>
    <s v="Westlands"/>
    <d v="2021-11-30T08:00:00"/>
    <d v="2023-10-15T07:00:00"/>
    <s v="NA"/>
    <s v="Complete"/>
    <s v="Complete"/>
    <s v="NA"/>
    <m/>
  </r>
  <r>
    <s v="WARRIORS SOLAR"/>
    <n v="1392"/>
    <d v="2017-04-28T00:00:00"/>
    <d v="2017-05-01T07:00:00"/>
    <s v="ACTIVE"/>
    <s v="C10"/>
    <x v="2"/>
    <m/>
    <s v="Solar"/>
    <m/>
    <n v="40.69"/>
    <m/>
    <n v="40"/>
    <s v="Full Capacity"/>
    <s v="FRESNO"/>
    <s v="CA"/>
    <s v="PGAE"/>
    <s v="Crescent Switching Station 70kV"/>
    <s v="Crescent"/>
    <e v="#N/A"/>
    <x v="6"/>
    <m/>
    <m/>
    <d v="2021-11-01T07:00:00"/>
    <d v="2021-11-01T07:00:00"/>
    <s v="NA"/>
    <s v="Complete"/>
    <s v="Complete"/>
    <s v="NA"/>
    <m/>
  </r>
  <r>
    <s v="DRIFTWOOD STELLA"/>
    <n v="1394"/>
    <d v="2017-04-29T00:00:00"/>
    <d v="2017-05-01T07:00:00"/>
    <s v="ACTIVE"/>
    <s v="C10"/>
    <x v="2"/>
    <m/>
    <s v="Solar"/>
    <m/>
    <n v="207.4"/>
    <m/>
    <n v="200"/>
    <s v="Full Capacity"/>
    <s v="KERN"/>
    <s v="CA"/>
    <s v="PGAE"/>
    <s v="Midway Substation 115kV"/>
    <s v="Midway"/>
    <n v="298"/>
    <x v="9"/>
    <n v="1"/>
    <s v="Kern and Carrizo"/>
    <d v="2021-11-30T08:00:00"/>
    <d v="2023-01-15T08:00:00"/>
    <s v="NA"/>
    <s v="Complete"/>
    <s v="Complete"/>
    <s v="NA"/>
    <s v="In Progress"/>
  </r>
  <r>
    <s v="SANDRINI SOL 1"/>
    <n v="1397"/>
    <d v="2017-04-29T00:00:00"/>
    <d v="2017-05-01T07:00:00"/>
    <s v="ACTIVE"/>
    <s v="C10"/>
    <x v="2"/>
    <m/>
    <s v="Solar"/>
    <m/>
    <n v="104.16"/>
    <m/>
    <n v="100"/>
    <s v="Full Capacity"/>
    <s v="KERN"/>
    <s v="CA"/>
    <s v="PGAE"/>
    <s v="Wheeler Ridge Substation 70kV"/>
    <s v="Wheeler Ridge"/>
    <n v="414"/>
    <x v="9"/>
    <n v="1"/>
    <s v="Kern and Carrizo"/>
    <d v="2021-11-30T08:00:00"/>
    <d v="2022-04-15T07:00:00"/>
    <s v="NA"/>
    <s v="Complete"/>
    <s v="Complete"/>
    <s v="NA"/>
    <s v="In Progress"/>
  </r>
  <r>
    <s v="SANDRINI SOL 2"/>
    <n v="1398"/>
    <d v="2017-04-29T00:00:00"/>
    <d v="2017-05-01T07:00:00"/>
    <s v="ACTIVE"/>
    <s v="C10"/>
    <x v="2"/>
    <m/>
    <s v="Solar"/>
    <m/>
    <n v="205.1"/>
    <m/>
    <n v="200"/>
    <s v="Full Capacity"/>
    <s v="KERN"/>
    <s v="CA"/>
    <s v="PGAE"/>
    <s v="Wheeler Ridge Substation 230kV"/>
    <s v="Wheeler Ridge"/>
    <n v="414"/>
    <x v="9"/>
    <n v="1"/>
    <s v="Kern and Carrizo"/>
    <d v="2021-11-30T08:00:00"/>
    <d v="2022-10-15T07:00:00"/>
    <s v="NA"/>
    <s v="Complete"/>
    <s v="Complete"/>
    <s v="NA"/>
    <s v="In Progress"/>
  </r>
  <r>
    <s v="ATLAS SOLAR"/>
    <n v="1402"/>
    <d v="2017-04-28T00:00:00"/>
    <d v="2017-05-01T07:00:00"/>
    <s v="ACTIVE"/>
    <s v="C10"/>
    <x v="1"/>
    <s v="Photovoltaic"/>
    <s v="Battery"/>
    <s v="Solar"/>
    <n v="1920"/>
    <n v="3200"/>
    <n v="3200"/>
    <s v="Full Capacity"/>
    <s v="LA PAZ"/>
    <s v="AZ"/>
    <s v="DCRT"/>
    <s v="Delaney-Colorado River 500kV"/>
    <s v="Colorado River"/>
    <n v="3171"/>
    <x v="5"/>
    <m/>
    <m/>
    <d v="2020-12-31T08:00:00"/>
    <d v="2023-12-31T08:00:00"/>
    <s v="NA"/>
    <s v="Complete"/>
    <s v="Complete"/>
    <s v="NA"/>
    <m/>
  </r>
  <r>
    <s v="HARQUAHALA FLATS"/>
    <n v="1403"/>
    <d v="2017-05-01T00:00:00"/>
    <d v="2017-05-01T07:00:00"/>
    <s v="ACTIVE"/>
    <s v="C10"/>
    <x v="2"/>
    <s v="Storage"/>
    <s v="Solar"/>
    <s v="Battery"/>
    <n v="450"/>
    <n v="450"/>
    <n v="450"/>
    <s v="Full Capacity"/>
    <s v="MARICOPA"/>
    <s v="AZ"/>
    <s v="DCRT"/>
    <s v="Colorado River-Delaney 500kV"/>
    <s v="Colorado River"/>
    <n v="3171"/>
    <x v="5"/>
    <m/>
    <m/>
    <d v="2022-12-16T08:00:00"/>
    <d v="2022-12-16T08:00:00"/>
    <s v="NA"/>
    <s v="Complete"/>
    <s v="Complete"/>
    <s v="NA"/>
    <m/>
  </r>
  <r>
    <s v="ATHOS POWER PLANT"/>
    <n v="1405"/>
    <d v="2017-04-28T00:00:00"/>
    <d v="2017-05-01T07:00:00"/>
    <s v="ACTIVE"/>
    <s v="C10"/>
    <x v="2"/>
    <m/>
    <s v="Solar"/>
    <m/>
    <n v="458"/>
    <m/>
    <n v="450"/>
    <s v="Full Capacity"/>
    <s v="RIVERSIDE"/>
    <s v="CA"/>
    <s v="SCE"/>
    <s v="Red Bluff Substation 230kV"/>
    <s v="Red BLuff"/>
    <n v="1845"/>
    <x v="5"/>
    <n v="1"/>
    <s v="Riverside East"/>
    <d v="2020-12-31T08:00:00"/>
    <d v="2020-12-31T08:00:00"/>
    <s v="NA"/>
    <s v="Complete"/>
    <s v="Complete"/>
    <s v="NA"/>
    <s v="Executed"/>
  </r>
  <r>
    <s v="MESAVILLE SOLAR"/>
    <n v="1406"/>
    <d v="2017-05-01T00:00:00"/>
    <d v="2017-05-01T07:00:00"/>
    <s v="ACTIVE"/>
    <s v="C10"/>
    <x v="2"/>
    <s v="Storage"/>
    <s v="Solar"/>
    <s v="Battery"/>
    <n v="476.33"/>
    <n v="229.9"/>
    <n v="675"/>
    <s v="Full Capacity"/>
    <s v="RIVERSIDE"/>
    <s v="CA"/>
    <s v="SCE"/>
    <s v="Colorado River Substation 230kV"/>
    <s v="Colorado River"/>
    <n v="3171"/>
    <x v="5"/>
    <m/>
    <m/>
    <d v="2021-09-01T07:00:00"/>
    <d v="2022-01-15T08:00:00"/>
    <s v="NA"/>
    <s v="Complete"/>
    <s v="Complete"/>
    <s v="NA"/>
    <s v="In Progress"/>
  </r>
  <r>
    <s v="VICKERS ENERGY STORAGE"/>
    <n v="1412"/>
    <d v="2017-05-01T00:00:00"/>
    <d v="2017-05-01T07:00:00"/>
    <s v="ACTIVE"/>
    <s v="C10"/>
    <x v="1"/>
    <m/>
    <s v="Battery"/>
    <m/>
    <n v="80"/>
    <m/>
    <n v="80"/>
    <s v="Full Capacity"/>
    <s v="LOS ANGELES"/>
    <s v="CA"/>
    <s v="SCE"/>
    <s v="La Cienega Substation 230kV"/>
    <s v="La Cienega"/>
    <n v="627"/>
    <x v="20"/>
    <m/>
    <m/>
    <d v="2021-05-28T07:00:00"/>
    <d v="2021-11-16T08:00:00"/>
    <s v="NA"/>
    <s v="Complete"/>
    <s v="Complete"/>
    <s v="NA"/>
    <m/>
  </r>
  <r>
    <s v="BALDY MESA"/>
    <n v="1413"/>
    <d v="2017-04-29T00:00:00"/>
    <d v="2017-05-01T07:00:00"/>
    <s v="ACTIVE"/>
    <s v="C10"/>
    <x v="1"/>
    <s v="Photovoltaic"/>
    <s v="Battery"/>
    <s v="Solar"/>
    <n v="110.04"/>
    <n v="110.04"/>
    <n v="100"/>
    <s v="Full Capacity"/>
    <s v="SAN BERNARDINO"/>
    <s v="CA"/>
    <s v="SCE"/>
    <s v="Roadway Substation 115kV bus"/>
    <s v="Roadway"/>
    <n v="1352"/>
    <x v="21"/>
    <m/>
    <m/>
    <d v="2020-12-31T08:00:00"/>
    <d v="2021-12-15T08:00:00"/>
    <s v="NA"/>
    <s v="Complete"/>
    <s v="Complete"/>
    <s v="NA"/>
    <s v="In Progress"/>
  </r>
  <r>
    <s v="HIGH 5 SOLAR"/>
    <n v="1414"/>
    <d v="2017-04-28T00:00:00"/>
    <d v="2017-05-01T07:00:00"/>
    <s v="ACTIVE"/>
    <s v="C10"/>
    <x v="2"/>
    <m/>
    <s v="Solar"/>
    <m/>
    <n v="100"/>
    <m/>
    <n v="100"/>
    <s v="Full Capacity"/>
    <s v="SAN BERNARDINO"/>
    <s v="CA"/>
    <s v="SCE"/>
    <s v="Victor Substation 230kV"/>
    <s v="Victor"/>
    <n v="1366"/>
    <x v="21"/>
    <m/>
    <m/>
    <d v="2019-12-29T08:00:00"/>
    <d v="2021-01-15T08:00:00"/>
    <s v="NA"/>
    <s v="Complete"/>
    <s v="Complete"/>
    <s v="NA"/>
    <s v="Executed"/>
  </r>
  <r>
    <s v="RUBITA"/>
    <n v="1415"/>
    <d v="2017-04-28T00:00:00"/>
    <d v="2017-05-01T07:00:00"/>
    <s v="ACTIVE"/>
    <s v="C10"/>
    <x v="2"/>
    <m/>
    <s v="Solar"/>
    <m/>
    <n v="102.18"/>
    <m/>
    <n v="100"/>
    <s v="Full Capacity"/>
    <s v="SAN BERNARDINO"/>
    <s v="CA"/>
    <s v="SCE"/>
    <s v="Kramer-Inyokern-Randsburg No.1 115kV"/>
    <s v="Kramer"/>
    <n v="1333"/>
    <x v="15"/>
    <m/>
    <m/>
    <d v="2021-11-01T07:00:00"/>
    <d v="2023-10-15T07:00:00"/>
    <s v="NA"/>
    <s v="Complete"/>
    <s v="Complete"/>
    <s v="NA"/>
    <m/>
  </r>
  <r>
    <s v="CAMINO SOLAR"/>
    <n v="1419"/>
    <d v="2017-04-27T00:00:00"/>
    <d v="2017-05-01T07:00:00"/>
    <s v="ACTIVE"/>
    <s v="C10"/>
    <x v="2"/>
    <s v="Storage"/>
    <s v="Solar"/>
    <s v="Battery"/>
    <n v="44.88"/>
    <n v="22.44"/>
    <n v="54.28"/>
    <s v="Full Capacity"/>
    <s v="KERN"/>
    <s v="CA"/>
    <s v="SCE"/>
    <s v="Whirlwind Substation 230kV"/>
    <s v="Whirlwind"/>
    <n v="3054"/>
    <x v="2"/>
    <m/>
    <m/>
    <d v="2020-08-15T07:00:00"/>
    <d v="2021-12-15T08:00:00"/>
    <s v="NA"/>
    <s v="Complete"/>
    <s v="Complete"/>
    <s v="NA"/>
    <s v="Executed"/>
  </r>
  <r>
    <s v="SAGEBRUSH SOLAR 4"/>
    <n v="1424"/>
    <d v="2017-04-28T00:00:00"/>
    <d v="2017-05-01T07:00:00"/>
    <s v="ACTIVE"/>
    <s v="C10"/>
    <x v="2"/>
    <m/>
    <s v="Solar"/>
    <m/>
    <n v="524"/>
    <m/>
    <n v="500"/>
    <s v="Energy Only"/>
    <s v="KERN"/>
    <s v="CA"/>
    <s v="SCE"/>
    <s v="Windhub Substation 230kV"/>
    <s v="Windhub"/>
    <n v="2978"/>
    <x v="2"/>
    <m/>
    <m/>
    <d v="2020-12-31T08:00:00"/>
    <d v="2022-11-01T07:00:00"/>
    <s v="NA"/>
    <s v="Complete"/>
    <s v="Complete"/>
    <s v="NA"/>
    <m/>
  </r>
  <r>
    <s v="DARLINGTON BALLEY SOLAR ENERGY 1"/>
    <n v="1427"/>
    <d v="2017-05-01T00:00:00"/>
    <d v="2017-05-01T07:00:00"/>
    <s v="ACTIVE"/>
    <s v="C10"/>
    <x v="2"/>
    <s v="Storage"/>
    <s v="Solar"/>
    <s v="Battery"/>
    <n v="125"/>
    <n v="60"/>
    <n v="125"/>
    <s v="Full Capacity"/>
    <s v="MARICOPA"/>
    <s v="AZ"/>
    <s v="SDGE"/>
    <s v="Hassayampa Switchyard 500kV"/>
    <s v="Hassayampa"/>
    <e v="#N/A"/>
    <x v="0"/>
    <n v="1"/>
    <s v="Greater Imperial"/>
    <d v="2024-04-30T07:00:00"/>
    <d v="2024-04-30T07:00:00"/>
    <s v="NA"/>
    <s v="Complete"/>
    <s v="Complete"/>
    <s v="NA"/>
    <m/>
  </r>
  <r>
    <s v="MAVERICK"/>
    <n v="1428"/>
    <d v="2017-04-27T00:00:00"/>
    <d v="2017-05-01T07:00:00"/>
    <s v="ACTIVE"/>
    <s v="C10"/>
    <x v="1"/>
    <m/>
    <s v="Battery"/>
    <m/>
    <n v="10"/>
    <m/>
    <n v="10"/>
    <s v="Full Capacity"/>
    <s v="SAN DIEGO"/>
    <s v="CA"/>
    <s v="SDGE"/>
    <s v="Miramar GT 69kV"/>
    <s v="Miramar"/>
    <n v="1426"/>
    <x v="11"/>
    <m/>
    <m/>
    <d v="2021-12-31T08:00:00"/>
    <d v="2021-12-31T08:00:00"/>
    <s v="NA"/>
    <s v="Complete"/>
    <s v="Complete"/>
    <s v="NA"/>
    <m/>
  </r>
  <r>
    <s v="MOUNT LAGUNA WIND 2"/>
    <n v="1429"/>
    <d v="2017-04-28T00:00:00"/>
    <d v="2017-05-01T07:00:00"/>
    <s v="ACTIVE"/>
    <s v="C10"/>
    <x v="0"/>
    <m/>
    <s v="Wind Turbine"/>
    <m/>
    <n v="400"/>
    <m/>
    <n v="400"/>
    <s v="Full Capacity"/>
    <s v="SAN DIEGO"/>
    <s v="CA"/>
    <s v="SDGE"/>
    <s v="Suncrest-Ocotillo 500 kV Line"/>
    <s v="Suncrest"/>
    <n v="3144"/>
    <x v="0"/>
    <m/>
    <m/>
    <d v="2020-06-01T07:00:00"/>
    <d v="2020-06-01T07:00:00"/>
    <s v="NA"/>
    <s v="Complete"/>
    <s v="Complete"/>
    <s v="NA"/>
    <s v="In Progress"/>
  </r>
  <r>
    <s v="ROSEBUD"/>
    <n v="1431"/>
    <d v="2017-04-27T00:00:00"/>
    <d v="2017-05-01T07:00:00"/>
    <s v="ACTIVE"/>
    <s v="C10"/>
    <x v="1"/>
    <m/>
    <s v="Battery"/>
    <m/>
    <n v="10"/>
    <m/>
    <n v="10"/>
    <s v="Full Capacity"/>
    <s v="SAN DIEGO"/>
    <s v="CA"/>
    <s v="SDGE"/>
    <s v="Kearny  69kV"/>
    <s v="Kearny"/>
    <n v="1415"/>
    <x v="11"/>
    <m/>
    <m/>
    <d v="2021-12-31T08:00:00"/>
    <d v="2021-12-30T08:00:00"/>
    <s v="NA"/>
    <s v="Complete"/>
    <s v="Complete"/>
    <s v="NA"/>
    <m/>
  </r>
  <r>
    <s v="STARLIGHT SOLAR"/>
    <n v="1432"/>
    <d v="2017-05-01T00:00:00"/>
    <d v="2017-05-01T07:00:00"/>
    <s v="ACTIVE"/>
    <s v="C10"/>
    <x v="2"/>
    <m/>
    <s v="Solar"/>
    <m/>
    <n v="20"/>
    <m/>
    <n v="20"/>
    <s v="Full Capacity"/>
    <s v="SAN DIEGO"/>
    <s v="CA"/>
    <s v="SDGE"/>
    <s v="Boulevard Substation 69kV"/>
    <s v="Boulevard"/>
    <n v="1382"/>
    <x v="0"/>
    <m/>
    <m/>
    <d v="2020-06-01T07:00:00"/>
    <d v="2022-12-15T08:00:00"/>
    <s v="NA"/>
    <s v="Complete"/>
    <s v="Complete"/>
    <s v="NA"/>
    <m/>
  </r>
  <r>
    <s v="TOP GUN ENERGY STORAGE"/>
    <n v="1434"/>
    <d v="2017-04-28T00:00:00"/>
    <d v="2017-05-01T07:00:00"/>
    <s v="ACTIVE"/>
    <s v="C10"/>
    <x v="1"/>
    <m/>
    <s v="Battery"/>
    <m/>
    <n v="30"/>
    <m/>
    <n v="30"/>
    <s v="Full Capacity"/>
    <s v="SAN DIEGO"/>
    <s v="CA"/>
    <s v="SDGE"/>
    <s v="Mirmar GT Substation 69kV"/>
    <s v="Mirmar"/>
    <e v="#N/A"/>
    <x v="14"/>
    <n v="1"/>
    <s v="Outside "/>
    <d v="2019-12-31T08:00:00"/>
    <d v="2020-08-17T07:00:00"/>
    <s v="NA"/>
    <s v="Complete"/>
    <s v="Complete"/>
    <s v="NA"/>
    <s v="Executed"/>
  </r>
  <r>
    <s v="VIKTORIA SOLAR"/>
    <n v="1435"/>
    <d v="2017-04-24T00:00:00"/>
    <d v="2017-05-01T07:00:00"/>
    <s v="ACTIVE"/>
    <s v="C10"/>
    <x v="2"/>
    <s v="Storage"/>
    <s v="Solar"/>
    <s v="Battery"/>
    <n v="250"/>
    <n v="100"/>
    <n v="250"/>
    <s v="Full Capacity"/>
    <s v="YUMA"/>
    <s v="AZ"/>
    <s v="SDGE"/>
    <s v="Hoodoo Wash Substation 500kV"/>
    <s v="Hoodoo"/>
    <e v="#N/A"/>
    <x v="0"/>
    <n v="1"/>
    <s v="Greater Imperial"/>
    <d v="2020-12-31T08:00:00"/>
    <d v="2022-12-23T08:00:00"/>
    <s v="NA"/>
    <s v="Complete"/>
    <s v="Complete"/>
    <s v="NA"/>
    <m/>
  </r>
  <r>
    <s v="WESTSIDE CANAL ENERGY CENTER"/>
    <n v="1437"/>
    <d v="2017-05-01T00:00:00"/>
    <d v="2017-05-01T07:00:00"/>
    <s v="ACTIVE"/>
    <s v="C10"/>
    <x v="1"/>
    <s v="Photovoltaic"/>
    <s v="Battery"/>
    <s v="Solar"/>
    <n v="400"/>
    <n v="25"/>
    <n v="425"/>
    <s v="Full Capacity"/>
    <s v="IMPERIAL"/>
    <s v="CA"/>
    <s v="SDGE"/>
    <s v="Imperial Valley Substation 230kV"/>
    <s v="Imperial"/>
    <n v="491"/>
    <x v="0"/>
    <n v="1"/>
    <s v="Greater Imperial"/>
    <d v="2021-12-31T08:00:00"/>
    <d v="2021-12-31T08:00:00"/>
    <s v="NA"/>
    <s v="Complete"/>
    <s v="Complete"/>
    <s v="NA"/>
    <m/>
  </r>
  <r>
    <s v="WIND WALL MONOLITH 1"/>
    <n v="1439"/>
    <d v="2018-04-30T00:00:00"/>
    <d v="2018-04-17T07:00:00"/>
    <s v="ACTIVE"/>
    <s v="FT"/>
    <x v="0"/>
    <m/>
    <s v="Wind Turbine"/>
    <m/>
    <n v="4.96"/>
    <m/>
    <n v="4.96"/>
    <s v="Energy Only"/>
    <s v="KERN"/>
    <s v="CA"/>
    <s v="SCE"/>
    <s v="Vincent Substation 220kV"/>
    <s v="Vincent"/>
    <n v="757"/>
    <x v="2"/>
    <m/>
    <m/>
    <d v="2019-12-15T08:00:00"/>
    <d v="2020-05-31T07:00:00"/>
    <s v="Offered"/>
    <s v="NA"/>
    <s v="NA"/>
    <s v="NA"/>
    <s v="Executed"/>
  </r>
  <r>
    <s v="WIND WALL MONOLITH  2"/>
    <n v="1440"/>
    <d v="2018-04-30T00:00:00"/>
    <d v="2018-04-17T07:00:00"/>
    <s v="ACTIVE"/>
    <s v="FT"/>
    <x v="0"/>
    <m/>
    <s v="Wind Turbine"/>
    <m/>
    <n v="3.7"/>
    <m/>
    <n v="3.7"/>
    <s v="Energy Only"/>
    <s v="KERN"/>
    <s v="CA"/>
    <s v="SCE"/>
    <s v="Vincent Substation 220kV"/>
    <s v="Vincent"/>
    <n v="757"/>
    <x v="2"/>
    <m/>
    <m/>
    <d v="2019-12-15T08:00:00"/>
    <d v="2020-05-31T07:00:00"/>
    <s v="Offered"/>
    <s v="NA"/>
    <s v="NA"/>
    <s v="NA"/>
    <m/>
  </r>
  <r>
    <s v="KERNRIDGE EXPANSION"/>
    <n v="1441"/>
    <d v="2018-02-20T00:00:00"/>
    <d v="2018-05-17T07:00:00"/>
    <s v="ACTIVE"/>
    <s v="ISP"/>
    <x v="2"/>
    <m/>
    <s v="Solar"/>
    <m/>
    <n v="26.5"/>
    <m/>
    <n v="0"/>
    <s v="Energy Only"/>
    <s v="KERN"/>
    <s v="CA"/>
    <s v="PGAE"/>
    <s v="Kern Ridge Substation 115kV"/>
    <s v="Kernridge"/>
    <n v="368"/>
    <x v="9"/>
    <m/>
    <m/>
    <d v="2021-01-15T08:00:00"/>
    <d v="2020-03-15T07:00:00"/>
    <s v="NA"/>
    <m/>
    <m/>
    <s v="NA"/>
    <m/>
  </r>
  <r>
    <s v="AJO POWER BANK"/>
    <n v="1442"/>
    <d v="2018-04-05T00:00:00"/>
    <d v="2018-04-16T07:00:00"/>
    <s v="ACTIVE"/>
    <s v="C11"/>
    <x v="1"/>
    <m/>
    <s v="Battery"/>
    <m/>
    <n v="124.3"/>
    <m/>
    <n v="120"/>
    <s v="Full Capacity"/>
    <s v="SANTA CLARA"/>
    <s v="CA"/>
    <s v="PGAE"/>
    <s v="Llagas-Gilroy Foods 115 kV line"/>
    <s v="Llagas Gilroy"/>
    <e v="#N/A"/>
    <x v="13"/>
    <n v="1"/>
    <s v="None "/>
    <d v="2020-12-01T08:00:00"/>
    <d v="2020-12-01T08:00:00"/>
    <s v="NA"/>
    <s v="Complete"/>
    <m/>
    <s v="NA"/>
    <m/>
  </r>
  <r>
    <s v="ANGELA"/>
    <n v="1443"/>
    <d v="2018-04-13T00:00:00"/>
    <d v="2018-04-16T07:00:00"/>
    <s v="ACTIVE"/>
    <s v="C11"/>
    <x v="2"/>
    <m/>
    <s v="Solar"/>
    <m/>
    <n v="141.1"/>
    <m/>
    <n v="40"/>
    <s v="Full Capacity"/>
    <s v="TULARE"/>
    <s v="CA"/>
    <s v="PGAE"/>
    <s v="Olive Switching Station 115kV"/>
    <s v="Olive"/>
    <n v="495"/>
    <x v="2"/>
    <m/>
    <m/>
    <d v="2021-11-30T08:00:00"/>
    <d v="2021-11-30T08:00:00"/>
    <s v="NA"/>
    <s v="Complete"/>
    <m/>
    <s v="NA"/>
    <m/>
  </r>
  <r>
    <s v="BEAUCHAMP SOLAR"/>
    <n v="1444"/>
    <d v="2018-04-04T00:00:00"/>
    <d v="2018-04-16T07:00:00"/>
    <s v="ACTIVE"/>
    <s v="C11"/>
    <x v="2"/>
    <m/>
    <s v="Solar"/>
    <m/>
    <n v="150"/>
    <m/>
    <n v="150"/>
    <s v="Full Capacity"/>
    <s v="COLUSA"/>
    <s v="CA"/>
    <s v="PGAE"/>
    <s v="Cortina Substation 115kV"/>
    <s v="Cortina"/>
    <n v="81"/>
    <x v="12"/>
    <m/>
    <m/>
    <d v="2022-12-01T08:00:00"/>
    <d v="2022-12-01T08:00:00"/>
    <s v="NA"/>
    <s v="Complete"/>
    <m/>
    <s v="NA"/>
    <m/>
  </r>
  <r>
    <s v="HUMMINGBIRD ENERGY STORAGE"/>
    <n v="1454"/>
    <d v="2018-04-09T00:00:00"/>
    <d v="2018-04-16T07:00:00"/>
    <s v="ACTIVE"/>
    <s v="C11"/>
    <x v="1"/>
    <m/>
    <s v="Battery"/>
    <m/>
    <n v="75"/>
    <m/>
    <n v="75"/>
    <s v="Full Capacity"/>
    <s v="SANTA CLARA"/>
    <s v="CA"/>
    <s v="PGAE"/>
    <s v="Metcalf 115kV"/>
    <s v="Metcalf"/>
    <e v="#N/A"/>
    <x v="13"/>
    <n v="1"/>
    <s v="None "/>
    <d v="2020-12-31T08:00:00"/>
    <d v="2020-12-31T08:00:00"/>
    <s v="NA"/>
    <s v="Complete"/>
    <m/>
    <s v="NA"/>
    <m/>
  </r>
  <r>
    <s v="JANUS"/>
    <n v="1455"/>
    <d v="2018-04-12T00:00:00"/>
    <d v="2018-04-16T07:00:00"/>
    <s v="ACTIVE"/>
    <s v="C11"/>
    <x v="1"/>
    <s v="Photovoltaic"/>
    <s v="Battery"/>
    <s v="Solar"/>
    <n v="15"/>
    <n v="83.54"/>
    <n v="80"/>
    <s v="Full Capacity"/>
    <s v="COLUSA"/>
    <s v="CA"/>
    <s v="PGAE"/>
    <s v="Cortina Substation 60kV"/>
    <s v="Cortina"/>
    <n v="81"/>
    <x v="12"/>
    <m/>
    <m/>
    <d v="2021-12-31T08:00:00"/>
    <d v="2021-12-31T08:00:00"/>
    <s v="NA"/>
    <s v="Complete"/>
    <m/>
    <s v="NA"/>
    <m/>
  </r>
  <r>
    <s v="LAS CAMAS 3"/>
    <n v="1456"/>
    <d v="2018-04-10T00:00:00"/>
    <d v="2018-04-16T07:00:00"/>
    <s v="ACTIVE"/>
    <s v="C11"/>
    <x v="2"/>
    <m/>
    <s v="Solar"/>
    <m/>
    <n v="102.5"/>
    <m/>
    <n v="100"/>
    <s v="Full Capacity"/>
    <s v="MERCED"/>
    <s v="CA"/>
    <s v="PGAE"/>
    <s v="Los Banos 230kV"/>
    <s v="Los Banos"/>
    <n v="841"/>
    <x v="4"/>
    <m/>
    <m/>
    <d v="2022-11-30T08:00:00"/>
    <d v="2022-11-30T08:00:00"/>
    <s v="NA"/>
    <s v="Complete"/>
    <m/>
    <s v="NA"/>
    <m/>
  </r>
  <r>
    <s v="MILPA POWER BANK"/>
    <n v="1457"/>
    <d v="2018-04-09T00:00:00"/>
    <d v="2018-04-16T07:00:00"/>
    <s v="ACTIVE"/>
    <s v="C11"/>
    <x v="1"/>
    <m/>
    <s v="Battery"/>
    <m/>
    <n v="3"/>
    <m/>
    <n v="3"/>
    <s v="Full Capacity"/>
    <s v="SANTA CLARA"/>
    <s v="CA"/>
    <s v="PGAE"/>
    <s v="Los Esteros Substation 115kV"/>
    <s v="Los Esteros"/>
    <n v="2018"/>
    <x v="13"/>
    <n v="1"/>
    <s v="None "/>
    <d v="2020-12-01T08:00:00"/>
    <d v="2020-12-01T08:00:00"/>
    <s v="NA"/>
    <s v="Complete"/>
    <m/>
    <s v="NA"/>
    <m/>
  </r>
  <r>
    <s v="MULQUEENEY RANCH WIND 2"/>
    <n v="1459"/>
    <d v="2018-04-12T00:00:00"/>
    <d v="2018-04-16T07:00:00"/>
    <s v="ACTIVE"/>
    <s v="C11"/>
    <x v="0"/>
    <m/>
    <s v="Wind Turbine"/>
    <m/>
    <n v="62.5"/>
    <m/>
    <n v="60"/>
    <s v="Full Capacity"/>
    <s v="ALAMEDA"/>
    <s v="CA"/>
    <s v="PGAE"/>
    <s v="Tesla Substation 230kV"/>
    <s v="Tesla"/>
    <n v="31"/>
    <x v="3"/>
    <m/>
    <m/>
    <d v="2021-12-15T08:00:00"/>
    <d v="2021-12-15T08:00:00"/>
    <s v="NA"/>
    <s v="Complete"/>
    <m/>
    <s v="NA"/>
    <m/>
  </r>
  <r>
    <s v="PINTO PASS"/>
    <n v="1460"/>
    <d v="2018-04-12T00:00:00"/>
    <d v="2018-04-16T07:00:00"/>
    <s v="ACTIVE"/>
    <s v="C11"/>
    <x v="1"/>
    <m/>
    <s v="Battery"/>
    <m/>
    <n v="20"/>
    <m/>
    <n v="20"/>
    <s v="Full Capacity"/>
    <s v="CONTRA COSTA"/>
    <s v="CA"/>
    <s v="PGAE"/>
    <s v="Christie Substation 60kV"/>
    <s v="Christie"/>
    <n v="104"/>
    <x v="22"/>
    <m/>
    <m/>
    <d v="2021-12-31T08:00:00"/>
    <d v="2021-12-31T08:00:00"/>
    <s v="NA"/>
    <s v="Complete"/>
    <m/>
    <s v="NA"/>
    <m/>
  </r>
  <r>
    <s v="RECLAIMED WIND"/>
    <n v="1461"/>
    <d v="2018-04-04T00:00:00"/>
    <d v="2018-04-16T07:00:00"/>
    <s v="ACTIVE"/>
    <s v="C11"/>
    <x v="0"/>
    <m/>
    <s v="Wind Turbine"/>
    <m/>
    <n v="112.2"/>
    <m/>
    <n v="90.7"/>
    <s v="Full Capacity"/>
    <s v="ALAMEDA"/>
    <s v="CA"/>
    <s v="PGAE"/>
    <s v="Kelso - Tesla Tap 230kV"/>
    <s v="Kelso"/>
    <n v="2954"/>
    <x v="12"/>
    <n v="1"/>
    <s v="Norcal_Z4_Solano"/>
    <d v="2020-12-31T08:00:00"/>
    <d v="2020-12-31T08:00:00"/>
    <s v="NA"/>
    <s v="Complete"/>
    <m/>
    <s v="NA"/>
    <m/>
  </r>
  <r>
    <s v="SOLANO 4 WIND"/>
    <n v="1463"/>
    <d v="2018-04-04T00:00:00"/>
    <d v="2018-04-16T07:00:00"/>
    <s v="ACTIVE"/>
    <s v="C11"/>
    <x v="0"/>
    <m/>
    <s v="Wind Turbine"/>
    <m/>
    <n v="92.353999999999999"/>
    <m/>
    <n v="90.8"/>
    <s v="Full Capacity"/>
    <s v="SOLANO"/>
    <s v="CA"/>
    <s v="PGAE"/>
    <s v="Birds Landing Switching Station 230kV"/>
    <s v="Birds Landing"/>
    <n v="2029"/>
    <x v="12"/>
    <m/>
    <m/>
    <d v="2023-03-31T07:00:00"/>
    <d v="2023-03-31T07:00:00"/>
    <s v="NA"/>
    <s v="Complete"/>
    <m/>
    <s v="NA"/>
    <m/>
  </r>
  <r>
    <s v="CABALLERO STORAGE"/>
    <n v="1470"/>
    <d v="2018-04-13T00:00:00"/>
    <d v="2018-04-16T07:00:00"/>
    <s v="ACTIVE"/>
    <s v="C11"/>
    <x v="1"/>
    <m/>
    <s v="Battery"/>
    <m/>
    <n v="106.2"/>
    <m/>
    <n v="99.7"/>
    <s v="Full Capacity"/>
    <s v="SAN LUIS OBISPO"/>
    <s v="CA"/>
    <s v="PGAE"/>
    <s v="Mesa Substation 230kV"/>
    <s v="Mesa Substation"/>
    <e v="#N/A"/>
    <x v="23"/>
    <n v="1"/>
    <s v="Carrizo"/>
    <d v="2021-12-01T08:00:00"/>
    <d v="2021-12-01T08:00:00"/>
    <s v="NA"/>
    <s v="Complete"/>
    <m/>
    <s v="NA"/>
    <m/>
  </r>
  <r>
    <s v="DALLAS ENERGY STORAGE"/>
    <n v="1472"/>
    <d v="2018-04-11T00:00:00"/>
    <d v="2018-04-18T07:00:00"/>
    <s v="ACTIVE"/>
    <s v="C11"/>
    <x v="1"/>
    <m/>
    <s v="Battery"/>
    <m/>
    <n v="500"/>
    <m/>
    <n v="400"/>
    <s v="Full Capacity"/>
    <s v="MONTEREY"/>
    <s v="CA"/>
    <s v="PGAE"/>
    <s v="Moss Landing Substation 500kV"/>
    <s v="Moss Landing"/>
    <e v="#N/A"/>
    <x v="23"/>
    <n v="1"/>
    <s v="Carrizo"/>
    <d v="2020-12-01T08:00:00"/>
    <d v="2020-12-01T08:00:00"/>
    <s v="NA"/>
    <s v="Complete"/>
    <s v="Complete"/>
    <s v="NA"/>
    <s v="In Progress"/>
  </r>
  <r>
    <s v="KEY STORAGE 1"/>
    <n v="1479"/>
    <d v="2018-04-11T00:00:00"/>
    <d v="2018-04-16T07:00:00"/>
    <s v="ACTIVE"/>
    <s v="C11"/>
    <x v="1"/>
    <m/>
    <s v="Battery"/>
    <m/>
    <n v="309.3"/>
    <m/>
    <n v="300"/>
    <s v="Full Capacity"/>
    <s v="FRESNO"/>
    <s v="CA"/>
    <s v="PGAE"/>
    <s v="Gates Sub 500kV"/>
    <s v="Gates"/>
    <n v="193"/>
    <x v="4"/>
    <m/>
    <m/>
    <d v="2022-12-01T08:00:00"/>
    <d v="2022-12-01T08:00:00"/>
    <s v="NA"/>
    <s v="Complete"/>
    <m/>
    <s v="NA"/>
    <m/>
  </r>
  <r>
    <s v="PANOCHE ENERGY CENTER C11"/>
    <n v="1484"/>
    <d v="2018-04-10T00:00:00"/>
    <d v="2018-04-16T07:00:00"/>
    <s v="ACTIVE"/>
    <s v="C11"/>
    <x v="6"/>
    <m/>
    <s v="Natural Gas"/>
    <m/>
    <n v="63"/>
    <m/>
    <n v="63"/>
    <s v="Full Capacity"/>
    <s v="FRESNO"/>
    <s v="CA"/>
    <s v="PGAE"/>
    <s v="Panoche Substation 230kV"/>
    <s v="Panoche"/>
    <n v="212"/>
    <x v="4"/>
    <m/>
    <m/>
    <d v="2020-07-01T07:00:00"/>
    <d v="2020-07-01T07:00:00"/>
    <s v="NA"/>
    <s v="Complete"/>
    <m/>
    <s v="NA"/>
    <m/>
  </r>
  <r>
    <s v="TEPONA OFF-SHORE WIND"/>
    <n v="1491"/>
    <d v="2018-04-14T00:00:00"/>
    <d v="2018-04-16T07:00:00"/>
    <s v="ACTIVE"/>
    <s v="C11"/>
    <x v="0"/>
    <m/>
    <s v="Wind Turbine"/>
    <m/>
    <n v="161.92500000000001"/>
    <m/>
    <n v="156"/>
    <s v="Full Capacity"/>
    <s v="HUMBOLDT"/>
    <s v="CA"/>
    <s v="PGAE"/>
    <s v="Humboldt Substation 115kV"/>
    <s v="Humboldt"/>
    <n v="261"/>
    <x v="17"/>
    <m/>
    <m/>
    <d v="2024-10-01T07:00:00"/>
    <d v="2024-10-01T07:00:00"/>
    <s v="NA"/>
    <s v="Complete"/>
    <m/>
    <s v="NA"/>
    <m/>
  </r>
  <r>
    <s v="WINDCHARGER ESS"/>
    <n v="1492"/>
    <d v="2018-04-12T00:00:00"/>
    <d v="2018-04-16T07:00:00"/>
    <s v="ACTIVE"/>
    <s v="C11"/>
    <x v="1"/>
    <m/>
    <s v="Battery"/>
    <m/>
    <n v="150"/>
    <m/>
    <n v="150"/>
    <s v="Full Capacity"/>
    <s v="SOLANO"/>
    <s v="CA"/>
    <s v="PGAE"/>
    <s v="Birds Landing Substation 230kV"/>
    <s v="Birds Landing"/>
    <n v="2029"/>
    <x v="12"/>
    <m/>
    <m/>
    <d v="2021-12-01T08:00:00"/>
    <d v="2021-12-01T08:00:00"/>
    <s v="NA"/>
    <s v="Complete"/>
    <m/>
    <s v="NA"/>
    <m/>
  </r>
  <r>
    <s v="AZALEA"/>
    <n v="1493"/>
    <d v="2018-04-16T00:00:00"/>
    <d v="2018-04-16T07:00:00"/>
    <s v="ACTIVE"/>
    <s v="C11"/>
    <x v="2"/>
    <m/>
    <s v="Solar"/>
    <m/>
    <n v="61.3"/>
    <m/>
    <n v="60"/>
    <s v="Full Capacity"/>
    <s v="KERN"/>
    <s v="CA"/>
    <s v="PGAE"/>
    <s v="Arco Substation 70kV "/>
    <s v="Arco"/>
    <n v="338"/>
    <x v="9"/>
    <m/>
    <m/>
    <d v="2022-11-01T07:00:00"/>
    <d v="2022-11-01T07:00:00"/>
    <s v="NA"/>
    <s v="Complete"/>
    <m/>
    <s v="NA"/>
    <m/>
  </r>
  <r>
    <s v="CHALAN SOLAR"/>
    <n v="1495"/>
    <d v="2018-04-13T00:00:00"/>
    <d v="2018-04-16T07:00:00"/>
    <s v="ACTIVE"/>
    <s v="C11"/>
    <x v="1"/>
    <s v="Photovoltaic"/>
    <s v="Battery"/>
    <s v="Solar"/>
    <n v="25.2"/>
    <n v="66.599999999999994"/>
    <n v="64.900000000000006"/>
    <s v="Full Capacity"/>
    <s v="KERN"/>
    <s v="CA"/>
    <s v="PGAE"/>
    <s v="Arco Substation 230kV"/>
    <s v="Arco"/>
    <n v="338"/>
    <x v="9"/>
    <m/>
    <m/>
    <d v="2021-12-01T08:00:00"/>
    <d v="2021-12-01T08:00:00"/>
    <s v="NA"/>
    <s v="Complete"/>
    <m/>
    <s v="NA"/>
    <m/>
  </r>
  <r>
    <s v="DESCENDANT RANCH 1"/>
    <n v="1496"/>
    <d v="2018-04-11T00:00:00"/>
    <d v="2018-04-16T07:00:00"/>
    <s v="ACTIVE"/>
    <s v="C11"/>
    <x v="1"/>
    <s v="Photovoltaic"/>
    <s v="Battery"/>
    <s v="Solar"/>
    <n v="510"/>
    <n v="513.5"/>
    <n v="500"/>
    <s v="Full Capacity"/>
    <s v="COLUSA"/>
    <s v="CA"/>
    <s v="PGAE"/>
    <s v="Delevan Sub 230kV"/>
    <s v="Delevan"/>
    <n v="2784"/>
    <x v="7"/>
    <m/>
    <m/>
    <d v="2023-12-01T08:00:00"/>
    <d v="2023-12-01T08:00:00"/>
    <s v="NA"/>
    <s v="Complete"/>
    <m/>
    <s v="NA"/>
    <m/>
  </r>
  <r>
    <s v="JASMINE"/>
    <n v="1499"/>
    <d v="2018-04-16T00:00:00"/>
    <d v="2018-04-16T07:00:00"/>
    <s v="ACTIVE"/>
    <s v="C11"/>
    <x v="2"/>
    <m/>
    <s v="Solar"/>
    <m/>
    <n v="71.161000000000001"/>
    <m/>
    <n v="70"/>
    <s v="Full Capacity"/>
    <s v="KERN"/>
    <s v="CA"/>
    <s v="PGAE"/>
    <s v="Lakeview Substation 70kV"/>
    <s v="Lakeview"/>
    <n v="369"/>
    <x v="9"/>
    <m/>
    <m/>
    <d v="2022-11-01T07:00:00"/>
    <d v="2022-11-01T07:00:00"/>
    <s v="NA"/>
    <s v="Complete"/>
    <m/>
    <s v="NA"/>
    <m/>
  </r>
  <r>
    <s v="PROSPECT ENERGY STORAGE"/>
    <n v="1507"/>
    <d v="2018-04-16T00:00:00"/>
    <d v="2018-04-16T07:00:00"/>
    <s v="ACTIVE"/>
    <s v="C11"/>
    <x v="1"/>
    <m/>
    <s v="Battery"/>
    <m/>
    <n v="58.75"/>
    <m/>
    <n v="49.9"/>
    <s v="Full Capacity"/>
    <s v="SACRAMENTO"/>
    <s v="CA"/>
    <s v="PGAE"/>
    <s v="Gold Hill Substation 60kV"/>
    <s v="Gold Hill"/>
    <n v="1096"/>
    <x v="8"/>
    <m/>
    <m/>
    <d v="2022-06-01T07:00:00"/>
    <d v="2022-06-01T07:00:00"/>
    <s v="NA"/>
    <s v="Complete"/>
    <m/>
    <s v="NA"/>
    <m/>
  </r>
  <r>
    <s v="BELLEFIELD SOLAR FARM"/>
    <n v="1510"/>
    <d v="2018-04-16T00:00:00"/>
    <d v="2018-04-16T07:00:00"/>
    <s v="ACTIVE"/>
    <s v="C11"/>
    <x v="2"/>
    <s v="Storage"/>
    <s v="Solar"/>
    <s v="Battery"/>
    <n v="500"/>
    <n v="500"/>
    <n v="500"/>
    <s v="Full Capacity"/>
    <s v="KERN"/>
    <s v="CA"/>
    <s v="SCE"/>
    <s v="Windhub Substation 230kV"/>
    <s v="Windhub"/>
    <n v="2978"/>
    <x v="2"/>
    <m/>
    <m/>
    <d v="2022-10-01T07:00:00"/>
    <d v="2022-10-01T07:00:00"/>
    <s v="NA"/>
    <s v="Complete"/>
    <m/>
    <s v="NA"/>
    <m/>
  </r>
  <r>
    <s v="REXFORD SOLAR FARM"/>
    <n v="1516"/>
    <d v="2018-04-16T00:00:00"/>
    <d v="2018-04-16T07:00:00"/>
    <s v="ACTIVE"/>
    <s v="C11"/>
    <x v="2"/>
    <s v="Storage"/>
    <s v="Solar"/>
    <s v="Battery"/>
    <n v="300"/>
    <n v="300"/>
    <n v="300"/>
    <s v="Full Capacity"/>
    <s v="TULARE"/>
    <s v="CA"/>
    <s v="SCE"/>
    <s v="Vestal Substation 230kV"/>
    <s v="Vestal"/>
    <n v="1894"/>
    <x v="3"/>
    <m/>
    <m/>
    <d v="2022-10-01T07:00:00"/>
    <d v="2022-10-01T07:00:00"/>
    <s v="NA"/>
    <s v="Complete"/>
    <m/>
    <s v="NA"/>
    <m/>
  </r>
  <r>
    <s v="SANBORN SOLAR 2"/>
    <n v="1518"/>
    <d v="2018-04-13T00:00:00"/>
    <d v="2018-04-16T07:00:00"/>
    <s v="ACTIVE"/>
    <s v="C11"/>
    <x v="2"/>
    <m/>
    <s v="Solar"/>
    <m/>
    <n v="518.53499999999997"/>
    <m/>
    <n v="500"/>
    <s v="Full Capacity"/>
    <s v="KERN"/>
    <s v="CA"/>
    <s v="SCE"/>
    <s v="Windhub Substation 230kV"/>
    <s v="Windhub"/>
    <n v="2978"/>
    <x v="2"/>
    <m/>
    <m/>
    <d v="2022-12-31T08:00:00"/>
    <d v="2022-12-31T08:00:00"/>
    <s v="NA"/>
    <s v="Complete"/>
    <m/>
    <s v="NA"/>
    <m/>
  </r>
  <r>
    <s v="BALDY MESA 2"/>
    <n v="1519"/>
    <d v="2018-04-15T00:00:00"/>
    <d v="2018-04-16T07:00:00"/>
    <s v="ACTIVE"/>
    <s v="C11"/>
    <x v="2"/>
    <m/>
    <s v="Solar"/>
    <m/>
    <n v="110.88"/>
    <m/>
    <n v="100"/>
    <s v="Full Capacity"/>
    <s v="SAN BERNARDINO"/>
    <s v="CA"/>
    <s v="SCE"/>
    <s v="Roadway Substation 115kV"/>
    <s v="Roadway"/>
    <n v="1352"/>
    <x v="21"/>
    <m/>
    <m/>
    <d v="2021-12-15T08:00:00"/>
    <d v="2021-12-31T08:00:00"/>
    <s v="NA"/>
    <s v="Complete"/>
    <m/>
    <s v="NA"/>
    <m/>
  </r>
  <r>
    <s v="ARIDA SOLAR FARM"/>
    <n v="1522"/>
    <d v="2018-04-16T00:00:00"/>
    <d v="2018-04-16T07:00:00"/>
    <s v="ACTIVE"/>
    <s v="C11"/>
    <x v="1"/>
    <s v="Photovoltaic"/>
    <s v="Battery"/>
    <s v="Solar"/>
    <n v="370"/>
    <n v="370"/>
    <n v="370"/>
    <s v="Full Capacity"/>
    <s v="CLARK"/>
    <s v="NV"/>
    <s v="SCE"/>
    <s v="Mohave Substation 500kV"/>
    <s v="Mohave"/>
    <e v="#N/A"/>
    <x v="10"/>
    <n v="1"/>
    <s v="Southern NV / Southern CA Desert"/>
    <d v="2022-10-01T07:00:00"/>
    <d v="2022-10-01T07:00:00"/>
    <s v="NA"/>
    <s v="Complete"/>
    <m/>
    <s v="NA"/>
    <m/>
  </r>
  <r>
    <s v="SUNVALE SOLAR FARM"/>
    <n v="1524"/>
    <d v="2018-04-16T00:00:00"/>
    <d v="2018-04-16T07:00:00"/>
    <s v="ACTIVE"/>
    <s v="C11"/>
    <x v="1"/>
    <s v="Photovoltaic"/>
    <s v="Battery"/>
    <s v="Solar"/>
    <n v="600"/>
    <n v="600"/>
    <n v="600"/>
    <s v="Full Capacity"/>
    <s v="CLARK"/>
    <s v="NV"/>
    <s v="SCE"/>
    <s v="Eldorado Substation 500kV"/>
    <s v="Eldorado"/>
    <e v="#N/A"/>
    <x v="19"/>
    <n v="1"/>
    <s v="Southern NV / Southern CA Desert"/>
    <d v="2022-10-01T07:00:00"/>
    <d v="2022-10-01T07:00:00"/>
    <s v="NA"/>
    <s v="Complete"/>
    <m/>
    <s v="NA"/>
    <m/>
  </r>
  <r>
    <s v="QUARTZITE SOLAR 11"/>
    <n v="1526"/>
    <d v="2018-04-11T00:00:00"/>
    <d v="2018-04-16T07:00:00"/>
    <s v="ACTIVE"/>
    <s v="C11"/>
    <x v="1"/>
    <s v="Photovoltaic"/>
    <s v="Battery"/>
    <s v="Solar"/>
    <n v="46.052"/>
    <n v="155.43"/>
    <n v="150"/>
    <s v="Full Capacity"/>
    <s v="RIVERSIDE"/>
    <s v="CA"/>
    <s v="SCE"/>
    <s v="Colorado River Substation 230kV"/>
    <s v="Colorado River"/>
    <n v="3171"/>
    <x v="5"/>
    <m/>
    <m/>
    <d v="2022-12-30T08:00:00"/>
    <d v="2022-12-30T08:00:00"/>
    <s v="NA"/>
    <s v="Complete"/>
    <m/>
    <s v="NA"/>
    <m/>
  </r>
  <r>
    <s v="WINDY WASH SOLAR"/>
    <n v="1528"/>
    <d v="2018-04-13T00:00:00"/>
    <d v="2018-04-16T07:00:00"/>
    <s v="ACTIVE"/>
    <s v="C11"/>
    <x v="2"/>
    <m/>
    <s v="Solar"/>
    <m/>
    <n v="79"/>
    <m/>
    <n v="79"/>
    <s v="Full Capacity"/>
    <s v="RIVERSIDE"/>
    <s v="CA"/>
    <s v="SCE"/>
    <s v="Devers Substation 220kV"/>
    <s v="Devers"/>
    <n v="1061"/>
    <x v="3"/>
    <m/>
    <m/>
    <d v="2021-06-30T07:00:00"/>
    <d v="2023-02-01T08:00:00"/>
    <s v="NA"/>
    <s v="Complete"/>
    <m/>
    <s v="NA"/>
    <m/>
  </r>
  <r>
    <s v="CENTENNIAL FLATS"/>
    <n v="1529"/>
    <d v="2018-04-17T00:00:00"/>
    <d v="2018-04-16T07:00:00"/>
    <s v="ACTIVE"/>
    <s v="C11"/>
    <x v="2"/>
    <s v="Storage"/>
    <s v="Solar"/>
    <s v="Battery"/>
    <n v="514.54999999999995"/>
    <n v="257.27999999999997"/>
    <n v="500"/>
    <s v="Full Capacity"/>
    <s v="LA PAZ"/>
    <s v="AZ"/>
    <s v="DCRT"/>
    <s v="Delaney-Colorado River 500kV line"/>
    <s v="Colorado River"/>
    <n v="3171"/>
    <x v="5"/>
    <m/>
    <m/>
    <d v="2022-12-15T08:00:00"/>
    <d v="2022-12-15T08:00:00"/>
    <s v="NA"/>
    <s v="Complete"/>
    <m/>
    <s v="NA"/>
    <m/>
  </r>
  <r>
    <s v="BATERIA DEL SUR"/>
    <n v="1531"/>
    <d v="2018-04-16T00:00:00"/>
    <d v="2018-04-16T07:00:00"/>
    <s v="ACTIVE"/>
    <s v="C11"/>
    <x v="1"/>
    <m/>
    <s v="Battery"/>
    <m/>
    <n v="350"/>
    <m/>
    <n v="350"/>
    <s v="Full Capacity"/>
    <s v="TBD"/>
    <s v="MX"/>
    <s v="SDGE"/>
    <s v="Imperial Valley 230kV"/>
    <s v="Imperial"/>
    <n v="491"/>
    <x v="0"/>
    <n v="1"/>
    <s v="Greater Imperial"/>
    <d v="2022-05-01T07:00:00"/>
    <d v="2023-12-31T08:00:00"/>
    <s v="NA"/>
    <s v="Complete"/>
    <m/>
    <s v="NA"/>
    <m/>
  </r>
  <r>
    <s v="KETTLE SOLAR ONE"/>
    <n v="1532"/>
    <d v="2018-04-16T00:00:00"/>
    <d v="2018-04-16T07:00:00"/>
    <s v="ACTIVE"/>
    <s v="C11"/>
    <x v="2"/>
    <s v="Storage"/>
    <s v="Solar"/>
    <s v="Battery"/>
    <n v="90"/>
    <n v="20"/>
    <n v="90"/>
    <s v="Full Capacity"/>
    <s v="SAN DIEGO"/>
    <s v="CA"/>
    <s v="SDGE"/>
    <s v="New Switchyard with East County-Boulevard East 138 kV line looped-in"/>
    <s v="East County"/>
    <n v="3214"/>
    <x v="0"/>
    <m/>
    <m/>
    <d v="2020-12-01T08:00:00"/>
    <d v="2021-12-01T08:00:00"/>
    <s v="NA"/>
    <s v="Complete"/>
    <m/>
    <s v="NA"/>
    <m/>
  </r>
  <r>
    <s v="VULCAN"/>
    <n v="1534"/>
    <d v="2018-04-11T00:00:00"/>
    <d v="2018-04-16T07:00:00"/>
    <s v="ACTIVE"/>
    <s v="C11"/>
    <x v="1"/>
    <s v="Photovoltaic"/>
    <s v="Battery"/>
    <s v="Solar"/>
    <n v="28.8"/>
    <n v="225"/>
    <n v="250"/>
    <s v="Full Capacity"/>
    <s v="MARICOPA"/>
    <s v="AZ"/>
    <s v="SDGE"/>
    <s v="Hassayampa Switchyard 500kV Common Bus"/>
    <s v="Hassayampa"/>
    <e v="#N/A"/>
    <x v="0"/>
    <n v="1"/>
    <s v="Greater Imperial"/>
    <d v="2021-05-01T07:00:00"/>
    <d v="2023-12-15T08:00:00"/>
    <s v="NA"/>
    <s v="Complete"/>
    <m/>
    <s v="NA"/>
    <m/>
  </r>
  <r>
    <s v="CAMPTONVILLE BIOPOWER1"/>
    <n v="1537"/>
    <d v="2019-03-04T00:00:00"/>
    <d v="2019-04-05T07:00:00"/>
    <s v="ACTIVE"/>
    <s v="ISP"/>
    <x v="3"/>
    <m/>
    <s v="Biofuel"/>
    <m/>
    <n v="5.5"/>
    <m/>
    <n v="5"/>
    <s v="Full Capacity"/>
    <s v="YUBA"/>
    <s v="CA"/>
    <s v="PGAE"/>
    <s v="COLGATE-CHALLENGE 60kV"/>
    <s v="Colgate"/>
    <n v="1956"/>
    <x v="8"/>
    <n v="1"/>
    <s v="NorCalOutsideTxConstraintZones"/>
    <d v="2022-03-18T07:00:00"/>
    <d v="2022-03-18T07:00:00"/>
    <s v="NA"/>
    <m/>
    <m/>
    <s v="NA"/>
    <m/>
  </r>
  <r>
    <s v="KUIPER ENERGY STORAGE"/>
    <n v="1538"/>
    <d v="2018-11-19T00:00:00"/>
    <d v="2019-04-05T07:00:00"/>
    <s v="ACTIVE"/>
    <s v="ISP"/>
    <x v="1"/>
    <m/>
    <s v="Battery"/>
    <m/>
    <n v="40.5"/>
    <m/>
    <n v="40"/>
    <s v="Full Capacity"/>
    <s v="SONOMA"/>
    <s v="CA"/>
    <s v="PGAE"/>
    <s v="Geysers #3 Cloverdale 115 kV line"/>
    <s v="Geysers"/>
    <e v="#N/A"/>
    <x v="6"/>
    <m/>
    <m/>
    <d v="2021-12-31T08:00:00"/>
    <d v="2021-12-31T08:00:00"/>
    <s v="NA"/>
    <m/>
    <m/>
    <s v="NA"/>
    <m/>
  </r>
  <r>
    <s v="IRVING STORAGE"/>
    <n v="1539"/>
    <d v="2019-03-05T00:00:00"/>
    <d v="2019-05-07T07:00:00"/>
    <s v="ACTIVE"/>
    <s v="ISP"/>
    <x v="1"/>
    <m/>
    <s v="Battery"/>
    <m/>
    <n v="782.79"/>
    <m/>
    <n v="750"/>
    <s v="Full Capacity"/>
    <s v="MONTEREY"/>
    <s v="CA"/>
    <s v="PGAE"/>
    <s v="Moss Landing Substation 500kV"/>
    <s v="Moss Landing"/>
    <e v="#N/A"/>
    <x v="13"/>
    <n v="1"/>
    <s v="None "/>
    <d v="2022-12-01T08:00:00"/>
    <d v="2022-12-01T08:00:00"/>
    <s v="NA"/>
    <s v="Complete"/>
    <s v="Complete"/>
    <s v="NA"/>
    <m/>
  </r>
  <r>
    <s v="PLANO STORAGE"/>
    <n v="1540"/>
    <d v="2019-03-05T00:00:00"/>
    <d v="2019-05-07T07:00:00"/>
    <s v="ACTIVE"/>
    <s v="ISP"/>
    <x v="1"/>
    <m/>
    <s v="Battery"/>
    <m/>
    <n v="365"/>
    <m/>
    <n v="350"/>
    <s v="Full Capacity"/>
    <s v="MONTEREY"/>
    <s v="CA"/>
    <s v="PGAE"/>
    <s v="Moss Landing Substation 500kV"/>
    <s v="Moss Landing"/>
    <e v="#N/A"/>
    <x v="13"/>
    <n v="1"/>
    <s v="None "/>
    <d v="2021-12-01T08:00:00"/>
    <d v="2021-12-01T08:00:00"/>
    <s v="NA"/>
    <s v="Complete"/>
    <s v="Complete"/>
    <s v="NA"/>
    <m/>
  </r>
  <r>
    <s v="BRIGHT STAR HYBRID"/>
    <n v="1541"/>
    <d v="2019-04-05T00:00:00"/>
    <d v="2019-04-15T07:00:00"/>
    <s v="ACTIVE"/>
    <s v="C12"/>
    <x v="1"/>
    <s v="Photovoltaic"/>
    <s v="Battery"/>
    <s v="Solar"/>
    <n v="356.79599999999999"/>
    <n v="361.74"/>
    <n v="350"/>
    <s v="Full Capacity"/>
    <s v="SAN JOAQUIN"/>
    <s v="CA"/>
    <s v="PGAE"/>
    <s v="Brighton-Bellota 230kV"/>
    <s v="Brighton"/>
    <n v="549"/>
    <x v="20"/>
    <n v="1"/>
    <m/>
    <d v="2022-12-31T08:00:00"/>
    <d v="2022-12-31T08:00:00"/>
    <s v="NA"/>
    <m/>
    <m/>
    <s v="NA"/>
    <m/>
  </r>
  <r>
    <s v="CAPETOWN 2 HYBRID"/>
    <n v="1542"/>
    <d v="2019-04-05T00:00:00"/>
    <d v="2019-04-15T07:00:00"/>
    <s v="ACTIVE"/>
    <s v="C12"/>
    <x v="1"/>
    <s v="Wind Turbine"/>
    <s v="Battery"/>
    <s v="Wind Turbine"/>
    <n v="50.875"/>
    <n v="54.6"/>
    <n v="100"/>
    <s v="Full Capacity"/>
    <s v="HUMBOLDT"/>
    <s v="CA"/>
    <s v="PGAE"/>
    <s v="Bridgeville Substation 115kV"/>
    <s v="Bridgeville"/>
    <n v="251"/>
    <x v="17"/>
    <m/>
    <m/>
    <d v="2021-06-30T07:00:00"/>
    <d v="2021-06-30T07:00:00"/>
    <s v="NA"/>
    <m/>
    <m/>
    <s v="NA"/>
    <m/>
  </r>
  <r>
    <s v="BEAUCHAMP 2 SOLAR"/>
    <n v="1543"/>
    <d v="2019-04-04T00:00:00"/>
    <d v="2019-04-15T07:00:00"/>
    <s v="ACTIVE"/>
    <s v="C12"/>
    <x v="2"/>
    <s v="Storage"/>
    <s v="Solar"/>
    <s v="Battery"/>
    <n v="150"/>
    <n v="75"/>
    <n v="150"/>
    <s v="Full Capacity"/>
    <s v="COLUSA"/>
    <s v="CA"/>
    <s v="PGAE"/>
    <s v="Cortina Substation 115kV"/>
    <s v="Cortina"/>
    <n v="81"/>
    <x v="12"/>
    <m/>
    <m/>
    <d v="2023-12-01T08:00:00"/>
    <d v="2023-12-01T08:00:00"/>
    <s v="NA"/>
    <m/>
    <m/>
    <s v="NA"/>
    <m/>
  </r>
  <r>
    <s v="MARESTE BESS"/>
    <n v="1545"/>
    <d v="2019-04-12T00:00:00"/>
    <d v="2019-04-15T07:00:00"/>
    <s v="ACTIVE"/>
    <s v="C12"/>
    <x v="1"/>
    <m/>
    <s v="Battery"/>
    <m/>
    <n v="100.4"/>
    <m/>
    <n v="100"/>
    <s v="Full Capacity"/>
    <s v="ALAMEDA"/>
    <s v="NN"/>
    <s v="PGAE"/>
    <s v="Grant Eastshore #1 115kV"/>
    <s v="Grant"/>
    <n v="15"/>
    <x v="22"/>
    <m/>
    <m/>
    <d v="2023-05-31T07:00:00"/>
    <d v="2023-05-31T07:00:00"/>
    <s v="NA"/>
    <m/>
    <m/>
    <s v="NA"/>
    <m/>
  </r>
  <r>
    <s v="TATTON STORAGE 1"/>
    <n v="1546"/>
    <d v="2019-04-14T00:00:00"/>
    <d v="2019-04-15T07:00:00"/>
    <s v="ACTIVE"/>
    <s v="C12"/>
    <x v="1"/>
    <m/>
    <s v="Battery"/>
    <m/>
    <n v="30.58"/>
    <m/>
    <n v="30"/>
    <s v="Full Capacity"/>
    <s v="MENDOCINO"/>
    <s v="CA"/>
    <s v="PGAE"/>
    <s v="Elk-Gualala 60 kV"/>
    <s v="Elk"/>
    <n v="806"/>
    <x v="8"/>
    <m/>
    <m/>
    <d v="2021-12-01T08:00:00"/>
    <d v="2021-12-01T08:00:00"/>
    <s v="NA"/>
    <m/>
    <m/>
    <s v="NA"/>
    <m/>
  </r>
  <r>
    <s v="LORINER STORAGE"/>
    <n v="1548"/>
    <d v="2019-04-06T00:00:00"/>
    <d v="2019-04-15T07:00:00"/>
    <s v="ACTIVE"/>
    <s v="C12"/>
    <x v="1"/>
    <m/>
    <s v="Battery"/>
    <m/>
    <n v="30.48"/>
    <m/>
    <n v="30"/>
    <s v="Full Capacity"/>
    <s v="SANTA CLARA"/>
    <s v="CA"/>
    <s v="PGAE"/>
    <s v="Morgan Hill Substation 115kV"/>
    <s v="Morgan Hill"/>
    <n v="1639"/>
    <x v="13"/>
    <n v="1"/>
    <s v="None "/>
    <d v="2022-11-30T08:00:00"/>
    <d v="2022-11-30T08:00:00"/>
    <s v="NA"/>
    <m/>
    <m/>
    <s v="NA"/>
    <m/>
  </r>
  <r>
    <s v="MIRANDA ESS"/>
    <n v="1549"/>
    <d v="2019-04-04T00:00:00"/>
    <d v="2019-04-15T07:00:00"/>
    <s v="ACTIVE"/>
    <s v="C12"/>
    <x v="1"/>
    <m/>
    <s v="Battery"/>
    <m/>
    <n v="200"/>
    <m/>
    <n v="200"/>
    <s v="Full Capacity"/>
    <s v="SANTA CLARA"/>
    <s v="CA"/>
    <s v="PGAE"/>
    <s v="Los Esteros Substation 115kV"/>
    <s v="Los Esteros"/>
    <n v="2018"/>
    <x v="13"/>
    <n v="1"/>
    <s v="None "/>
    <d v="2023-12-01T08:00:00"/>
    <d v="2023-12-01T08:00:00"/>
    <s v="NA"/>
    <m/>
    <m/>
    <s v="NA"/>
    <m/>
  </r>
  <r>
    <s v="TANAGER STORAGE"/>
    <n v="1550"/>
    <d v="2019-04-02T00:00:00"/>
    <d v="2019-04-15T07:00:00"/>
    <s v="ACTIVE"/>
    <s v="C12"/>
    <x v="1"/>
    <m/>
    <s v="Battery"/>
    <m/>
    <n v="200"/>
    <m/>
    <n v="200"/>
    <s v="Full Capacity"/>
    <s v="SANTA CLARA"/>
    <s v="CA"/>
    <s v="PGAE"/>
    <s v="Los Esteros Substation 230kV"/>
    <s v="Los Esteros"/>
    <n v="2018"/>
    <x v="13"/>
    <n v="1"/>
    <s v="None "/>
    <d v="2023-06-30T07:00:00"/>
    <d v="2023-06-30T07:00:00"/>
    <s v="NA"/>
    <m/>
    <m/>
    <s v="NA"/>
    <m/>
  </r>
  <r>
    <s v="CORMORANT STORAGE"/>
    <n v="1552"/>
    <d v="2019-04-02T00:00:00"/>
    <d v="2019-04-15T07:00:00"/>
    <s v="ACTIVE"/>
    <s v="C12"/>
    <x v="1"/>
    <m/>
    <s v="Battery"/>
    <m/>
    <n v="250"/>
    <m/>
    <n v="250"/>
    <s v="Full Capacity"/>
    <s v="SAN FRANCISCO"/>
    <s v="CA"/>
    <s v="PGAE"/>
    <s v="Martin Substation 115kV"/>
    <s v="Martin"/>
    <n v="1475"/>
    <x v="13"/>
    <n v="1"/>
    <s v="None "/>
    <d v="2023-06-30T07:00:00"/>
    <d v="2023-06-30T07:00:00"/>
    <s v="NA"/>
    <m/>
    <m/>
    <s v="NA"/>
    <m/>
  </r>
  <r>
    <s v="JEWELFLOWER STORAGE"/>
    <n v="1553"/>
    <d v="2019-04-05T00:00:00"/>
    <d v="2019-04-15T07:00:00"/>
    <s v="ACTIVE"/>
    <s v="C12"/>
    <x v="1"/>
    <m/>
    <s v="Battery"/>
    <m/>
    <n v="354.88"/>
    <m/>
    <n v="350"/>
    <s v="Full Capacity"/>
    <s v="SANTA CLARA"/>
    <s v="CA"/>
    <s v="PGAE"/>
    <s v="Metcalf Substation  230kV"/>
    <m/>
    <e v="#N/A"/>
    <x v="13"/>
    <n v="1"/>
    <s v="None "/>
    <d v="2022-12-31T08:00:00"/>
    <d v="2022-12-31T08:00:00"/>
    <s v="NA"/>
    <m/>
    <m/>
    <s v="NA"/>
    <m/>
  </r>
  <r>
    <s v="HERCULIS"/>
    <n v="1554"/>
    <d v="2019-04-05T00:00:00"/>
    <d v="2019-04-15T07:00:00"/>
    <s v="ACTIVE"/>
    <s v="C12"/>
    <x v="1"/>
    <m/>
    <s v="Battery"/>
    <m/>
    <n v="101.2"/>
    <m/>
    <n v="100"/>
    <s v="Full Capacity"/>
    <s v="ALAMEDA"/>
    <s v="CA"/>
    <s v="PGAE"/>
    <s v="Oakland J-Grant 115kV"/>
    <s v="Oakland "/>
    <e v="#N/A"/>
    <x v="13"/>
    <n v="1"/>
    <s v="None "/>
    <d v="2022-12-31T08:00:00"/>
    <d v="2022-12-31T08:00:00"/>
    <s v="NA"/>
    <m/>
    <m/>
    <s v="NA"/>
    <m/>
  </r>
  <r>
    <s v="STEEL CITY ENERGY STORAGE"/>
    <n v="1555"/>
    <d v="2019-04-04T00:00:00"/>
    <d v="2019-04-15T07:00:00"/>
    <s v="ACTIVE"/>
    <s v="C12"/>
    <x v="1"/>
    <m/>
    <s v="Battery"/>
    <m/>
    <n v="1360.8"/>
    <m/>
    <n v="1311"/>
    <s v="Full Capacity"/>
    <s v="CONTRA COSTA"/>
    <s v="CA"/>
    <s v="PGAE"/>
    <s v="Pittsburg Substation 230kV"/>
    <m/>
    <e v="#N/A"/>
    <x v="13"/>
    <n v="1"/>
    <s v="None "/>
    <d v="2022-04-01T07:00:00"/>
    <d v="2022-04-01T07:00:00"/>
    <s v="NA"/>
    <m/>
    <m/>
    <s v="NA"/>
    <m/>
  </r>
  <r>
    <s v="SPINDRIFT HYBRID SOLAR"/>
    <n v="1556"/>
    <d v="2019-04-06T00:00:00"/>
    <d v="2019-04-15T07:00:00"/>
    <s v="ACTIVE"/>
    <s v="C12"/>
    <x v="1"/>
    <s v="Photovoltaic"/>
    <s v="Battery"/>
    <s v="Solar"/>
    <n v="101.72499999999999"/>
    <n v="101.72499999999999"/>
    <n v="100"/>
    <s v="Full Capacity"/>
    <s v="SUTTER"/>
    <s v="CA"/>
    <s v="PGAE"/>
    <s v="Rio Oso Substation 115kV"/>
    <s v="Rio"/>
    <e v="#N/A"/>
    <x v="8"/>
    <n v="1"/>
    <s v="NorCalOutsideTxConstraintZones"/>
    <d v="2022-11-30T08:00:00"/>
    <d v="2022-11-30T08:00:00"/>
    <s v="NA"/>
    <m/>
    <m/>
    <s v="NA"/>
    <m/>
  </r>
  <r>
    <s v="NOOSA ENERGY STORAGE"/>
    <n v="1557"/>
    <d v="2019-04-15T00:00:00"/>
    <d v="2019-04-15T07:00:00"/>
    <s v="ACTIVE"/>
    <s v="C12"/>
    <x v="1"/>
    <m/>
    <s v="Battery"/>
    <m/>
    <n v="100"/>
    <m/>
    <n v="100"/>
    <s v="Full Capacity"/>
    <s v="SAN JOAQUIN"/>
    <s v="CA"/>
    <s v="PGAE"/>
    <s v="Ripon Substation 115kV"/>
    <s v="Ripon"/>
    <n v="1499"/>
    <x v="1"/>
    <m/>
    <m/>
    <d v="2022-12-16T08:00:00"/>
    <d v="2022-12-16T08:00:00"/>
    <s v="NA"/>
    <m/>
    <m/>
    <s v="NA"/>
    <m/>
  </r>
  <r>
    <s v="HYDASPES"/>
    <n v="1558"/>
    <d v="2019-04-04T00:00:00"/>
    <d v="2018-04-15T07:00:00"/>
    <s v="ACTIVE"/>
    <s v="C12"/>
    <x v="1"/>
    <s v="Photovoltaic"/>
    <s v="Battery"/>
    <s v="Solar"/>
    <n v="41.436"/>
    <n v="40.561999999999998"/>
    <n v="40"/>
    <s v="Full Capacity"/>
    <s v="STANISLAUS"/>
    <s v="CA"/>
    <s v="PGAE"/>
    <s v="Miller #1 Tap 115 kV"/>
    <s v="Mille"/>
    <e v="#N/A"/>
    <x v="1"/>
    <n v="1"/>
    <s v="Central Valley"/>
    <d v="2022-12-31T08:00:00"/>
    <d v="2022-12-31T08:00:00"/>
    <s v="NA"/>
    <m/>
    <m/>
    <s v="NA"/>
    <m/>
  </r>
  <r>
    <s v="TEMPEST GENERATION"/>
    <n v="1559"/>
    <d v="2019-04-08T00:00:00"/>
    <d v="2019-04-15T07:00:00"/>
    <s v="ACTIVE"/>
    <s v="C12"/>
    <x v="0"/>
    <s v="Storage"/>
    <s v="Wind Turbine"/>
    <s v="Battery"/>
    <n v="1568"/>
    <n v="319.35000000000002"/>
    <n v="1500"/>
    <s v="Full Capacity"/>
    <s v="HUMBOLDT"/>
    <s v="CA"/>
    <s v="PGAE"/>
    <s v="Round Mountain Substation 500kV"/>
    <s v="Round"/>
    <e v="#N/A"/>
    <x v="8"/>
    <n v="1"/>
    <s v="NorCalOutsideTxConstraintZones"/>
    <d v="2025-10-31T07:00:00"/>
    <d v="2025-10-31T07:00:00"/>
    <s v="NA"/>
    <m/>
    <m/>
    <s v="NA"/>
    <m/>
  </r>
  <r>
    <s v="TESOSTER"/>
    <n v="1561"/>
    <d v="2019-04-13T00:00:00"/>
    <d v="2019-04-15T07:00:00"/>
    <s v="ACTIVE"/>
    <s v="C12"/>
    <x v="1"/>
    <s v="Photovoltaic"/>
    <s v="Battery"/>
    <s v="Solar"/>
    <n v="61.256"/>
    <n v="244.26"/>
    <n v="240"/>
    <s v="Full Capacity"/>
    <s v="SAN JOAQUIN COUNTY"/>
    <s v="NN"/>
    <s v="PGAE"/>
    <s v="Tesla-Weber 230kV"/>
    <m/>
    <e v="#N/A"/>
    <x v="6"/>
    <m/>
    <m/>
    <d v="2023-04-15T07:00:00"/>
    <d v="2023-04-15T07:00:00"/>
    <s v="NA"/>
    <m/>
    <m/>
    <s v="NA"/>
    <m/>
  </r>
  <r>
    <s v="TRIM BESS"/>
    <n v="1564"/>
    <d v="2019-04-13T00:00:00"/>
    <d v="2019-04-15T07:00:00"/>
    <s v="ACTIVE"/>
    <s v="C12"/>
    <x v="1"/>
    <m/>
    <s v="Battery"/>
    <m/>
    <n v="100.4"/>
    <m/>
    <n v="100"/>
    <s v="Full Capacity"/>
    <s v="SANTA CLARA"/>
    <s v="NN"/>
    <s v="PGAE"/>
    <s v="Trimble Substation 115kV"/>
    <m/>
    <e v="#N/A"/>
    <x v="13"/>
    <n v="1"/>
    <s v="None "/>
    <d v="2023-05-31T07:00:00"/>
    <d v="2023-05-31T07:00:00"/>
    <s v="NA"/>
    <m/>
    <m/>
    <s v="NA"/>
    <m/>
  </r>
  <r>
    <s v="DYNAMO SOLAR"/>
    <n v="1565"/>
    <d v="2019-04-08T00:00:00"/>
    <d v="2019-04-15T07:00:00"/>
    <s v="ACTIVE"/>
    <s v="C12"/>
    <x v="2"/>
    <m/>
    <s v="Solar"/>
    <m/>
    <n v="30"/>
    <m/>
    <n v="30"/>
    <s v="Full Capacity"/>
    <s v="NAPA"/>
    <s v="CA"/>
    <s v="PGAE"/>
    <s v="Tulucay Substation 60kV"/>
    <s v="Tulucay"/>
    <n v="904"/>
    <x v="12"/>
    <m/>
    <m/>
    <d v="2023-06-30T07:00:00"/>
    <d v="2023-06-30T07:00:00"/>
    <s v="NA"/>
    <m/>
    <m/>
    <s v="NA"/>
    <m/>
  </r>
  <r>
    <s v="TYRE"/>
    <n v="1566"/>
    <d v="2019-04-04T00:00:00"/>
    <d v="2019-04-15T07:00:00"/>
    <s v="ACTIVE"/>
    <s v="C12"/>
    <x v="2"/>
    <s v="Storage"/>
    <s v="Solar"/>
    <s v="Battery"/>
    <n v="55.728999999999999"/>
    <n v="55.655999999999999"/>
    <n v="55"/>
    <s v="Full Capacity"/>
    <s v="SAN JOAQUIN"/>
    <s v="CA"/>
    <s v="PGAE"/>
    <s v="Valley Springs #2 60 kV"/>
    <s v="Valle"/>
    <e v="#N/A"/>
    <x v="6"/>
    <m/>
    <m/>
    <d v="2022-12-31T08:00:00"/>
    <d v="2022-12-31T08:00:00"/>
    <s v="NA"/>
    <m/>
    <m/>
    <s v="NA"/>
    <m/>
  </r>
  <r>
    <s v="AIR STATION 1"/>
    <n v="1568"/>
    <d v="2019-04-16T00:00:00"/>
    <d v="2019-04-15T07:00:00"/>
    <s v="ACTIVE"/>
    <s v="C12"/>
    <x v="2"/>
    <s v="Storage"/>
    <s v="Solar"/>
    <s v="Battery"/>
    <n v="21.05"/>
    <n v="21.05"/>
    <n v="40"/>
    <s v="Full Capacity"/>
    <s v="KINGS"/>
    <s v="NN"/>
    <s v="PGAE"/>
    <s v="Henrietta-Lemoore NAS 70 kV"/>
    <m/>
    <e v="#N/A"/>
    <x v="4"/>
    <n v="1"/>
    <s v="Westlands"/>
    <d v="2021-12-31T08:00:00"/>
    <d v="2021-12-31T08:00:00"/>
    <s v="NA"/>
    <m/>
    <m/>
    <s v="NA"/>
    <m/>
  </r>
  <r>
    <s v="OSO ROJO POPPY"/>
    <n v="1572"/>
    <d v="2019-04-05T00:00:00"/>
    <d v="2019-04-15T07:00:00"/>
    <s v="ACTIVE"/>
    <s v="C12"/>
    <x v="2"/>
    <m/>
    <s v="Solar"/>
    <m/>
    <n v="184.5"/>
    <m/>
    <n v="190"/>
    <s v="Full Capacity"/>
    <s v="FRESNO"/>
    <s v="CA"/>
    <s v="PGAE"/>
    <s v="Gates Substation 230kV"/>
    <s v="Gates"/>
    <n v="193"/>
    <x v="4"/>
    <m/>
    <m/>
    <d v="2021-07-31T07:00:00"/>
    <d v="2021-07-31T07:00:00"/>
    <s v="NA"/>
    <m/>
    <m/>
    <s v="NA"/>
    <m/>
  </r>
  <r>
    <s v="BOYCE SOLAR HYBRID"/>
    <n v="1573"/>
    <d v="2019-04-15T00:00:00"/>
    <d v="2019-04-15T07:00:00"/>
    <s v="ACTIVE"/>
    <s v="C12"/>
    <x v="2"/>
    <s v="Storage"/>
    <s v="Solar"/>
    <s v="Battery"/>
    <n v="27.5"/>
    <n v="27.5"/>
    <n v="23"/>
    <s v="Full Capacity"/>
    <s v="FRESNO"/>
    <s v="CA"/>
    <s v="PGAE"/>
    <s v="Jayne Substation 70kV"/>
    <s v="Jayne"/>
    <e v="#N/A"/>
    <x v="6"/>
    <m/>
    <m/>
    <d v="2022-07-16T07:00:00"/>
    <d v="2022-07-16T07:00:00"/>
    <s v="NA"/>
    <m/>
    <m/>
    <s v="NA"/>
    <m/>
  </r>
  <r>
    <s v="BIG DUCK STORAGE"/>
    <n v="1574"/>
    <d v="2019-04-15T00:00:00"/>
    <d v="2019-04-15T07:00:00"/>
    <s v="ACTIVE"/>
    <s v="C12"/>
    <x v="1"/>
    <m/>
    <s v="Battery"/>
    <m/>
    <n v="462"/>
    <m/>
    <n v="400"/>
    <s v="Full Capacity"/>
    <s v="FRESNO"/>
    <s v="CA"/>
    <s v="PGAE"/>
    <s v="Panoche Substation 230 kV"/>
    <s v="Panoche"/>
    <n v="212"/>
    <x v="4"/>
    <m/>
    <m/>
    <d v="2022-07-01T07:00:00"/>
    <d v="2022-07-01T07:00:00"/>
    <s v="NA"/>
    <m/>
    <m/>
    <s v="NA"/>
    <m/>
  </r>
  <r>
    <s v="JOURNEY STORAGE"/>
    <n v="1578"/>
    <d v="2019-04-05T00:00:00"/>
    <d v="2019-04-15T07:00:00"/>
    <s v="ACTIVE"/>
    <s v="C12"/>
    <x v="1"/>
    <m/>
    <s v="Battery"/>
    <m/>
    <n v="354.88"/>
    <m/>
    <n v="350"/>
    <s v="Full Capacity"/>
    <s v="KINGS"/>
    <s v="CA"/>
    <s v="PGAE"/>
    <s v="Henrietta Substation 230kV"/>
    <s v="Henrietta"/>
    <n v="461"/>
    <x v="4"/>
    <m/>
    <m/>
    <d v="2022-12-31T08:00:00"/>
    <d v="2022-12-31T08:00:00"/>
    <s v="NA"/>
    <m/>
    <m/>
    <s v="NA"/>
    <m/>
  </r>
  <r>
    <s v="PINEBROOK SOLAR HYBRID ENERGY CENTER"/>
    <n v="1581"/>
    <d v="2019-04-01T00:00:00"/>
    <d v="2019-04-15T07:00:00"/>
    <s v="ACTIVE"/>
    <s v="C12"/>
    <x v="1"/>
    <s v="Photovoltaic"/>
    <s v="Battery"/>
    <s v="Solar"/>
    <n v="1537"/>
    <n v="1537"/>
    <n v="1500"/>
    <s v="Full Capacity"/>
    <s v="FRESNO"/>
    <s v="CA"/>
    <s v="PGAE"/>
    <s v="Los Banos-Gates #1 500 kV"/>
    <s v="Los B"/>
    <e v="#N/A"/>
    <x v="24"/>
    <n v="1"/>
    <s v="WestlandsOutsideTxConstraintZones"/>
    <d v="2024-11-01T07:00:00"/>
    <d v="2024-11-01T07:00:00"/>
    <s v="NA"/>
    <m/>
    <m/>
    <s v="NA"/>
    <m/>
  </r>
  <r>
    <s v="SUGARLOAF HYBRID SOLAR"/>
    <n v="1582"/>
    <d v="2019-04-09T00:00:00"/>
    <d v="2019-04-15T07:00:00"/>
    <s v="ACTIVE"/>
    <s v="C12"/>
    <x v="2"/>
    <s v="Storage"/>
    <s v="Solar"/>
    <s v="Battery"/>
    <n v="152.80000000000001"/>
    <n v="150"/>
    <n v="150"/>
    <s v="Full Capacity"/>
    <s v="FRESNO"/>
    <s v="CA"/>
    <s v="PGAE"/>
    <s v="Panoche Substation 230kV"/>
    <s v="Panoche"/>
    <n v="212"/>
    <x v="4"/>
    <m/>
    <m/>
    <d v="2022-11-30T08:00:00"/>
    <d v="2022-11-30T08:00:00"/>
    <s v="NA"/>
    <m/>
    <m/>
    <s v="NA"/>
    <m/>
  </r>
  <r>
    <s v="RIVIERA SOLAR"/>
    <n v="1584"/>
    <d v="2018-12-27T00:00:00"/>
    <d v="2019-04-15T07:00:00"/>
    <s v="ACTIVE"/>
    <s v="C12"/>
    <x v="2"/>
    <m/>
    <s v="Solar"/>
    <m/>
    <n v="75"/>
    <m/>
    <n v="75"/>
    <s v="Full Capacity"/>
    <s v="MADERA"/>
    <s v="CA"/>
    <s v="PGAE"/>
    <s v="Wilson-Oro Loma 115 kv "/>
    <s v="Wilson-Oro"/>
    <e v="#N/A"/>
    <x v="4"/>
    <n v="1"/>
    <s v="Westlands"/>
    <d v="2022-12-31T08:00:00"/>
    <d v="2022-12-31T08:00:00"/>
    <s v="NA"/>
    <m/>
    <m/>
    <s v="NA"/>
    <m/>
  </r>
  <r>
    <s v="ARCTURUS"/>
    <n v="1586"/>
    <d v="2019-04-04T00:00:00"/>
    <d v="2019-04-15T07:00:00"/>
    <s v="ACTIVE"/>
    <s v="C12"/>
    <x v="1"/>
    <s v="Photovoltaic"/>
    <s v="Battery"/>
    <s v="Solar"/>
    <n v="152.29"/>
    <n v="151.79400000000001"/>
    <n v="150"/>
    <s v="Full Capacity"/>
    <s v="KERN"/>
    <s v="CA"/>
    <s v="PGAE"/>
    <s v="Arco Substation 230kV"/>
    <s v="Arco"/>
    <n v="338"/>
    <x v="9"/>
    <m/>
    <m/>
    <d v="2022-12-30T08:00:00"/>
    <d v="2022-12-30T08:00:00"/>
    <s v="NA"/>
    <m/>
    <m/>
    <s v="NA"/>
    <m/>
  </r>
  <r>
    <s v="KINGSROAD HYBRID SOLAR"/>
    <n v="1587"/>
    <d v="2019-04-16T00:00:00"/>
    <d v="2019-04-15T07:00:00"/>
    <s v="ACTIVE"/>
    <s v="C12"/>
    <x v="1"/>
    <s v="Photovoltaic"/>
    <s v="Battery"/>
    <s v="Solar"/>
    <n v="101.78"/>
    <n v="101.78"/>
    <n v="100"/>
    <s v="Full Capacity"/>
    <s v="KERN"/>
    <s v="CA"/>
    <s v="PGAE"/>
    <s v="Arco Substation 230kV"/>
    <s v="Arco"/>
    <n v="338"/>
    <x v="9"/>
    <m/>
    <m/>
    <d v="2023-11-30T08:00:00"/>
    <d v="2023-11-30T08:00:00"/>
    <s v="NA"/>
    <m/>
    <m/>
    <s v="NA"/>
    <m/>
  </r>
  <r>
    <s v="NIMITZ 2 GENERATION"/>
    <n v="1590"/>
    <d v="2019-04-08T00:00:00"/>
    <d v="2019-04-15T07:00:00"/>
    <s v="ACTIVE"/>
    <s v="C12"/>
    <x v="0"/>
    <s v="Storage"/>
    <s v="Wind Turbine"/>
    <s v="Battery"/>
    <n v="1568"/>
    <n v="319.35000000000002"/>
    <n v="1500"/>
    <s v="Full Capacity"/>
    <s v="SAN LUIS OBISPO"/>
    <s v="CA"/>
    <s v="PGAE"/>
    <s v="Diablo Canyon-Gates 500kV"/>
    <s v="Diablo Canyon"/>
    <n v="2441"/>
    <x v="24"/>
    <m/>
    <m/>
    <d v="2026-04-01T07:00:00"/>
    <d v="2026-04-01T07:00:00"/>
    <s v="NA"/>
    <m/>
    <m/>
    <s v="NA"/>
    <m/>
  </r>
  <r>
    <s v="CARTHAGE"/>
    <n v="1591"/>
    <d v="2019-04-04T00:00:00"/>
    <d v="2019-04-15T07:00:00"/>
    <s v="ACTIVE"/>
    <s v="C12"/>
    <x v="2"/>
    <s v="Storage"/>
    <s v="Solar"/>
    <s v="Battery"/>
    <n v="55.9"/>
    <n v="55.8"/>
    <n v="55"/>
    <s v="Full Capacity"/>
    <s v="KERN"/>
    <s v="CA"/>
    <s v="PGAE"/>
    <s v="Midway-Tupman-Rio Bravo-Renfro 115 kV"/>
    <s v="Midway"/>
    <n v="298"/>
    <x v="9"/>
    <n v="1"/>
    <s v="Kern and Carrizo"/>
    <d v="2022-12-31T08:00:00"/>
    <d v="2022-12-31T08:00:00"/>
    <s v="NA"/>
    <m/>
    <m/>
    <s v="NA"/>
    <m/>
  </r>
  <r>
    <s v="OATFIELD HYBRID SOLAR"/>
    <n v="1592"/>
    <d v="2019-04-05T00:00:00"/>
    <d v="2019-04-15T07:00:00"/>
    <s v="ACTIVE"/>
    <s v="C12"/>
    <x v="2"/>
    <s v="Storage"/>
    <s v="Solar"/>
    <s v="Battery"/>
    <n v="500"/>
    <n v="500"/>
    <n v="500"/>
    <s v="Full Capacity"/>
    <s v="KINGS"/>
    <s v="CA"/>
    <s v="PGAE"/>
    <s v="Gates-Templeton 230 kV"/>
    <s v="Gates"/>
    <n v="193"/>
    <x v="4"/>
    <m/>
    <m/>
    <d v="2022-11-30T08:00:00"/>
    <d v="2022-11-30T08:00:00"/>
    <s v="NA"/>
    <m/>
    <m/>
    <s v="NA"/>
    <m/>
  </r>
  <r>
    <s v="PELICANS JAW HYBRID SOLAR"/>
    <n v="1593"/>
    <d v="2019-04-09T00:00:00"/>
    <d v="2019-04-15T07:00:00"/>
    <s v="ACTIVE"/>
    <s v="C12"/>
    <x v="1"/>
    <s v="Photovoltaic"/>
    <s v="Battery"/>
    <s v="Solar"/>
    <n v="500"/>
    <n v="500"/>
    <n v="500"/>
    <s v="Full Capacity"/>
    <s v="KINGS"/>
    <s v="CA"/>
    <s v="PGAE"/>
    <s v="Gates-Midway 230 kV"/>
    <s v="Gates"/>
    <n v="193"/>
    <x v="4"/>
    <m/>
    <m/>
    <d v="2022-11-30T08:00:00"/>
    <d v="2022-11-30T08:00:00"/>
    <s v="NA"/>
    <m/>
    <m/>
    <s v="NA"/>
    <m/>
  </r>
  <r>
    <s v="GRAND LAKE HYBRID SOLAR"/>
    <n v="1594"/>
    <d v="2019-04-15T00:00:00"/>
    <d v="2019-04-15T07:00:00"/>
    <s v="ACTIVE"/>
    <s v="C12"/>
    <x v="1"/>
    <s v="Photovoltaic"/>
    <s v="Battery"/>
    <s v="Solar"/>
    <n v="250"/>
    <n v="254"/>
    <n v="250"/>
    <s v="Full Capacity"/>
    <s v="KINGS"/>
    <s v="CA"/>
    <s v="PGAE"/>
    <s v="Gates-Midway 230kV"/>
    <s v="Gates"/>
    <n v="193"/>
    <x v="4"/>
    <m/>
    <m/>
    <d v="2023-11-30T08:00:00"/>
    <d v="2023-11-30T08:00:00"/>
    <s v="NA"/>
    <m/>
    <m/>
    <s v="NA"/>
    <m/>
  </r>
  <r>
    <s v="OSO ROJO PEONY"/>
    <n v="1595"/>
    <d v="2019-04-05T00:00:00"/>
    <d v="2019-04-15T07:00:00"/>
    <s v="ACTIVE"/>
    <s v="C12"/>
    <x v="2"/>
    <m/>
    <s v="Solar"/>
    <m/>
    <n v="358.875"/>
    <m/>
    <n v="350"/>
    <s v="Full Capacity"/>
    <s v="KERN"/>
    <s v="CA"/>
    <s v="PGAE"/>
    <s v="Midway 230kV"/>
    <s v="Midway"/>
    <n v="298"/>
    <x v="9"/>
    <n v="1"/>
    <s v="Kern and Carrizo"/>
    <d v="2021-07-31T07:00:00"/>
    <d v="2021-07-31T07:00:00"/>
    <s v="NA"/>
    <m/>
    <m/>
    <s v="NA"/>
    <m/>
  </r>
  <r>
    <s v="BUTTONBUSH SOLAR HYBRID ENERGY CENTER"/>
    <n v="1596"/>
    <d v="2019-04-01T00:00:00"/>
    <d v="2019-04-15T07:00:00"/>
    <s v="ACTIVE"/>
    <s v="C12"/>
    <x v="1"/>
    <s v="Photovoltaic"/>
    <s v="Battery"/>
    <s v="Solar"/>
    <n v="818"/>
    <n v="818"/>
    <n v="800"/>
    <s v="Full Capacity"/>
    <s v="KERN"/>
    <s v="CA"/>
    <s v="PGAE"/>
    <s v="Midway Substation 500kV"/>
    <s v="Midway"/>
    <n v="298"/>
    <x v="9"/>
    <n v="1"/>
    <s v="Kern and Carrizo"/>
    <d v="2025-11-01T07:00:00"/>
    <d v="2025-11-01T07:00:00"/>
    <s v="NA"/>
    <m/>
    <m/>
    <s v="NA"/>
    <m/>
  </r>
  <r>
    <s v="OSO ROJO GOLF COURSE"/>
    <n v="1597"/>
    <d v="2019-04-05T00:00:00"/>
    <d v="2019-04-15T07:00:00"/>
    <s v="ACTIVE"/>
    <s v="C12"/>
    <x v="2"/>
    <m/>
    <s v="Solar"/>
    <m/>
    <n v="139.69999999999999"/>
    <m/>
    <n v="138"/>
    <s v="Full Capacity"/>
    <s v="KERN"/>
    <s v="CA"/>
    <s v="PGAE"/>
    <s v="Midway-Wheeler Ridge 230kV"/>
    <s v="Midway"/>
    <n v="298"/>
    <x v="9"/>
    <n v="1"/>
    <s v="Kern and Carrizo"/>
    <d v="2021-07-31T07:00:00"/>
    <d v="2021-07-31T07:00:00"/>
    <s v="NA"/>
    <m/>
    <m/>
    <s v="NA"/>
    <m/>
  </r>
  <r>
    <s v="AGUA AMARGA WIND"/>
    <n v="1598"/>
    <d v="2019-04-12T00:00:00"/>
    <d v="2019-04-15T07:00:00"/>
    <s v="ACTIVE"/>
    <s v="C12"/>
    <x v="0"/>
    <m/>
    <s v="Wind Turbine"/>
    <m/>
    <n v="403.2"/>
    <m/>
    <n v="400"/>
    <s v="Full Capacity"/>
    <s v="SAN LUIS OBISPO"/>
    <s v="CA"/>
    <s v="PGAE"/>
    <s v="SOLARSS Switching Station"/>
    <s v="Solar"/>
    <e v="#N/A"/>
    <x v="9"/>
    <n v="1"/>
    <s v="Kern and Carrizo"/>
    <d v="2023-10-31T07:00:00"/>
    <d v="2023-10-31T07:00:00"/>
    <s v="NA"/>
    <m/>
    <m/>
    <s v="NA"/>
    <m/>
  </r>
  <r>
    <s v="LION ROCK OFFSHORE WIND"/>
    <n v="1599"/>
    <d v="2019-04-15T00:00:00"/>
    <d v="2019-04-15T07:00:00"/>
    <s v="ACTIVE"/>
    <s v="C12"/>
    <x v="0"/>
    <m/>
    <s v="Wind Turbine"/>
    <m/>
    <n v="627"/>
    <m/>
    <n v="605"/>
    <s v="Full Capacity"/>
    <s v="SAN LUIS OBISPO"/>
    <s v="CA"/>
    <s v="PGAE"/>
    <s v="Morro Bay Substation 230kV"/>
    <s v="Morro Bay"/>
    <n v="1978"/>
    <x v="9"/>
    <n v="1"/>
    <s v="Kern and Carrizo"/>
    <d v="2026-04-01T07:00:00"/>
    <d v="2026-04-01T07:00:00"/>
    <s v="NA"/>
    <m/>
    <m/>
    <s v="NA"/>
    <m/>
  </r>
  <r>
    <s v="SEAWOLF GENERATION"/>
    <n v="1600"/>
    <d v="2019-04-08T00:00:00"/>
    <d v="2019-04-15T07:00:00"/>
    <s v="ACTIVE"/>
    <s v="C12"/>
    <x v="1"/>
    <s v="Wind Turbine"/>
    <s v="Battery"/>
    <s v="Wind Turbine"/>
    <n v="319.35000000000002"/>
    <n v="1568"/>
    <n v="1500"/>
    <s v="Full Capacity"/>
    <s v="SAN LUIS OBISPO"/>
    <s v="CA"/>
    <s v="PGAE"/>
    <s v="Midway-Diablo Canyon #2"/>
    <s v="Midway"/>
    <n v="298"/>
    <x v="24"/>
    <n v="1"/>
    <s v="WestlandsOutsideTxConstraintZones"/>
    <d v="2024-10-31T07:00:00"/>
    <d v="2024-10-31T07:00:00"/>
    <s v="NA"/>
    <m/>
    <m/>
    <s v="NA"/>
    <m/>
  </r>
  <r>
    <s v="FAMILIA HYBRID SOLAR"/>
    <n v="1601"/>
    <d v="2019-04-15T00:00:00"/>
    <d v="2019-04-15T07:00:00"/>
    <s v="ACTIVE"/>
    <s v="C12"/>
    <x v="2"/>
    <s v="Storage"/>
    <s v="Solar"/>
    <s v="Battery"/>
    <n v="202.5"/>
    <n v="202.5"/>
    <n v="200"/>
    <s v="Full Capacity"/>
    <s v="MARICOPA"/>
    <s v="CA"/>
    <s v="PGAE"/>
    <s v="Midway-Wheeler Ridge #2 230kV"/>
    <s v="Midway"/>
    <n v="298"/>
    <x v="9"/>
    <n v="1"/>
    <s v="Kern and Carrizo"/>
    <d v="2022-11-30T08:00:00"/>
    <d v="2022-11-30T08:00:00"/>
    <s v="NA"/>
    <m/>
    <m/>
    <s v="NA"/>
    <m/>
  </r>
  <r>
    <s v="RIGAL"/>
    <n v="1603"/>
    <d v="2019-04-08T00:00:00"/>
    <d v="2019-04-15T07:00:00"/>
    <s v="ACTIVE"/>
    <s v="C12"/>
    <x v="1"/>
    <s v="Photovoltaic"/>
    <s v="Battery"/>
    <s v="Solar"/>
    <n v="202.98"/>
    <n v="202.99799999999999"/>
    <n v="200"/>
    <s v="Full Capacity"/>
    <s v="KERN"/>
    <s v="CA"/>
    <s v="SCE"/>
    <s v="Inyokern-Randsburg 115 kV"/>
    <s v="Inyokern"/>
    <n v="435"/>
    <x v="15"/>
    <m/>
    <m/>
    <d v="2022-12-31T08:00:00"/>
    <d v="2022-12-31T08:00:00"/>
    <s v="NA"/>
    <m/>
    <m/>
    <s v="NA"/>
    <m/>
  </r>
  <r>
    <s v="ARATINA SOLAR FARM"/>
    <n v="1604"/>
    <d v="2019-04-01T00:00:00"/>
    <d v="2019-04-15T07:00:00"/>
    <s v="ACTIVE"/>
    <s v="C12"/>
    <x v="1"/>
    <s v="Photovoltaic"/>
    <s v="Battery"/>
    <s v="Solar"/>
    <n v="200"/>
    <n v="200"/>
    <n v="200"/>
    <s v="Full Capacity"/>
    <s v="KERN"/>
    <s v="CA"/>
    <s v="SCE"/>
    <s v="Kramer Substation 230kV"/>
    <s v="Kramer"/>
    <n v="1333"/>
    <x v="15"/>
    <m/>
    <m/>
    <d v="2022-06-01T07:00:00"/>
    <d v="2022-06-01T07:00:00"/>
    <s v="NA"/>
    <m/>
    <m/>
    <s v="NA"/>
    <m/>
  </r>
  <r>
    <s v="CAYENNE ENERGY STORAGE"/>
    <n v="1605"/>
    <d v="2019-04-16T00:00:00"/>
    <d v="2019-04-15T07:00:00"/>
    <s v="ACTIVE"/>
    <s v="C12"/>
    <x v="1"/>
    <m/>
    <s v="Battery"/>
    <m/>
    <n v="102.1"/>
    <m/>
    <n v="100"/>
    <s v="Full Capacity"/>
    <s v="LOS ANGELES"/>
    <s v="CA"/>
    <s v="SCE"/>
    <s v="Chino Substation 220kV"/>
    <s v="Chino"/>
    <n v="1309"/>
    <x v="25"/>
    <m/>
    <m/>
    <d v="2022-12-16T08:00:00"/>
    <d v="2022-12-16T08:00:00"/>
    <s v="NA"/>
    <m/>
    <m/>
    <s v="NA"/>
    <m/>
  </r>
  <r>
    <s v="AVOCET STORAGE"/>
    <n v="1608"/>
    <d v="2019-04-01T00:00:00"/>
    <d v="2019-04-15T07:00:00"/>
    <s v="ACTIVE"/>
    <s v="C12"/>
    <x v="1"/>
    <m/>
    <s v="Battery"/>
    <m/>
    <n v="200"/>
    <m/>
    <n v="200"/>
    <s v="Full Capacity"/>
    <s v="LOS ANGELES"/>
    <s v="CA"/>
    <s v="SCE"/>
    <s v="Hinson Substation 230kV"/>
    <s v="Hinson"/>
    <n v="614"/>
    <x v="20"/>
    <m/>
    <m/>
    <d v="2023-06-30T07:00:00"/>
    <d v="2023-06-30T07:00:00"/>
    <s v="NA"/>
    <m/>
    <m/>
    <s v="NA"/>
    <m/>
  </r>
  <r>
    <s v="HINSON BESS"/>
    <n v="1609"/>
    <d v="2019-04-10T00:00:00"/>
    <d v="2019-04-15T07:00:00"/>
    <s v="ACTIVE"/>
    <s v="C12"/>
    <x v="1"/>
    <m/>
    <s v="Battery"/>
    <m/>
    <n v="308.10199999999998"/>
    <m/>
    <n v="300"/>
    <s v="Full Capacity"/>
    <s v="LOS ANGELES"/>
    <s v="CA"/>
    <s v="SCE"/>
    <s v="Hinson Substation 220kV"/>
    <s v="Hinson"/>
    <n v="614"/>
    <x v="20"/>
    <m/>
    <m/>
    <d v="2021-10-31T07:00:00"/>
    <d v="2021-10-31T07:00:00"/>
    <s v="NA"/>
    <m/>
    <m/>
    <s v="NA"/>
    <m/>
  </r>
  <r>
    <s v="SUPERBA STORAGE 1"/>
    <n v="1610"/>
    <d v="2019-04-11T00:00:00"/>
    <d v="2019-04-15T07:00:00"/>
    <s v="ACTIVE"/>
    <s v="C12"/>
    <x v="1"/>
    <m/>
    <s v="Battery"/>
    <m/>
    <n v="305"/>
    <m/>
    <n v="300"/>
    <s v="Full Capacity"/>
    <s v="ORANGE"/>
    <s v="CA"/>
    <s v="SCE"/>
    <s v="Johanna Substation 230 kV"/>
    <s v="Johanna"/>
    <n v="942"/>
    <x v="3"/>
    <m/>
    <m/>
    <d v="2021-12-01T08:00:00"/>
    <d v="2021-12-01T08:00:00"/>
    <s v="NA"/>
    <m/>
    <m/>
    <s v="NA"/>
    <m/>
  </r>
  <r>
    <s v="COMMERCE ENERGY STORAGE"/>
    <n v="1611"/>
    <d v="2019-04-09T00:00:00"/>
    <d v="2019-04-15T07:00:00"/>
    <s v="ACTIVE"/>
    <s v="C12"/>
    <x v="1"/>
    <m/>
    <s v="Battery"/>
    <m/>
    <n v="250"/>
    <m/>
    <n v="250"/>
    <s v="Full Capacity"/>
    <s v="LOS ANGELES"/>
    <s v="CA"/>
    <s v="SCE"/>
    <s v="Laguna Bell Substation 230kV"/>
    <s v="Laguna Bell"/>
    <n v="630"/>
    <x v="20"/>
    <m/>
    <m/>
    <d v="2023-01-01T08:00:00"/>
    <d v="2023-01-01T08:00:00"/>
    <s v="NA"/>
    <m/>
    <m/>
    <s v="NA"/>
    <m/>
  </r>
  <r>
    <s v="SPEEDWAY ESS"/>
    <n v="1612"/>
    <d v="2019-04-05T00:00:00"/>
    <d v="2019-04-15T07:00:00"/>
    <s v="ACTIVE"/>
    <s v="C12"/>
    <x v="1"/>
    <m/>
    <s v="Battery"/>
    <m/>
    <n v="200"/>
    <m/>
    <n v="200"/>
    <s v="Full Capacity"/>
    <s v="LOS ANGELES"/>
    <s v="CA"/>
    <s v="SCE"/>
    <s v="Rio Hondo Substation 230kV"/>
    <s v="Rio Hondo"/>
    <n v="702"/>
    <x v="20"/>
    <m/>
    <m/>
    <d v="2023-12-01T08:00:00"/>
    <d v="2023-12-01T08:00:00"/>
    <s v="NA"/>
    <m/>
    <m/>
    <s v="NA"/>
    <m/>
  </r>
  <r>
    <s v="TRESTLES ENERGY STORAGE"/>
    <n v="1613"/>
    <d v="2019-04-16T00:00:00"/>
    <d v="2019-04-15T07:00:00"/>
    <s v="ACTIVE"/>
    <s v="C12"/>
    <x v="1"/>
    <m/>
    <s v="Battery"/>
    <m/>
    <n v="433.75200000000001"/>
    <m/>
    <n v="400"/>
    <s v="Full Capacity"/>
    <s v="LOS ANGELES"/>
    <s v="CA"/>
    <s v="SCE"/>
    <s v="Rio Hondo Substation 220kV"/>
    <s v="Rio Hondo"/>
    <n v="702"/>
    <x v="20"/>
    <m/>
    <m/>
    <d v="2022-12-16T08:00:00"/>
    <d v="2022-12-16T08:00:00"/>
    <s v="NA"/>
    <m/>
    <m/>
    <s v="NA"/>
    <m/>
  </r>
  <r>
    <s v="KESTREL STORAGE"/>
    <n v="1615"/>
    <d v="2019-04-01T00:00:00"/>
    <d v="2019-04-15T07:00:00"/>
    <s v="ACTIVE"/>
    <s v="C12"/>
    <x v="1"/>
    <m/>
    <s v="Battery"/>
    <m/>
    <n v="200"/>
    <m/>
    <n v="200"/>
    <s v="Full Capacity"/>
    <s v="LOS ANGELES"/>
    <s v="CA"/>
    <s v="SCE"/>
    <s v="Walnut Substation 220kV"/>
    <s v="Walnut"/>
    <n v="2253"/>
    <x v="20"/>
    <m/>
    <m/>
    <d v="2023-06-30T07:00:00"/>
    <d v="2023-06-30T07:00:00"/>
    <s v="NA"/>
    <m/>
    <m/>
    <s v="NA"/>
    <m/>
  </r>
  <r>
    <s v="HIGHWIND ENERGY CENTER"/>
    <n v="1616"/>
    <d v="2019-04-13T00:00:00"/>
    <d v="2019-04-15T07:00:00"/>
    <s v="ACTIVE"/>
    <s v="C12"/>
    <x v="1"/>
    <s v="Wind Turbine"/>
    <s v="Battery"/>
    <s v="Wind Turbine"/>
    <n v="28.38"/>
    <n v="64.8"/>
    <n v="115"/>
    <s v="Full Capacity"/>
    <s v="KERN"/>
    <s v="CA"/>
    <s v="SCE"/>
    <s v="Highwind Substation 230kV"/>
    <s v="Highwind"/>
    <n v="2573"/>
    <x v="2"/>
    <m/>
    <m/>
    <d v="2023-12-31T08:00:00"/>
    <d v="2023-12-31T08:00:00"/>
    <s v="NA"/>
    <m/>
    <m/>
    <s v="NA"/>
    <m/>
  </r>
  <r>
    <s v="SEGS EXPANSION HYBRID"/>
    <n v="1617"/>
    <d v="2019-04-05T00:00:00"/>
    <d v="2019-04-15T07:00:00"/>
    <s v="ACTIVE"/>
    <s v="C12"/>
    <x v="1"/>
    <s v="Photovoltaic"/>
    <s v="Battery"/>
    <s v="Solar"/>
    <n v="73.260000000000005"/>
    <n v="82.434240000000003"/>
    <n v="150"/>
    <s v="Full Capacity"/>
    <s v="SAN BERNARDINO"/>
    <s v="CA"/>
    <s v="SCE"/>
    <s v="Kramer Substation 230kV"/>
    <s v="Kramer"/>
    <n v="1333"/>
    <x v="15"/>
    <m/>
    <m/>
    <d v="2022-12-01T08:00:00"/>
    <d v="2022-12-01T08:00:00"/>
    <s v="NA"/>
    <m/>
    <m/>
    <s v="NA"/>
    <m/>
  </r>
  <r>
    <s v="DORADUS"/>
    <n v="1618"/>
    <d v="2019-04-04T00:00:00"/>
    <d v="2019-04-15T07:00:00"/>
    <s v="ACTIVE"/>
    <s v="C12"/>
    <x v="1"/>
    <s v="Photovoltaic"/>
    <s v="Battery"/>
    <s v="Solar"/>
    <n v="202.99799999999999"/>
    <n v="202.99799999999999"/>
    <n v="200"/>
    <s v="Full Capacity"/>
    <s v="KERN"/>
    <s v="CA"/>
    <s v="SCE"/>
    <s v="Magunden-Pastoria 230kV"/>
    <s v="Magunden"/>
    <n v="373"/>
    <x v="3"/>
    <m/>
    <m/>
    <d v="2022-12-31T08:00:00"/>
    <d v="2022-12-31T08:00:00"/>
    <s v="NA"/>
    <m/>
    <m/>
    <s v="NA"/>
    <m/>
  </r>
  <r>
    <s v="GOLDBACK SOLAR CENTER"/>
    <n v="1619"/>
    <d v="2019-04-12T00:00:00"/>
    <d v="2019-04-15T07:00:00"/>
    <s v="ACTIVE"/>
    <s v="C12"/>
    <x v="1"/>
    <s v="Photovoltaic"/>
    <s v="Battery"/>
    <s v="Solar"/>
    <n v="500"/>
    <n v="500"/>
    <n v="500"/>
    <s v="Full Capacity"/>
    <s v="VENTURA"/>
    <s v="CA"/>
    <s v="SCE"/>
    <s v="Moorpark Substation 230 kV"/>
    <s v="Moorpark"/>
    <n v="1921"/>
    <x v="20"/>
    <m/>
    <m/>
    <d v="2023-06-01T07:00:00"/>
    <d v="2023-06-01T07:00:00"/>
    <s v="NA"/>
    <m/>
    <m/>
    <s v="NA"/>
    <m/>
  </r>
  <r>
    <s v="ROCKY HILL SOLAR"/>
    <n v="1620"/>
    <d v="2019-04-05T00:00:00"/>
    <d v="2019-04-15T07:00:00"/>
    <s v="ACTIVE"/>
    <s v="C12"/>
    <x v="2"/>
    <s v="Storage"/>
    <s v="Solar"/>
    <s v="Battery"/>
    <n v="102.04"/>
    <n v="51.56"/>
    <n v="100"/>
    <s v="Full Capacity"/>
    <s v="TULARE"/>
    <s v="CA"/>
    <s v="SCE"/>
    <s v="Rector Substation 230kV"/>
    <s v="Rector"/>
    <n v="1885"/>
    <x v="3"/>
    <m/>
    <m/>
    <d v="2023-12-15T08:00:00"/>
    <d v="2023-12-15T08:00:00"/>
    <s v="NA"/>
    <m/>
    <m/>
    <s v="NA"/>
    <m/>
  </r>
  <r>
    <s v="YELLOW HAY HYBRID SOLAR"/>
    <n v="1621"/>
    <d v="2019-04-05T00:00:00"/>
    <d v="2019-04-15T07:00:00"/>
    <s v="ACTIVE"/>
    <s v="C12"/>
    <x v="2"/>
    <s v="Storage"/>
    <s v="Solar"/>
    <s v="Battery"/>
    <n v="200"/>
    <n v="200"/>
    <n v="200"/>
    <s v="Full Capacity"/>
    <s v="TULARE"/>
    <s v="CA"/>
    <s v="SCE"/>
    <s v="Magunden-Springville #1 220 kV"/>
    <s v="Magun"/>
    <e v="#N/A"/>
    <x v="6"/>
    <m/>
    <m/>
    <d v="2022-11-30T08:00:00"/>
    <d v="2022-11-30T08:00:00"/>
    <s v="NA"/>
    <m/>
    <m/>
    <s v="NA"/>
    <m/>
  </r>
  <r>
    <s v="BARRENSPRING"/>
    <n v="1622"/>
    <d v="2019-04-13T00:00:00"/>
    <d v="2019-04-15T07:00:00"/>
    <s v="ACTIVE"/>
    <s v="C12"/>
    <x v="1"/>
    <s v="Photovoltaic"/>
    <s v="Battery"/>
    <s v="Solar"/>
    <n v="64.17"/>
    <n v="244.26"/>
    <n v="240"/>
    <s v="Full Capacity"/>
    <s v="TULARE COUNTY"/>
    <s v="NN"/>
    <s v="SCE"/>
    <s v="Springville-Rector 220kV line"/>
    <s v="Springville-Rector"/>
    <e v="#N/A"/>
    <x v="6"/>
    <m/>
    <m/>
    <d v="2023-04-15T07:00:00"/>
    <d v="2023-04-15T07:00:00"/>
    <s v="NA"/>
    <m/>
    <m/>
    <s v="NA"/>
    <m/>
  </r>
  <r>
    <s v="ANGELENO SOLAR FARM"/>
    <n v="1625"/>
    <d v="2019-03-31T00:00:00"/>
    <d v="2019-04-15T07:00:00"/>
    <s v="ACTIVE"/>
    <s v="C12"/>
    <x v="1"/>
    <s v="Photovoltaic"/>
    <s v="Battery"/>
    <s v="Solar"/>
    <n v="1150"/>
    <n v="1150"/>
    <n v="1150"/>
    <s v="Full Capacity"/>
    <s v="LOS ANGELES"/>
    <s v="CA"/>
    <s v="SCE"/>
    <s v="Vincent Substation 500kV"/>
    <s v="Vincent"/>
    <n v="757"/>
    <x v="2"/>
    <m/>
    <m/>
    <d v="2023-06-01T07:00:00"/>
    <d v="2023-06-01T07:00:00"/>
    <s v="NA"/>
    <m/>
    <m/>
    <s v="NA"/>
    <m/>
  </r>
  <r>
    <s v="SAGEBRUSH 6 HYBRID"/>
    <n v="1626"/>
    <d v="2019-04-05T00:00:00"/>
    <d v="2019-04-15T07:00:00"/>
    <s v="ACTIVE"/>
    <s v="C12"/>
    <x v="2"/>
    <s v="Storage"/>
    <s v="Solar"/>
    <s v="Battery"/>
    <n v="116.01855999999999"/>
    <n v="113.96"/>
    <n v="200"/>
    <s v="Full Capacity"/>
    <s v="KERN"/>
    <s v="CA"/>
    <s v="SCE"/>
    <s v="Vincent Substation 230kV"/>
    <s v="Vincent"/>
    <n v="757"/>
    <x v="2"/>
    <m/>
    <m/>
    <d v="2022-12-01T08:00:00"/>
    <d v="2022-12-01T08:00:00"/>
    <s v="NA"/>
    <m/>
    <m/>
    <s v="NA"/>
    <m/>
  </r>
  <r>
    <s v="FORT TEJON SOLAR"/>
    <n v="1628"/>
    <d v="2019-04-05T00:00:00"/>
    <d v="2019-04-15T07:00:00"/>
    <s v="ACTIVE"/>
    <s v="C12"/>
    <x v="2"/>
    <s v="Storage"/>
    <s v="Solar"/>
    <s v="Battery"/>
    <n v="310.2"/>
    <n v="306.26"/>
    <n v="300"/>
    <s v="Full Capacity"/>
    <s v="LOS ANGELES"/>
    <s v="CA"/>
    <s v="SCE"/>
    <s v="Vincent Substation 230kV"/>
    <s v="Vincent"/>
    <n v="757"/>
    <x v="2"/>
    <m/>
    <m/>
    <d v="2023-12-31T08:00:00"/>
    <d v="2023-12-31T08:00:00"/>
    <s v="NA"/>
    <m/>
    <m/>
    <s v="NA"/>
    <m/>
  </r>
  <r>
    <s v="HUMIDOR STORAGE 1"/>
    <n v="1629"/>
    <d v="2019-04-11T00:00:00"/>
    <d v="2019-04-15T07:00:00"/>
    <s v="ACTIVE"/>
    <s v="C12"/>
    <x v="1"/>
    <m/>
    <s v="Battery"/>
    <m/>
    <n v="305"/>
    <m/>
    <n v="300"/>
    <s v="Full Capacity"/>
    <s v="LOS ANGELES"/>
    <s v="CA"/>
    <s v="SCE"/>
    <s v="Vincent Substation 230 kV"/>
    <s v="Vincent"/>
    <n v="757"/>
    <x v="2"/>
    <m/>
    <m/>
    <d v="2021-12-01T08:00:00"/>
    <d v="2021-12-01T08:00:00"/>
    <s v="NA"/>
    <m/>
    <m/>
    <s v="NA"/>
    <m/>
  </r>
  <r>
    <s v="GLENFELIZ SOLAR FARM"/>
    <n v="1631"/>
    <d v="2019-04-01T00:00:00"/>
    <d v="2019-04-15T07:00:00"/>
    <s v="ACTIVE"/>
    <s v="C12"/>
    <x v="1"/>
    <s v="Photovoltaic"/>
    <s v="Battery"/>
    <s v="Solar"/>
    <n v="500"/>
    <n v="500"/>
    <n v="500"/>
    <s v="Full Capacity"/>
    <s v="KERN"/>
    <s v="CA"/>
    <s v="SCE"/>
    <s v="Windhub Substation 220kV"/>
    <s v="Windhub"/>
    <n v="2978"/>
    <x v="2"/>
    <m/>
    <m/>
    <d v="2022-10-01T07:00:00"/>
    <d v="2022-10-01T07:00:00"/>
    <s v="NA"/>
    <m/>
    <m/>
    <s v="NA"/>
    <m/>
  </r>
  <r>
    <s v="SANBORN HYBRID 3"/>
    <n v="1632"/>
    <d v="2019-04-05T00:00:00"/>
    <d v="2019-04-15T07:00:00"/>
    <s v="ACTIVE"/>
    <s v="C12"/>
    <x v="1"/>
    <s v="Photovoltaic"/>
    <s v="Battery"/>
    <s v="Solar"/>
    <n v="671.55"/>
    <n v="778.54560000000004"/>
    <n v="1500"/>
    <s v="Full Capacity"/>
    <s v="KERN"/>
    <s v="CA"/>
    <s v="SCE"/>
    <s v="Windhub Substation 500kV"/>
    <s v="Windhub"/>
    <n v="2978"/>
    <x v="2"/>
    <m/>
    <m/>
    <d v="2023-12-01T08:00:00"/>
    <d v="2023-12-01T08:00:00"/>
    <s v="NA"/>
    <m/>
    <m/>
    <s v="NA"/>
    <m/>
  </r>
  <r>
    <s v="YEAGER HYBRID SOLAR"/>
    <n v="1635"/>
    <d v="2019-04-15T00:00:00"/>
    <d v="2019-04-15T07:00:00"/>
    <s v="ACTIVE"/>
    <s v="C12"/>
    <x v="2"/>
    <s v="Storage"/>
    <s v="Solar"/>
    <s v="Battery"/>
    <n v="406.56"/>
    <n v="406.56"/>
    <n v="400"/>
    <s v="Full Capacity"/>
    <s v="KERN"/>
    <s v="CA"/>
    <s v="SCE"/>
    <s v="Windhub Substation 500kV"/>
    <s v="Windhub"/>
    <n v="2978"/>
    <x v="2"/>
    <m/>
    <m/>
    <d v="2022-11-30T08:00:00"/>
    <d v="2022-11-30T08:00:00"/>
    <s v="NA"/>
    <m/>
    <m/>
    <s v="NA"/>
    <m/>
  </r>
  <r>
    <s v="CALYPSO SOLAR"/>
    <n v="1636"/>
    <d v="2019-04-04T00:00:00"/>
    <d v="2019-04-15T07:00:00"/>
    <s v="ACTIVE"/>
    <s v="C12"/>
    <x v="1"/>
    <s v="Photovoltaic"/>
    <s v="Battery"/>
    <s v="Solar"/>
    <n v="200"/>
    <n v="400"/>
    <n v="400"/>
    <s v="Full Capacity"/>
    <s v="RIVERSIDE"/>
    <s v="CA"/>
    <s v="SCE"/>
    <s v="Colorado River Substation 230kV"/>
    <s v="Colorado"/>
    <n v="565"/>
    <x v="5"/>
    <n v="1"/>
    <s v="Riverside East"/>
    <d v="2023-12-01T08:00:00"/>
    <d v="2023-12-01T08:00:00"/>
    <s v="NA"/>
    <m/>
    <m/>
    <s v="NA"/>
    <m/>
  </r>
  <r>
    <s v="SOLO"/>
    <n v="1637"/>
    <d v="2019-04-05T00:00:00"/>
    <d v="2019-04-15T07:00:00"/>
    <s v="ACTIVE"/>
    <s v="C12"/>
    <x v="1"/>
    <s v="Photovoltaic"/>
    <s v="Battery"/>
    <s v="Solar"/>
    <n v="518.4"/>
    <n v="518.4"/>
    <n v="500"/>
    <s v="Full Capacity"/>
    <s v="RIVERSIDE"/>
    <s v="CA"/>
    <s v="SCE"/>
    <s v="Colorado River Substation 500kV"/>
    <s v="Colorado"/>
    <n v="565"/>
    <x v="5"/>
    <n v="1"/>
    <s v="Riverside East"/>
    <d v="2022-12-31T08:00:00"/>
    <d v="2022-12-31T08:00:00"/>
    <s v="NA"/>
    <m/>
    <m/>
    <s v="NA"/>
    <m/>
  </r>
  <r>
    <s v="SUNNYNOOK SOLAR CENTER"/>
    <n v="1640"/>
    <d v="2019-04-12T00:00:00"/>
    <d v="2019-04-15T07:00:00"/>
    <s v="ACTIVE"/>
    <s v="C12"/>
    <x v="2"/>
    <s v="Storage"/>
    <s v="Solar"/>
    <s v="Battery"/>
    <n v="514.35"/>
    <n v="514.35"/>
    <n v="500"/>
    <s v="Full Capacity"/>
    <s v="RIVERSIDE"/>
    <s v="CA"/>
    <s v="SCE"/>
    <s v="Devers-San Bernardino Line 230 kV"/>
    <s v="Devers"/>
    <n v="1061"/>
    <x v="3"/>
    <m/>
    <m/>
    <d v="2023-06-01T07:00:00"/>
    <d v="2023-06-01T07:00:00"/>
    <s v="NA"/>
    <m/>
    <m/>
    <s v="NA"/>
    <m/>
  </r>
  <r>
    <s v="RAMPA"/>
    <n v="1641"/>
    <d v="2019-04-05T00:00:00"/>
    <d v="2019-04-15T07:00:00"/>
    <s v="ACTIVE"/>
    <s v="C12"/>
    <x v="1"/>
    <m/>
    <s v="Battery"/>
    <m/>
    <n v="100.98"/>
    <m/>
    <n v="100"/>
    <s v="Full Capacity"/>
    <s v="SAN BERNARDINO"/>
    <s v="CA"/>
    <s v="SCE"/>
    <s v="Etiwanda Substation 230kV"/>
    <s v="Etiwanda"/>
    <n v="87"/>
    <x v="25"/>
    <m/>
    <m/>
    <d v="2022-12-31T08:00:00"/>
    <d v="2022-12-31T08:00:00"/>
    <s v="NA"/>
    <m/>
    <m/>
    <s v="NA"/>
    <m/>
  </r>
  <r>
    <s v="OBERON"/>
    <n v="1642"/>
    <d v="2019-04-02T00:00:00"/>
    <d v="2019-04-15T07:00:00"/>
    <s v="ACTIVE"/>
    <s v="C12"/>
    <x v="1"/>
    <s v="Photovoltaic"/>
    <s v="Battery"/>
    <s v="Solar"/>
    <n v="518.4"/>
    <n v="518.4"/>
    <n v="500"/>
    <s v="Full Capacity"/>
    <s v="RIVERSIDE"/>
    <s v="CA"/>
    <s v="SCE"/>
    <s v="Red Bluff Substation 500kV"/>
    <s v="Red Bluff"/>
    <n v="1845"/>
    <x v="5"/>
    <n v="1"/>
    <s v="Riverside East"/>
    <d v="2022-12-31T08:00:00"/>
    <d v="2022-12-31T08:00:00"/>
    <s v="NA"/>
    <m/>
    <m/>
    <s v="NA"/>
    <m/>
  </r>
  <r>
    <s v="LYCAN SOLAR"/>
    <n v="1643"/>
    <d v="2019-04-04T00:00:00"/>
    <d v="2019-04-15T07:00:00"/>
    <s v="ACTIVE"/>
    <s v="C12"/>
    <x v="2"/>
    <s v="Storage"/>
    <s v="Solar"/>
    <s v="Battery"/>
    <n v="400"/>
    <n v="200"/>
    <n v="400"/>
    <s v="Full Capacity"/>
    <s v="RIVERSIDE"/>
    <s v="CA"/>
    <s v="SCE"/>
    <s v="Red Bluff Substation 500kV"/>
    <s v="Red Bluff"/>
    <n v="1845"/>
    <x v="5"/>
    <n v="1"/>
    <s v="Riverside East"/>
    <d v="2023-12-01T08:00:00"/>
    <d v="2023-12-01T08:00:00"/>
    <s v="NA"/>
    <m/>
    <m/>
    <s v="NA"/>
    <m/>
  </r>
  <r>
    <s v="SAN BERNARDINO BESS"/>
    <n v="1644"/>
    <d v="2019-04-10T00:00:00"/>
    <d v="2019-04-15T07:00:00"/>
    <s v="ACTIVE"/>
    <s v="C12"/>
    <x v="1"/>
    <m/>
    <s v="Battery"/>
    <m/>
    <n v="308.10000000000002"/>
    <m/>
    <n v="300"/>
    <s v="Full Capacity"/>
    <s v="SAN BERNARDINO"/>
    <s v="CA"/>
    <s v="SCE"/>
    <s v="San Bernardino Substation 220kV"/>
    <s v="San Bernardino"/>
    <n v="151"/>
    <x v="25"/>
    <m/>
    <m/>
    <d v="2021-10-31T07:00:00"/>
    <d v="2021-10-31T07:00:00"/>
    <s v="NA"/>
    <m/>
    <m/>
    <s v="NA"/>
    <m/>
  </r>
  <r>
    <s v="MENIFEE POWER BANK"/>
    <n v="1645"/>
    <d v="2019-04-10T00:00:00"/>
    <d v="2019-04-15T07:00:00"/>
    <s v="ACTIVE"/>
    <s v="C12"/>
    <x v="1"/>
    <m/>
    <s v="Battery"/>
    <m/>
    <n v="725"/>
    <m/>
    <n v="705"/>
    <s v="Full Capacity"/>
    <s v="RIVERSIDE"/>
    <s v="CA"/>
    <s v="SCE"/>
    <s v="Valley Substation 500kV"/>
    <s v="Valley"/>
    <n v="315"/>
    <x v="14"/>
    <n v="1"/>
    <s v="Outside "/>
    <d v="2022-12-01T08:00:00"/>
    <d v="2022-12-01T08:00:00"/>
    <s v="NA"/>
    <m/>
    <m/>
    <s v="NA"/>
    <m/>
  </r>
  <r>
    <s v="DOUBLE BUTTE STORAGE"/>
    <n v="1646"/>
    <d v="2019-04-05T00:00:00"/>
    <d v="2019-04-15T07:00:00"/>
    <s v="ACTIVE"/>
    <s v="C12"/>
    <x v="1"/>
    <m/>
    <s v="Battery"/>
    <m/>
    <n v="507.6"/>
    <m/>
    <n v="500"/>
    <s v="Full Capacity"/>
    <s v="RIVERSIDE"/>
    <s v="CA"/>
    <s v="SCE"/>
    <s v="Valley Substation 500 kV"/>
    <s v="Valley"/>
    <n v="315"/>
    <x v="14"/>
    <n v="1"/>
    <s v="Outside "/>
    <d v="2022-12-31T08:00:00"/>
    <d v="2022-12-31T08:00:00"/>
    <s v="NA"/>
    <m/>
    <m/>
    <s v="NA"/>
    <m/>
  </r>
  <r>
    <s v="ANGORA SOLAR FARM"/>
    <n v="1647"/>
    <d v="2019-04-02T00:00:00"/>
    <d v="2019-04-15T07:00:00"/>
    <s v="ACTIVE"/>
    <s v="C12"/>
    <x v="1"/>
    <s v="Photovoltaic"/>
    <s v="Battery"/>
    <s v="Solar"/>
    <n v="700"/>
    <n v="700"/>
    <n v="700"/>
    <s v="Full Capacity"/>
    <s v="CLARK"/>
    <s v="NV"/>
    <s v="SCE"/>
    <s v="Mohave Substation 500kV"/>
    <s v="Mohave"/>
    <e v="#N/A"/>
    <x v="10"/>
    <n v="1"/>
    <s v="Southern NV / Southern CA Desert"/>
    <d v="2022-10-01T07:00:00"/>
    <d v="2022-10-01T07:00:00"/>
    <s v="NA"/>
    <m/>
    <m/>
    <s v="NA"/>
    <m/>
  </r>
  <r>
    <s v="BULLHEAD SOLAR"/>
    <n v="1648"/>
    <d v="2019-04-05T00:00:00"/>
    <d v="2019-04-15T07:00:00"/>
    <s v="ACTIVE"/>
    <s v="C12"/>
    <x v="2"/>
    <s v="Storage"/>
    <s v="Solar"/>
    <s v="Battery"/>
    <n v="400"/>
    <n v="200"/>
    <n v="400"/>
    <s v="Full Capacity"/>
    <s v="CLARK"/>
    <s v="NV"/>
    <s v="SCE"/>
    <s v="Mohave Substation 500kV"/>
    <s v="Mohave"/>
    <e v="#N/A"/>
    <x v="10"/>
    <n v="1"/>
    <s v="Southern NV / Southern CA Desert"/>
    <d v="2023-12-01T08:00:00"/>
    <d v="2023-12-01T08:00:00"/>
    <s v="NA"/>
    <m/>
    <m/>
    <s v="NA"/>
    <m/>
  </r>
  <r>
    <s v="BONANZA SOLAR"/>
    <n v="1649"/>
    <d v="2019-04-05T00:00:00"/>
    <d v="2019-04-15T07:00:00"/>
    <s v="ACTIVE"/>
    <s v="C12"/>
    <x v="1"/>
    <s v="Photovoltaic"/>
    <s v="Battery"/>
    <s v="Solar"/>
    <n v="150"/>
    <n v="300"/>
    <n v="300"/>
    <s v="Full Capacity"/>
    <s v="CLARK/NYE"/>
    <s v="NV"/>
    <s v="GWT"/>
    <s v="Innovation 230kV Sub"/>
    <s v="Innovation"/>
    <e v="#N/A"/>
    <x v="10"/>
    <n v="1"/>
    <s v="Southern NV / Southern CA Desert"/>
    <d v="2023-12-01T08:00:00"/>
    <d v="2023-12-01T08:00:00"/>
    <s v="NA"/>
    <m/>
    <m/>
    <s v="NA"/>
    <m/>
  </r>
  <r>
    <s v="ROUGH HAT HYBRID SOLAR"/>
    <n v="1650"/>
    <d v="2019-04-15T00:00:00"/>
    <d v="2019-04-15T07:00:00"/>
    <s v="ACTIVE"/>
    <s v="C12"/>
    <x v="2"/>
    <s v="Storage"/>
    <s v="Solar"/>
    <s v="Battery"/>
    <n v="204"/>
    <n v="200"/>
    <n v="200"/>
    <s v="Full Capacity"/>
    <s v="NYE"/>
    <s v="NV"/>
    <s v="GWT"/>
    <s v="Trout Canyon Switching Station 230kV"/>
    <s v="Trout Canyon"/>
    <e v="#N/A"/>
    <x v="10"/>
    <n v="1"/>
    <s v="Southern NV / Southern CA Desert"/>
    <d v="2022-11-30T08:00:00"/>
    <d v="2022-11-30T08:00:00"/>
    <s v="NA"/>
    <m/>
    <m/>
    <s v="NA"/>
    <m/>
  </r>
  <r>
    <s v="SLOAN ENERGY CENTER"/>
    <n v="1653"/>
    <d v="2019-04-13T00:00:00"/>
    <d v="2019-04-15T07:00:00"/>
    <s v="ACTIVE"/>
    <s v="C12"/>
    <x v="1"/>
    <s v="Photovoltaic"/>
    <s v="Battery"/>
    <s v="Solar"/>
    <n v="118.56"/>
    <n v="459.54"/>
    <n v="448"/>
    <s v="Full Capacity"/>
    <s v="CLARK"/>
    <s v="NN"/>
    <s v="GWT"/>
    <s v="Sloan Canyon Switching Station 230kV"/>
    <s v="Sloan Canyon"/>
    <e v="#N/A"/>
    <x v="10"/>
    <n v="1"/>
    <s v="Southern NV / Southern CA Desert"/>
    <d v="2023-05-31T07:00:00"/>
    <d v="2023-05-31T07:00:00"/>
    <s v="NA"/>
    <m/>
    <m/>
    <s v="NA"/>
    <m/>
  </r>
  <r>
    <s v="YELLOW PINE 3"/>
    <n v="1654"/>
    <d v="2019-04-09T00:00:00"/>
    <d v="2019-04-15T07:00:00"/>
    <s v="ACTIVE"/>
    <s v="C12"/>
    <x v="2"/>
    <s v="Storage"/>
    <s v="Solar"/>
    <s v="Battery"/>
    <n v="261.95400000000001"/>
    <n v="254.98"/>
    <n v="250"/>
    <s v="Full Capacity"/>
    <s v="CLARK"/>
    <s v="NV"/>
    <s v="GWT"/>
    <s v="Trout Canyon Substation 230kV"/>
    <s v="Trout Canyon"/>
    <e v="#N/A"/>
    <x v="10"/>
    <n v="1"/>
    <s v="Southern NV / Southern CA Desert"/>
    <d v="2025-12-31T08:00:00"/>
    <d v="2025-12-31T08:00:00"/>
    <s v="NA"/>
    <m/>
    <m/>
    <s v="NA"/>
    <m/>
  </r>
  <r>
    <s v="BONANZA PEAK SOLAR FARM"/>
    <n v="1655"/>
    <d v="2019-04-12T00:00:00"/>
    <d v="2019-04-12T07:00:00"/>
    <s v="ACTIVE"/>
    <s v="C12"/>
    <x v="1"/>
    <s v="Photovoltaic"/>
    <s v="Battery"/>
    <s v="Solar"/>
    <n v="200"/>
    <n v="441"/>
    <n v="400"/>
    <s v="Full Capacity"/>
    <s v="CLARK AND NYE"/>
    <s v="NV"/>
    <s v="GWT"/>
    <s v="Trout Canyon Switching Station 230kV"/>
    <s v="Trout Canyon"/>
    <e v="#N/A"/>
    <x v="10"/>
    <n v="1"/>
    <s v="Southern NV / Southern CA Desert"/>
    <d v="2022-12-16T08:00:00"/>
    <d v="2022-12-16T08:00:00"/>
    <s v="NA"/>
    <m/>
    <m/>
    <s v="NA"/>
    <m/>
  </r>
  <r>
    <s v="GYPSY ESS"/>
    <n v="1656"/>
    <d v="2019-04-04T00:00:00"/>
    <d v="2019-04-15T07:00:00"/>
    <s v="ACTIVE"/>
    <s v="C12"/>
    <x v="1"/>
    <m/>
    <s v="Battery"/>
    <m/>
    <n v="200"/>
    <m/>
    <n v="200"/>
    <s v="Full Capacity"/>
    <s v="SAN DIEGO"/>
    <s v="CA"/>
    <s v="SDGE"/>
    <s v="Bay-Boulevard 230kV"/>
    <s v="Bay"/>
    <e v="#N/A"/>
    <x v="6"/>
    <m/>
    <m/>
    <d v="2023-12-01T08:00:00"/>
    <d v="2023-12-01T08:00:00"/>
    <s v="NA"/>
    <m/>
    <m/>
    <s v="NA"/>
    <m/>
  </r>
  <r>
    <s v="SANDPIPER STORAGE"/>
    <n v="1657"/>
    <d v="2019-04-02T00:00:00"/>
    <d v="2019-04-15T07:00:00"/>
    <s v="ACTIVE"/>
    <s v="C12"/>
    <x v="1"/>
    <m/>
    <s v="Battery"/>
    <m/>
    <n v="200"/>
    <m/>
    <n v="200"/>
    <s v="Full Capacity"/>
    <s v="ORANGE"/>
    <s v="CA"/>
    <s v="SDGE"/>
    <s v="Capistrano-Pico 138kV"/>
    <s v="Capistrano"/>
    <n v="987"/>
    <x v="3"/>
    <m/>
    <m/>
    <d v="2023-06-30T07:00:00"/>
    <d v="2023-06-30T07:00:00"/>
    <s v="NA"/>
    <m/>
    <m/>
    <s v="NA"/>
    <m/>
  </r>
  <r>
    <s v="CARDINAL STORAGE"/>
    <n v="1658"/>
    <d v="2019-04-01T00:00:00"/>
    <d v="2019-04-15T07:00:00"/>
    <s v="ACTIVE"/>
    <s v="C12"/>
    <x v="1"/>
    <m/>
    <s v="Battery"/>
    <m/>
    <n v="200"/>
    <m/>
    <n v="200"/>
    <s v="Full Capacity"/>
    <s v="IMPERIAL"/>
    <s v="CA"/>
    <s v="SDGE"/>
    <s v="Imperial Valley Substation 230kV"/>
    <s v="Imperial"/>
    <n v="491"/>
    <x v="0"/>
    <n v="1"/>
    <s v="Greater Imperial"/>
    <d v="2023-06-30T07:00:00"/>
    <d v="2023-06-30T07:00:00"/>
    <s v="NA"/>
    <m/>
    <m/>
    <s v="NA"/>
    <m/>
  </r>
  <r>
    <s v="ENERGIA SIERRA JUAREZ WIND 3"/>
    <n v="1660"/>
    <d v="2019-03-29T00:00:00"/>
    <d v="2019-04-15T07:00:00"/>
    <s v="ACTIVE"/>
    <s v="C12"/>
    <x v="0"/>
    <m/>
    <s v="Wind Turbine"/>
    <m/>
    <n v="352.5"/>
    <m/>
    <n v="300"/>
    <s v="Full Capacity"/>
    <s v="TIJUANA"/>
    <s v="MX"/>
    <s v="SDGE"/>
    <s v="ECO Substation 230kV"/>
    <s v="East County"/>
    <n v="3214"/>
    <x v="0"/>
    <m/>
    <m/>
    <d v="2023-12-31T08:00:00"/>
    <d v="2023-12-31T08:00:00"/>
    <s v="NA"/>
    <m/>
    <m/>
    <s v="NA"/>
    <m/>
  </r>
  <r>
    <s v="OBSIDIAN WIND"/>
    <n v="1661"/>
    <d v="2019-04-05T00:00:00"/>
    <d v="2019-04-15T07:00:00"/>
    <s v="ACTIVE"/>
    <s v="C12"/>
    <x v="0"/>
    <m/>
    <s v="Wind Turbine"/>
    <m/>
    <n v="300"/>
    <m/>
    <n v="300"/>
    <s v="Full Capacity"/>
    <s v="BAJA CALIFORNIA"/>
    <s v="MX"/>
    <s v="SDGE"/>
    <s v="ECO Substation 230kV"/>
    <s v="East County"/>
    <n v="3214"/>
    <x v="0"/>
    <m/>
    <m/>
    <d v="2024-12-01T08:00:00"/>
    <d v="2024-12-01T08:00:00"/>
    <s v="NA"/>
    <m/>
    <m/>
    <s v="NA"/>
    <m/>
  </r>
  <r>
    <s v="VENTASSO ENERGY STORAGE"/>
    <n v="1662"/>
    <d v="2019-04-06T00:00:00"/>
    <d v="2019-04-15T07:00:00"/>
    <s v="ACTIVE"/>
    <s v="C12"/>
    <x v="1"/>
    <m/>
    <s v="Battery"/>
    <m/>
    <n v="50.774000000000001"/>
    <m/>
    <n v="50"/>
    <s v="Full Capacity"/>
    <s v="SAN DIEGO"/>
    <s v="CA"/>
    <s v="SDGE"/>
    <s v="EI Cajon Substation 69kV"/>
    <s v="EI Cajon"/>
    <e v="#N/A"/>
    <x v="6"/>
    <m/>
    <m/>
    <d v="2022-11-30T08:00:00"/>
    <d v="2022-11-30T08:00:00"/>
    <s v="NA"/>
    <m/>
    <m/>
    <s v="NA"/>
    <m/>
  </r>
  <r>
    <s v="HOODINI"/>
    <n v="1663"/>
    <d v="2019-04-13T00:00:00"/>
    <d v="2019-04-15T07:00:00"/>
    <s v="ACTIVE"/>
    <s v="C12"/>
    <x v="1"/>
    <s v="Photovoltaic"/>
    <s v="Battery"/>
    <s v="Solar"/>
    <n v="112.63"/>
    <n v="459.54"/>
    <n v="450"/>
    <s v="Full Capacity"/>
    <s v="YUMA COUNTY"/>
    <s v="NN"/>
    <s v="SDGE"/>
    <s v="Hoodoo Wash Substation 500kV"/>
    <s v="Hoodoo Wash"/>
    <e v="#N/A"/>
    <x v="0"/>
    <n v="1"/>
    <s v="Greater Imperial"/>
    <d v="2023-05-31T07:00:00"/>
    <d v="2023-05-31T07:00:00"/>
    <s v="NA"/>
    <m/>
    <m/>
    <s v="NA"/>
    <m/>
  </r>
  <r>
    <s v="TERMOELECTRICA DE MEXICALI STORAGE"/>
    <n v="1664"/>
    <d v="2019-03-29T00:00:00"/>
    <d v="2019-04-15T07:00:00"/>
    <s v="ACTIVE"/>
    <s v="C12"/>
    <x v="1"/>
    <m/>
    <s v="Battery"/>
    <m/>
    <n v="500"/>
    <m/>
    <n v="500"/>
    <s v="Full Capacity"/>
    <s v="SONORA"/>
    <s v="MX"/>
    <s v="SDGE"/>
    <s v="Imperial Valley Substation 230kV"/>
    <s v="Imperial"/>
    <n v="491"/>
    <x v="0"/>
    <n v="1"/>
    <s v="Greater Imperial"/>
    <d v="2021-12-31T08:00:00"/>
    <d v="2021-12-31T08:00:00"/>
    <s v="NA"/>
    <m/>
    <m/>
    <s v="NA"/>
    <m/>
  </r>
  <r>
    <s v="KINGSLEY SOLAR FARM"/>
    <n v="1665"/>
    <d v="2019-04-01T00:00:00"/>
    <d v="2019-04-15T07:00:00"/>
    <s v="ACTIVE"/>
    <s v="C12"/>
    <x v="1"/>
    <s v="Photovoltaic"/>
    <s v="Battery"/>
    <s v="Solar"/>
    <n v="360"/>
    <n v="360"/>
    <n v="360"/>
    <s v="Full Capacity"/>
    <s v="IMPERIAL"/>
    <s v="CA"/>
    <s v="SDGE"/>
    <s v="Imperial Valley Substation 230kV"/>
    <s v="Imperial"/>
    <n v="491"/>
    <x v="0"/>
    <n v="1"/>
    <s v="Greater Imperial"/>
    <d v="2023-06-01T07:00:00"/>
    <d v="2023-06-01T07:00:00"/>
    <s v="NA"/>
    <m/>
    <m/>
    <s v="NA"/>
    <m/>
  </r>
  <r>
    <s v="SALTON SOLAR"/>
    <n v="1666"/>
    <d v="2019-04-05T00:00:00"/>
    <d v="2019-04-15T07:00:00"/>
    <s v="ACTIVE"/>
    <s v="C12"/>
    <x v="1"/>
    <s v="Photovoltaic"/>
    <s v="Battery"/>
    <s v="Solar"/>
    <n v="210.6"/>
    <n v="421.2"/>
    <n v="400"/>
    <s v="Full Capacity"/>
    <s v="IMPERIAL"/>
    <s v="CA"/>
    <s v="SDGE"/>
    <s v="Imperial Valley Substation 230kV"/>
    <s v="Imperial"/>
    <n v="491"/>
    <x v="0"/>
    <n v="1"/>
    <s v="Greater Imperial"/>
    <d v="2023-12-01T08:00:00"/>
    <d v="2023-12-01T08:00:00"/>
    <s v="NA"/>
    <m/>
    <m/>
    <s v="NA"/>
    <m/>
  </r>
  <r>
    <s v="WISTARIA RANCH SOLAR 2"/>
    <n v="1667"/>
    <d v="2019-04-12T00:00:00"/>
    <d v="2019-04-15T07:00:00"/>
    <s v="ACTIVE"/>
    <s v="C12"/>
    <x v="2"/>
    <s v="Storage"/>
    <s v="Solar"/>
    <s v="Battery"/>
    <n v="153.69999999999999"/>
    <n v="52.13"/>
    <n v="150"/>
    <s v="Full Capacity"/>
    <s v="IMPERIAL"/>
    <s v="CA"/>
    <s v="SDGE"/>
    <s v="Imperial Valley Substation 230kV"/>
    <s v="Imperial"/>
    <n v="491"/>
    <x v="0"/>
    <n v="1"/>
    <s v="Greater Imperial"/>
    <d v="2022-12-31T08:00:00"/>
    <d v="2022-12-31T08:00:00"/>
    <s v="NA"/>
    <m/>
    <m/>
    <s v="NA"/>
    <m/>
  </r>
  <r>
    <s v="SUFFOLK STORAGE"/>
    <n v="1668"/>
    <d v="2019-04-12T00:00:00"/>
    <d v="2019-04-15T07:00:00"/>
    <s v="ACTIVE"/>
    <s v="C12"/>
    <x v="1"/>
    <m/>
    <s v="Battery"/>
    <m/>
    <n v="51"/>
    <m/>
    <n v="50"/>
    <s v="Full Capacity"/>
    <s v="SAN DIEGO"/>
    <s v="CA"/>
    <s v="SDGE"/>
    <s v="Mesa Heights Substation 69kV"/>
    <s v="Mesa Heights"/>
    <n v="1423"/>
    <x v="11"/>
    <m/>
    <m/>
    <d v="2021-12-01T08:00:00"/>
    <d v="2021-12-01T08:00:00"/>
    <s v="NA"/>
    <m/>
    <m/>
    <s v="NA"/>
    <m/>
  </r>
  <r>
    <s v="POME BESS"/>
    <n v="1669"/>
    <d v="2019-04-13T00:00:00"/>
    <d v="2019-04-15T07:00:00"/>
    <s v="ACTIVE"/>
    <s v="C12"/>
    <x v="1"/>
    <m/>
    <s v="Battery"/>
    <m/>
    <n v="101.5"/>
    <m/>
    <n v="100"/>
    <s v="Full Capacity"/>
    <s v="SAN DIEGO"/>
    <s v="NN"/>
    <s v="SDGE"/>
    <s v="Pomerado Substation 69kV"/>
    <s v="Pomerado"/>
    <n v="1994"/>
    <x v="11"/>
    <m/>
    <m/>
    <d v="2023-05-31T07:00:00"/>
    <d v="2023-05-31T07:00:00"/>
    <s v="NA"/>
    <m/>
    <m/>
    <s v="NA"/>
    <m/>
  </r>
  <r>
    <s v="PEREGRINE STORAGE"/>
    <n v="1670"/>
    <d v="2019-04-01T00:00:00"/>
    <d v="2019-04-15T07:00:00"/>
    <s v="ACTIVE"/>
    <s v="C12"/>
    <x v="1"/>
    <m/>
    <s v="Battery"/>
    <m/>
    <n v="200"/>
    <m/>
    <n v="200"/>
    <s v="Full Capacity"/>
    <s v="SAN DIEGO"/>
    <s v="CA"/>
    <s v="SDGE"/>
    <s v="Silvergate Substation 230kV"/>
    <s v="Silvergate"/>
    <n v="2045"/>
    <x v="11"/>
    <m/>
    <m/>
    <d v="2023-06-30T07:00:00"/>
    <d v="2023-06-30T07:00:00"/>
    <s v="NA"/>
    <m/>
    <m/>
    <s v="NA"/>
    <m/>
  </r>
  <r>
    <s v="MARINE DEPOT"/>
    <n v="1671"/>
    <d v="2019-04-16T00:00:00"/>
    <d v="2019-04-15T07:00:00"/>
    <s v="ACTIVE"/>
    <s v="C12"/>
    <x v="1"/>
    <m/>
    <s v="Battery"/>
    <m/>
    <n v="26.6"/>
    <m/>
    <n v="25"/>
    <s v="Full Capacity"/>
    <s v="SAN DEIGO"/>
    <s v="NN"/>
    <s v="SDGE"/>
    <s v="Point Loma Substation 69kV"/>
    <s v="Point Loma"/>
    <n v="1443"/>
    <x v="11"/>
    <m/>
    <m/>
    <d v="2021-12-31T08:00:00"/>
    <d v="2021-12-31T08:00:00"/>
    <s v="NA"/>
    <m/>
    <m/>
    <s v="NA"/>
    <m/>
  </r>
  <r>
    <s v="BOULDER OAKS HYBRID"/>
    <n v="1672"/>
    <d v="2019-04-05T00:00:00"/>
    <d v="2019-04-15T07:00:00"/>
    <s v="ACTIVE"/>
    <s v="C12"/>
    <x v="0"/>
    <s v="Storage"/>
    <s v="Wind Turbine"/>
    <s v="Battery"/>
    <n v="205.8"/>
    <n v="205"/>
    <n v="400"/>
    <s v="Full Capacity"/>
    <s v="SAN DIEGO"/>
    <s v="CA"/>
    <s v="SDGE"/>
    <s v="ECO-Miguel 500kV"/>
    <s v="East County"/>
    <n v="3214"/>
    <x v="0"/>
    <m/>
    <m/>
    <d v="2021-09-30T07:00:00"/>
    <d v="2021-09-30T07:00:00"/>
    <s v="NA"/>
    <m/>
    <m/>
    <s v="NA"/>
    <m/>
  </r>
  <r>
    <s v="NIGHTHAWK STORAGE"/>
    <n v="1673"/>
    <d v="2019-04-02T00:00:00"/>
    <d v="2019-04-15T07:00:00"/>
    <s v="ACTIVE"/>
    <s v="C12"/>
    <x v="1"/>
    <m/>
    <s v="Battery"/>
    <m/>
    <n v="300"/>
    <m/>
    <n v="300"/>
    <s v="Full Capacity"/>
    <s v="SAN DIEGO"/>
    <s v="CA"/>
    <s v="SDGE"/>
    <s v="Sycamore Canyon Substation 138kV"/>
    <s v="Sycamore Canyon"/>
    <n v="1465"/>
    <x v="11"/>
    <m/>
    <m/>
    <d v="2023-06-30T07:00:00"/>
    <d v="2023-06-30T07:00:00"/>
    <s v="NA"/>
    <m/>
    <m/>
    <s v="NA"/>
    <m/>
  </r>
  <r>
    <s v="SV ENERGY STORAGE FACILITY"/>
    <n v="1674"/>
    <d v="2019-04-12T00:00:00"/>
    <d v="2019-04-15T07:00:00"/>
    <s v="ACTIVE"/>
    <s v="C12"/>
    <x v="1"/>
    <m/>
    <s v="Pumped-Storage hydro"/>
    <m/>
    <n v="500"/>
    <m/>
    <n v="500"/>
    <s v="Full Capacity"/>
    <s v="SAN DIEGO"/>
    <s v="CA"/>
    <s v="SDGE"/>
    <s v="Sycamore Canyon Substation 230kV"/>
    <s v="Sycamore Canyon"/>
    <n v="1465"/>
    <x v="11"/>
    <m/>
    <m/>
    <d v="2026-04-01T07:00:00"/>
    <d v="2026-04-01T07:00:00"/>
    <s v="NA"/>
    <m/>
    <m/>
    <s v="NA"/>
    <m/>
  </r>
  <r>
    <s v="RESAVA ENERGY STORAGE"/>
    <n v="1675"/>
    <d v="2019-04-05T00:00:00"/>
    <d v="2019-04-15T07:00:00"/>
    <s v="ACTIVE"/>
    <s v="C12"/>
    <x v="1"/>
    <m/>
    <s v="Battery"/>
    <m/>
    <n v="122"/>
    <m/>
    <n v="120"/>
    <s v="Full Capacity"/>
    <s v="SAN DIEGO"/>
    <s v="CA"/>
    <s v="SDGE"/>
    <s v="Valley Center 69kV"/>
    <s v="Valley"/>
    <n v="315"/>
    <x v="0"/>
    <m/>
    <m/>
    <d v="2021-12-31T08:00:00"/>
    <d v="2021-12-31T08:00:00"/>
    <s v="NA"/>
    <m/>
    <m/>
    <s v="N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5032D7B-AA20-4944-A36C-A16B588285E2}"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B86" firstHeaderRow="1" firstDataRow="1" firstDataCol="1"/>
  <pivotFields count="30">
    <pivotField showAll="0"/>
    <pivotField showAll="0"/>
    <pivotField numFmtId="14" showAll="0"/>
    <pivotField numFmtId="14" showAll="0"/>
    <pivotField showAll="0"/>
    <pivotField showAll="0"/>
    <pivotField axis="axisRow" showAll="0">
      <items count="8">
        <item x="5"/>
        <item x="6"/>
        <item x="4"/>
        <item x="2"/>
        <item x="3"/>
        <item x="1"/>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27">
        <item x="3"/>
        <item x="15"/>
        <item x="21"/>
        <item x="11"/>
        <item x="25"/>
        <item x="17"/>
        <item x="7"/>
        <item x="12"/>
        <item x="22"/>
        <item x="8"/>
        <item x="0"/>
        <item x="5"/>
        <item x="10"/>
        <item x="4"/>
        <item x="9"/>
        <item x="1"/>
        <item x="2"/>
        <item x="20"/>
        <item x="24"/>
        <item x="6"/>
        <item x="23"/>
        <item x="13"/>
        <item x="14"/>
        <item x="16"/>
        <item x="18"/>
        <item x="19"/>
        <item t="default"/>
      </items>
    </pivotField>
    <pivotField showAll="0"/>
    <pivotField showAll="0"/>
    <pivotField numFmtId="14" showAll="0"/>
    <pivotField numFmtId="14" showAll="0"/>
    <pivotField showAll="0"/>
    <pivotField showAll="0"/>
    <pivotField showAll="0"/>
    <pivotField showAll="0"/>
    <pivotField showAll="0"/>
  </pivotFields>
  <rowFields count="2">
    <field x="20"/>
    <field x="6"/>
  </rowFields>
  <rowItems count="84">
    <i>
      <x/>
    </i>
    <i r="1">
      <x v="3"/>
    </i>
    <i r="1">
      <x v="5"/>
    </i>
    <i r="1">
      <x v="6"/>
    </i>
    <i>
      <x v="1"/>
    </i>
    <i r="1">
      <x v="3"/>
    </i>
    <i r="1">
      <x v="5"/>
    </i>
    <i>
      <x v="2"/>
    </i>
    <i r="1">
      <x v="3"/>
    </i>
    <i r="1">
      <x v="5"/>
    </i>
    <i>
      <x v="3"/>
    </i>
    <i r="1">
      <x v="5"/>
    </i>
    <i>
      <x v="4"/>
    </i>
    <i r="1">
      <x v="5"/>
    </i>
    <i>
      <x v="5"/>
    </i>
    <i r="1">
      <x v="5"/>
    </i>
    <i r="1">
      <x v="6"/>
    </i>
    <i>
      <x v="6"/>
    </i>
    <i r="1">
      <x v="3"/>
    </i>
    <i r="1">
      <x v="5"/>
    </i>
    <i>
      <x v="7"/>
    </i>
    <i r="1">
      <x v="3"/>
    </i>
    <i r="1">
      <x v="5"/>
    </i>
    <i r="1">
      <x v="6"/>
    </i>
    <i>
      <x v="8"/>
    </i>
    <i r="1">
      <x v="5"/>
    </i>
    <i>
      <x v="9"/>
    </i>
    <i r="1">
      <x v="2"/>
    </i>
    <i r="1">
      <x v="3"/>
    </i>
    <i r="1">
      <x v="4"/>
    </i>
    <i r="1">
      <x v="5"/>
    </i>
    <i r="1">
      <x v="6"/>
    </i>
    <i>
      <x v="10"/>
    </i>
    <i r="1">
      <x v="3"/>
    </i>
    <i r="1">
      <x v="5"/>
    </i>
    <i r="1">
      <x v="6"/>
    </i>
    <i>
      <x v="11"/>
    </i>
    <i r="1">
      <x v="3"/>
    </i>
    <i r="1">
      <x v="4"/>
    </i>
    <i r="1">
      <x v="5"/>
    </i>
    <i>
      <x v="12"/>
    </i>
    <i r="1">
      <x v="3"/>
    </i>
    <i r="1">
      <x v="5"/>
    </i>
    <i r="1">
      <x v="6"/>
    </i>
    <i>
      <x v="13"/>
    </i>
    <i r="1">
      <x/>
    </i>
    <i r="1">
      <x v="1"/>
    </i>
    <i r="1">
      <x v="3"/>
    </i>
    <i r="1">
      <x v="5"/>
    </i>
    <i r="1">
      <x v="6"/>
    </i>
    <i>
      <x v="14"/>
    </i>
    <i r="1">
      <x v="3"/>
    </i>
    <i r="1">
      <x v="5"/>
    </i>
    <i r="1">
      <x v="6"/>
    </i>
    <i>
      <x v="15"/>
    </i>
    <i r="1">
      <x v="3"/>
    </i>
    <i r="1">
      <x v="5"/>
    </i>
    <i>
      <x v="16"/>
    </i>
    <i r="1">
      <x v="3"/>
    </i>
    <i r="1">
      <x v="5"/>
    </i>
    <i r="1">
      <x v="6"/>
    </i>
    <i>
      <x v="17"/>
    </i>
    <i r="1">
      <x v="5"/>
    </i>
    <i>
      <x v="18"/>
    </i>
    <i r="1">
      <x v="5"/>
    </i>
    <i r="1">
      <x v="6"/>
    </i>
    <i>
      <x v="19"/>
    </i>
    <i r="1">
      <x/>
    </i>
    <i r="1">
      <x v="3"/>
    </i>
    <i r="1">
      <x v="5"/>
    </i>
    <i>
      <x v="20"/>
    </i>
    <i r="1">
      <x v="5"/>
    </i>
    <i>
      <x v="21"/>
    </i>
    <i r="1">
      <x v="5"/>
    </i>
    <i>
      <x v="22"/>
    </i>
    <i r="1">
      <x v="5"/>
    </i>
    <i>
      <x v="23"/>
    </i>
    <i r="1">
      <x v="3"/>
    </i>
    <i>
      <x v="24"/>
    </i>
    <i r="1">
      <x v="3"/>
    </i>
    <i>
      <x v="25"/>
    </i>
    <i r="1">
      <x v="3"/>
    </i>
    <i r="1">
      <x v="5"/>
    </i>
    <i t="grand">
      <x/>
    </i>
  </rowItems>
  <colItems count="1">
    <i/>
  </colItems>
  <dataFields count="1">
    <dataField name="Sum of MW-1"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8" dT="2020-03-24T19:22:11.70" personId="{CCB47EC2-BCDF-41A7-B074-536D3E87FF3A}" id="{6EC9F4A5-2302-430E-A379-CD8F9C9210D1}">
    <text>Changes occur at substation level within zone.</text>
  </threadedComment>
  <threadedComment ref="C19" dT="2020-03-24T19:22:11.70" personId="{CCB47EC2-BCDF-41A7-B074-536D3E87FF3A}" id="{B4F23D35-4033-41B0-B032-8E2939D16330}">
    <text>Changes occur at substation level within zone.</text>
  </threadedComment>
</ThreadedComments>
</file>

<file path=xl/threadedComments/threadedComment2.xml><?xml version="1.0" encoding="utf-8"?>
<ThreadedComments xmlns="http://schemas.microsoft.com/office/spreadsheetml/2018/threadedcomments" xmlns:x="http://schemas.openxmlformats.org/spreadsheetml/2006/main">
  <threadedComment ref="L7" dT="2020-03-24T18:21:04.35" personId="{CCB47EC2-BCDF-41A7-B074-536D3E87FF3A}" id="{F9DB8576-D53C-43DE-95DF-B4E7D0496038}">
    <text>Source: Feb2020_Resolve_tx_zones</text>
  </threadedComment>
  <threadedComment ref="AM15" dT="2020-03-30T19:09:26.19" personId="{F5AC1198-A0F0-404B-A9AD-0CD13C5941B0}" id="{1C4B5CC8-7F99-44E4-A256-0582399C7FC8}">
    <text xml:space="preserve">This appears as an exceedance, but in post-processing, the excess is assigned to Gates-Diablo 500 kV system which is electrically outside the constraint.
</text>
  </threadedComment>
  <threadedComment ref="AM33" dT="2020-03-30T19:10:08.01" personId="{F5AC1198-A0F0-404B-A9AD-0CD13C5941B0}" id="{78D3887D-BBE7-48A1-B189-B56579D91766}">
    <text xml:space="preserve">This appears as an exceedance, but it ok because the resource is pumped hydro energy storage.
</text>
  </threadedComment>
</ThreadedComments>
</file>

<file path=xl/threadedComments/threadedComment3.xml><?xml version="1.0" encoding="utf-8"?>
<ThreadedComments xmlns="http://schemas.microsoft.com/office/spreadsheetml/2018/threadedcomments" xmlns:x="http://schemas.openxmlformats.org/spreadsheetml/2006/main">
  <threadedComment ref="L35" dT="2020-01-23T15:45:04.96" personId="{A492F4E2-0FD3-458C-8717-82F42CD79720}" id="{7C3F2510-AEEB-4B1B-9653-505EDD9E3961}">
    <text>Note this is manually disentangled from resources physically located in AZ, with queue POI specified in Riverside Palm Springs zone</text>
  </threadedComment>
  <threadedComment ref="S35" dT="2020-01-23T15:45:04.96" personId="{A492F4E2-0FD3-458C-8717-82F42CD79720}" id="{7BA9249C-FFD6-4169-85BE-5BA7056FFF35}">
    <text>Note this is manually disentangled from resources physically located in AZ, with queue POI specified in Riverside Palm Springs zone</text>
  </threadedComment>
  <threadedComment ref="L63" dT="2019-12-27T12:00:39.68" personId="{A492F4E2-0FD3-458C-8717-82F42CD79720}" id="{CF4E72CD-E1A1-49BF-BDB5-20AC6F357216}">
    <text>Sumarized manually by state in queue spreadsheet, to distentangle overlap with other zones (RiversidePalm Springs and Greater Imperial)</text>
  </threadedComment>
  <threadedComment ref="S63" dT="2019-12-27T12:00:39.68" personId="{A492F4E2-0FD3-458C-8717-82F42CD79720}" id="{CFD94EAB-590B-43C7-8F8F-B0A8EE25E5AA}">
    <text>Sumarized manually by state in queue spreadsheet, to distentangle overlap with other zones (RiversidePalm Springs and Greater Imperial)</text>
  </threadedComment>
  <threadedComment ref="L66" dT="2020-03-04T21:30:49.68" personId="{CCB47EC2-BCDF-41A7-B074-536D3E87FF3A}" id="{09B907EE-1A1C-4054-AE85-BB22D5ADD67A}">
    <text>Summarized manually by county in queue spreadsheet, to distentangle overlap with other zones (Greater Imperial)</text>
  </threadedComment>
  <threadedComment ref="S66" dT="2020-03-04T21:30:49.68" personId="{CCB47EC2-BCDF-41A7-B074-536D3E87FF3A}" id="{0B0B7300-B322-48CB-BCE6-2EF9107BBBBF}">
    <text>Summarized manually by county in queue spreadsheet, to distentangle overlap with other zones (Greater Imperial)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B4" dT="2019-12-30T19:09:12.36" personId="{A492F4E2-0FD3-458C-8717-82F42CD79720}" id="{148F44C0-03D3-468A-968A-6D6C5F9CE93D}">
    <text xml:space="preserve">Source: Feb 2020 Busbar Allocation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puc.ca.gov/General.aspx?id=6442464144"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CF9B-52C0-40B8-8B5A-2A41C8AD4DDF}">
  <dimension ref="A1:D10"/>
  <sheetViews>
    <sheetView workbookViewId="0"/>
  </sheetViews>
  <sheetFormatPr defaultRowHeight="14.25"/>
  <cols>
    <col min="2" max="2" width="92.59765625" customWidth="1"/>
    <col min="4" max="4" width="8.73046875" style="91"/>
  </cols>
  <sheetData>
    <row r="1" spans="1:4">
      <c r="A1" s="452"/>
      <c r="B1" s="453"/>
      <c r="C1" s="454"/>
    </row>
    <row r="2" spans="1:4">
      <c r="A2" s="329"/>
      <c r="B2" s="449" t="s">
        <v>0</v>
      </c>
      <c r="C2" s="455"/>
    </row>
    <row r="3" spans="1:4" ht="57">
      <c r="A3" s="329"/>
      <c r="B3" s="449" t="s">
        <v>1</v>
      </c>
      <c r="C3" s="455"/>
    </row>
    <row r="4" spans="1:4" ht="28.5">
      <c r="A4" s="329"/>
      <c r="B4" s="449" t="s">
        <v>2</v>
      </c>
      <c r="C4" s="455"/>
    </row>
    <row r="5" spans="1:4">
      <c r="A5" s="329"/>
      <c r="B5" s="449" t="s">
        <v>3</v>
      </c>
      <c r="C5" s="455"/>
    </row>
    <row r="6" spans="1:4">
      <c r="A6" s="329"/>
      <c r="B6" s="450" t="s">
        <v>4</v>
      </c>
      <c r="C6" s="455"/>
    </row>
    <row r="7" spans="1:4" ht="28.5">
      <c r="A7" s="329"/>
      <c r="B7" s="449" t="s">
        <v>5</v>
      </c>
      <c r="C7" s="455"/>
      <c r="D7" s="97"/>
    </row>
    <row r="8" spans="1:4">
      <c r="A8" s="329"/>
      <c r="B8" s="449" t="s">
        <v>6</v>
      </c>
      <c r="C8" s="455"/>
    </row>
    <row r="9" spans="1:4">
      <c r="A9" s="329"/>
      <c r="B9" s="451" t="s">
        <v>7</v>
      </c>
      <c r="C9" s="455"/>
    </row>
    <row r="10" spans="1:4">
      <c r="A10" s="456"/>
      <c r="B10" s="457"/>
      <c r="C10" s="458"/>
    </row>
  </sheetData>
  <hyperlinks>
    <hyperlink ref="B9" r:id="rId1" xr:uid="{C10EA547-F24D-4FE3-8E70-65745296D78B}"/>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701D-4193-4819-9C95-6654408D8E44}">
  <sheetPr>
    <tabColor rgb="FFE2EFDA"/>
  </sheetPr>
  <dimension ref="A1:K34"/>
  <sheetViews>
    <sheetView zoomScale="80" zoomScaleNormal="80" workbookViewId="0">
      <selection activeCell="F12" sqref="F12"/>
    </sheetView>
  </sheetViews>
  <sheetFormatPr defaultRowHeight="14.25"/>
  <cols>
    <col min="2" max="2" width="33.3984375" customWidth="1"/>
    <col min="5" max="6" width="13.265625" style="271" customWidth="1"/>
    <col min="8" max="8" width="9.1328125" style="367"/>
    <col min="9" max="9" width="11.86328125" style="368" customWidth="1"/>
    <col min="10" max="10" width="14.1328125" style="368" customWidth="1"/>
  </cols>
  <sheetData>
    <row r="1" spans="1:11">
      <c r="A1" s="406" t="s">
        <v>304</v>
      </c>
      <c r="B1" s="406"/>
      <c r="C1" s="429"/>
      <c r="D1" s="429"/>
      <c r="G1" s="429"/>
      <c r="K1" s="429"/>
    </row>
    <row r="2" spans="1:11" ht="85.5">
      <c r="A2" s="429"/>
      <c r="B2" s="360" t="s">
        <v>255</v>
      </c>
      <c r="C2" s="360" t="s">
        <v>256</v>
      </c>
      <c r="D2" s="360" t="s">
        <v>305</v>
      </c>
      <c r="E2" s="363" t="s">
        <v>755</v>
      </c>
      <c r="F2" s="363" t="s">
        <v>752</v>
      </c>
      <c r="G2" s="360"/>
      <c r="H2" s="365" t="s">
        <v>306</v>
      </c>
      <c r="I2" s="366" t="s">
        <v>753</v>
      </c>
      <c r="J2" s="366" t="s">
        <v>754</v>
      </c>
      <c r="K2" s="429"/>
    </row>
    <row r="3" spans="1:11">
      <c r="A3" s="429"/>
      <c r="B3" s="361"/>
      <c r="C3" s="429"/>
      <c r="D3" s="429"/>
      <c r="G3" s="429"/>
      <c r="K3" s="429"/>
    </row>
    <row r="4" spans="1:11">
      <c r="A4" s="429"/>
      <c r="B4" s="362" t="s">
        <v>262</v>
      </c>
      <c r="C4" s="269"/>
      <c r="D4" s="448">
        <f>'2_TxCapability'!D8</f>
        <v>2000</v>
      </c>
      <c r="F4" s="364">
        <f>D4-SUM(C5:C8)</f>
        <v>1458</v>
      </c>
      <c r="G4" s="429"/>
      <c r="J4" s="369">
        <f>D4-SUM(H5:H8)</f>
        <v>1458</v>
      </c>
      <c r="K4" s="429"/>
    </row>
    <row r="5" spans="1:11">
      <c r="A5" s="429"/>
      <c r="B5" s="361" t="s">
        <v>268</v>
      </c>
      <c r="C5" s="269">
        <f>'2_TxCapability'!AD10</f>
        <v>0</v>
      </c>
      <c r="D5" s="269">
        <f>'2_TxCapability'!D10</f>
        <v>0</v>
      </c>
      <c r="E5" s="271">
        <f>D5-C5</f>
        <v>0</v>
      </c>
      <c r="G5" s="429"/>
      <c r="H5" s="367">
        <f>'2_TxCapability'!AJ10</f>
        <v>0</v>
      </c>
      <c r="I5" s="367">
        <f>D5-H5</f>
        <v>0</v>
      </c>
      <c r="K5" s="429"/>
    </row>
    <row r="6" spans="1:11">
      <c r="A6" s="429"/>
      <c r="B6" s="361" t="s">
        <v>267</v>
      </c>
      <c r="C6" s="269">
        <f>'2_TxCapability'!AD11</f>
        <v>0</v>
      </c>
      <c r="D6" s="269">
        <f>'2_TxCapability'!D11</f>
        <v>2000</v>
      </c>
      <c r="E6" s="271">
        <f t="shared" ref="E6:E8" si="0">D6-C6</f>
        <v>2000</v>
      </c>
      <c r="G6" s="429"/>
      <c r="H6" s="367">
        <f>'2_TxCapability'!AJ11</f>
        <v>0</v>
      </c>
      <c r="I6" s="367">
        <f t="shared" ref="I6:I33" si="1">D6-H6</f>
        <v>2000</v>
      </c>
      <c r="K6" s="429"/>
    </row>
    <row r="7" spans="1:11">
      <c r="A7" s="429"/>
      <c r="B7" s="361" t="s">
        <v>272</v>
      </c>
      <c r="C7" s="269">
        <f>'2_TxCapability'!AD12</f>
        <v>542</v>
      </c>
      <c r="D7" s="269">
        <f>'2_TxCapability'!D12</f>
        <v>600</v>
      </c>
      <c r="E7" s="271">
        <f t="shared" si="0"/>
        <v>58</v>
      </c>
      <c r="G7" s="429"/>
      <c r="H7" s="367">
        <f>'2_TxCapability'!AJ12</f>
        <v>542</v>
      </c>
      <c r="I7" s="367">
        <f t="shared" si="1"/>
        <v>58</v>
      </c>
      <c r="K7" s="429"/>
    </row>
    <row r="8" spans="1:11">
      <c r="A8" s="429"/>
      <c r="B8" s="361" t="s">
        <v>273</v>
      </c>
      <c r="C8" s="269">
        <f>'2_TxCapability'!AD13</f>
        <v>0</v>
      </c>
      <c r="D8" s="269">
        <f>'2_TxCapability'!D13</f>
        <v>0</v>
      </c>
      <c r="E8" s="271">
        <f t="shared" si="0"/>
        <v>0</v>
      </c>
      <c r="G8" s="429"/>
      <c r="H8" s="367">
        <f>'2_TxCapability'!AJ13</f>
        <v>0</v>
      </c>
      <c r="I8" s="367">
        <f t="shared" si="1"/>
        <v>0</v>
      </c>
      <c r="K8" s="429"/>
    </row>
    <row r="9" spans="1:11">
      <c r="A9" s="429"/>
      <c r="B9" s="362" t="s">
        <v>274</v>
      </c>
      <c r="C9" s="269"/>
      <c r="D9" s="448">
        <f>'2_TxCapability'!D14</f>
        <v>1100</v>
      </c>
      <c r="F9" s="364">
        <f>D9-SUM(C10:C13)</f>
        <v>425.05999999999995</v>
      </c>
      <c r="G9" s="429"/>
      <c r="J9" s="371">
        <f>D9-SUM(H10:H13)</f>
        <v>-1352.94</v>
      </c>
      <c r="K9" s="429" t="s">
        <v>307</v>
      </c>
    </row>
    <row r="10" spans="1:11">
      <c r="A10" s="429"/>
      <c r="B10" s="361" t="s">
        <v>278</v>
      </c>
      <c r="C10" s="269">
        <f>'2_TxCapability'!AD15</f>
        <v>58.21</v>
      </c>
      <c r="D10" s="269">
        <f>'2_TxCapability'!D15</f>
        <v>1100</v>
      </c>
      <c r="E10" s="271">
        <f>D10-C10</f>
        <v>1041.79</v>
      </c>
      <c r="G10" s="429"/>
      <c r="H10" s="367">
        <f>'2_TxCapability'!AJ15</f>
        <v>1836.21</v>
      </c>
      <c r="I10" s="367">
        <f t="shared" si="1"/>
        <v>-736.21</v>
      </c>
      <c r="K10" s="429" t="s">
        <v>756</v>
      </c>
    </row>
    <row r="11" spans="1:11">
      <c r="A11" s="429"/>
      <c r="B11" s="361" t="s">
        <v>280</v>
      </c>
      <c r="C11" s="269">
        <f>'2_TxCapability'!AD16</f>
        <v>156.73000000000002</v>
      </c>
      <c r="D11" s="269">
        <f>'2_TxCapability'!D16</f>
        <v>1000</v>
      </c>
      <c r="E11" s="271">
        <f t="shared" ref="E11:E13" si="2">D11-C11</f>
        <v>843.27</v>
      </c>
      <c r="G11" s="429"/>
      <c r="H11" s="367">
        <f>'2_TxCapability'!AJ16</f>
        <v>156.73000000000002</v>
      </c>
      <c r="I11" s="367">
        <f t="shared" si="1"/>
        <v>843.27</v>
      </c>
      <c r="K11" s="429" t="s">
        <v>308</v>
      </c>
    </row>
    <row r="12" spans="1:11">
      <c r="A12" s="429"/>
      <c r="B12" s="361" t="s">
        <v>277</v>
      </c>
      <c r="C12" s="269">
        <f>'2_TxCapability'!AD17</f>
        <v>287</v>
      </c>
      <c r="D12" s="269">
        <f>'2_TxCapability'!D17</f>
        <v>400</v>
      </c>
      <c r="E12" s="271">
        <f t="shared" si="2"/>
        <v>113</v>
      </c>
      <c r="G12" s="429"/>
      <c r="H12" s="367">
        <f>'2_TxCapability'!AJ17</f>
        <v>287</v>
      </c>
      <c r="I12" s="367">
        <f t="shared" si="1"/>
        <v>113</v>
      </c>
      <c r="K12" s="429"/>
    </row>
    <row r="13" spans="1:11">
      <c r="A13" s="429"/>
      <c r="B13" s="361" t="s">
        <v>282</v>
      </c>
      <c r="C13" s="269">
        <f>'2_TxCapability'!AD18</f>
        <v>173</v>
      </c>
      <c r="D13" s="269">
        <f>'2_TxCapability'!D18</f>
        <v>1000</v>
      </c>
      <c r="E13" s="271">
        <f t="shared" si="2"/>
        <v>827</v>
      </c>
      <c r="G13" s="429"/>
      <c r="H13" s="367">
        <f>'2_TxCapability'!AJ18</f>
        <v>173</v>
      </c>
      <c r="I13" s="367">
        <f t="shared" si="1"/>
        <v>827</v>
      </c>
      <c r="K13" s="429"/>
    </row>
    <row r="14" spans="1:11">
      <c r="A14" s="429"/>
      <c r="B14" s="361"/>
      <c r="C14" s="269"/>
      <c r="D14" s="269"/>
      <c r="G14" s="429"/>
      <c r="K14" s="429"/>
    </row>
    <row r="15" spans="1:11">
      <c r="A15" s="429"/>
      <c r="B15" s="362" t="s">
        <v>207</v>
      </c>
      <c r="C15" s="448">
        <f>'2_TxCapability'!AD20</f>
        <v>3677</v>
      </c>
      <c r="D15" s="448">
        <f>'2_TxCapability'!D20</f>
        <v>4300</v>
      </c>
      <c r="F15" s="364">
        <f>D15-C15</f>
        <v>623</v>
      </c>
      <c r="G15" s="429"/>
      <c r="H15" s="369">
        <f>'2_TxCapability'!AJ20</f>
        <v>3677</v>
      </c>
      <c r="I15" s="369"/>
      <c r="J15" s="369">
        <f>D15-H15</f>
        <v>623</v>
      </c>
      <c r="K15" s="441"/>
    </row>
    <row r="16" spans="1:11">
      <c r="A16" s="429"/>
      <c r="B16" s="362" t="s">
        <v>284</v>
      </c>
      <c r="C16" s="269"/>
      <c r="D16" s="448">
        <f>'2_TxCapability'!D22</f>
        <v>600</v>
      </c>
      <c r="F16" s="364">
        <f>D16-SUM(C17:C20)</f>
        <v>203</v>
      </c>
      <c r="G16" s="429"/>
      <c r="J16" s="370">
        <f>D16-SUM(C17:C20)</f>
        <v>203</v>
      </c>
      <c r="K16" s="429"/>
    </row>
    <row r="17" spans="2:11">
      <c r="B17" s="362" t="s">
        <v>285</v>
      </c>
      <c r="C17" s="269">
        <f>'2_TxCapability'!AD22</f>
        <v>0</v>
      </c>
      <c r="D17" s="448">
        <f>'2_TxCapability'!D22</f>
        <v>600</v>
      </c>
      <c r="E17" s="271">
        <f>D17-C17</f>
        <v>600</v>
      </c>
      <c r="G17" s="429"/>
      <c r="H17" s="367">
        <f>'2_TxCapability'!AJ22</f>
        <v>0</v>
      </c>
      <c r="I17" s="367">
        <f t="shared" si="1"/>
        <v>600</v>
      </c>
      <c r="K17" s="429"/>
    </row>
    <row r="18" spans="2:11">
      <c r="B18" s="361" t="s">
        <v>287</v>
      </c>
      <c r="C18" s="269">
        <f>'2_TxCapability'!AD23</f>
        <v>300</v>
      </c>
      <c r="D18" s="269">
        <f>'2_TxCapability'!D23</f>
        <v>300</v>
      </c>
      <c r="E18" s="271">
        <f t="shared" ref="E18:E20" si="3">D18-C18</f>
        <v>0</v>
      </c>
      <c r="G18" s="429"/>
      <c r="H18" s="367">
        <f>'2_TxCapability'!AJ23</f>
        <v>300</v>
      </c>
      <c r="I18" s="367">
        <f t="shared" si="1"/>
        <v>0</v>
      </c>
      <c r="K18" s="429"/>
    </row>
    <row r="19" spans="2:11">
      <c r="B19" s="361" t="s">
        <v>265</v>
      </c>
      <c r="C19" s="269">
        <f>'2_TxCapability'!AD24</f>
        <v>97</v>
      </c>
      <c r="D19" s="269">
        <f>'2_TxCapability'!D24</f>
        <v>100</v>
      </c>
      <c r="E19" s="271">
        <f t="shared" si="3"/>
        <v>3</v>
      </c>
      <c r="G19" s="429"/>
      <c r="H19" s="367">
        <f>'2_TxCapability'!AJ24</f>
        <v>97</v>
      </c>
      <c r="I19" s="367">
        <f t="shared" si="1"/>
        <v>3</v>
      </c>
      <c r="K19" s="429"/>
    </row>
    <row r="20" spans="2:11">
      <c r="B20" s="361" t="s">
        <v>290</v>
      </c>
      <c r="C20" s="269">
        <f>'2_TxCapability'!AD25</f>
        <v>0</v>
      </c>
      <c r="D20" s="269">
        <f>'2_TxCapability'!D25</f>
        <v>400</v>
      </c>
      <c r="E20" s="271">
        <f t="shared" si="3"/>
        <v>400</v>
      </c>
      <c r="G20" s="429"/>
      <c r="H20" s="367">
        <f>'2_TxCapability'!AJ25</f>
        <v>0</v>
      </c>
      <c r="I20" s="367">
        <f t="shared" si="1"/>
        <v>400</v>
      </c>
      <c r="K20" s="429"/>
    </row>
    <row r="21" spans="2:11">
      <c r="B21" s="362" t="s">
        <v>291</v>
      </c>
      <c r="C21" s="269"/>
      <c r="D21" s="448">
        <f>'2_TxCapability'!D27</f>
        <v>3000</v>
      </c>
      <c r="F21" s="364">
        <f>D21-SUM(C22:C26)</f>
        <v>349.92000000000007</v>
      </c>
      <c r="G21" s="429"/>
      <c r="J21" s="371">
        <f>D21-SUM(H22:H26)</f>
        <v>-512.07999999999993</v>
      </c>
      <c r="K21" s="441" t="s">
        <v>309</v>
      </c>
    </row>
    <row r="22" spans="2:11">
      <c r="B22" s="362" t="s">
        <v>275</v>
      </c>
      <c r="C22" s="269">
        <f>'2_TxCapability'!AD27</f>
        <v>0</v>
      </c>
      <c r="D22" s="448">
        <f>'2_TxCapability'!D27</f>
        <v>3000</v>
      </c>
      <c r="G22" s="429"/>
      <c r="H22" s="367">
        <f>'2_TxCapability'!AJ27</f>
        <v>862</v>
      </c>
      <c r="I22" s="367">
        <f t="shared" si="1"/>
        <v>2138</v>
      </c>
      <c r="K22" s="429" t="s">
        <v>756</v>
      </c>
    </row>
    <row r="23" spans="2:11">
      <c r="B23" s="361" t="s">
        <v>293</v>
      </c>
      <c r="C23" s="269">
        <f>'2_TxCapability'!AD28</f>
        <v>248</v>
      </c>
      <c r="D23" s="269">
        <f>'2_TxCapability'!D28</f>
        <v>250</v>
      </c>
      <c r="E23" s="271">
        <f>D23-C23</f>
        <v>2</v>
      </c>
      <c r="G23" s="429"/>
      <c r="H23" s="367">
        <f>'2_TxCapability'!AJ28</f>
        <v>248</v>
      </c>
      <c r="I23" s="367">
        <f t="shared" si="1"/>
        <v>2</v>
      </c>
      <c r="K23" s="429" t="s">
        <v>757</v>
      </c>
    </row>
    <row r="24" spans="2:11">
      <c r="B24" s="361" t="s">
        <v>295</v>
      </c>
      <c r="C24" s="269">
        <f>'2_TxCapability'!AD29</f>
        <v>0</v>
      </c>
      <c r="D24" s="269">
        <f>'2_TxCapability'!D29</f>
        <v>700</v>
      </c>
      <c r="E24" s="271">
        <f t="shared" ref="E24:E26" si="4">D24-C24</f>
        <v>700</v>
      </c>
      <c r="G24" s="429"/>
      <c r="H24" s="367">
        <f>'2_TxCapability'!AJ29</f>
        <v>0</v>
      </c>
      <c r="I24" s="367">
        <f t="shared" si="1"/>
        <v>700</v>
      </c>
      <c r="K24" s="429"/>
    </row>
    <row r="25" spans="2:11">
      <c r="B25" s="361" t="s">
        <v>263</v>
      </c>
      <c r="C25" s="269">
        <f>'2_TxCapability'!AD30</f>
        <v>600</v>
      </c>
      <c r="D25" s="269">
        <f>'2_TxCapability'!D30</f>
        <v>1200</v>
      </c>
      <c r="E25" s="271">
        <f t="shared" si="4"/>
        <v>600</v>
      </c>
      <c r="G25" s="429"/>
      <c r="H25" s="367">
        <f>'2_TxCapability'!AJ30</f>
        <v>600</v>
      </c>
      <c r="I25" s="367">
        <f t="shared" si="1"/>
        <v>600</v>
      </c>
      <c r="K25" s="429"/>
    </row>
    <row r="26" spans="2:11">
      <c r="B26" s="361" t="s">
        <v>271</v>
      </c>
      <c r="C26" s="269">
        <f>'2_TxCapability'!AD31</f>
        <v>1802.08</v>
      </c>
      <c r="D26" s="269">
        <f>'2_TxCapability'!D31</f>
        <v>2950</v>
      </c>
      <c r="E26" s="271">
        <f t="shared" si="4"/>
        <v>1147.92</v>
      </c>
      <c r="G26" s="429"/>
      <c r="H26" s="367">
        <f>'2_TxCapability'!AJ31</f>
        <v>1802.08</v>
      </c>
      <c r="I26" s="367">
        <f t="shared" si="1"/>
        <v>1147.92</v>
      </c>
      <c r="K26" s="429"/>
    </row>
    <row r="27" spans="2:11">
      <c r="B27" s="362" t="s">
        <v>299</v>
      </c>
      <c r="C27" s="269"/>
      <c r="D27" s="448">
        <f>SUM('2_TxCapability'!D33:D38)</f>
        <v>3507</v>
      </c>
      <c r="F27" s="364">
        <f>D27-SUM(C28:C33)</f>
        <v>0.53000000000020009</v>
      </c>
      <c r="G27" s="429"/>
      <c r="K27" s="429"/>
    </row>
    <row r="28" spans="2:11">
      <c r="B28" s="361" t="s">
        <v>214</v>
      </c>
      <c r="C28" s="269">
        <f>'2_TxCapability'!AD33</f>
        <v>0</v>
      </c>
      <c r="D28" s="269">
        <f>'2_TxCapability'!D33</f>
        <v>0</v>
      </c>
      <c r="G28" s="429"/>
      <c r="H28" s="367">
        <f>'2_TxCapability'!AJ33</f>
        <v>974</v>
      </c>
      <c r="I28" s="367">
        <f t="shared" si="1"/>
        <v>-974</v>
      </c>
      <c r="K28" s="429"/>
    </row>
    <row r="29" spans="2:11">
      <c r="B29" s="361" t="s">
        <v>300</v>
      </c>
      <c r="C29" s="269">
        <f>'2_TxCapability'!AD34</f>
        <v>0</v>
      </c>
      <c r="D29" s="269">
        <f>'2_TxCapability'!D34</f>
        <v>0</v>
      </c>
      <c r="G29" s="429"/>
      <c r="H29" s="367">
        <f>'2_TxCapability'!AJ34</f>
        <v>0</v>
      </c>
      <c r="I29" s="367">
        <f t="shared" si="1"/>
        <v>0</v>
      </c>
      <c r="K29" s="429"/>
    </row>
    <row r="30" spans="2:11">
      <c r="B30" s="361" t="s">
        <v>298</v>
      </c>
      <c r="C30" s="269">
        <f>'2_TxCapability'!AD35</f>
        <v>865.9</v>
      </c>
      <c r="D30" s="269">
        <f>'2_TxCapability'!D35</f>
        <v>866</v>
      </c>
      <c r="G30" s="429"/>
      <c r="H30" s="367">
        <f>'2_TxCapability'!AJ35</f>
        <v>865.9</v>
      </c>
      <c r="I30" s="367">
        <f t="shared" si="1"/>
        <v>0.10000000000002274</v>
      </c>
      <c r="K30" s="429"/>
    </row>
    <row r="31" spans="2:11">
      <c r="B31" s="361" t="s">
        <v>301</v>
      </c>
      <c r="C31" s="269">
        <f>'2_TxCapability'!AD36</f>
        <v>0</v>
      </c>
      <c r="D31" s="269">
        <f>'2_TxCapability'!D36</f>
        <v>0</v>
      </c>
      <c r="G31" s="429"/>
      <c r="H31" s="367">
        <f>'2_TxCapability'!AJ36</f>
        <v>0</v>
      </c>
      <c r="I31" s="367">
        <f t="shared" si="1"/>
        <v>0</v>
      </c>
      <c r="K31" s="429"/>
    </row>
    <row r="32" spans="2:11">
      <c r="B32" s="361" t="s">
        <v>302</v>
      </c>
      <c r="C32" s="269">
        <f>'2_TxCapability'!AD37</f>
        <v>1778.57</v>
      </c>
      <c r="D32" s="269">
        <f>'2_TxCapability'!D37</f>
        <v>1779</v>
      </c>
      <c r="G32" s="429"/>
      <c r="H32" s="367">
        <f>'2_TxCapability'!AJ37</f>
        <v>-0.43000000000006366</v>
      </c>
      <c r="I32" s="367">
        <f t="shared" si="1"/>
        <v>1779.43</v>
      </c>
      <c r="K32" s="429"/>
    </row>
    <row r="33" spans="1:11">
      <c r="A33" s="429"/>
      <c r="B33" s="361" t="s">
        <v>303</v>
      </c>
      <c r="C33" s="269">
        <f>'2_TxCapability'!AD38</f>
        <v>862</v>
      </c>
      <c r="D33" s="269">
        <f>'2_TxCapability'!D38</f>
        <v>862</v>
      </c>
      <c r="G33" s="429"/>
      <c r="H33" s="367">
        <f>'2_TxCapability'!AJ38</f>
        <v>0</v>
      </c>
      <c r="I33" s="367">
        <f t="shared" si="1"/>
        <v>862</v>
      </c>
      <c r="K33" s="429"/>
    </row>
    <row r="34" spans="1:11">
      <c r="A34" s="429"/>
      <c r="B34" s="429"/>
      <c r="C34" s="429"/>
      <c r="D34" s="429"/>
      <c r="G34" s="429"/>
      <c r="K34" s="42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470EB-3B66-43C8-8616-9F27DC6C1B19}">
  <sheetPr>
    <tabColor rgb="FF0070C0"/>
  </sheetPr>
  <dimension ref="A1:AM258"/>
  <sheetViews>
    <sheetView zoomScale="60" zoomScaleNormal="60" workbookViewId="0"/>
  </sheetViews>
  <sheetFormatPr defaultColWidth="11" defaultRowHeight="14.25"/>
  <cols>
    <col min="1" max="1" width="11" style="252"/>
    <col min="2" max="2" width="32.265625" style="252" bestFit="1" customWidth="1"/>
    <col min="3" max="3" width="13.1328125" style="252" bestFit="1" customWidth="1"/>
    <col min="4" max="4" width="13.3984375" style="252" bestFit="1" customWidth="1"/>
    <col min="5" max="5" width="13.73046875" style="252" bestFit="1" customWidth="1"/>
    <col min="6" max="6" width="11" style="252"/>
    <col min="7" max="7" width="29.1328125" style="252" bestFit="1" customWidth="1"/>
    <col min="8" max="8" width="13.265625" style="252" bestFit="1" customWidth="1"/>
    <col min="9" max="9" width="13.73046875" style="252" bestFit="1" customWidth="1"/>
    <col min="10" max="10" width="14" style="252" bestFit="1" customWidth="1"/>
    <col min="11" max="11" width="20.1328125" style="252" hidden="1" customWidth="1"/>
    <col min="12" max="12" width="12" style="252" hidden="1" customWidth="1"/>
    <col min="13" max="13" width="15.3984375" style="252" hidden="1" customWidth="1"/>
    <col min="14" max="14" width="15.86328125" style="252" hidden="1" customWidth="1"/>
    <col min="15" max="15" width="12.86328125" style="273" hidden="1" customWidth="1"/>
    <col min="16" max="16" width="16.86328125" style="252" customWidth="1"/>
    <col min="17" max="17" width="16" style="252" bestFit="1" customWidth="1"/>
    <col min="18" max="18" width="11" style="252"/>
    <col min="19" max="19" width="12.73046875" style="269" bestFit="1" customWidth="1"/>
    <col min="20" max="21" width="12.73046875" style="269" customWidth="1"/>
    <col min="22" max="22" width="15.86328125" style="252" bestFit="1" customWidth="1"/>
    <col min="23" max="23" width="17.1328125" style="252" bestFit="1" customWidth="1"/>
    <col min="24" max="33" width="11" style="252"/>
    <col min="34" max="34" width="11.265625" style="252" bestFit="1" customWidth="1"/>
    <col min="35" max="35" width="15.3984375" style="252" bestFit="1" customWidth="1"/>
    <col min="36" max="36" width="15.73046875" style="252" bestFit="1" customWidth="1"/>
    <col min="37" max="37" width="12" style="252" bestFit="1" customWidth="1"/>
    <col min="38" max="38" width="15.86328125" style="252" bestFit="1" customWidth="1"/>
    <col min="39" max="39" width="17.1328125" style="252" bestFit="1" customWidth="1"/>
    <col min="40" max="16384" width="11" style="252"/>
  </cols>
  <sheetData>
    <row r="1" spans="1:25">
      <c r="A1" s="429" t="s">
        <v>232</v>
      </c>
      <c r="B1" s="269"/>
      <c r="C1" s="309" t="s">
        <v>186</v>
      </c>
      <c r="D1" s="269"/>
      <c r="E1" s="429"/>
      <c r="F1" s="429"/>
      <c r="G1" s="429"/>
      <c r="H1" s="429"/>
      <c r="I1" s="429"/>
      <c r="J1" s="429"/>
      <c r="K1" s="429"/>
      <c r="L1" s="429"/>
      <c r="M1" s="429"/>
      <c r="N1" s="429"/>
      <c r="P1" s="429"/>
      <c r="Q1" s="429"/>
      <c r="R1" s="429"/>
      <c r="V1" s="429"/>
      <c r="W1" s="429"/>
      <c r="X1" s="429"/>
      <c r="Y1" s="429"/>
    </row>
    <row r="2" spans="1:25">
      <c r="A2" s="429" t="s">
        <v>234</v>
      </c>
      <c r="B2" s="269"/>
      <c r="C2" s="309">
        <v>0.2</v>
      </c>
      <c r="D2" s="269" t="s">
        <v>310</v>
      </c>
      <c r="E2" s="429"/>
      <c r="F2" s="429"/>
      <c r="G2" s="429"/>
      <c r="H2" s="429"/>
      <c r="I2" s="429"/>
      <c r="J2" s="429"/>
      <c r="K2" s="429"/>
      <c r="L2" s="429"/>
      <c r="M2" s="429"/>
      <c r="N2" s="429"/>
      <c r="P2" s="429"/>
      <c r="Q2" s="429"/>
      <c r="R2" s="429"/>
      <c r="V2" s="429"/>
      <c r="W2" s="429"/>
      <c r="X2" s="429"/>
      <c r="Y2" s="429"/>
    </row>
    <row r="3" spans="1:25">
      <c r="A3" s="429" t="s">
        <v>235</v>
      </c>
      <c r="B3" s="269"/>
      <c r="C3" s="269" t="s">
        <v>236</v>
      </c>
      <c r="D3" s="269"/>
      <c r="E3" s="429"/>
      <c r="F3" s="429"/>
      <c r="G3" s="429"/>
      <c r="H3" s="429"/>
      <c r="I3" s="429"/>
      <c r="J3" s="429"/>
      <c r="K3" s="429"/>
      <c r="L3" s="429"/>
      <c r="M3" s="429"/>
      <c r="N3" s="429"/>
      <c r="P3" s="429"/>
      <c r="Q3" s="429"/>
      <c r="R3" s="429"/>
      <c r="V3" s="429"/>
      <c r="W3" s="429"/>
      <c r="X3" s="429"/>
      <c r="Y3" s="429"/>
    </row>
    <row r="4" spans="1:25">
      <c r="A4" s="429"/>
      <c r="B4" s="429"/>
      <c r="C4" s="429"/>
      <c r="D4" s="429"/>
      <c r="E4" s="429"/>
      <c r="F4" s="429"/>
      <c r="G4" s="300" t="s">
        <v>311</v>
      </c>
      <c r="H4" s="429"/>
      <c r="I4" s="429"/>
      <c r="J4" s="429"/>
      <c r="K4" s="429"/>
      <c r="L4" s="429"/>
      <c r="M4" s="429"/>
      <c r="N4" s="429"/>
      <c r="P4" s="429"/>
      <c r="Q4" s="429"/>
      <c r="R4" s="429"/>
      <c r="V4" s="429"/>
      <c r="W4" s="429"/>
      <c r="X4" s="429"/>
      <c r="Y4" s="429"/>
    </row>
    <row r="5" spans="1:25" ht="52.9">
      <c r="A5" s="429"/>
      <c r="B5" s="300" t="s">
        <v>312</v>
      </c>
      <c r="C5" s="300" t="s">
        <v>313</v>
      </c>
      <c r="D5" s="300" t="s">
        <v>314</v>
      </c>
      <c r="E5" s="300" t="s">
        <v>315</v>
      </c>
      <c r="F5" s="429">
        <f>IF(G5="",0,1)</f>
        <v>1</v>
      </c>
      <c r="G5" s="300" t="s">
        <v>312</v>
      </c>
      <c r="H5" s="300" t="s">
        <v>313</v>
      </c>
      <c r="I5" s="300" t="s">
        <v>314</v>
      </c>
      <c r="J5" s="300" t="s">
        <v>315</v>
      </c>
      <c r="K5" s="327" t="s">
        <v>316</v>
      </c>
      <c r="L5" s="327" t="s">
        <v>317</v>
      </c>
      <c r="M5" s="327" t="s">
        <v>318</v>
      </c>
      <c r="N5" s="327" t="s">
        <v>319</v>
      </c>
      <c r="O5" s="328" t="s">
        <v>320</v>
      </c>
      <c r="P5" s="327" t="s">
        <v>321</v>
      </c>
      <c r="Q5" s="327" t="s">
        <v>322</v>
      </c>
      <c r="R5" s="333" t="s">
        <v>177</v>
      </c>
      <c r="S5" s="311" t="s">
        <v>323</v>
      </c>
      <c r="T5" s="333" t="str">
        <f>"Exceeds " &amp;C2&amp;" Total?"</f>
        <v>Exceeds 0.2 Total?</v>
      </c>
      <c r="U5" s="334" t="str">
        <f>"Exceeds " &amp;C2&amp;" Low?"</f>
        <v>Exceeds 0.2 Low?</v>
      </c>
      <c r="V5" s="429"/>
      <c r="W5" s="333" t="s">
        <v>324</v>
      </c>
      <c r="X5" s="333" t="str">
        <f>"Criteria Threshold: Exceeds " &amp; C2&amp;" (Total)?"</f>
        <v>Criteria Threshold: Exceeds 0.2 (Total)?</v>
      </c>
      <c r="Y5" s="333" t="str">
        <f>"Criteria Threshold: Exceeds " &amp; C2&amp;" (Low)?"</f>
        <v>Criteria Threshold: Exceeds 0.2 (Low)?</v>
      </c>
    </row>
    <row r="6" spans="1:25">
      <c r="A6" s="429"/>
      <c r="B6" s="301" t="s">
        <v>265</v>
      </c>
      <c r="C6" s="429"/>
      <c r="D6" s="429"/>
      <c r="E6" s="429"/>
      <c r="F6" s="429">
        <f t="shared" ref="F6:F69" si="0">IF(G6="",0,1)</f>
        <v>1</v>
      </c>
      <c r="G6" s="301" t="s">
        <v>265</v>
      </c>
      <c r="H6" s="429"/>
      <c r="I6" s="429"/>
      <c r="J6" s="429"/>
      <c r="K6" s="429"/>
      <c r="L6" s="429"/>
      <c r="M6" s="429"/>
      <c r="N6" s="429"/>
      <c r="P6" s="429"/>
      <c r="Q6" s="429"/>
      <c r="R6" s="429"/>
      <c r="S6" s="269">
        <v>97</v>
      </c>
      <c r="T6" s="269">
        <f>IF(P6&gt;$C$2,1,0)</f>
        <v>0</v>
      </c>
      <c r="U6" s="269">
        <f>IF(Q6&gt;$C$2,1,0)</f>
        <v>0</v>
      </c>
      <c r="V6" s="429"/>
      <c r="W6" s="275" t="s">
        <v>73</v>
      </c>
      <c r="X6" s="276">
        <f>IF(SUMIF($R:$R,W6,$T:$T)=0,1,2)</f>
        <v>1</v>
      </c>
      <c r="Y6" s="275">
        <f>IF(SUMIF($R:$R,W6,$U:$U)=0,1,2)</f>
        <v>1</v>
      </c>
    </row>
    <row r="7" spans="1:25">
      <c r="A7" s="429"/>
      <c r="B7" s="272" t="s">
        <v>325</v>
      </c>
      <c r="C7" s="269">
        <v>22291.716942079074</v>
      </c>
      <c r="D7" s="269">
        <v>108531.34711905957</v>
      </c>
      <c r="E7" s="269">
        <v>130823.06406113865</v>
      </c>
      <c r="F7" s="429">
        <f t="shared" si="0"/>
        <v>1</v>
      </c>
      <c r="G7" s="272" t="s">
        <v>325</v>
      </c>
      <c r="H7" s="269">
        <v>22291.716942079074</v>
      </c>
      <c r="I7" s="269">
        <v>108531.34711905957</v>
      </c>
      <c r="J7" s="269">
        <v>130823.06406113865</v>
      </c>
      <c r="K7" s="274">
        <f>+J7/J$9</f>
        <v>0.44248284276044614</v>
      </c>
      <c r="L7" s="269">
        <f>+J7/7</f>
        <v>18689.009151591235</v>
      </c>
      <c r="M7" s="269">
        <f t="shared" ref="M7:N9" si="1">+H7/7</f>
        <v>3184.5309917255822</v>
      </c>
      <c r="N7" s="269">
        <f t="shared" si="1"/>
        <v>15504.478159865654</v>
      </c>
      <c r="O7" s="273">
        <f>+S$6*K7</f>
        <v>42.920835747763277</v>
      </c>
      <c r="P7" s="304">
        <f>(+O7*7)/J9</f>
        <v>1.01619798359976E-3</v>
      </c>
      <c r="Q7" s="304">
        <f>(+O7*7)/H7</f>
        <v>1.3477914286055052E-2</v>
      </c>
      <c r="R7" s="429" t="str">
        <f>INDEX(BUSBAR_ALLOC_AdjMar2020!A:A,MATCH(G7,BUSBAR_ALLOC_AdjMar2020!H:H,0))</f>
        <v>Inyokern_North_Kramer_Solar</v>
      </c>
      <c r="T7" s="269">
        <f t="shared" ref="T7:T14" si="2">IF(P7&gt;$C$2,1,0)</f>
        <v>0</v>
      </c>
      <c r="U7" s="269">
        <f t="shared" ref="U7:U14" si="3">IF(Q7&gt;$C$2,1,0)</f>
        <v>0</v>
      </c>
      <c r="V7" s="429"/>
      <c r="W7" s="275" t="s">
        <v>81</v>
      </c>
      <c r="X7" s="276">
        <f t="shared" ref="X7:X14" si="4">IF(SUMIF($R:$R,W7,$T:$T)=0,1,2)</f>
        <v>1</v>
      </c>
      <c r="Y7" s="275">
        <f t="shared" ref="Y7:Y14" si="5">IF(SUMIF($R:$R,W7,$U:$U)=0,1,2)</f>
        <v>1</v>
      </c>
    </row>
    <row r="8" spans="1:25">
      <c r="A8" s="429"/>
      <c r="B8" s="272" t="s">
        <v>326</v>
      </c>
      <c r="C8" s="269">
        <v>32006.017028117691</v>
      </c>
      <c r="D8" s="269">
        <v>132827.72504811603</v>
      </c>
      <c r="E8" s="269">
        <v>164833.74207623373</v>
      </c>
      <c r="F8" s="429">
        <f t="shared" si="0"/>
        <v>1</v>
      </c>
      <c r="G8" s="272" t="s">
        <v>326</v>
      </c>
      <c r="H8" s="269">
        <v>32006.017028117691</v>
      </c>
      <c r="I8" s="269">
        <v>132827.72504811603</v>
      </c>
      <c r="J8" s="269">
        <v>164833.74207623373</v>
      </c>
      <c r="K8" s="274">
        <f>+J8/J$9</f>
        <v>0.55751715723955386</v>
      </c>
      <c r="L8" s="269">
        <f>+J8/7</f>
        <v>23547.677439461961</v>
      </c>
      <c r="M8" s="269">
        <f t="shared" si="1"/>
        <v>4572.2881468739561</v>
      </c>
      <c r="N8" s="269">
        <f t="shared" si="1"/>
        <v>18975.389292588003</v>
      </c>
      <c r="O8" s="273">
        <f>+S$6*K8</f>
        <v>54.079164252236723</v>
      </c>
      <c r="P8" s="304">
        <f>(+O8*7)/J9</f>
        <v>1.2803836810364774E-3</v>
      </c>
      <c r="Q8" s="304">
        <f>(+O8*7)/H8</f>
        <v>1.1827593212647872E-2</v>
      </c>
      <c r="R8" s="429" t="str">
        <f>INDEX(BUSBAR_ALLOC_AdjMar2020!A:A,MATCH(G8,BUSBAR_ALLOC_AdjMar2020!H:H,0))</f>
        <v>Inyokern_North_Kramer_Solar</v>
      </c>
      <c r="T8" s="269">
        <f t="shared" si="2"/>
        <v>0</v>
      </c>
      <c r="U8" s="269">
        <f t="shared" si="3"/>
        <v>0</v>
      </c>
      <c r="V8" s="429"/>
      <c r="W8" s="275" t="s">
        <v>67</v>
      </c>
      <c r="X8" s="276">
        <f t="shared" si="4"/>
        <v>1</v>
      </c>
      <c r="Y8" s="275">
        <f t="shared" si="5"/>
        <v>1</v>
      </c>
    </row>
    <row r="9" spans="1:25">
      <c r="A9" s="429"/>
      <c r="B9" s="272"/>
      <c r="C9" s="269"/>
      <c r="D9" s="269"/>
      <c r="E9" s="269"/>
      <c r="F9" s="429">
        <f t="shared" si="0"/>
        <v>1</v>
      </c>
      <c r="G9" s="306" t="s">
        <v>138</v>
      </c>
      <c r="H9" s="271">
        <f>SUM(H7:H8)</f>
        <v>54297.733970196765</v>
      </c>
      <c r="I9" s="271">
        <f>SUM(I7:I8)</f>
        <v>241359.07216717559</v>
      </c>
      <c r="J9" s="271">
        <f>SUM(J7:J8)</f>
        <v>295656.80613737239</v>
      </c>
      <c r="K9" s="271"/>
      <c r="L9" s="269">
        <f>+J9/7</f>
        <v>42236.6865910532</v>
      </c>
      <c r="M9" s="269">
        <f t="shared" si="1"/>
        <v>7756.8191385995378</v>
      </c>
      <c r="N9" s="269">
        <f t="shared" si="1"/>
        <v>34479.867452453655</v>
      </c>
      <c r="P9" s="274"/>
      <c r="Q9" s="429"/>
      <c r="R9" s="429"/>
      <c r="T9" s="269">
        <f t="shared" si="2"/>
        <v>0</v>
      </c>
      <c r="U9" s="269">
        <f t="shared" si="3"/>
        <v>0</v>
      </c>
      <c r="V9" s="429"/>
      <c r="W9" s="275" t="s">
        <v>87</v>
      </c>
      <c r="X9" s="276">
        <f t="shared" si="4"/>
        <v>1</v>
      </c>
      <c r="Y9" s="275">
        <f t="shared" si="5"/>
        <v>1</v>
      </c>
    </row>
    <row r="10" spans="1:25">
      <c r="A10" s="429"/>
      <c r="B10" s="301" t="s">
        <v>287</v>
      </c>
      <c r="C10" s="429"/>
      <c r="D10" s="429"/>
      <c r="E10" s="429"/>
      <c r="F10" s="429">
        <f t="shared" si="0"/>
        <v>1</v>
      </c>
      <c r="G10" s="301" t="s">
        <v>287</v>
      </c>
      <c r="H10" s="429"/>
      <c r="I10" s="429"/>
      <c r="J10" s="429"/>
      <c r="K10" s="429"/>
      <c r="L10" s="429"/>
      <c r="M10" s="429"/>
      <c r="N10" s="429"/>
      <c r="P10" s="429"/>
      <c r="Q10" s="429"/>
      <c r="R10" s="429"/>
      <c r="T10" s="269">
        <f t="shared" si="2"/>
        <v>0</v>
      </c>
      <c r="U10" s="269">
        <f t="shared" si="3"/>
        <v>0</v>
      </c>
      <c r="V10" s="429"/>
      <c r="W10" s="275" t="s">
        <v>115</v>
      </c>
      <c r="X10" s="276">
        <f t="shared" si="4"/>
        <v>1</v>
      </c>
      <c r="Y10" s="275">
        <f t="shared" si="5"/>
        <v>1</v>
      </c>
    </row>
    <row r="11" spans="1:25">
      <c r="A11" s="429"/>
      <c r="B11" s="272" t="s">
        <v>327</v>
      </c>
      <c r="C11" s="269">
        <v>202589.82842986361</v>
      </c>
      <c r="D11" s="269">
        <v>157848.97865290512</v>
      </c>
      <c r="E11" s="269">
        <v>360438.80708276876</v>
      </c>
      <c r="F11" s="429">
        <f t="shared" si="0"/>
        <v>1</v>
      </c>
      <c r="G11" s="272" t="s">
        <v>327</v>
      </c>
      <c r="H11" s="269"/>
      <c r="I11" s="269"/>
      <c r="J11" s="269"/>
      <c r="K11" s="274"/>
      <c r="L11" s="269"/>
      <c r="M11" s="269"/>
      <c r="N11" s="269"/>
      <c r="P11" s="274"/>
      <c r="Q11" s="274"/>
      <c r="R11" s="429" t="s">
        <v>328</v>
      </c>
      <c r="S11" s="269">
        <v>300</v>
      </c>
      <c r="T11" s="269">
        <f t="shared" si="2"/>
        <v>0</v>
      </c>
      <c r="U11" s="269">
        <f t="shared" si="3"/>
        <v>0</v>
      </c>
      <c r="V11" s="429"/>
      <c r="W11" s="275" t="s">
        <v>75</v>
      </c>
      <c r="X11" s="276">
        <f t="shared" si="4"/>
        <v>1</v>
      </c>
      <c r="Y11" s="275">
        <f t="shared" si="5"/>
        <v>1</v>
      </c>
    </row>
    <row r="12" spans="1:25">
      <c r="A12" s="429"/>
      <c r="B12" s="272" t="s">
        <v>329</v>
      </c>
      <c r="C12" s="269">
        <v>37473.568593293523</v>
      </c>
      <c r="D12" s="269">
        <v>118138.49475159834</v>
      </c>
      <c r="E12" s="269">
        <v>155612.06334489185</v>
      </c>
      <c r="F12" s="429">
        <f t="shared" si="0"/>
        <v>1</v>
      </c>
      <c r="G12" s="332" t="s">
        <v>330</v>
      </c>
      <c r="H12" s="269">
        <v>37473.568593293523</v>
      </c>
      <c r="I12" s="269">
        <v>118138.49475159834</v>
      </c>
      <c r="J12" s="269">
        <v>155612.06334489185</v>
      </c>
      <c r="K12" s="274">
        <f>+J12/J$14</f>
        <v>0.28305983482807301</v>
      </c>
      <c r="L12" s="269">
        <f>+J12/7</f>
        <v>22230.294763555979</v>
      </c>
      <c r="M12" s="269">
        <f>+H12/7</f>
        <v>5353.3669418990748</v>
      </c>
      <c r="N12" s="269">
        <f>+I12/7</f>
        <v>16876.927821656904</v>
      </c>
      <c r="O12" s="273">
        <f>+S$11*K12</f>
        <v>84.917950448421905</v>
      </c>
      <c r="P12" s="304">
        <f>(+O12*7)/J14</f>
        <v>1.0812659608668109E-3</v>
      </c>
      <c r="Q12" s="304">
        <f>(+O12*7)/H12</f>
        <v>1.5862531257440343E-2</v>
      </c>
      <c r="R12" s="429" t="str">
        <f>INDEX(BUSBAR_ALLOC_AdjMar2020!A:A,MATCH(G12,BUSBAR_ALLOC_AdjMar2020!H:H,0))</f>
        <v>North_Victor_Solar</v>
      </c>
      <c r="T12" s="269">
        <f t="shared" si="2"/>
        <v>0</v>
      </c>
      <c r="U12" s="269">
        <f t="shared" si="3"/>
        <v>0</v>
      </c>
      <c r="V12" s="429"/>
      <c r="W12" s="275" t="s">
        <v>107</v>
      </c>
      <c r="X12" s="276">
        <f t="shared" si="4"/>
        <v>1</v>
      </c>
      <c r="Y12" s="275">
        <f t="shared" si="5"/>
        <v>1</v>
      </c>
    </row>
    <row r="13" spans="1:25">
      <c r="A13" s="429"/>
      <c r="B13" s="272" t="s">
        <v>331</v>
      </c>
      <c r="C13" s="269">
        <v>226643.60976406233</v>
      </c>
      <c r="D13" s="269">
        <v>167494.0412558855</v>
      </c>
      <c r="E13" s="269">
        <v>394137.65101994784</v>
      </c>
      <c r="F13" s="429">
        <f t="shared" si="0"/>
        <v>1</v>
      </c>
      <c r="G13" s="272" t="s">
        <v>331</v>
      </c>
      <c r="H13" s="269">
        <v>226643.60976406233</v>
      </c>
      <c r="I13" s="269">
        <v>167494.0412558855</v>
      </c>
      <c r="J13" s="269">
        <v>394137.65101994784</v>
      </c>
      <c r="K13" s="274">
        <f>+J13/J$14</f>
        <v>0.71694016517192694</v>
      </c>
      <c r="L13" s="269">
        <f>+J13/7</f>
        <v>56305.378717135405</v>
      </c>
      <c r="M13" s="269">
        <f>+H13/7</f>
        <v>32377.65853772319</v>
      </c>
      <c r="N13" s="269">
        <f>+I13/7</f>
        <v>23927.720179412216</v>
      </c>
      <c r="O13" s="273">
        <f>+S$11*K13</f>
        <v>215.08204955157808</v>
      </c>
      <c r="P13" s="304">
        <f>(+O13*7)/J14</f>
        <v>2.7386541684710666E-3</v>
      </c>
      <c r="Q13" s="304">
        <f>(+O13*7)/H13</f>
        <v>6.6429154937496827E-3</v>
      </c>
      <c r="R13" s="429" t="str">
        <f>INDEX(BUSBAR_ALLOC_AdjMar2020!A:A,MATCH(G13,BUSBAR_ALLOC_AdjMar2020!H:H,0))</f>
        <v>North_Victor_Solar</v>
      </c>
      <c r="T13" s="269">
        <f t="shared" si="2"/>
        <v>0</v>
      </c>
      <c r="U13" s="269">
        <f t="shared" si="3"/>
        <v>0</v>
      </c>
      <c r="V13" s="429"/>
      <c r="W13" s="275" t="s">
        <v>103</v>
      </c>
      <c r="X13" s="276">
        <f t="shared" si="4"/>
        <v>1</v>
      </c>
      <c r="Y13" s="275">
        <f t="shared" si="5"/>
        <v>1</v>
      </c>
    </row>
    <row r="14" spans="1:25">
      <c r="A14" s="429"/>
      <c r="B14" s="301" t="s">
        <v>290</v>
      </c>
      <c r="C14" s="429"/>
      <c r="D14" s="429"/>
      <c r="E14" s="429"/>
      <c r="F14" s="429">
        <f t="shared" si="0"/>
        <v>1</v>
      </c>
      <c r="G14" s="306" t="s">
        <v>138</v>
      </c>
      <c r="H14" s="271">
        <f>SUM(H11:H13)</f>
        <v>264117.17835735588</v>
      </c>
      <c r="I14" s="271">
        <f>SUM(I11:I13)</f>
        <v>285632.53600748384</v>
      </c>
      <c r="J14" s="271">
        <f>SUM(J11:J13)</f>
        <v>549749.71436483972</v>
      </c>
      <c r="K14" s="271"/>
      <c r="L14" s="269">
        <f>+J14/7</f>
        <v>78535.673480691388</v>
      </c>
      <c r="M14" s="271">
        <f>SUM(M11:M13)</f>
        <v>37731.025479622265</v>
      </c>
      <c r="N14" s="271">
        <f>SUM(N11:N13)</f>
        <v>40804.648001069116</v>
      </c>
      <c r="P14" s="429"/>
      <c r="Q14" s="429"/>
      <c r="R14" s="429"/>
      <c r="T14" s="269">
        <f t="shared" si="2"/>
        <v>0</v>
      </c>
      <c r="U14" s="269">
        <f t="shared" si="3"/>
        <v>0</v>
      </c>
      <c r="V14" s="429"/>
      <c r="W14" s="275" t="s">
        <v>79</v>
      </c>
      <c r="X14" s="276">
        <f t="shared" si="4"/>
        <v>1</v>
      </c>
      <c r="Y14" s="275">
        <f t="shared" si="5"/>
        <v>1</v>
      </c>
    </row>
    <row r="15" spans="1:25">
      <c r="A15" s="429"/>
      <c r="B15" s="272" t="s">
        <v>332</v>
      </c>
      <c r="C15" s="269">
        <v>263892.99087863998</v>
      </c>
      <c r="D15" s="269">
        <v>637139.24220692611</v>
      </c>
      <c r="E15" s="269">
        <v>901032.23308556608</v>
      </c>
      <c r="F15" s="429">
        <f t="shared" si="0"/>
        <v>0</v>
      </c>
      <c r="G15" s="429"/>
      <c r="H15" s="429"/>
      <c r="I15" s="429"/>
      <c r="J15" s="429"/>
      <c r="K15" s="429"/>
      <c r="L15" s="429"/>
      <c r="M15" s="429"/>
      <c r="N15" s="429"/>
      <c r="P15" s="429"/>
      <c r="Q15" s="429"/>
      <c r="R15" s="429"/>
      <c r="V15" s="429"/>
      <c r="W15" s="429"/>
      <c r="X15" s="429"/>
      <c r="Y15" s="429"/>
    </row>
    <row r="16" spans="1:25">
      <c r="A16" s="429"/>
      <c r="B16" s="272" t="s">
        <v>333</v>
      </c>
      <c r="C16" s="269">
        <v>172373.9317514149</v>
      </c>
      <c r="D16" s="269">
        <v>130196.00898953425</v>
      </c>
      <c r="E16" s="269">
        <v>302569.94074094913</v>
      </c>
      <c r="F16" s="429">
        <f t="shared" si="0"/>
        <v>0</v>
      </c>
      <c r="G16" s="429"/>
      <c r="H16" s="429"/>
      <c r="I16" s="429"/>
      <c r="J16" s="429"/>
      <c r="K16" s="429"/>
      <c r="L16" s="429"/>
      <c r="M16" s="429"/>
      <c r="N16" s="429"/>
      <c r="P16" s="429"/>
      <c r="Q16" s="429"/>
      <c r="R16" s="429"/>
      <c r="V16" s="429"/>
      <c r="W16" s="429"/>
      <c r="X16" s="429"/>
      <c r="Y16" s="429"/>
    </row>
    <row r="17" spans="2:39">
      <c r="B17" s="272" t="s">
        <v>334</v>
      </c>
      <c r="C17" s="269">
        <v>33413.406268404353</v>
      </c>
      <c r="D17" s="269">
        <v>60109.133261237024</v>
      </c>
      <c r="E17" s="269">
        <v>93522.539529641377</v>
      </c>
      <c r="F17" s="429">
        <f t="shared" si="0"/>
        <v>0</v>
      </c>
      <c r="G17" s="429"/>
      <c r="H17" s="429"/>
      <c r="I17" s="429"/>
      <c r="J17" s="429"/>
      <c r="K17" s="429"/>
      <c r="L17" s="429"/>
      <c r="M17" s="429"/>
      <c r="N17" s="429"/>
      <c r="P17" s="429"/>
      <c r="Q17" s="429"/>
      <c r="R17" s="429"/>
      <c r="V17" s="429"/>
      <c r="W17" s="429"/>
      <c r="X17" s="429"/>
      <c r="Y17" s="429"/>
      <c r="Z17" s="429"/>
      <c r="AA17" s="429"/>
      <c r="AB17" s="429"/>
      <c r="AC17" s="429"/>
      <c r="AD17" s="429"/>
      <c r="AE17" s="429"/>
      <c r="AF17" s="429"/>
      <c r="AG17" s="429"/>
      <c r="AH17" s="429"/>
      <c r="AI17" s="429"/>
      <c r="AJ17" s="429"/>
      <c r="AK17" s="429"/>
      <c r="AL17" s="429"/>
      <c r="AM17" s="429"/>
    </row>
    <row r="18" spans="2:39">
      <c r="B18" s="272"/>
      <c r="C18" s="269"/>
      <c r="D18" s="269"/>
      <c r="E18" s="269"/>
      <c r="F18" s="429">
        <f t="shared" si="0"/>
        <v>0</v>
      </c>
      <c r="G18" s="429"/>
      <c r="H18" s="429"/>
      <c r="I18" s="429"/>
      <c r="J18" s="429"/>
      <c r="K18" s="429"/>
      <c r="L18" s="429"/>
      <c r="M18" s="429"/>
      <c r="N18" s="429"/>
      <c r="P18" s="429"/>
      <c r="Q18" s="429"/>
      <c r="R18" s="429"/>
      <c r="V18" s="429"/>
      <c r="W18" s="429"/>
      <c r="X18" s="429"/>
      <c r="Y18" s="429"/>
      <c r="Z18" s="429"/>
      <c r="AA18" s="429"/>
      <c r="AB18" s="429"/>
      <c r="AC18" s="429"/>
      <c r="AD18" s="429"/>
      <c r="AE18" s="429"/>
      <c r="AF18" s="429"/>
      <c r="AG18" s="429"/>
      <c r="AH18" s="429"/>
      <c r="AI18" s="429"/>
      <c r="AJ18" s="429"/>
      <c r="AK18" s="429"/>
      <c r="AL18" s="429"/>
      <c r="AM18" s="429"/>
    </row>
    <row r="19" spans="2:39">
      <c r="B19" s="301" t="s">
        <v>214</v>
      </c>
      <c r="C19" s="429"/>
      <c r="D19" s="429"/>
      <c r="E19" s="429"/>
      <c r="F19" s="429">
        <f t="shared" si="0"/>
        <v>0</v>
      </c>
      <c r="G19" s="429"/>
      <c r="H19" s="429"/>
      <c r="I19" s="429"/>
      <c r="J19" s="429"/>
      <c r="K19" s="429"/>
      <c r="L19" s="429"/>
      <c r="M19" s="429"/>
      <c r="N19" s="429"/>
      <c r="P19" s="429"/>
      <c r="Q19" s="429"/>
      <c r="R19" s="429"/>
      <c r="V19" s="429"/>
      <c r="W19" s="429"/>
      <c r="X19" s="429"/>
      <c r="Y19" s="429"/>
      <c r="Z19" s="429"/>
      <c r="AA19" s="429"/>
      <c r="AB19" s="429"/>
      <c r="AC19" s="429"/>
      <c r="AD19" s="429"/>
      <c r="AE19" s="429"/>
      <c r="AF19" s="429"/>
      <c r="AG19" s="429"/>
      <c r="AH19" s="429"/>
      <c r="AI19" s="429"/>
      <c r="AJ19" s="429"/>
      <c r="AK19" s="429"/>
      <c r="AL19" s="429"/>
      <c r="AM19" s="429"/>
    </row>
    <row r="20" spans="2:39">
      <c r="B20" s="272" t="s">
        <v>335</v>
      </c>
      <c r="C20" s="269">
        <v>157633.22791451466</v>
      </c>
      <c r="D20" s="269">
        <v>47687.744766737873</v>
      </c>
      <c r="E20" s="269">
        <v>205320.97268125252</v>
      </c>
      <c r="F20" s="429">
        <f t="shared" si="0"/>
        <v>0</v>
      </c>
      <c r="G20" s="429"/>
      <c r="H20" s="429"/>
      <c r="I20" s="429"/>
      <c r="J20" s="429"/>
      <c r="K20" s="429"/>
      <c r="L20" s="429"/>
      <c r="M20" s="429"/>
      <c r="N20" s="429"/>
      <c r="P20" s="429"/>
      <c r="Q20" s="429"/>
      <c r="R20" s="429"/>
      <c r="V20" s="429"/>
      <c r="W20" s="429"/>
      <c r="X20" s="429"/>
      <c r="Y20" s="429"/>
      <c r="Z20" s="429"/>
      <c r="AA20" s="429"/>
      <c r="AB20" s="429"/>
      <c r="AC20" s="429"/>
      <c r="AD20" s="429"/>
      <c r="AE20" s="429"/>
      <c r="AF20" s="429"/>
      <c r="AG20" s="429"/>
      <c r="AH20" s="429"/>
      <c r="AI20" s="429"/>
      <c r="AJ20" s="429"/>
      <c r="AK20" s="429"/>
      <c r="AL20" s="429"/>
      <c r="AM20" s="429"/>
    </row>
    <row r="21" spans="2:39">
      <c r="B21" s="272" t="s">
        <v>336</v>
      </c>
      <c r="C21" s="269">
        <v>202401.07420900729</v>
      </c>
      <c r="D21" s="269">
        <v>121913.01509783461</v>
      </c>
      <c r="E21" s="269">
        <v>324314.0893068419</v>
      </c>
      <c r="F21" s="429">
        <f t="shared" si="0"/>
        <v>0</v>
      </c>
      <c r="G21" s="429"/>
      <c r="H21" s="429"/>
      <c r="I21" s="429"/>
      <c r="J21" s="429"/>
      <c r="K21" s="429"/>
      <c r="L21" s="429"/>
      <c r="M21" s="429"/>
      <c r="N21" s="429"/>
      <c r="P21" s="429"/>
      <c r="Q21" s="429"/>
      <c r="R21" s="429"/>
      <c r="V21" s="429"/>
      <c r="W21" s="429"/>
      <c r="X21" s="429"/>
      <c r="Y21" s="429"/>
      <c r="Z21" s="429"/>
      <c r="AA21" s="429"/>
      <c r="AB21" s="429"/>
      <c r="AC21" s="429"/>
      <c r="AD21" s="429"/>
      <c r="AE21" s="429"/>
      <c r="AF21" s="429"/>
      <c r="AG21" s="429"/>
      <c r="AH21" s="429"/>
      <c r="AI21" s="429"/>
      <c r="AJ21" s="429"/>
      <c r="AK21" s="429"/>
      <c r="AL21" s="429"/>
      <c r="AM21" s="429"/>
    </row>
    <row r="22" spans="2:39">
      <c r="B22" s="272" t="s">
        <v>337</v>
      </c>
      <c r="C22" s="269">
        <v>80436.411949599074</v>
      </c>
      <c r="D22" s="269">
        <v>44591.808646177946</v>
      </c>
      <c r="E22" s="269">
        <v>125028.22059577702</v>
      </c>
      <c r="F22" s="429">
        <f t="shared" si="0"/>
        <v>0</v>
      </c>
      <c r="G22" s="429"/>
      <c r="H22" s="429"/>
      <c r="I22" s="429"/>
      <c r="J22" s="429"/>
      <c r="K22" s="429"/>
      <c r="L22" s="429"/>
      <c r="M22" s="429"/>
      <c r="N22" s="429"/>
      <c r="P22" s="429"/>
      <c r="Q22" s="429"/>
      <c r="R22" s="429"/>
      <c r="V22" s="429"/>
      <c r="W22" s="429"/>
      <c r="X22" s="429"/>
      <c r="Y22" s="429"/>
      <c r="Z22" s="429"/>
      <c r="AA22" s="429"/>
      <c r="AB22" s="429"/>
      <c r="AC22" s="429"/>
      <c r="AD22" s="429"/>
      <c r="AE22" s="429"/>
      <c r="AF22" s="429"/>
      <c r="AG22" s="429"/>
      <c r="AH22" s="429"/>
      <c r="AI22" s="429"/>
      <c r="AJ22" s="429"/>
      <c r="AK22" s="429"/>
      <c r="AL22" s="429"/>
      <c r="AM22" s="429"/>
    </row>
    <row r="23" spans="2:39">
      <c r="B23" s="272" t="s">
        <v>338</v>
      </c>
      <c r="C23" s="269">
        <v>45306.777893168241</v>
      </c>
      <c r="D23" s="269">
        <v>46729.040782423348</v>
      </c>
      <c r="E23" s="269">
        <v>92035.818675591581</v>
      </c>
      <c r="F23" s="429">
        <f t="shared" si="0"/>
        <v>0</v>
      </c>
      <c r="G23" s="429"/>
      <c r="H23" s="429"/>
      <c r="I23" s="429"/>
      <c r="J23" s="429"/>
      <c r="K23" s="429"/>
      <c r="L23" s="429"/>
      <c r="M23" s="429"/>
      <c r="N23" s="429"/>
      <c r="P23" s="429"/>
      <c r="Q23" s="429"/>
      <c r="R23" s="429"/>
      <c r="V23" s="429"/>
      <c r="W23" s="429"/>
      <c r="X23" s="429"/>
      <c r="Y23" s="429"/>
      <c r="Z23" s="429"/>
      <c r="AA23" s="429"/>
      <c r="AB23" s="429"/>
      <c r="AC23" s="429"/>
      <c r="AD23" s="429"/>
      <c r="AE23" s="429"/>
      <c r="AF23" s="429"/>
      <c r="AG23" s="429"/>
      <c r="AH23" s="429"/>
      <c r="AI23" s="429"/>
      <c r="AJ23" s="429"/>
      <c r="AK23" s="429"/>
      <c r="AL23" s="429"/>
      <c r="AM23" s="429"/>
    </row>
    <row r="24" spans="2:39">
      <c r="B24" s="272" t="s">
        <v>339</v>
      </c>
      <c r="C24" s="269">
        <v>126453.53570813418</v>
      </c>
      <c r="D24" s="269">
        <v>24920.150648309365</v>
      </c>
      <c r="E24" s="269">
        <v>151373.68635644353</v>
      </c>
      <c r="F24" s="429">
        <f t="shared" si="0"/>
        <v>0</v>
      </c>
      <c r="G24" s="429"/>
      <c r="H24" s="429"/>
      <c r="I24" s="429"/>
      <c r="J24" s="429"/>
      <c r="K24" s="429"/>
      <c r="L24" s="429"/>
      <c r="M24" s="429"/>
      <c r="N24" s="429"/>
      <c r="P24" s="429"/>
      <c r="Q24" s="429"/>
      <c r="R24" s="429"/>
      <c r="V24" s="429"/>
      <c r="W24" s="429"/>
      <c r="X24" s="429"/>
      <c r="Y24" s="429"/>
      <c r="Z24" s="429"/>
      <c r="AA24" s="429"/>
      <c r="AB24" s="429"/>
      <c r="AC24" s="429"/>
      <c r="AD24" s="429"/>
      <c r="AE24" s="429"/>
      <c r="AF24" s="429"/>
      <c r="AG24" s="429"/>
      <c r="AH24" s="429"/>
      <c r="AI24" s="429"/>
      <c r="AJ24" s="429"/>
      <c r="AK24" s="429"/>
      <c r="AL24" s="429"/>
      <c r="AM24" s="429"/>
    </row>
    <row r="25" spans="2:39">
      <c r="B25" s="272" t="s">
        <v>340</v>
      </c>
      <c r="C25" s="269">
        <v>203431.23161979782</v>
      </c>
      <c r="D25" s="269">
        <v>121928.09800150216</v>
      </c>
      <c r="E25" s="269">
        <v>325359.32962129998</v>
      </c>
      <c r="F25" s="429">
        <f t="shared" si="0"/>
        <v>0</v>
      </c>
      <c r="G25" s="429"/>
      <c r="H25" s="429"/>
      <c r="I25" s="429"/>
      <c r="J25" s="429"/>
      <c r="K25" s="429"/>
      <c r="L25" s="429"/>
      <c r="M25" s="429"/>
      <c r="N25" s="429"/>
      <c r="P25" s="429"/>
      <c r="Q25" s="429"/>
      <c r="R25" s="429"/>
      <c r="V25" s="429"/>
      <c r="W25" s="429"/>
      <c r="X25" s="429"/>
      <c r="Y25" s="429"/>
      <c r="Z25" s="429"/>
      <c r="AA25" s="429"/>
      <c r="AB25" s="429"/>
      <c r="AC25" s="429"/>
      <c r="AD25" s="429"/>
      <c r="AE25" s="429"/>
      <c r="AF25" s="429"/>
      <c r="AG25" s="429"/>
      <c r="AH25" s="429"/>
      <c r="AI25" s="429"/>
      <c r="AJ25" s="429"/>
      <c r="AK25" s="429"/>
      <c r="AL25" s="429"/>
      <c r="AM25" s="429"/>
    </row>
    <row r="26" spans="2:39" ht="15.75">
      <c r="B26" s="272" t="s">
        <v>341</v>
      </c>
      <c r="C26" s="269">
        <v>28282.477419223695</v>
      </c>
      <c r="D26" s="269">
        <v>16982.60900530381</v>
      </c>
      <c r="E26" s="269">
        <v>45265.086424527501</v>
      </c>
      <c r="F26" s="429">
        <f t="shared" si="0"/>
        <v>0</v>
      </c>
      <c r="G26" s="429"/>
      <c r="H26" s="429"/>
      <c r="I26" s="429"/>
      <c r="J26" s="429"/>
      <c r="K26" s="429"/>
      <c r="L26" s="429"/>
      <c r="M26" s="429"/>
      <c r="N26" s="429"/>
      <c r="P26" s="429"/>
      <c r="Q26" s="429"/>
      <c r="R26" s="429"/>
      <c r="V26" s="429"/>
      <c r="W26" s="429"/>
      <c r="X26" s="429"/>
      <c r="Y26" s="429"/>
      <c r="Z26" s="429"/>
      <c r="AA26" s="429"/>
      <c r="AB26" s="429"/>
      <c r="AC26" s="429"/>
      <c r="AD26" s="516" t="s">
        <v>342</v>
      </c>
      <c r="AE26" s="517"/>
      <c r="AF26" s="517"/>
      <c r="AG26" s="517"/>
      <c r="AH26" s="517"/>
      <c r="AI26" s="517"/>
      <c r="AJ26" s="517"/>
      <c r="AK26" s="517"/>
      <c r="AL26" s="517"/>
      <c r="AM26" s="517"/>
    </row>
    <row r="27" spans="2:39">
      <c r="B27" s="272" t="s">
        <v>343</v>
      </c>
      <c r="C27" s="269">
        <v>30269.086361486239</v>
      </c>
      <c r="D27" s="269">
        <v>20371.311671940035</v>
      </c>
      <c r="E27" s="269">
        <v>50640.398033426274</v>
      </c>
      <c r="F27" s="429">
        <f t="shared" si="0"/>
        <v>0</v>
      </c>
      <c r="G27" s="429"/>
      <c r="H27" s="429"/>
      <c r="I27" s="429"/>
      <c r="J27" s="429"/>
      <c r="K27" s="429"/>
      <c r="L27" s="429"/>
      <c r="M27" s="429"/>
      <c r="N27" s="429"/>
      <c r="P27" s="429"/>
      <c r="Q27" s="429"/>
      <c r="R27" s="429"/>
      <c r="V27" s="429"/>
      <c r="W27" s="429"/>
      <c r="X27" s="429"/>
      <c r="Y27" s="429"/>
      <c r="Z27" s="429"/>
      <c r="AA27" s="429"/>
      <c r="AB27" s="429"/>
      <c r="AC27" s="429"/>
      <c r="AD27" s="293" t="s">
        <v>344</v>
      </c>
      <c r="AE27" s="294" t="s">
        <v>345</v>
      </c>
      <c r="AF27" s="294" t="s">
        <v>346</v>
      </c>
      <c r="AG27" s="294" t="s">
        <v>347</v>
      </c>
      <c r="AH27" s="294" t="s">
        <v>317</v>
      </c>
      <c r="AI27" s="294" t="s">
        <v>348</v>
      </c>
      <c r="AJ27" s="294" t="s">
        <v>349</v>
      </c>
      <c r="AK27" s="294" t="s">
        <v>320</v>
      </c>
      <c r="AL27" s="295" t="s">
        <v>350</v>
      </c>
      <c r="AM27" s="295" t="s">
        <v>351</v>
      </c>
    </row>
    <row r="28" spans="2:39">
      <c r="B28" s="272" t="s">
        <v>352</v>
      </c>
      <c r="C28" s="269">
        <v>8746.735548476443</v>
      </c>
      <c r="D28" s="269">
        <v>7666.9278824729427</v>
      </c>
      <c r="E28" s="269">
        <v>16413.663430949386</v>
      </c>
      <c r="F28" s="429">
        <f t="shared" si="0"/>
        <v>0</v>
      </c>
      <c r="G28" s="429"/>
      <c r="H28" s="429"/>
      <c r="I28" s="429"/>
      <c r="J28" s="429"/>
      <c r="K28" s="429"/>
      <c r="L28" s="429"/>
      <c r="M28" s="429"/>
      <c r="N28" s="429"/>
      <c r="P28" s="429"/>
      <c r="Q28" s="429"/>
      <c r="R28" s="429"/>
      <c r="V28" s="429"/>
      <c r="W28" s="429"/>
      <c r="X28" s="429"/>
      <c r="Y28" s="429"/>
      <c r="Z28" s="429"/>
      <c r="AA28" s="429"/>
      <c r="AB28" s="429"/>
      <c r="AC28" s="429"/>
      <c r="AD28" s="429"/>
      <c r="AE28" s="429"/>
      <c r="AF28" s="429"/>
      <c r="AG28" s="429"/>
      <c r="AH28" s="429"/>
      <c r="AI28" s="429"/>
      <c r="AJ28" s="429"/>
      <c r="AK28" s="429"/>
      <c r="AL28" s="429"/>
      <c r="AM28" s="429"/>
    </row>
    <row r="29" spans="2:39">
      <c r="B29" s="272" t="s">
        <v>353</v>
      </c>
      <c r="C29" s="269">
        <v>74254.300630148733</v>
      </c>
      <c r="D29" s="269">
        <v>55526.645217451536</v>
      </c>
      <c r="E29" s="269">
        <v>129780.94584760026</v>
      </c>
      <c r="F29" s="429">
        <f t="shared" si="0"/>
        <v>0</v>
      </c>
      <c r="G29" s="429"/>
      <c r="H29" s="429"/>
      <c r="I29" s="429"/>
      <c r="J29" s="429"/>
      <c r="K29" s="429"/>
      <c r="L29" s="429"/>
      <c r="M29" s="429"/>
      <c r="N29" s="429"/>
      <c r="P29" s="429"/>
      <c r="Q29" s="429"/>
      <c r="R29" s="429"/>
      <c r="V29" s="429"/>
      <c r="W29" s="429"/>
      <c r="X29" s="429"/>
      <c r="Y29" s="429"/>
      <c r="Z29" s="429"/>
      <c r="AA29" s="429"/>
      <c r="AB29" s="429"/>
      <c r="AC29" s="429"/>
      <c r="AD29" s="429"/>
      <c r="AE29" s="429"/>
      <c r="AF29" s="429"/>
      <c r="AG29" s="429"/>
      <c r="AH29" s="429"/>
      <c r="AI29" s="429"/>
      <c r="AJ29" s="429"/>
      <c r="AK29" s="429"/>
      <c r="AL29" s="429"/>
      <c r="AM29" s="429"/>
    </row>
    <row r="30" spans="2:39">
      <c r="B30" s="272" t="s">
        <v>354</v>
      </c>
      <c r="C30" s="269">
        <v>32441.343436635376</v>
      </c>
      <c r="D30" s="269">
        <v>23992.692814993672</v>
      </c>
      <c r="E30" s="269">
        <v>56434.036251629048</v>
      </c>
      <c r="F30" s="429">
        <f t="shared" si="0"/>
        <v>0</v>
      </c>
      <c r="G30" s="429"/>
      <c r="H30" s="429"/>
      <c r="I30" s="429"/>
      <c r="J30" s="429"/>
      <c r="K30" s="429"/>
      <c r="L30" s="429"/>
      <c r="M30" s="429"/>
      <c r="N30" s="429"/>
      <c r="P30" s="429"/>
      <c r="Q30" s="429"/>
      <c r="R30" s="429"/>
      <c r="V30" s="429"/>
      <c r="W30" s="429"/>
      <c r="X30" s="429"/>
      <c r="Y30" s="429"/>
      <c r="Z30" s="429"/>
      <c r="AA30" s="429"/>
      <c r="AB30" s="429"/>
      <c r="AC30" s="429"/>
      <c r="AD30" s="429"/>
      <c r="AE30" s="429"/>
      <c r="AF30" s="429"/>
      <c r="AG30" s="429"/>
      <c r="AH30" s="429"/>
      <c r="AI30" s="429"/>
      <c r="AJ30" s="429"/>
      <c r="AK30" s="429"/>
      <c r="AL30" s="429"/>
      <c r="AM30" s="429"/>
    </row>
    <row r="31" spans="2:39">
      <c r="B31" s="272" t="s">
        <v>355</v>
      </c>
      <c r="C31" s="269">
        <v>96479.273251757913</v>
      </c>
      <c r="D31" s="269">
        <v>49201.985154983013</v>
      </c>
      <c r="E31" s="269">
        <v>145681.25840674093</v>
      </c>
      <c r="F31" s="429">
        <f t="shared" si="0"/>
        <v>0</v>
      </c>
      <c r="G31" s="429"/>
      <c r="H31" s="429"/>
      <c r="I31" s="429"/>
      <c r="J31" s="429"/>
      <c r="K31" s="429"/>
      <c r="L31" s="429"/>
      <c r="M31" s="429"/>
      <c r="N31" s="429"/>
      <c r="P31" s="429"/>
      <c r="Q31" s="429"/>
      <c r="R31" s="429"/>
      <c r="V31" s="429"/>
      <c r="W31" s="429"/>
      <c r="X31" s="429"/>
      <c r="Y31" s="429"/>
      <c r="Z31" s="429"/>
      <c r="AA31" s="429"/>
      <c r="AB31" s="429"/>
      <c r="AC31" s="429"/>
      <c r="AD31" s="429"/>
      <c r="AE31" s="429"/>
      <c r="AF31" s="429"/>
      <c r="AG31" s="429"/>
      <c r="AH31" s="429"/>
      <c r="AI31" s="429"/>
      <c r="AJ31" s="429"/>
      <c r="AK31" s="429"/>
      <c r="AL31" s="429"/>
      <c r="AM31" s="429"/>
    </row>
    <row r="32" spans="2:39">
      <c r="B32" s="272" t="s">
        <v>356</v>
      </c>
      <c r="C32" s="269">
        <v>25582.513405752648</v>
      </c>
      <c r="D32" s="269">
        <v>12290.273385956049</v>
      </c>
      <c r="E32" s="269">
        <v>37872.786791708699</v>
      </c>
      <c r="F32" s="429">
        <f t="shared" si="0"/>
        <v>0</v>
      </c>
      <c r="G32" s="429"/>
      <c r="H32" s="429"/>
      <c r="I32" s="429"/>
      <c r="J32" s="429"/>
      <c r="K32" s="429"/>
      <c r="L32" s="429"/>
      <c r="M32" s="429"/>
      <c r="N32" s="429"/>
      <c r="P32" s="429"/>
      <c r="Q32" s="429"/>
      <c r="R32" s="429"/>
      <c r="V32" s="429"/>
      <c r="W32" s="429"/>
      <c r="X32" s="429"/>
      <c r="Y32" s="429"/>
      <c r="Z32" s="429"/>
      <c r="AA32" s="429"/>
      <c r="AB32" s="429"/>
      <c r="AC32" s="429"/>
      <c r="AD32" s="429"/>
      <c r="AE32" s="429"/>
      <c r="AF32" s="429"/>
      <c r="AG32" s="429"/>
      <c r="AH32" s="429"/>
      <c r="AI32" s="429"/>
      <c r="AJ32" s="429"/>
      <c r="AK32" s="429"/>
      <c r="AL32" s="429"/>
      <c r="AM32" s="429"/>
    </row>
    <row r="33" spans="2:6">
      <c r="B33" s="272" t="s">
        <v>357</v>
      </c>
      <c r="C33" s="269">
        <v>143556.27512145799</v>
      </c>
      <c r="D33" s="269">
        <v>37740.178433205503</v>
      </c>
      <c r="E33" s="269">
        <v>181296.45355466349</v>
      </c>
      <c r="F33" s="429">
        <f t="shared" si="0"/>
        <v>0</v>
      </c>
    </row>
    <row r="34" spans="2:6">
      <c r="B34" s="272" t="s">
        <v>358</v>
      </c>
      <c r="C34" s="269">
        <v>81522.391645930678</v>
      </c>
      <c r="D34" s="269">
        <v>44597.692335319538</v>
      </c>
      <c r="E34" s="269">
        <v>126120.08398125021</v>
      </c>
      <c r="F34" s="429">
        <f t="shared" si="0"/>
        <v>0</v>
      </c>
    </row>
    <row r="35" spans="2:6">
      <c r="B35" s="272" t="s">
        <v>359</v>
      </c>
      <c r="C35" s="269">
        <v>133892.57684915658</v>
      </c>
      <c r="D35" s="269">
        <v>33713.68153242454</v>
      </c>
      <c r="E35" s="269">
        <v>167606.25838158111</v>
      </c>
      <c r="F35" s="429">
        <f t="shared" si="0"/>
        <v>0</v>
      </c>
    </row>
    <row r="36" spans="2:6">
      <c r="B36" s="272" t="s">
        <v>360</v>
      </c>
      <c r="C36" s="269">
        <v>23572.951657789192</v>
      </c>
      <c r="D36" s="269">
        <v>62717.517120466444</v>
      </c>
      <c r="E36" s="269">
        <v>86290.468778255628</v>
      </c>
      <c r="F36" s="429">
        <f t="shared" si="0"/>
        <v>0</v>
      </c>
    </row>
    <row r="37" spans="2:6">
      <c r="B37" s="272" t="s">
        <v>361</v>
      </c>
      <c r="C37" s="269">
        <v>174758.17602734591</v>
      </c>
      <c r="D37" s="269">
        <v>56678.451444910577</v>
      </c>
      <c r="E37" s="269">
        <v>231436.62747225648</v>
      </c>
      <c r="F37" s="429">
        <f t="shared" si="0"/>
        <v>0</v>
      </c>
    </row>
    <row r="38" spans="2:6">
      <c r="B38" s="272" t="s">
        <v>362</v>
      </c>
      <c r="C38" s="269">
        <v>8282.4579462809234</v>
      </c>
      <c r="D38" s="269">
        <v>7914.0332639401076</v>
      </c>
      <c r="E38" s="269">
        <v>16196.491210221031</v>
      </c>
      <c r="F38" s="429">
        <f t="shared" si="0"/>
        <v>0</v>
      </c>
    </row>
    <row r="39" spans="2:6">
      <c r="B39" s="272" t="s">
        <v>363</v>
      </c>
      <c r="C39" s="269">
        <v>81712.498962156998</v>
      </c>
      <c r="D39" s="269">
        <v>110787.76802873706</v>
      </c>
      <c r="E39" s="269">
        <v>192500.26699089404</v>
      </c>
      <c r="F39" s="429">
        <f t="shared" si="0"/>
        <v>0</v>
      </c>
    </row>
    <row r="40" spans="2:6">
      <c r="B40" s="272"/>
      <c r="C40" s="269"/>
      <c r="D40" s="269"/>
      <c r="E40" s="269"/>
      <c r="F40" s="429">
        <f t="shared" si="0"/>
        <v>0</v>
      </c>
    </row>
    <row r="41" spans="2:6">
      <c r="B41" s="301" t="s">
        <v>300</v>
      </c>
      <c r="C41" s="429"/>
      <c r="D41" s="429"/>
      <c r="E41" s="429"/>
      <c r="F41" s="429">
        <f t="shared" si="0"/>
        <v>0</v>
      </c>
    </row>
    <row r="42" spans="2:6">
      <c r="B42" s="272" t="s">
        <v>364</v>
      </c>
      <c r="C42" s="269">
        <v>115236.33589881851</v>
      </c>
      <c r="D42" s="269">
        <v>34277.875276537648</v>
      </c>
      <c r="E42" s="269">
        <v>149514.21117535615</v>
      </c>
      <c r="F42" s="429">
        <f t="shared" si="0"/>
        <v>0</v>
      </c>
    </row>
    <row r="43" spans="2:6">
      <c r="B43" s="272" t="s">
        <v>365</v>
      </c>
      <c r="C43" s="269">
        <v>119521.08220216045</v>
      </c>
      <c r="D43" s="269">
        <v>34143.966216982415</v>
      </c>
      <c r="E43" s="269">
        <v>153665.04841914287</v>
      </c>
      <c r="F43" s="429">
        <f t="shared" si="0"/>
        <v>0</v>
      </c>
    </row>
    <row r="44" spans="2:6">
      <c r="B44" s="272" t="s">
        <v>366</v>
      </c>
      <c r="C44" s="269">
        <v>153868.14063900677</v>
      </c>
      <c r="D44" s="269">
        <v>44776.750682415775</v>
      </c>
      <c r="E44" s="269">
        <v>198644.89132142253</v>
      </c>
      <c r="F44" s="429">
        <f t="shared" si="0"/>
        <v>0</v>
      </c>
    </row>
    <row r="45" spans="2:6">
      <c r="B45" s="272" t="s">
        <v>367</v>
      </c>
      <c r="C45" s="269">
        <v>103281.40963052139</v>
      </c>
      <c r="D45" s="269">
        <v>37943.934919456493</v>
      </c>
      <c r="E45" s="269">
        <v>141225.34454997789</v>
      </c>
      <c r="F45" s="429">
        <f t="shared" si="0"/>
        <v>0</v>
      </c>
    </row>
    <row r="46" spans="2:6">
      <c r="B46" s="272" t="s">
        <v>368</v>
      </c>
      <c r="C46" s="269">
        <v>117868.99418303632</v>
      </c>
      <c r="D46" s="269">
        <v>35516.375441646043</v>
      </c>
      <c r="E46" s="269">
        <v>153385.36962468235</v>
      </c>
      <c r="F46" s="429">
        <f t="shared" si="0"/>
        <v>0</v>
      </c>
    </row>
    <row r="47" spans="2:6">
      <c r="B47" s="272" t="s">
        <v>369</v>
      </c>
      <c r="C47" s="269">
        <v>109189.62642663342</v>
      </c>
      <c r="D47" s="269">
        <v>93582.323778476071</v>
      </c>
      <c r="E47" s="269">
        <v>202771.95020510949</v>
      </c>
      <c r="F47" s="429">
        <f t="shared" si="0"/>
        <v>0</v>
      </c>
    </row>
    <row r="48" spans="2:6">
      <c r="B48" s="272" t="s">
        <v>370</v>
      </c>
      <c r="C48" s="269">
        <v>112556.49992255229</v>
      </c>
      <c r="D48" s="269">
        <v>38097.318815294297</v>
      </c>
      <c r="E48" s="269">
        <v>150653.8187378466</v>
      </c>
      <c r="F48" s="429">
        <f t="shared" si="0"/>
        <v>0</v>
      </c>
    </row>
    <row r="49" spans="2:6">
      <c r="B49" s="272" t="s">
        <v>371</v>
      </c>
      <c r="C49" s="269">
        <v>154339.30240385246</v>
      </c>
      <c r="D49" s="269">
        <v>71821.236250390895</v>
      </c>
      <c r="E49" s="269">
        <v>226160.53865424334</v>
      </c>
      <c r="F49" s="429">
        <f t="shared" si="0"/>
        <v>0</v>
      </c>
    </row>
    <row r="50" spans="2:6">
      <c r="B50" s="272"/>
      <c r="C50" s="269"/>
      <c r="D50" s="269"/>
      <c r="E50" s="269"/>
      <c r="F50" s="429">
        <f t="shared" si="0"/>
        <v>0</v>
      </c>
    </row>
    <row r="51" spans="2:6">
      <c r="B51" s="301" t="s">
        <v>267</v>
      </c>
      <c r="C51" s="429"/>
      <c r="D51" s="429"/>
      <c r="E51" s="429"/>
      <c r="F51" s="429">
        <f t="shared" si="0"/>
        <v>0</v>
      </c>
    </row>
    <row r="52" spans="2:6">
      <c r="B52" s="272" t="s">
        <v>372</v>
      </c>
      <c r="C52" s="269">
        <v>63074.312792783545</v>
      </c>
      <c r="D52" s="269">
        <v>243737.72674595079</v>
      </c>
      <c r="E52" s="269">
        <v>306812.03953873436</v>
      </c>
      <c r="F52" s="429">
        <f t="shared" si="0"/>
        <v>0</v>
      </c>
    </row>
    <row r="53" spans="2:6">
      <c r="B53" s="272" t="s">
        <v>373</v>
      </c>
      <c r="C53" s="269">
        <v>226931.42903589667</v>
      </c>
      <c r="D53" s="269">
        <v>151233.10653831562</v>
      </c>
      <c r="E53" s="269">
        <v>378164.53557421232</v>
      </c>
      <c r="F53" s="429">
        <f t="shared" si="0"/>
        <v>0</v>
      </c>
    </row>
    <row r="54" spans="2:6">
      <c r="B54" s="272" t="s">
        <v>374</v>
      </c>
      <c r="C54" s="269">
        <v>312380.3423169427</v>
      </c>
      <c r="D54" s="269">
        <v>98004.729962611382</v>
      </c>
      <c r="E54" s="269">
        <v>410385.07227955409</v>
      </c>
      <c r="F54" s="429">
        <f t="shared" si="0"/>
        <v>0</v>
      </c>
    </row>
    <row r="55" spans="2:6">
      <c r="B55" s="272" t="s">
        <v>375</v>
      </c>
      <c r="C55" s="269">
        <v>136010.38234696252</v>
      </c>
      <c r="D55" s="269">
        <v>217546.21456791152</v>
      </c>
      <c r="E55" s="269">
        <v>353556.59691487404</v>
      </c>
      <c r="F55" s="429">
        <f t="shared" si="0"/>
        <v>0</v>
      </c>
    </row>
    <row r="56" spans="2:6">
      <c r="B56" s="272" t="s">
        <v>376</v>
      </c>
      <c r="C56" s="269">
        <v>214738.29619044007</v>
      </c>
      <c r="D56" s="269">
        <v>187411.86372479808</v>
      </c>
      <c r="E56" s="269">
        <v>402150.15991523815</v>
      </c>
      <c r="F56" s="429">
        <f t="shared" si="0"/>
        <v>0</v>
      </c>
    </row>
    <row r="57" spans="2:6">
      <c r="B57" s="272" t="s">
        <v>377</v>
      </c>
      <c r="C57" s="269">
        <v>141777.21423275914</v>
      </c>
      <c r="D57" s="269">
        <v>214369.55142960889</v>
      </c>
      <c r="E57" s="269">
        <v>356146.76566236804</v>
      </c>
      <c r="F57" s="429">
        <f t="shared" si="0"/>
        <v>0</v>
      </c>
    </row>
    <row r="58" spans="2:6">
      <c r="B58" s="272" t="s">
        <v>378</v>
      </c>
      <c r="C58" s="269">
        <v>141554.75521033141</v>
      </c>
      <c r="D58" s="269">
        <v>215092.96190975379</v>
      </c>
      <c r="E58" s="269">
        <v>356647.7171200852</v>
      </c>
      <c r="F58" s="429">
        <f t="shared" si="0"/>
        <v>0</v>
      </c>
    </row>
    <row r="59" spans="2:6">
      <c r="B59" s="272" t="s">
        <v>379</v>
      </c>
      <c r="C59" s="269">
        <v>390290.78605756722</v>
      </c>
      <c r="D59" s="269">
        <v>40333.90259945592</v>
      </c>
      <c r="E59" s="269">
        <v>430624.68865702313</v>
      </c>
      <c r="F59" s="429">
        <f t="shared" si="0"/>
        <v>0</v>
      </c>
    </row>
    <row r="60" spans="2:6">
      <c r="B60" s="272" t="s">
        <v>380</v>
      </c>
      <c r="C60" s="269">
        <v>240287.39479864921</v>
      </c>
      <c r="D60" s="269">
        <v>158423.4158644698</v>
      </c>
      <c r="E60" s="269">
        <v>398710.81066311902</v>
      </c>
      <c r="F60" s="429">
        <f t="shared" si="0"/>
        <v>0</v>
      </c>
    </row>
    <row r="61" spans="2:6">
      <c r="B61" s="272" t="s">
        <v>381</v>
      </c>
      <c r="C61" s="269">
        <v>249279.75719214467</v>
      </c>
      <c r="D61" s="269">
        <v>157778.70811226388</v>
      </c>
      <c r="E61" s="269">
        <v>407058.46530440857</v>
      </c>
      <c r="F61" s="429">
        <f t="shared" si="0"/>
        <v>0</v>
      </c>
    </row>
    <row r="62" spans="2:6">
      <c r="B62" s="272"/>
      <c r="C62" s="269"/>
      <c r="D62" s="269"/>
      <c r="E62" s="269"/>
      <c r="F62" s="429">
        <f t="shared" si="0"/>
        <v>0</v>
      </c>
    </row>
    <row r="63" spans="2:6">
      <c r="B63" s="301" t="s">
        <v>272</v>
      </c>
      <c r="C63" s="429"/>
      <c r="D63" s="429"/>
      <c r="E63" s="429"/>
      <c r="F63" s="429">
        <f t="shared" si="0"/>
        <v>0</v>
      </c>
    </row>
    <row r="64" spans="2:6">
      <c r="B64" s="272" t="s">
        <v>382</v>
      </c>
      <c r="C64" s="269">
        <v>260413.67086527948</v>
      </c>
      <c r="D64" s="269">
        <v>114394.6487585625</v>
      </c>
      <c r="E64" s="269">
        <v>374808.31962384196</v>
      </c>
      <c r="F64" s="429">
        <f t="shared" si="0"/>
        <v>0</v>
      </c>
    </row>
    <row r="65" spans="2:6">
      <c r="B65" s="272" t="s">
        <v>383</v>
      </c>
      <c r="C65" s="269">
        <v>117353.18049873982</v>
      </c>
      <c r="D65" s="269">
        <v>203393.72703456247</v>
      </c>
      <c r="E65" s="269">
        <v>320746.90753330232</v>
      </c>
      <c r="F65" s="429">
        <f t="shared" si="0"/>
        <v>0</v>
      </c>
    </row>
    <row r="66" spans="2:6">
      <c r="B66" s="272" t="s">
        <v>384</v>
      </c>
      <c r="C66" s="269">
        <v>130672.79926067778</v>
      </c>
      <c r="D66" s="269">
        <v>197241.79721848477</v>
      </c>
      <c r="E66" s="269">
        <v>327914.59647916257</v>
      </c>
      <c r="F66" s="429">
        <f t="shared" si="0"/>
        <v>0</v>
      </c>
    </row>
    <row r="67" spans="2:6">
      <c r="B67" s="272" t="s">
        <v>385</v>
      </c>
      <c r="C67" s="269">
        <v>139609.48043513575</v>
      </c>
      <c r="D67" s="269">
        <v>188704.02463769261</v>
      </c>
      <c r="E67" s="269">
        <v>328313.50507282838</v>
      </c>
      <c r="F67" s="429">
        <f t="shared" si="0"/>
        <v>0</v>
      </c>
    </row>
    <row r="68" spans="2:6">
      <c r="B68" s="272" t="s">
        <v>386</v>
      </c>
      <c r="C68" s="269">
        <v>262551.21853461576</v>
      </c>
      <c r="D68" s="269">
        <v>111982.53969652987</v>
      </c>
      <c r="E68" s="269">
        <v>374533.75823114562</v>
      </c>
      <c r="F68" s="429">
        <f t="shared" si="0"/>
        <v>0</v>
      </c>
    </row>
    <row r="69" spans="2:6">
      <c r="B69" s="272" t="s">
        <v>387</v>
      </c>
      <c r="C69" s="269">
        <v>46178.702483507506</v>
      </c>
      <c r="D69" s="269">
        <v>79406.855447572991</v>
      </c>
      <c r="E69" s="269">
        <v>125585.55793108049</v>
      </c>
      <c r="F69" s="429">
        <f t="shared" si="0"/>
        <v>0</v>
      </c>
    </row>
    <row r="70" spans="2:6">
      <c r="B70" s="272" t="s">
        <v>388</v>
      </c>
      <c r="C70" s="269">
        <v>116507.78399699983</v>
      </c>
      <c r="D70" s="269">
        <v>230435.0266749447</v>
      </c>
      <c r="E70" s="269">
        <v>346942.81067194452</v>
      </c>
      <c r="F70" s="429">
        <f t="shared" ref="F70:F133" si="6">IF(G70="",0,1)</f>
        <v>0</v>
      </c>
    </row>
    <row r="71" spans="2:6">
      <c r="B71" s="272" t="s">
        <v>389</v>
      </c>
      <c r="C71" s="269">
        <v>146233.02716952609</v>
      </c>
      <c r="D71" s="269">
        <v>181413.10691092449</v>
      </c>
      <c r="E71" s="269">
        <v>327646.13408045057</v>
      </c>
      <c r="F71" s="429">
        <f t="shared" si="6"/>
        <v>0</v>
      </c>
    </row>
    <row r="72" spans="2:6">
      <c r="B72" s="272" t="s">
        <v>390</v>
      </c>
      <c r="C72" s="269">
        <v>200921.8608533142</v>
      </c>
      <c r="D72" s="269">
        <v>142150.31679794446</v>
      </c>
      <c r="E72" s="269">
        <v>343072.17765125865</v>
      </c>
      <c r="F72" s="429">
        <f t="shared" si="6"/>
        <v>0</v>
      </c>
    </row>
    <row r="73" spans="2:6">
      <c r="B73" s="272" t="s">
        <v>391</v>
      </c>
      <c r="C73" s="269">
        <v>210000.41443213462</v>
      </c>
      <c r="D73" s="269">
        <v>136982.7775120007</v>
      </c>
      <c r="E73" s="269">
        <v>346983.19194413535</v>
      </c>
      <c r="F73" s="429">
        <f t="shared" si="6"/>
        <v>0</v>
      </c>
    </row>
    <row r="74" spans="2:6">
      <c r="B74" s="272" t="s">
        <v>392</v>
      </c>
      <c r="C74" s="269">
        <v>167498.49942992115</v>
      </c>
      <c r="D74" s="269">
        <v>182135.90744647724</v>
      </c>
      <c r="E74" s="269">
        <v>349634.40687639837</v>
      </c>
      <c r="F74" s="429">
        <f t="shared" si="6"/>
        <v>0</v>
      </c>
    </row>
    <row r="75" spans="2:6">
      <c r="B75" s="272" t="s">
        <v>393</v>
      </c>
      <c r="C75" s="269">
        <v>143276.3310421934</v>
      </c>
      <c r="D75" s="269">
        <v>186186.90323152539</v>
      </c>
      <c r="E75" s="269">
        <v>329463.23427371879</v>
      </c>
      <c r="F75" s="429">
        <f t="shared" si="6"/>
        <v>0</v>
      </c>
    </row>
    <row r="76" spans="2:6">
      <c r="B76" s="272" t="s">
        <v>394</v>
      </c>
      <c r="C76" s="269">
        <v>143689.13207073006</v>
      </c>
      <c r="D76" s="269">
        <v>184447.89529674477</v>
      </c>
      <c r="E76" s="269">
        <v>328137.02736747486</v>
      </c>
      <c r="F76" s="429">
        <f t="shared" si="6"/>
        <v>0</v>
      </c>
    </row>
    <row r="77" spans="2:6">
      <c r="B77" s="272" t="s">
        <v>395</v>
      </c>
      <c r="C77" s="269">
        <v>139258.91930632282</v>
      </c>
      <c r="D77" s="269">
        <v>192918.53826495196</v>
      </c>
      <c r="E77" s="269">
        <v>332177.45757127478</v>
      </c>
      <c r="F77" s="429">
        <f t="shared" si="6"/>
        <v>0</v>
      </c>
    </row>
    <row r="78" spans="2:6">
      <c r="B78" s="272" t="s">
        <v>396</v>
      </c>
      <c r="C78" s="269">
        <v>156924.18960104935</v>
      </c>
      <c r="D78" s="269">
        <v>171485.90752161582</v>
      </c>
      <c r="E78" s="269">
        <v>328410.09712266515</v>
      </c>
      <c r="F78" s="429">
        <f t="shared" si="6"/>
        <v>0</v>
      </c>
    </row>
    <row r="79" spans="2:6">
      <c r="B79" s="272" t="s">
        <v>397</v>
      </c>
      <c r="C79" s="269">
        <v>154619.41705711203</v>
      </c>
      <c r="D79" s="269">
        <v>185621.23584808962</v>
      </c>
      <c r="E79" s="269">
        <v>340240.65290520166</v>
      </c>
      <c r="F79" s="429">
        <f t="shared" si="6"/>
        <v>0</v>
      </c>
    </row>
    <row r="80" spans="2:6">
      <c r="B80" s="272" t="s">
        <v>398</v>
      </c>
      <c r="C80" s="269">
        <v>239213.15277985547</v>
      </c>
      <c r="D80" s="269">
        <v>117480.7709710737</v>
      </c>
      <c r="E80" s="269">
        <v>356693.92375092919</v>
      </c>
      <c r="F80" s="429">
        <f t="shared" si="6"/>
        <v>0</v>
      </c>
    </row>
    <row r="81" spans="2:6">
      <c r="B81" s="272" t="s">
        <v>399</v>
      </c>
      <c r="C81" s="269">
        <v>189537.54355498037</v>
      </c>
      <c r="D81" s="269">
        <v>155953.72729634182</v>
      </c>
      <c r="E81" s="269">
        <v>345491.27085132222</v>
      </c>
      <c r="F81" s="429">
        <f t="shared" si="6"/>
        <v>0</v>
      </c>
    </row>
    <row r="82" spans="2:6">
      <c r="B82" s="272" t="s">
        <v>400</v>
      </c>
      <c r="C82" s="269">
        <v>143113.73347121989</v>
      </c>
      <c r="D82" s="269">
        <v>185477.3419326703</v>
      </c>
      <c r="E82" s="269">
        <v>328591.07540389022</v>
      </c>
      <c r="F82" s="429">
        <f t="shared" si="6"/>
        <v>0</v>
      </c>
    </row>
    <row r="83" spans="2:6">
      <c r="B83" s="272" t="s">
        <v>401</v>
      </c>
      <c r="C83" s="269">
        <v>449206.5857686433</v>
      </c>
      <c r="D83" s="269">
        <v>549784.88158808846</v>
      </c>
      <c r="E83" s="269">
        <v>998991.46735673177</v>
      </c>
      <c r="F83" s="429">
        <f t="shared" si="6"/>
        <v>0</v>
      </c>
    </row>
    <row r="84" spans="2:6">
      <c r="B84" s="272" t="s">
        <v>402</v>
      </c>
      <c r="C84" s="269">
        <v>123947.00213113712</v>
      </c>
      <c r="D84" s="269">
        <v>205474.04572042119</v>
      </c>
      <c r="E84" s="269">
        <v>329421.04785155831</v>
      </c>
      <c r="F84" s="429">
        <f t="shared" si="6"/>
        <v>0</v>
      </c>
    </row>
    <row r="85" spans="2:6">
      <c r="B85" s="272" t="s">
        <v>403</v>
      </c>
      <c r="C85" s="269">
        <v>121199.80051052204</v>
      </c>
      <c r="D85" s="269">
        <v>206076.11769094414</v>
      </c>
      <c r="E85" s="269">
        <v>327275.91820146621</v>
      </c>
      <c r="F85" s="429">
        <f t="shared" si="6"/>
        <v>0</v>
      </c>
    </row>
    <row r="86" spans="2:6">
      <c r="B86" s="272" t="s">
        <v>404</v>
      </c>
      <c r="C86" s="269">
        <v>172006.22376074872</v>
      </c>
      <c r="D86" s="269">
        <v>168014.53953007839</v>
      </c>
      <c r="E86" s="269">
        <v>340020.7632908271</v>
      </c>
      <c r="F86" s="429">
        <f t="shared" si="6"/>
        <v>0</v>
      </c>
    </row>
    <row r="87" spans="2:6">
      <c r="B87" s="272" t="s">
        <v>405</v>
      </c>
      <c r="C87" s="269">
        <v>178163.20551018539</v>
      </c>
      <c r="D87" s="269">
        <v>164286.0515477414</v>
      </c>
      <c r="E87" s="269">
        <v>342449.25705792679</v>
      </c>
      <c r="F87" s="429">
        <f t="shared" si="6"/>
        <v>0</v>
      </c>
    </row>
    <row r="88" spans="2:6">
      <c r="B88" s="272" t="s">
        <v>406</v>
      </c>
      <c r="C88" s="269">
        <v>208220.55057048236</v>
      </c>
      <c r="D88" s="269">
        <v>151124.49037654471</v>
      </c>
      <c r="E88" s="269">
        <v>359345.04094702704</v>
      </c>
      <c r="F88" s="429">
        <f t="shared" si="6"/>
        <v>0</v>
      </c>
    </row>
    <row r="89" spans="2:6">
      <c r="B89" s="272" t="s">
        <v>407</v>
      </c>
      <c r="C89" s="269">
        <v>124619.07877747266</v>
      </c>
      <c r="D89" s="269">
        <v>201651.38273326069</v>
      </c>
      <c r="E89" s="269">
        <v>326270.46151073335</v>
      </c>
      <c r="F89" s="429">
        <f t="shared" si="6"/>
        <v>0</v>
      </c>
    </row>
    <row r="90" spans="2:6">
      <c r="B90" s="272" t="s">
        <v>408</v>
      </c>
      <c r="C90" s="269">
        <v>59665.488289765941</v>
      </c>
      <c r="D90" s="269">
        <v>164536.94637515279</v>
      </c>
      <c r="E90" s="269">
        <v>224202.43466491875</v>
      </c>
      <c r="F90" s="429">
        <f t="shared" si="6"/>
        <v>0</v>
      </c>
    </row>
    <row r="91" spans="2:6">
      <c r="B91" s="272" t="s">
        <v>409</v>
      </c>
      <c r="C91" s="269">
        <v>58453.289912575507</v>
      </c>
      <c r="D91" s="269">
        <v>139042.1831828001</v>
      </c>
      <c r="E91" s="269">
        <v>197495.47309537561</v>
      </c>
      <c r="F91" s="429">
        <f t="shared" si="6"/>
        <v>0</v>
      </c>
    </row>
    <row r="92" spans="2:6">
      <c r="B92" s="272" t="s">
        <v>410</v>
      </c>
      <c r="C92" s="269">
        <v>225035.40403549338</v>
      </c>
      <c r="D92" s="269">
        <v>123666.53184349323</v>
      </c>
      <c r="E92" s="269">
        <v>348701.93587898661</v>
      </c>
      <c r="F92" s="429">
        <f t="shared" si="6"/>
        <v>0</v>
      </c>
    </row>
    <row r="93" spans="2:6">
      <c r="B93" s="272" t="s">
        <v>411</v>
      </c>
      <c r="C93" s="269">
        <v>223955.73016920651</v>
      </c>
      <c r="D93" s="269">
        <v>124121.05059180994</v>
      </c>
      <c r="E93" s="269">
        <v>348076.78076101642</v>
      </c>
      <c r="F93" s="429">
        <f t="shared" si="6"/>
        <v>0</v>
      </c>
    </row>
    <row r="94" spans="2:6">
      <c r="B94" s="272" t="s">
        <v>412</v>
      </c>
      <c r="C94" s="269">
        <v>135799.75815318653</v>
      </c>
      <c r="D94" s="269">
        <v>198058.01946037833</v>
      </c>
      <c r="E94" s="269">
        <v>333857.77761356486</v>
      </c>
      <c r="F94" s="429">
        <f t="shared" si="6"/>
        <v>0</v>
      </c>
    </row>
    <row r="95" spans="2:6">
      <c r="B95" s="272" t="s">
        <v>413</v>
      </c>
      <c r="C95" s="269">
        <v>141347.48745760153</v>
      </c>
      <c r="D95" s="269">
        <v>188616.98574668638</v>
      </c>
      <c r="E95" s="269">
        <v>329964.47320428793</v>
      </c>
      <c r="F95" s="429">
        <f t="shared" si="6"/>
        <v>0</v>
      </c>
    </row>
    <row r="96" spans="2:6">
      <c r="B96" s="272" t="s">
        <v>414</v>
      </c>
      <c r="C96" s="269">
        <v>139885.32622918318</v>
      </c>
      <c r="D96" s="269">
        <v>191618.03801644983</v>
      </c>
      <c r="E96" s="269">
        <v>331503.36424563301</v>
      </c>
      <c r="F96" s="429">
        <f t="shared" si="6"/>
        <v>0</v>
      </c>
    </row>
    <row r="97" spans="2:6">
      <c r="B97" s="272" t="s">
        <v>415</v>
      </c>
      <c r="C97" s="269">
        <v>84879.426831836376</v>
      </c>
      <c r="D97" s="269">
        <v>164186.76026036349</v>
      </c>
      <c r="E97" s="269">
        <v>249066.18709219986</v>
      </c>
      <c r="F97" s="429">
        <f t="shared" si="6"/>
        <v>0</v>
      </c>
    </row>
    <row r="98" spans="2:6">
      <c r="B98" s="272" t="s">
        <v>416</v>
      </c>
      <c r="C98" s="269">
        <v>58453.289912575507</v>
      </c>
      <c r="D98" s="269">
        <v>138967.76297426078</v>
      </c>
      <c r="E98" s="269">
        <v>197421.05288683629</v>
      </c>
      <c r="F98" s="429">
        <f t="shared" si="6"/>
        <v>0</v>
      </c>
    </row>
    <row r="99" spans="2:6">
      <c r="B99" s="272" t="s">
        <v>417</v>
      </c>
      <c r="C99" s="269">
        <v>169698.3245819321</v>
      </c>
      <c r="D99" s="269">
        <v>134040.01358908875</v>
      </c>
      <c r="E99" s="269">
        <v>303738.33817102085</v>
      </c>
      <c r="F99" s="429">
        <f t="shared" si="6"/>
        <v>0</v>
      </c>
    </row>
    <row r="100" spans="2:6">
      <c r="B100" s="272" t="s">
        <v>418</v>
      </c>
      <c r="C100" s="269">
        <v>167010.60687371402</v>
      </c>
      <c r="D100" s="269">
        <v>134029.52262389488</v>
      </c>
      <c r="E100" s="269">
        <v>301040.12949760887</v>
      </c>
      <c r="F100" s="429">
        <f t="shared" si="6"/>
        <v>0</v>
      </c>
    </row>
    <row r="101" spans="2:6">
      <c r="B101" s="272" t="s">
        <v>419</v>
      </c>
      <c r="C101" s="269">
        <v>259967.55941767845</v>
      </c>
      <c r="D101" s="269">
        <v>113942.91058717213</v>
      </c>
      <c r="E101" s="269">
        <v>373910.47000485059</v>
      </c>
      <c r="F101" s="429">
        <f t="shared" si="6"/>
        <v>0</v>
      </c>
    </row>
    <row r="102" spans="2:6">
      <c r="B102" s="272" t="s">
        <v>420</v>
      </c>
      <c r="C102" s="269">
        <v>132006.47698402638</v>
      </c>
      <c r="D102" s="269">
        <v>192813.06438327755</v>
      </c>
      <c r="E102" s="269">
        <v>324819.54136730393</v>
      </c>
      <c r="F102" s="429">
        <f t="shared" si="6"/>
        <v>0</v>
      </c>
    </row>
    <row r="103" spans="2:6">
      <c r="B103" s="272"/>
      <c r="C103" s="269"/>
      <c r="D103" s="269"/>
      <c r="E103" s="269"/>
      <c r="F103" s="429">
        <f t="shared" si="6"/>
        <v>0</v>
      </c>
    </row>
    <row r="104" spans="2:6">
      <c r="B104" s="301" t="s">
        <v>273</v>
      </c>
      <c r="C104" s="429"/>
      <c r="D104" s="429"/>
      <c r="E104" s="429"/>
      <c r="F104" s="429">
        <f t="shared" si="6"/>
        <v>0</v>
      </c>
    </row>
    <row r="105" spans="2:6">
      <c r="B105" s="272" t="s">
        <v>421</v>
      </c>
      <c r="C105" s="269">
        <v>89717.60159299185</v>
      </c>
      <c r="D105" s="269">
        <v>122145.75956520271</v>
      </c>
      <c r="E105" s="269">
        <v>211863.36115819454</v>
      </c>
      <c r="F105" s="429">
        <f t="shared" si="6"/>
        <v>0</v>
      </c>
    </row>
    <row r="106" spans="2:6">
      <c r="B106" s="272" t="s">
        <v>422</v>
      </c>
      <c r="C106" s="269">
        <v>11281.922346669784</v>
      </c>
      <c r="D106" s="269">
        <v>9586.7575015526745</v>
      </c>
      <c r="E106" s="269">
        <v>20868.679848222459</v>
      </c>
      <c r="F106" s="429">
        <f t="shared" si="6"/>
        <v>0</v>
      </c>
    </row>
    <row r="107" spans="2:6">
      <c r="B107" s="272" t="s">
        <v>423</v>
      </c>
      <c r="C107" s="269">
        <v>97444.311442546808</v>
      </c>
      <c r="D107" s="269">
        <v>129758.52194152665</v>
      </c>
      <c r="E107" s="269">
        <v>227202.83338407346</v>
      </c>
      <c r="F107" s="429">
        <f t="shared" si="6"/>
        <v>0</v>
      </c>
    </row>
    <row r="108" spans="2:6">
      <c r="B108" s="272" t="s">
        <v>424</v>
      </c>
      <c r="C108" s="269">
        <v>39756.753002026104</v>
      </c>
      <c r="D108" s="269">
        <v>50910.098846429377</v>
      </c>
      <c r="E108" s="269">
        <v>90666.851848455481</v>
      </c>
      <c r="F108" s="429">
        <f t="shared" si="6"/>
        <v>0</v>
      </c>
    </row>
    <row r="109" spans="2:6">
      <c r="B109" s="272" t="s">
        <v>425</v>
      </c>
      <c r="C109" s="269">
        <v>130355.1143488449</v>
      </c>
      <c r="D109" s="269">
        <v>119287.64112682076</v>
      </c>
      <c r="E109" s="269">
        <v>249642.75547566568</v>
      </c>
      <c r="F109" s="429">
        <f t="shared" si="6"/>
        <v>0</v>
      </c>
    </row>
    <row r="110" spans="2:6">
      <c r="B110" s="272" t="s">
        <v>426</v>
      </c>
      <c r="C110" s="269">
        <v>142317.3104821411</v>
      </c>
      <c r="D110" s="269">
        <v>145503.82055464241</v>
      </c>
      <c r="E110" s="269">
        <v>287821.13103678351</v>
      </c>
      <c r="F110" s="429">
        <f t="shared" si="6"/>
        <v>0</v>
      </c>
    </row>
    <row r="111" spans="2:6">
      <c r="B111" s="272" t="s">
        <v>427</v>
      </c>
      <c r="C111" s="269">
        <v>57400.559332838777</v>
      </c>
      <c r="D111" s="269">
        <v>90527.01498459038</v>
      </c>
      <c r="E111" s="269">
        <v>147927.57431742916</v>
      </c>
      <c r="F111" s="429">
        <f t="shared" si="6"/>
        <v>0</v>
      </c>
    </row>
    <row r="112" spans="2:6">
      <c r="B112" s="272" t="s">
        <v>428</v>
      </c>
      <c r="C112" s="269">
        <v>34876.069829851265</v>
      </c>
      <c r="D112" s="269">
        <v>49388.909586204521</v>
      </c>
      <c r="E112" s="269">
        <v>84264.979416055779</v>
      </c>
      <c r="F112" s="429">
        <f t="shared" si="6"/>
        <v>0</v>
      </c>
    </row>
    <row r="113" spans="2:6">
      <c r="B113" s="272" t="s">
        <v>429</v>
      </c>
      <c r="C113" s="269">
        <v>69222.639746536879</v>
      </c>
      <c r="D113" s="269">
        <v>127137.43637901766</v>
      </c>
      <c r="E113" s="269">
        <v>196360.07612555454</v>
      </c>
      <c r="F113" s="429">
        <f t="shared" si="6"/>
        <v>0</v>
      </c>
    </row>
    <row r="114" spans="2:6">
      <c r="B114" s="272" t="s">
        <v>430</v>
      </c>
      <c r="C114" s="269">
        <v>88845.26034910274</v>
      </c>
      <c r="D114" s="269">
        <v>87790.213621430186</v>
      </c>
      <c r="E114" s="269">
        <v>176635.47397053294</v>
      </c>
      <c r="F114" s="429">
        <f t="shared" si="6"/>
        <v>0</v>
      </c>
    </row>
    <row r="115" spans="2:6">
      <c r="B115" s="272"/>
      <c r="C115" s="269"/>
      <c r="D115" s="269"/>
      <c r="E115" s="269"/>
      <c r="F115" s="429">
        <f t="shared" si="6"/>
        <v>0</v>
      </c>
    </row>
    <row r="116" spans="2:6">
      <c r="B116" s="301" t="s">
        <v>298</v>
      </c>
      <c r="C116" s="429"/>
      <c r="D116" s="429"/>
      <c r="E116" s="429"/>
      <c r="F116" s="429">
        <f t="shared" si="6"/>
        <v>0</v>
      </c>
    </row>
    <row r="117" spans="2:6">
      <c r="B117" s="272" t="s">
        <v>431</v>
      </c>
      <c r="C117" s="269">
        <v>191632.10154857597</v>
      </c>
      <c r="D117" s="269">
        <v>60091.994311606592</v>
      </c>
      <c r="E117" s="269">
        <v>251724.09586018257</v>
      </c>
      <c r="F117" s="429">
        <f t="shared" si="6"/>
        <v>0</v>
      </c>
    </row>
    <row r="118" spans="2:6">
      <c r="B118" s="272" t="s">
        <v>432</v>
      </c>
      <c r="C118" s="269">
        <v>129525.38649435921</v>
      </c>
      <c r="D118" s="269">
        <v>192147.93076121298</v>
      </c>
      <c r="E118" s="269">
        <v>321673.31725557218</v>
      </c>
      <c r="F118" s="429">
        <f t="shared" si="6"/>
        <v>0</v>
      </c>
    </row>
    <row r="119" spans="2:6">
      <c r="B119" s="272" t="s">
        <v>433</v>
      </c>
      <c r="C119" s="269">
        <v>7653.7132805131223</v>
      </c>
      <c r="D119" s="269">
        <v>89704.299644619256</v>
      </c>
      <c r="E119" s="269">
        <v>97358.012925132381</v>
      </c>
      <c r="F119" s="429">
        <f t="shared" si="6"/>
        <v>0</v>
      </c>
    </row>
    <row r="120" spans="2:6">
      <c r="B120" s="272" t="s">
        <v>434</v>
      </c>
      <c r="C120" s="269">
        <v>250598.19397734333</v>
      </c>
      <c r="D120" s="269">
        <v>139780.03187861355</v>
      </c>
      <c r="E120" s="269">
        <v>390378.2258559569</v>
      </c>
      <c r="F120" s="429">
        <f t="shared" si="6"/>
        <v>0</v>
      </c>
    </row>
    <row r="121" spans="2:6">
      <c r="B121" s="272" t="s">
        <v>435</v>
      </c>
      <c r="C121" s="269">
        <v>5969.6971120604649</v>
      </c>
      <c r="D121" s="269">
        <v>14049.891531673722</v>
      </c>
      <c r="E121" s="269">
        <v>20019.588643734187</v>
      </c>
      <c r="F121" s="429">
        <f t="shared" si="6"/>
        <v>0</v>
      </c>
    </row>
    <row r="122" spans="2:6">
      <c r="B122" s="272" t="s">
        <v>436</v>
      </c>
      <c r="C122" s="269">
        <v>9079.2624837140429</v>
      </c>
      <c r="D122" s="269">
        <v>37973.846618854681</v>
      </c>
      <c r="E122" s="269">
        <v>47053.10910256872</v>
      </c>
      <c r="F122" s="429">
        <f t="shared" si="6"/>
        <v>0</v>
      </c>
    </row>
    <row r="123" spans="2:6">
      <c r="B123" s="272"/>
      <c r="C123" s="269"/>
      <c r="D123" s="269"/>
      <c r="E123" s="269"/>
      <c r="F123" s="429">
        <f t="shared" si="6"/>
        <v>0</v>
      </c>
    </row>
    <row r="124" spans="2:6">
      <c r="B124" s="301" t="s">
        <v>303</v>
      </c>
      <c r="C124" s="429"/>
      <c r="D124" s="429"/>
      <c r="E124" s="429"/>
      <c r="F124" s="429">
        <f t="shared" si="6"/>
        <v>0</v>
      </c>
    </row>
    <row r="125" spans="2:6">
      <c r="B125" s="272" t="s">
        <v>437</v>
      </c>
      <c r="C125" s="269">
        <v>0</v>
      </c>
      <c r="D125" s="269">
        <v>8101.2618343403265</v>
      </c>
      <c r="E125" s="269">
        <v>8101.2618343403265</v>
      </c>
      <c r="F125" s="429">
        <f t="shared" si="6"/>
        <v>0</v>
      </c>
    </row>
    <row r="126" spans="2:6">
      <c r="B126" s="272"/>
      <c r="C126" s="269"/>
      <c r="D126" s="269"/>
      <c r="E126" s="269"/>
      <c r="F126" s="429">
        <f t="shared" si="6"/>
        <v>0</v>
      </c>
    </row>
    <row r="127" spans="2:6">
      <c r="B127" s="301" t="s">
        <v>293</v>
      </c>
      <c r="C127" s="429"/>
      <c r="D127" s="429"/>
      <c r="E127" s="429"/>
      <c r="F127" s="429">
        <f t="shared" si="6"/>
        <v>0</v>
      </c>
    </row>
    <row r="128" spans="2:6">
      <c r="B128" s="272" t="s">
        <v>438</v>
      </c>
      <c r="C128" s="269">
        <v>0</v>
      </c>
      <c r="D128" s="269">
        <v>0</v>
      </c>
      <c r="E128" s="269">
        <v>0</v>
      </c>
      <c r="F128" s="429">
        <f t="shared" si="6"/>
        <v>0</v>
      </c>
    </row>
    <row r="129" spans="2:25">
      <c r="B129" s="272"/>
      <c r="C129" s="269"/>
      <c r="D129" s="269"/>
      <c r="E129" s="269"/>
      <c r="F129" s="429">
        <f t="shared" si="6"/>
        <v>0</v>
      </c>
      <c r="G129" s="429"/>
      <c r="H129" s="429"/>
      <c r="I129" s="429"/>
      <c r="J129" s="429"/>
      <c r="K129" s="429"/>
      <c r="L129" s="429"/>
      <c r="M129" s="429"/>
      <c r="N129" s="429"/>
      <c r="P129" s="429"/>
      <c r="Q129" s="429"/>
      <c r="R129" s="429"/>
      <c r="V129" s="429"/>
      <c r="W129" s="429"/>
      <c r="X129" s="429"/>
      <c r="Y129" s="429"/>
    </row>
    <row r="130" spans="2:25">
      <c r="B130" s="301" t="s">
        <v>263</v>
      </c>
      <c r="C130" s="429"/>
      <c r="D130" s="429"/>
      <c r="E130" s="429"/>
      <c r="F130" s="429">
        <f t="shared" si="6"/>
        <v>1</v>
      </c>
      <c r="G130" s="301" t="s">
        <v>263</v>
      </c>
      <c r="H130" s="429"/>
      <c r="I130" s="429"/>
      <c r="J130" s="429"/>
      <c r="K130" s="429"/>
      <c r="L130" s="429"/>
      <c r="M130" s="429"/>
      <c r="N130" s="429"/>
      <c r="P130" s="429"/>
      <c r="Q130" s="429"/>
      <c r="R130" s="429"/>
      <c r="S130" s="269">
        <v>548</v>
      </c>
      <c r="T130" s="269">
        <f t="shared" ref="T130:T135" si="7">IF(P130&gt;$C$2,1,0)</f>
        <v>0</v>
      </c>
      <c r="U130" s="269">
        <f t="shared" ref="U130:U135" si="8">IF(Q130&gt;$C$2,1,0)</f>
        <v>0</v>
      </c>
      <c r="V130" s="429"/>
      <c r="W130" s="275" t="s">
        <v>94</v>
      </c>
      <c r="X130" s="276">
        <f>IF(SUMIF($R:$R,W130,$T:$T)=0,1,2)</f>
        <v>1</v>
      </c>
      <c r="Y130" s="275">
        <f>IF(SUMIF($R:$R,W130,$U:$U)=0,1,2)</f>
        <v>1</v>
      </c>
    </row>
    <row r="131" spans="2:25">
      <c r="B131" s="272" t="s">
        <v>439</v>
      </c>
      <c r="C131" s="269">
        <v>11024.537157105948</v>
      </c>
      <c r="D131" s="269">
        <v>96155.629481500175</v>
      </c>
      <c r="E131" s="269">
        <v>107180.16663860613</v>
      </c>
      <c r="F131" s="429">
        <f t="shared" si="6"/>
        <v>1</v>
      </c>
      <c r="G131" s="272" t="s">
        <v>439</v>
      </c>
      <c r="H131" s="269"/>
      <c r="I131" s="269"/>
      <c r="J131" s="269"/>
      <c r="K131" s="274"/>
      <c r="L131" s="269"/>
      <c r="M131" s="269"/>
      <c r="N131" s="269"/>
      <c r="P131" s="304"/>
      <c r="Q131" s="305"/>
      <c r="R131" s="429"/>
      <c r="T131" s="269">
        <f t="shared" si="7"/>
        <v>0</v>
      </c>
      <c r="U131" s="269">
        <f t="shared" si="8"/>
        <v>0</v>
      </c>
      <c r="V131" s="429"/>
      <c r="W131" s="429"/>
      <c r="X131" s="429"/>
      <c r="Y131" s="429"/>
    </row>
    <row r="132" spans="2:25">
      <c r="B132" s="272" t="s">
        <v>440</v>
      </c>
      <c r="C132" s="269">
        <v>207772.1765502441</v>
      </c>
      <c r="D132" s="269">
        <v>25482.898399862173</v>
      </c>
      <c r="E132" s="269">
        <v>233255.07495010627</v>
      </c>
      <c r="F132" s="429">
        <f t="shared" si="6"/>
        <v>1</v>
      </c>
      <c r="G132" s="272" t="s">
        <v>440</v>
      </c>
      <c r="H132" s="269">
        <v>207772.1765502441</v>
      </c>
      <c r="I132" s="269">
        <v>25482.898399862173</v>
      </c>
      <c r="J132" s="269">
        <v>233255.07495010627</v>
      </c>
      <c r="K132" s="274">
        <f>+J132/J$135</f>
        <v>0.60792719293639064</v>
      </c>
      <c r="L132" s="269">
        <f>+J132/7</f>
        <v>33322.153564300897</v>
      </c>
      <c r="M132" s="269">
        <f>+H132/7</f>
        <v>29681.739507177728</v>
      </c>
      <c r="N132" s="269">
        <f>+I132/7</f>
        <v>3640.4140571231678</v>
      </c>
      <c r="O132" s="273">
        <f>+S$130*K132</f>
        <v>333.14410172914205</v>
      </c>
      <c r="P132" s="304">
        <f>(+O132*7)/J135</f>
        <v>6.077859230097505E-3</v>
      </c>
      <c r="Q132" s="304">
        <f>(+O132*7)/H132</f>
        <v>1.1223873912395873E-2</v>
      </c>
      <c r="R132" s="429" t="str">
        <f>INDEX(BUSBAR_ALLOC_AdjMar2020!A:A,MATCH(G132,BUSBAR_ALLOC_AdjMar2020!H:H,0))</f>
        <v>Greater_Imperial_Solar</v>
      </c>
      <c r="T132" s="269">
        <f t="shared" si="7"/>
        <v>0</v>
      </c>
      <c r="U132" s="269">
        <f t="shared" si="8"/>
        <v>0</v>
      </c>
      <c r="V132" s="429"/>
      <c r="W132" s="429"/>
      <c r="X132" s="429"/>
      <c r="Y132" s="429"/>
    </row>
    <row r="133" spans="2:25">
      <c r="B133" s="272" t="s">
        <v>441</v>
      </c>
      <c r="C133" s="269">
        <v>38327.391512835224</v>
      </c>
      <c r="D133" s="269">
        <v>112106.69510169428</v>
      </c>
      <c r="E133" s="269">
        <v>150434.08661452949</v>
      </c>
      <c r="F133" s="429">
        <f t="shared" si="6"/>
        <v>1</v>
      </c>
      <c r="G133" s="272" t="s">
        <v>441</v>
      </c>
      <c r="H133" s="269">
        <v>38327.391512835224</v>
      </c>
      <c r="I133" s="269">
        <v>112106.69510169428</v>
      </c>
      <c r="J133" s="269">
        <v>150434.08661452949</v>
      </c>
      <c r="K133" s="274">
        <f>+J133/J$135</f>
        <v>0.39207280706360942</v>
      </c>
      <c r="L133" s="269">
        <f>+J133/7</f>
        <v>21490.583802075642</v>
      </c>
      <c r="M133" s="269">
        <f>+H133/7</f>
        <v>5475.3416446907459</v>
      </c>
      <c r="N133" s="269">
        <f>+I133/7</f>
        <v>16015.242157384897</v>
      </c>
      <c r="O133" s="273">
        <f>+S$130*K133</f>
        <v>214.85589827085795</v>
      </c>
      <c r="P133" s="304">
        <f>(+O133*7)/J135</f>
        <v>3.9198169731011418E-3</v>
      </c>
      <c r="Q133" s="304">
        <f>(+O133*7)/H133</f>
        <v>3.9240637792747862E-2</v>
      </c>
      <c r="R133" s="429" t="str">
        <f>INDEX(BUSBAR_ALLOC_AdjMar2020!A:A,MATCH(G133,BUSBAR_ALLOC_AdjMar2020!H:H,0))</f>
        <v>Greater_Imperial_Solar</v>
      </c>
      <c r="T133" s="269">
        <f t="shared" si="7"/>
        <v>0</v>
      </c>
      <c r="U133" s="269">
        <f t="shared" si="8"/>
        <v>0</v>
      </c>
      <c r="V133" s="429"/>
      <c r="W133" s="429"/>
      <c r="X133" s="429"/>
      <c r="Y133" s="429"/>
    </row>
    <row r="134" spans="2:25">
      <c r="B134" s="272" t="s">
        <v>442</v>
      </c>
      <c r="C134" s="269">
        <v>14208.821397848224</v>
      </c>
      <c r="D134" s="269">
        <v>224325.50908937299</v>
      </c>
      <c r="E134" s="269">
        <v>238534.33048722122</v>
      </c>
      <c r="F134" s="429">
        <f t="shared" ref="F134:F197" si="9">IF(G134="",0,1)</f>
        <v>1</v>
      </c>
      <c r="G134" s="272" t="s">
        <v>442</v>
      </c>
      <c r="H134" s="269"/>
      <c r="I134" s="269"/>
      <c r="J134" s="269"/>
      <c r="K134" s="274"/>
      <c r="L134" s="269"/>
      <c r="M134" s="269"/>
      <c r="N134" s="269"/>
      <c r="P134" s="274"/>
      <c r="Q134" s="429"/>
      <c r="R134" s="429"/>
      <c r="T134" s="269">
        <f t="shared" si="7"/>
        <v>0</v>
      </c>
      <c r="U134" s="269">
        <f t="shared" si="8"/>
        <v>0</v>
      </c>
      <c r="V134" s="429"/>
      <c r="W134" s="429"/>
      <c r="X134" s="429"/>
      <c r="Y134" s="429"/>
    </row>
    <row r="135" spans="2:25">
      <c r="B135" s="272"/>
      <c r="C135" s="269"/>
      <c r="D135" s="269"/>
      <c r="E135" s="269"/>
      <c r="F135" s="429">
        <f t="shared" si="9"/>
        <v>1</v>
      </c>
      <c r="G135" s="306" t="s">
        <v>138</v>
      </c>
      <c r="H135" s="429"/>
      <c r="I135" s="429"/>
      <c r="J135" s="271">
        <f>SUM(J131:J134)</f>
        <v>383689.16156463575</v>
      </c>
      <c r="K135" s="271"/>
      <c r="L135" s="271">
        <f>SUM(L132:L134)</f>
        <v>54812.737366376539</v>
      </c>
      <c r="M135" s="271">
        <f>SUM(M132:M134)</f>
        <v>35157.081151868471</v>
      </c>
      <c r="N135" s="271">
        <f>SUM(N132:N134)</f>
        <v>19655.656214508064</v>
      </c>
      <c r="P135" s="429"/>
      <c r="Q135" s="429"/>
      <c r="R135" s="429"/>
      <c r="T135" s="269">
        <f t="shared" si="7"/>
        <v>0</v>
      </c>
      <c r="U135" s="269">
        <f t="shared" si="8"/>
        <v>0</v>
      </c>
      <c r="V135" s="429"/>
      <c r="W135" s="429"/>
      <c r="X135" s="429"/>
      <c r="Y135" s="429"/>
    </row>
    <row r="136" spans="2:25">
      <c r="B136" s="272"/>
      <c r="C136" s="269"/>
      <c r="D136" s="269"/>
      <c r="E136" s="269"/>
      <c r="F136" s="429">
        <f t="shared" si="9"/>
        <v>0</v>
      </c>
      <c r="G136" s="429"/>
      <c r="H136" s="429"/>
      <c r="I136" s="429"/>
      <c r="J136" s="429"/>
      <c r="K136" s="429"/>
      <c r="L136" s="429"/>
      <c r="M136" s="429"/>
      <c r="N136" s="429"/>
      <c r="P136" s="429"/>
      <c r="Q136" s="429"/>
      <c r="R136" s="429"/>
      <c r="V136" s="429"/>
      <c r="W136" s="429"/>
      <c r="X136" s="429"/>
      <c r="Y136" s="429"/>
    </row>
    <row r="137" spans="2:25">
      <c r="B137" s="301" t="s">
        <v>271</v>
      </c>
      <c r="C137" s="429"/>
      <c r="D137" s="429"/>
      <c r="E137" s="429"/>
      <c r="F137" s="429">
        <f t="shared" si="9"/>
        <v>1</v>
      </c>
      <c r="G137" s="301" t="s">
        <v>271</v>
      </c>
      <c r="H137" s="429"/>
      <c r="I137" s="429"/>
      <c r="J137" s="429"/>
      <c r="K137" s="429"/>
      <c r="L137" s="429"/>
      <c r="M137" s="429"/>
      <c r="N137" s="429"/>
      <c r="P137" s="429"/>
      <c r="Q137" s="429"/>
      <c r="R137" s="429"/>
      <c r="T137" s="269">
        <f t="shared" ref="T137:T140" si="10">IF(P137&gt;$C$2,1,0)</f>
        <v>0</v>
      </c>
      <c r="U137" s="269">
        <f t="shared" ref="U137:U140" si="11">IF(Q137&gt;$C$2,1,0)</f>
        <v>0</v>
      </c>
      <c r="V137" s="429"/>
      <c r="W137" s="429"/>
      <c r="X137" s="429"/>
      <c r="Y137" s="429"/>
    </row>
    <row r="138" spans="2:25">
      <c r="B138" s="272" t="s">
        <v>443</v>
      </c>
      <c r="C138" s="269">
        <v>121669.33419771101</v>
      </c>
      <c r="D138" s="269">
        <v>200351.36940791205</v>
      </c>
      <c r="E138" s="269">
        <v>322020.70360562304</v>
      </c>
      <c r="F138" s="429">
        <f t="shared" si="9"/>
        <v>1</v>
      </c>
      <c r="G138" s="272" t="s">
        <v>443</v>
      </c>
      <c r="H138" s="269">
        <v>121669.33419771101</v>
      </c>
      <c r="I138" s="269">
        <v>200351.36940791205</v>
      </c>
      <c r="J138" s="269">
        <v>322020.70360562304</v>
      </c>
      <c r="K138" s="274">
        <f>+J138/J$140</f>
        <v>0.66247424659318921</v>
      </c>
      <c r="L138" s="269">
        <f>+J138/7</f>
        <v>46002.95765794615</v>
      </c>
      <c r="M138" s="269">
        <f>+H138/7</f>
        <v>17381.333456815857</v>
      </c>
      <c r="N138" s="269">
        <f>+I138/7</f>
        <v>28621.624201130293</v>
      </c>
      <c r="O138" s="273">
        <f>+S$138*K138</f>
        <v>662.47424659318926</v>
      </c>
      <c r="P138" s="304">
        <f>(+O138*7)/J140</f>
        <v>9.5400850237160086E-3</v>
      </c>
      <c r="Q138" s="304">
        <f>(+O138*7)/H138</f>
        <v>3.8114121004531376E-2</v>
      </c>
      <c r="R138" s="429" t="str">
        <f>INDEX(BUSBAR_ALLOC_AdjMar2020!A:A,MATCH(G138,BUSBAR_ALLOC_AdjMar2020!H:H,0))</f>
        <v>Riverside_Palm_Springs_Solar</v>
      </c>
      <c r="S138" s="269">
        <v>1000</v>
      </c>
      <c r="T138" s="269">
        <f t="shared" si="10"/>
        <v>0</v>
      </c>
      <c r="U138" s="269">
        <f t="shared" si="11"/>
        <v>0</v>
      </c>
      <c r="V138" s="429"/>
      <c r="W138" s="429"/>
      <c r="X138" s="429"/>
      <c r="Y138" s="429"/>
    </row>
    <row r="139" spans="2:25">
      <c r="B139" s="272" t="s">
        <v>444</v>
      </c>
      <c r="C139" s="269">
        <v>51719.581804073823</v>
      </c>
      <c r="D139" s="269">
        <v>112347.59689158879</v>
      </c>
      <c r="E139" s="269">
        <v>164067.17869566262</v>
      </c>
      <c r="F139" s="429">
        <f t="shared" si="9"/>
        <v>1</v>
      </c>
      <c r="G139" s="272" t="s">
        <v>444</v>
      </c>
      <c r="H139" s="269">
        <v>51719.581804073823</v>
      </c>
      <c r="I139" s="269">
        <v>112347.59689158879</v>
      </c>
      <c r="J139" s="269">
        <v>164067.17869566262</v>
      </c>
      <c r="K139" s="274">
        <f>+J139/J$140</f>
        <v>0.33752575340681085</v>
      </c>
      <c r="L139" s="269">
        <f>+J139/7</f>
        <v>23438.168385094661</v>
      </c>
      <c r="M139" s="269">
        <f>+H139/7</f>
        <v>7388.5116862962605</v>
      </c>
      <c r="N139" s="269">
        <f>+I139/7</f>
        <v>16049.656698798399</v>
      </c>
      <c r="O139" s="273">
        <f>+S$138*K139</f>
        <v>337.52575340681085</v>
      </c>
      <c r="P139" s="304">
        <f>(+O139*7)/J140</f>
        <v>4.8606031128816457E-3</v>
      </c>
      <c r="Q139" s="304">
        <f>(+O139*7)/H139</f>
        <v>4.5682509243753659E-2</v>
      </c>
      <c r="R139" s="429" t="str">
        <f>INDEX(BUSBAR_ALLOC_AdjMar2020!A:A,MATCH(G139,BUSBAR_ALLOC_AdjMar2020!H:H,0))</f>
        <v>Riverside_Palm_Springs_Solar</v>
      </c>
      <c r="T139" s="269">
        <f t="shared" si="10"/>
        <v>0</v>
      </c>
      <c r="U139" s="269">
        <f t="shared" si="11"/>
        <v>0</v>
      </c>
      <c r="V139" s="429"/>
      <c r="W139" s="429"/>
      <c r="X139" s="429"/>
      <c r="Y139" s="429"/>
    </row>
    <row r="140" spans="2:25">
      <c r="B140" s="272"/>
      <c r="C140" s="269"/>
      <c r="D140" s="269"/>
      <c r="E140" s="269"/>
      <c r="F140" s="429">
        <f t="shared" si="9"/>
        <v>1</v>
      </c>
      <c r="G140" s="307" t="s">
        <v>138</v>
      </c>
      <c r="H140" s="429"/>
      <c r="I140" s="429"/>
      <c r="J140" s="271">
        <f>SUM(J138:J139)</f>
        <v>486087.88230128563</v>
      </c>
      <c r="K140" s="271"/>
      <c r="L140" s="271">
        <f>SUM(L138:L139)</f>
        <v>69441.126043040815</v>
      </c>
      <c r="M140" s="271">
        <f>SUM(M138:M139)</f>
        <v>24769.845143112118</v>
      </c>
      <c r="N140" s="271">
        <f>SUM(N138:N139)</f>
        <v>44671.280899928694</v>
      </c>
      <c r="P140" s="429"/>
      <c r="Q140" s="429"/>
      <c r="R140" s="429"/>
      <c r="T140" s="269">
        <f t="shared" si="10"/>
        <v>0</v>
      </c>
      <c r="U140" s="269">
        <f t="shared" si="11"/>
        <v>0</v>
      </c>
      <c r="V140" s="429"/>
      <c r="W140" s="429"/>
      <c r="X140" s="429"/>
      <c r="Y140" s="429"/>
    </row>
    <row r="141" spans="2:25">
      <c r="B141" s="301" t="s">
        <v>275</v>
      </c>
      <c r="C141" s="429"/>
      <c r="D141" s="429"/>
      <c r="E141" s="429"/>
      <c r="F141" s="429">
        <f t="shared" si="9"/>
        <v>0</v>
      </c>
      <c r="G141" s="429"/>
      <c r="H141" s="429"/>
      <c r="I141" s="429"/>
      <c r="J141" s="429"/>
      <c r="K141" s="429"/>
      <c r="L141" s="429"/>
      <c r="M141" s="429"/>
      <c r="N141" s="429"/>
      <c r="P141" s="429"/>
      <c r="Q141" s="429"/>
      <c r="R141" s="429"/>
      <c r="V141" s="429"/>
      <c r="W141" s="429"/>
      <c r="X141" s="429"/>
      <c r="Y141" s="429"/>
    </row>
    <row r="142" spans="2:25">
      <c r="B142" s="272" t="s">
        <v>445</v>
      </c>
      <c r="C142" s="269">
        <v>18967.946609783638</v>
      </c>
      <c r="D142" s="269">
        <v>48994.842959048205</v>
      </c>
      <c r="E142" s="269">
        <v>67962.789568831839</v>
      </c>
      <c r="F142" s="429">
        <f t="shared" si="9"/>
        <v>0</v>
      </c>
      <c r="G142" s="429"/>
      <c r="H142" s="429"/>
      <c r="I142" s="429"/>
      <c r="J142" s="429"/>
      <c r="K142" s="429"/>
      <c r="L142" s="429"/>
      <c r="M142" s="429"/>
      <c r="N142" s="429"/>
      <c r="P142" s="429"/>
      <c r="Q142" s="429"/>
      <c r="R142" s="429"/>
      <c r="V142" s="429"/>
      <c r="W142" s="429"/>
      <c r="X142" s="429"/>
      <c r="Y142" s="429"/>
    </row>
    <row r="143" spans="2:25">
      <c r="B143" s="272" t="s">
        <v>446</v>
      </c>
      <c r="C143" s="269">
        <v>47355.344817732795</v>
      </c>
      <c r="D143" s="269">
        <v>84478.576318918975</v>
      </c>
      <c r="E143" s="269">
        <v>131833.92113665177</v>
      </c>
      <c r="F143" s="429">
        <f t="shared" si="9"/>
        <v>0</v>
      </c>
      <c r="G143" s="429"/>
      <c r="H143" s="429"/>
      <c r="I143" s="429"/>
      <c r="J143" s="429"/>
      <c r="K143" s="429"/>
      <c r="L143" s="429"/>
      <c r="M143" s="429"/>
      <c r="N143" s="429"/>
      <c r="P143" s="429"/>
      <c r="Q143" s="429"/>
      <c r="R143" s="429"/>
      <c r="V143" s="429"/>
      <c r="W143" s="429"/>
      <c r="X143" s="429"/>
      <c r="Y143" s="429"/>
    </row>
    <row r="144" spans="2:25">
      <c r="B144" s="272" t="s">
        <v>447</v>
      </c>
      <c r="C144" s="269">
        <v>32233.394769196595</v>
      </c>
      <c r="D144" s="269">
        <v>161416.19639422046</v>
      </c>
      <c r="E144" s="269">
        <v>193649.59116341706</v>
      </c>
      <c r="F144" s="429">
        <f t="shared" si="9"/>
        <v>0</v>
      </c>
      <c r="G144" s="429"/>
      <c r="H144" s="429"/>
      <c r="I144" s="429"/>
      <c r="J144" s="429"/>
      <c r="K144" s="429"/>
      <c r="L144" s="429"/>
      <c r="M144" s="429"/>
      <c r="N144" s="429"/>
      <c r="P144" s="429"/>
      <c r="Q144" s="429"/>
      <c r="R144" s="429"/>
      <c r="V144" s="429"/>
      <c r="W144" s="429"/>
      <c r="X144" s="429"/>
      <c r="Y144" s="429"/>
    </row>
    <row r="145" spans="2:21">
      <c r="B145" s="272" t="s">
        <v>448</v>
      </c>
      <c r="C145" s="269">
        <v>9794.1710318728474</v>
      </c>
      <c r="D145" s="269">
        <v>39712.199722055106</v>
      </c>
      <c r="E145" s="269">
        <v>49506.370753927957</v>
      </c>
      <c r="F145" s="429">
        <f t="shared" si="9"/>
        <v>0</v>
      </c>
      <c r="G145" s="429"/>
      <c r="H145" s="429"/>
      <c r="I145" s="429"/>
      <c r="J145" s="429"/>
      <c r="K145" s="429"/>
      <c r="L145" s="429"/>
      <c r="M145" s="429"/>
      <c r="N145" s="429"/>
      <c r="P145" s="429"/>
      <c r="Q145" s="429"/>
      <c r="R145" s="429"/>
    </row>
    <row r="146" spans="2:21">
      <c r="B146" s="272" t="s">
        <v>449</v>
      </c>
      <c r="C146" s="269">
        <v>45299.875049153503</v>
      </c>
      <c r="D146" s="269">
        <v>141878.37407905617</v>
      </c>
      <c r="E146" s="269">
        <v>187178.24912820966</v>
      </c>
      <c r="F146" s="429">
        <f t="shared" si="9"/>
        <v>0</v>
      </c>
      <c r="G146" s="429"/>
      <c r="H146" s="429"/>
      <c r="I146" s="429"/>
      <c r="J146" s="429"/>
      <c r="K146" s="429"/>
      <c r="L146" s="429"/>
      <c r="M146" s="429"/>
      <c r="N146" s="429"/>
      <c r="P146" s="429"/>
      <c r="Q146" s="429"/>
      <c r="R146" s="429"/>
    </row>
    <row r="147" spans="2:21">
      <c r="B147" s="272" t="s">
        <v>450</v>
      </c>
      <c r="C147" s="269">
        <v>11515.335732815713</v>
      </c>
      <c r="D147" s="269">
        <v>58209.226251730586</v>
      </c>
      <c r="E147" s="269">
        <v>69724.561984546293</v>
      </c>
      <c r="F147" s="429">
        <f t="shared" si="9"/>
        <v>0</v>
      </c>
      <c r="G147" s="429"/>
      <c r="H147" s="429"/>
      <c r="I147" s="429"/>
      <c r="J147" s="429"/>
      <c r="K147" s="429"/>
      <c r="L147" s="429"/>
      <c r="M147" s="429"/>
      <c r="N147" s="429"/>
      <c r="P147" s="429"/>
      <c r="Q147" s="429"/>
      <c r="R147" s="429"/>
    </row>
    <row r="148" spans="2:21">
      <c r="B148" s="272" t="s">
        <v>451</v>
      </c>
      <c r="C148" s="269">
        <v>252.34573542513618</v>
      </c>
      <c r="D148" s="269">
        <v>5822.8717980599986</v>
      </c>
      <c r="E148" s="269">
        <v>6075.2175334851345</v>
      </c>
      <c r="F148" s="429">
        <f t="shared" si="9"/>
        <v>0</v>
      </c>
      <c r="G148" s="429"/>
      <c r="H148" s="429"/>
      <c r="I148" s="429"/>
      <c r="J148" s="429"/>
      <c r="K148" s="429"/>
      <c r="L148" s="429"/>
      <c r="M148" s="429"/>
      <c r="N148" s="429"/>
      <c r="P148" s="429"/>
      <c r="Q148" s="429"/>
      <c r="R148" s="429"/>
    </row>
    <row r="149" spans="2:21">
      <c r="B149" s="272" t="s">
        <v>452</v>
      </c>
      <c r="C149" s="269">
        <v>7815.131009217781</v>
      </c>
      <c r="D149" s="269">
        <v>59710.294769368804</v>
      </c>
      <c r="E149" s="269">
        <v>67525.425778586592</v>
      </c>
      <c r="F149" s="429">
        <f t="shared" si="9"/>
        <v>0</v>
      </c>
      <c r="G149" s="429"/>
      <c r="H149" s="429"/>
      <c r="I149" s="429"/>
      <c r="J149" s="429"/>
      <c r="K149" s="429"/>
      <c r="L149" s="429"/>
      <c r="M149" s="429"/>
      <c r="N149" s="429"/>
      <c r="P149" s="429"/>
      <c r="Q149" s="429"/>
      <c r="R149" s="429"/>
    </row>
    <row r="150" spans="2:21">
      <c r="B150" s="272" t="s">
        <v>453</v>
      </c>
      <c r="C150" s="269">
        <v>7191.9922142991745</v>
      </c>
      <c r="D150" s="269">
        <v>12576.967902798651</v>
      </c>
      <c r="E150" s="269">
        <v>19768.960117097828</v>
      </c>
      <c r="F150" s="429">
        <f t="shared" si="9"/>
        <v>0</v>
      </c>
      <c r="G150" s="429"/>
      <c r="H150" s="429"/>
      <c r="I150" s="429"/>
      <c r="J150" s="429"/>
      <c r="K150" s="429"/>
      <c r="L150" s="429"/>
      <c r="M150" s="429"/>
      <c r="N150" s="429"/>
      <c r="P150" s="429"/>
      <c r="Q150" s="429"/>
      <c r="R150" s="429"/>
    </row>
    <row r="151" spans="2:21">
      <c r="B151" s="272"/>
      <c r="C151" s="269"/>
      <c r="D151" s="269"/>
      <c r="E151" s="269"/>
      <c r="F151" s="429">
        <f t="shared" si="9"/>
        <v>0</v>
      </c>
      <c r="G151" s="429"/>
      <c r="H151" s="429"/>
      <c r="I151" s="429"/>
      <c r="J151" s="429"/>
      <c r="K151" s="429"/>
      <c r="L151" s="429"/>
      <c r="M151" s="429"/>
      <c r="N151" s="429"/>
      <c r="P151" s="429"/>
      <c r="Q151" s="429"/>
      <c r="R151" s="429"/>
    </row>
    <row r="152" spans="2:21">
      <c r="B152" s="301" t="s">
        <v>278</v>
      </c>
      <c r="C152" s="429"/>
      <c r="D152" s="429"/>
      <c r="E152" s="429"/>
      <c r="F152" s="429">
        <f t="shared" si="9"/>
        <v>1</v>
      </c>
      <c r="G152" s="301" t="s">
        <v>278</v>
      </c>
      <c r="H152" s="429"/>
      <c r="I152" s="429"/>
      <c r="J152" s="429"/>
      <c r="K152" s="429"/>
      <c r="L152" s="429"/>
      <c r="M152" s="429"/>
      <c r="N152" s="429"/>
      <c r="P152" s="429"/>
      <c r="Q152" s="429"/>
      <c r="R152" s="429"/>
      <c r="S152" s="269">
        <v>1099</v>
      </c>
      <c r="T152" s="269">
        <f>IF(P152&gt;$C$2,1,0)</f>
        <v>0</v>
      </c>
      <c r="U152" s="269">
        <f>IF(Q152&gt;$C$2,1,0)</f>
        <v>0</v>
      </c>
    </row>
    <row r="153" spans="2:21">
      <c r="B153" s="272" t="s">
        <v>454</v>
      </c>
      <c r="C153" s="269">
        <v>339741.77171993972</v>
      </c>
      <c r="D153" s="269">
        <v>55625.830273807092</v>
      </c>
      <c r="E153" s="269">
        <v>395367.60199374682</v>
      </c>
      <c r="F153" s="429">
        <f t="shared" si="9"/>
        <v>0</v>
      </c>
      <c r="G153" s="429"/>
      <c r="H153" s="429"/>
      <c r="I153" s="429"/>
      <c r="J153" s="429"/>
      <c r="K153" s="429"/>
      <c r="L153" s="429"/>
      <c r="M153" s="429"/>
      <c r="N153" s="429"/>
      <c r="P153" s="429"/>
      <c r="Q153" s="429"/>
      <c r="R153" s="429"/>
    </row>
    <row r="154" spans="2:21">
      <c r="B154" s="272" t="s">
        <v>455</v>
      </c>
      <c r="C154" s="269">
        <v>325839.8294263343</v>
      </c>
      <c r="D154" s="269">
        <v>67855.907885568304</v>
      </c>
      <c r="E154" s="269">
        <v>393695.73731190257</v>
      </c>
      <c r="F154" s="429">
        <f t="shared" si="9"/>
        <v>0</v>
      </c>
      <c r="G154" s="429"/>
      <c r="H154" s="429"/>
      <c r="I154" s="429"/>
      <c r="J154" s="429"/>
      <c r="K154" s="429"/>
      <c r="L154" s="429"/>
      <c r="M154" s="429"/>
      <c r="N154" s="429"/>
      <c r="P154" s="429"/>
      <c r="Q154" s="429"/>
      <c r="R154" s="429"/>
    </row>
    <row r="155" spans="2:21">
      <c r="B155" s="272" t="s">
        <v>456</v>
      </c>
      <c r="C155" s="269">
        <v>244790.14756659733</v>
      </c>
      <c r="D155" s="269">
        <v>61943.446753473188</v>
      </c>
      <c r="E155" s="269">
        <v>306733.59432007052</v>
      </c>
      <c r="F155" s="429">
        <f t="shared" si="9"/>
        <v>1</v>
      </c>
      <c r="G155" s="272" t="s">
        <v>456</v>
      </c>
      <c r="H155" s="269">
        <v>244790.14756659733</v>
      </c>
      <c r="I155" s="269">
        <v>61943.446753473188</v>
      </c>
      <c r="J155" s="269">
        <v>306733.59432007052</v>
      </c>
      <c r="K155" s="274">
        <f>+J155/J$167</f>
        <v>0.14423336507555323</v>
      </c>
      <c r="L155" s="269">
        <f>+J155/7</f>
        <v>43819.084902867216</v>
      </c>
      <c r="M155" s="269">
        <f>+H155/7</f>
        <v>34970.021080942475</v>
      </c>
      <c r="N155" s="269">
        <f>+I155/7</f>
        <v>8849.0638219247412</v>
      </c>
      <c r="O155" s="273">
        <f>+S$152*K155</f>
        <v>158.51246821803301</v>
      </c>
      <c r="P155" s="304">
        <f>(+O155*7)/J$167</f>
        <v>5.2175408838860994E-4</v>
      </c>
      <c r="Q155" s="304">
        <f>(+O155*7)/H155</f>
        <v>4.5328101990884167E-3</v>
      </c>
      <c r="R155" s="429" t="str">
        <f>INDEX(BUSBAR_ALLOC_AdjMar2020!A:A,MATCH(G155,BUSBAR_ALLOC_AdjMar2020!H:H,0))</f>
        <v>Westlands_Solar</v>
      </c>
      <c r="T155" s="269">
        <f>IF(P155&gt;$C$2,1,0)</f>
        <v>0</v>
      </c>
      <c r="U155" s="269">
        <f>IF(Q155&gt;$C$2,1,0)</f>
        <v>0</v>
      </c>
    </row>
    <row r="156" spans="2:21">
      <c r="B156" s="272" t="s">
        <v>457</v>
      </c>
      <c r="C156" s="269">
        <v>317053.4154851411</v>
      </c>
      <c r="D156" s="269">
        <v>74590.218453589056</v>
      </c>
      <c r="E156" s="269">
        <v>391643.63393873017</v>
      </c>
      <c r="F156" s="429">
        <f t="shared" si="9"/>
        <v>0</v>
      </c>
      <c r="G156" s="272"/>
      <c r="H156" s="269"/>
      <c r="I156" s="269"/>
      <c r="J156" s="269"/>
      <c r="K156" s="429"/>
      <c r="L156" s="429"/>
      <c r="M156" s="429"/>
      <c r="N156" s="429"/>
      <c r="P156" s="429"/>
      <c r="Q156" s="429"/>
      <c r="R156" s="429"/>
    </row>
    <row r="157" spans="2:21">
      <c r="B157" s="272" t="s">
        <v>458</v>
      </c>
      <c r="C157" s="269">
        <v>351333.28114134958</v>
      </c>
      <c r="D157" s="269">
        <v>7886.9100882369867</v>
      </c>
      <c r="E157" s="269">
        <v>359220.19122958655</v>
      </c>
      <c r="F157" s="429">
        <f t="shared" si="9"/>
        <v>1</v>
      </c>
      <c r="G157" s="272" t="s">
        <v>458</v>
      </c>
      <c r="H157" s="269">
        <v>351333.28114134958</v>
      </c>
      <c r="I157" s="269">
        <v>7886.9100882369867</v>
      </c>
      <c r="J157" s="269">
        <v>359220.19122958655</v>
      </c>
      <c r="K157" s="274">
        <f>+J157/J$167</f>
        <v>0.16891379993435826</v>
      </c>
      <c r="L157" s="269">
        <f>+J157/7</f>
        <v>51317.170175655221</v>
      </c>
      <c r="M157" s="269">
        <f>+H157/7</f>
        <v>50190.468734478512</v>
      </c>
      <c r="N157" s="269">
        <f>+I157/7</f>
        <v>1126.7014411767125</v>
      </c>
      <c r="O157" s="273">
        <f>+S$152*K157</f>
        <v>185.63626612785973</v>
      </c>
      <c r="P157" s="304">
        <f>(+O157*7)/J$167</f>
        <v>6.1103383156069018E-4</v>
      </c>
      <c r="Q157" s="304">
        <f>(+O157*7)/H157</f>
        <v>3.6986358328296759E-3</v>
      </c>
      <c r="R157" s="429" t="str">
        <f>INDEX(BUSBAR_ALLOC_AdjMar2020!A:A,MATCH(G157,BUSBAR_ALLOC_AdjMar2020!H:H,0))</f>
        <v>Westlands_Solar</v>
      </c>
      <c r="T157" s="269">
        <f t="shared" ref="T157:T158" si="12">IF(P157&gt;$C$2,1,0)</f>
        <v>0</v>
      </c>
      <c r="U157" s="269">
        <f t="shared" ref="U157:U158" si="13">IF(Q157&gt;$C$2,1,0)</f>
        <v>0</v>
      </c>
    </row>
    <row r="158" spans="2:21">
      <c r="B158" s="272" t="s">
        <v>459</v>
      </c>
      <c r="C158" s="269">
        <v>332147.28818487033</v>
      </c>
      <c r="D158" s="269">
        <v>0</v>
      </c>
      <c r="E158" s="269">
        <v>332147.28818487033</v>
      </c>
      <c r="F158" s="429">
        <f t="shared" si="9"/>
        <v>1</v>
      </c>
      <c r="G158" s="272" t="s">
        <v>459</v>
      </c>
      <c r="H158" s="269">
        <v>332147.28818487033</v>
      </c>
      <c r="I158" s="269">
        <v>0</v>
      </c>
      <c r="J158" s="269">
        <v>332147.28818487033</v>
      </c>
      <c r="K158" s="274">
        <f>+J158/J$167</f>
        <v>0.15618348287482872</v>
      </c>
      <c r="L158" s="269">
        <f>+J158/7</f>
        <v>47449.612597838619</v>
      </c>
      <c r="M158" s="269">
        <f>+H158/7</f>
        <v>47449.612597838619</v>
      </c>
      <c r="N158" s="269">
        <f>+I158/7</f>
        <v>0</v>
      </c>
      <c r="O158" s="273">
        <f>+S$152*K158</f>
        <v>171.64564767943676</v>
      </c>
      <c r="P158" s="304">
        <f>(+O158*7)/J$167</f>
        <v>5.6498280190598097E-4</v>
      </c>
      <c r="Q158" s="304">
        <f>(+O158*7)/H158</f>
        <v>3.6174299068409133E-3</v>
      </c>
      <c r="R158" s="429" t="str">
        <f>INDEX(BUSBAR_ALLOC_AdjMar2020!A:A,MATCH(G158,BUSBAR_ALLOC_AdjMar2020!H:H,0))</f>
        <v>Westlands_Solar</v>
      </c>
      <c r="T158" s="269">
        <f t="shared" si="12"/>
        <v>0</v>
      </c>
      <c r="U158" s="269">
        <f t="shared" si="13"/>
        <v>0</v>
      </c>
    </row>
    <row r="159" spans="2:21">
      <c r="B159" s="272" t="s">
        <v>460</v>
      </c>
      <c r="C159" s="269">
        <v>323716.07465048204</v>
      </c>
      <c r="D159" s="269">
        <v>66266.394063557949</v>
      </c>
      <c r="E159" s="269">
        <v>389982.46871404001</v>
      </c>
      <c r="F159" s="429">
        <f t="shared" si="9"/>
        <v>0</v>
      </c>
      <c r="G159" s="429"/>
      <c r="H159" s="429"/>
      <c r="I159" s="429"/>
      <c r="J159" s="429"/>
      <c r="K159" s="429"/>
      <c r="L159" s="429"/>
      <c r="M159" s="429"/>
      <c r="N159" s="429"/>
      <c r="P159" s="429"/>
      <c r="Q159" s="429"/>
      <c r="R159" s="429"/>
    </row>
    <row r="160" spans="2:21">
      <c r="B160" s="272" t="s">
        <v>461</v>
      </c>
      <c r="C160" s="269">
        <v>371486.04140678019</v>
      </c>
      <c r="D160" s="269">
        <v>60.730478862519298</v>
      </c>
      <c r="E160" s="269">
        <v>371546.77188564272</v>
      </c>
      <c r="F160" s="429">
        <f t="shared" si="9"/>
        <v>0</v>
      </c>
      <c r="G160" s="429"/>
      <c r="H160" s="429"/>
      <c r="I160" s="429"/>
      <c r="J160" s="429"/>
      <c r="K160" s="429"/>
      <c r="L160" s="429"/>
      <c r="M160" s="429"/>
      <c r="N160" s="429"/>
      <c r="P160" s="429"/>
      <c r="Q160" s="429"/>
      <c r="R160" s="429"/>
    </row>
    <row r="161" spans="2:21">
      <c r="B161" s="272" t="s">
        <v>462</v>
      </c>
      <c r="C161" s="269">
        <v>114225.5629209927</v>
      </c>
      <c r="D161" s="269">
        <v>174190.36251128785</v>
      </c>
      <c r="E161" s="269">
        <v>288415.92543228052</v>
      </c>
      <c r="F161" s="429">
        <f t="shared" si="9"/>
        <v>0</v>
      </c>
      <c r="G161" s="429"/>
      <c r="H161" s="429"/>
      <c r="I161" s="429"/>
      <c r="J161" s="429"/>
      <c r="K161" s="429"/>
      <c r="L161" s="429"/>
      <c r="M161" s="429"/>
      <c r="N161" s="429"/>
      <c r="P161" s="429"/>
      <c r="Q161" s="429"/>
      <c r="R161" s="429"/>
    </row>
    <row r="162" spans="2:21">
      <c r="B162" s="272" t="s">
        <v>463</v>
      </c>
      <c r="C162" s="269">
        <v>409347.05960913742</v>
      </c>
      <c r="D162" s="269">
        <v>5918.4196386795857</v>
      </c>
      <c r="E162" s="269">
        <v>415265.47924781701</v>
      </c>
      <c r="F162" s="429">
        <f t="shared" si="9"/>
        <v>1</v>
      </c>
      <c r="G162" s="272" t="s">
        <v>463</v>
      </c>
      <c r="H162" s="269">
        <v>409347.05960913742</v>
      </c>
      <c r="I162" s="269">
        <v>5918.4196386795857</v>
      </c>
      <c r="J162" s="269">
        <v>415265.47924781701</v>
      </c>
      <c r="K162" s="274">
        <f>+J162/J$167</f>
        <v>0.19526761522288805</v>
      </c>
      <c r="L162" s="269">
        <f>+J162/7</f>
        <v>59323.639892545289</v>
      </c>
      <c r="M162" s="269">
        <f>+H162/7</f>
        <v>58478.151372733919</v>
      </c>
      <c r="N162" s="269">
        <f>+I162/7</f>
        <v>845.48851981136943</v>
      </c>
      <c r="O162" s="273">
        <f t="shared" ref="O162:O165" si="14">+S$152*K162</f>
        <v>214.59910912995397</v>
      </c>
      <c r="P162" s="304">
        <f>(+O162*7)/J$167</f>
        <v>7.0636691114477914E-4</v>
      </c>
      <c r="Q162" s="304">
        <f>(+O162*7)/H162</f>
        <v>3.6697314140818268E-3</v>
      </c>
      <c r="R162" s="429" t="str">
        <f>INDEX(BUSBAR_ALLOC_AdjMar2020!A:A,MATCH(G162,BUSBAR_ALLOC_AdjMar2020!H:H,0))</f>
        <v>Westlands_Solar</v>
      </c>
      <c r="T162" s="269">
        <f t="shared" ref="T162:T163" si="15">IF(P162&gt;$C$2,1,0)</f>
        <v>0</v>
      </c>
      <c r="U162" s="269">
        <f t="shared" ref="U162:U163" si="16">IF(Q162&gt;$C$2,1,0)</f>
        <v>0</v>
      </c>
    </row>
    <row r="163" spans="2:21">
      <c r="B163" s="272" t="s">
        <v>464</v>
      </c>
      <c r="C163" s="269">
        <v>386505.59764457738</v>
      </c>
      <c r="D163" s="269">
        <v>648.19695910257724</v>
      </c>
      <c r="E163" s="269">
        <v>387153.79460367997</v>
      </c>
      <c r="F163" s="429">
        <f t="shared" si="9"/>
        <v>1</v>
      </c>
      <c r="G163" s="272" t="s">
        <v>464</v>
      </c>
      <c r="H163" s="269">
        <v>386505.59764457738</v>
      </c>
      <c r="I163" s="269">
        <v>648.19695910257724</v>
      </c>
      <c r="J163" s="269">
        <v>387153.79460367997</v>
      </c>
      <c r="K163" s="274">
        <f>+J163/J$167</f>
        <v>0.18204883857354684</v>
      </c>
      <c r="L163" s="269">
        <f>+J163/7</f>
        <v>55307.684943382854</v>
      </c>
      <c r="M163" s="269">
        <f>+H163/7</f>
        <v>55215.085377796771</v>
      </c>
      <c r="N163" s="269">
        <f>+I163/7</f>
        <v>92.599565586082463</v>
      </c>
      <c r="O163" s="273">
        <f t="shared" si="14"/>
        <v>200.07167359232798</v>
      </c>
      <c r="P163" s="304">
        <f>(+O163*7)/J$167</f>
        <v>6.5854891316160201E-4</v>
      </c>
      <c r="Q163" s="304">
        <f>(+O163*7)/H163</f>
        <v>3.6234965901688404E-3</v>
      </c>
      <c r="R163" s="429" t="str">
        <f>INDEX(BUSBAR_ALLOC_AdjMar2020!A:A,MATCH(G163,BUSBAR_ALLOC_AdjMar2020!H:H,0))</f>
        <v>Westlands_Solar</v>
      </c>
      <c r="T163" s="269">
        <f t="shared" si="15"/>
        <v>0</v>
      </c>
      <c r="U163" s="269">
        <f t="shared" si="16"/>
        <v>0</v>
      </c>
    </row>
    <row r="164" spans="2:21">
      <c r="B164" s="272" t="s">
        <v>465</v>
      </c>
      <c r="C164" s="269">
        <v>161974.27562970616</v>
      </c>
      <c r="D164" s="269">
        <v>150132.06901664802</v>
      </c>
      <c r="E164" s="269">
        <v>312106.34464635421</v>
      </c>
      <c r="F164" s="429">
        <f t="shared" si="9"/>
        <v>0</v>
      </c>
      <c r="G164" s="429"/>
      <c r="H164" s="429"/>
      <c r="I164" s="429"/>
      <c r="J164" s="429"/>
      <c r="K164" s="429"/>
      <c r="L164" s="429"/>
      <c r="M164" s="429"/>
      <c r="N164" s="429"/>
      <c r="P164" s="429"/>
      <c r="Q164" s="429"/>
      <c r="R164" s="429"/>
    </row>
    <row r="165" spans="2:21">
      <c r="B165" s="272" t="s">
        <v>466</v>
      </c>
      <c r="C165" s="269">
        <v>208836.71598396628</v>
      </c>
      <c r="D165" s="269">
        <v>117290.91527592583</v>
      </c>
      <c r="E165" s="269">
        <v>326127.63125989214</v>
      </c>
      <c r="F165" s="429">
        <f t="shared" si="9"/>
        <v>1</v>
      </c>
      <c r="G165" s="272" t="s">
        <v>466</v>
      </c>
      <c r="H165" s="269">
        <v>208836.71598396628</v>
      </c>
      <c r="I165" s="269">
        <v>117290.91527592583</v>
      </c>
      <c r="J165" s="269">
        <v>326127.63125989214</v>
      </c>
      <c r="K165" s="274">
        <f>+J165/J$167</f>
        <v>0.15335289831882479</v>
      </c>
      <c r="L165" s="269">
        <f>+J165/7</f>
        <v>46589.661608556016</v>
      </c>
      <c r="M165" s="269">
        <f>+H165/7</f>
        <v>29833.816569138038</v>
      </c>
      <c r="N165" s="269">
        <f>+I165/7</f>
        <v>16755.845039417974</v>
      </c>
      <c r="O165" s="273">
        <f t="shared" si="14"/>
        <v>168.53483525238843</v>
      </c>
      <c r="P165" s="304">
        <f>(+O165*7)/J$167</f>
        <v>5.5474336067925037E-4</v>
      </c>
      <c r="Q165" s="304">
        <f>(+O165*7)/H165</f>
        <v>5.6491208512266375E-3</v>
      </c>
      <c r="R165" s="429" t="str">
        <f>INDEX(BUSBAR_ALLOC_AdjMar2020!A:A,MATCH(G165,BUSBAR_ALLOC_AdjMar2020!H:H,0))</f>
        <v>Westlands_Solar</v>
      </c>
      <c r="T165" s="269">
        <f>IF(P165&gt;$C$2,1,0)</f>
        <v>0</v>
      </c>
      <c r="U165" s="269">
        <f>IF(Q165&gt;$C$2,1,0)</f>
        <v>0</v>
      </c>
    </row>
    <row r="166" spans="2:21">
      <c r="B166" s="272" t="s">
        <v>467</v>
      </c>
      <c r="C166" s="269">
        <v>108748.88718390602</v>
      </c>
      <c r="D166" s="269">
        <v>201483.00009603761</v>
      </c>
      <c r="E166" s="269">
        <v>310231.88727994362</v>
      </c>
      <c r="F166" s="429">
        <f t="shared" si="9"/>
        <v>0</v>
      </c>
      <c r="G166" s="429"/>
      <c r="H166" s="429"/>
      <c r="I166" s="429"/>
      <c r="J166" s="429"/>
      <c r="K166" s="429"/>
      <c r="L166" s="429"/>
      <c r="M166" s="429"/>
      <c r="N166" s="429"/>
      <c r="P166" s="429"/>
      <c r="Q166" s="429"/>
      <c r="R166" s="429"/>
    </row>
    <row r="167" spans="2:21">
      <c r="B167" s="272" t="s">
        <v>468</v>
      </c>
      <c r="C167" s="269">
        <v>195956.32102933998</v>
      </c>
      <c r="D167" s="269">
        <v>128527.05484067199</v>
      </c>
      <c r="E167" s="269">
        <v>324483.37587001198</v>
      </c>
      <c r="F167" s="429">
        <f t="shared" si="9"/>
        <v>1</v>
      </c>
      <c r="G167" s="313" t="s">
        <v>138</v>
      </c>
      <c r="H167" s="271">
        <f>SUM(H155:H166)</f>
        <v>1932960.0901304986</v>
      </c>
      <c r="I167" s="271">
        <f>SUM(I155:I166)</f>
        <v>193687.88871541817</v>
      </c>
      <c r="J167" s="271">
        <f>SUM(J155:J166)</f>
        <v>2126647.9788459167</v>
      </c>
      <c r="K167" s="274"/>
      <c r="L167" s="271">
        <f>SUM(L155:L166)</f>
        <v>303806.85412084521</v>
      </c>
      <c r="M167" s="271">
        <f>SUM(M155:M166)</f>
        <v>276137.15573292837</v>
      </c>
      <c r="N167" s="271">
        <f>SUM(N155:N166)</f>
        <v>27669.69838791688</v>
      </c>
      <c r="O167" s="273">
        <f>SUM(O155:O166)</f>
        <v>1098.9999999999998</v>
      </c>
      <c r="P167" s="429"/>
      <c r="Q167" s="429"/>
      <c r="R167" s="429"/>
      <c r="T167" s="269">
        <f>IF(P167&gt;$C$2,1,0)</f>
        <v>0</v>
      </c>
      <c r="U167" s="269">
        <f>IF(Q167&gt;$C$2,1,0)</f>
        <v>0</v>
      </c>
    </row>
    <row r="168" spans="2:21">
      <c r="B168" s="272" t="s">
        <v>469</v>
      </c>
      <c r="C168" s="269">
        <v>173321.38416530233</v>
      </c>
      <c r="D168" s="269">
        <v>138034.61422634646</v>
      </c>
      <c r="E168" s="269">
        <v>311355.99839164875</v>
      </c>
      <c r="F168" s="429">
        <f t="shared" si="9"/>
        <v>0</v>
      </c>
      <c r="G168" s="429"/>
      <c r="H168" s="429"/>
      <c r="I168" s="429"/>
      <c r="J168" s="429"/>
      <c r="K168" s="429"/>
      <c r="L168" s="429"/>
      <c r="M168" s="429"/>
      <c r="N168" s="429"/>
      <c r="P168" s="429"/>
      <c r="Q168" s="429"/>
      <c r="R168" s="429"/>
    </row>
    <row r="169" spans="2:21">
      <c r="B169" s="272" t="s">
        <v>470</v>
      </c>
      <c r="C169" s="269">
        <v>138416.54481460969</v>
      </c>
      <c r="D169" s="269">
        <v>143289.14966174861</v>
      </c>
      <c r="E169" s="269">
        <v>281705.6944763583</v>
      </c>
      <c r="F169" s="429">
        <f t="shared" si="9"/>
        <v>0</v>
      </c>
      <c r="G169" s="429"/>
      <c r="H169" s="429"/>
      <c r="I169" s="429"/>
      <c r="J169" s="429"/>
      <c r="K169" s="429"/>
      <c r="L169" s="429"/>
      <c r="M169" s="429"/>
      <c r="N169" s="429"/>
      <c r="P169" s="429"/>
      <c r="Q169" s="429"/>
      <c r="R169" s="429"/>
    </row>
    <row r="170" spans="2:21">
      <c r="B170" s="272"/>
      <c r="C170" s="269"/>
      <c r="D170" s="269"/>
      <c r="E170" s="269"/>
      <c r="F170" s="429">
        <f t="shared" si="9"/>
        <v>0</v>
      </c>
      <c r="G170" s="429"/>
      <c r="H170" s="429"/>
      <c r="I170" s="429"/>
      <c r="J170" s="429"/>
      <c r="K170" s="429"/>
      <c r="L170" s="429"/>
      <c r="M170" s="429"/>
      <c r="N170" s="429"/>
      <c r="P170" s="429"/>
      <c r="Q170" s="429"/>
      <c r="R170" s="429"/>
    </row>
    <row r="171" spans="2:21">
      <c r="B171" s="301" t="s">
        <v>280</v>
      </c>
      <c r="C171" s="429"/>
      <c r="D171" s="429"/>
      <c r="E171" s="429"/>
      <c r="F171" s="429">
        <f t="shared" si="9"/>
        <v>1</v>
      </c>
      <c r="G171" s="301" t="s">
        <v>280</v>
      </c>
      <c r="H171" s="429"/>
      <c r="I171" s="429"/>
      <c r="J171" s="429"/>
      <c r="K171" s="429"/>
      <c r="L171" s="429"/>
      <c r="M171" s="429"/>
      <c r="N171" s="429"/>
      <c r="P171" s="429"/>
      <c r="Q171" s="429"/>
      <c r="R171" s="429"/>
      <c r="S171" s="269">
        <v>979</v>
      </c>
      <c r="T171" s="269">
        <f t="shared" ref="T171:T179" si="17">IF(P171&gt;$C$2,1,0)</f>
        <v>0</v>
      </c>
      <c r="U171" s="269">
        <f t="shared" ref="U171:U179" si="18">IF(Q171&gt;$C$2,1,0)</f>
        <v>0</v>
      </c>
    </row>
    <row r="172" spans="2:21">
      <c r="B172" s="272" t="s">
        <v>471</v>
      </c>
      <c r="C172" s="269">
        <v>273894.93363718392</v>
      </c>
      <c r="D172" s="269">
        <v>115184.60995363</v>
      </c>
      <c r="E172" s="269">
        <v>389079.54359081393</v>
      </c>
      <c r="F172" s="429">
        <f t="shared" si="9"/>
        <v>1</v>
      </c>
      <c r="G172" s="272" t="s">
        <v>471</v>
      </c>
      <c r="H172" s="269">
        <v>273894.93363718392</v>
      </c>
      <c r="I172" s="269">
        <v>115184.60995363</v>
      </c>
      <c r="J172" s="269">
        <v>389079.54359081393</v>
      </c>
      <c r="K172" s="274">
        <f>+J172/J$179</f>
        <v>0.20624605886275851</v>
      </c>
      <c r="L172" s="269">
        <f>+J172/7</f>
        <v>55582.791941544849</v>
      </c>
      <c r="M172" s="269">
        <f>+H172/7</f>
        <v>39127.847662454842</v>
      </c>
      <c r="N172" s="269">
        <f>+I172/7</f>
        <v>16454.944279089999</v>
      </c>
      <c r="O172" s="273">
        <f>+S$171*K172</f>
        <v>201.91489162664058</v>
      </c>
      <c r="P172" s="304">
        <f>(+O172*7)/J179</f>
        <v>7.4922739878723293E-4</v>
      </c>
      <c r="Q172" s="304">
        <f>(+O172*7)/H172</f>
        <v>5.1603884110494576E-3</v>
      </c>
      <c r="R172" s="429" t="str">
        <f>INDEX(BUSBAR_ALLOC_AdjMar2020!A:A,MATCH(G172,BUSBAR_ALLOC_AdjMar2020!H:H,0))</f>
        <v>Kern_Greater_Carrizo_Solar</v>
      </c>
      <c r="T172" s="269">
        <f t="shared" si="17"/>
        <v>0</v>
      </c>
      <c r="U172" s="269">
        <f t="shared" si="18"/>
        <v>0</v>
      </c>
    </row>
    <row r="173" spans="2:21">
      <c r="B173" s="272" t="s">
        <v>472</v>
      </c>
      <c r="C173" s="269">
        <v>210937.66690421675</v>
      </c>
      <c r="D173" s="269">
        <v>156404.36154244471</v>
      </c>
      <c r="E173" s="269">
        <v>367342.02844666142</v>
      </c>
      <c r="F173" s="429">
        <f t="shared" si="9"/>
        <v>1</v>
      </c>
      <c r="G173" s="272" t="s">
        <v>472</v>
      </c>
      <c r="H173" s="269"/>
      <c r="I173" s="269"/>
      <c r="J173" s="269"/>
      <c r="K173" s="274"/>
      <c r="L173" s="269"/>
      <c r="M173" s="269"/>
      <c r="N173" s="269"/>
      <c r="P173" s="308"/>
      <c r="Q173" s="429"/>
      <c r="R173" s="429"/>
      <c r="T173" s="269">
        <f t="shared" si="17"/>
        <v>0</v>
      </c>
      <c r="U173" s="269">
        <f t="shared" si="18"/>
        <v>0</v>
      </c>
    </row>
    <row r="174" spans="2:21">
      <c r="B174" s="272" t="s">
        <v>473</v>
      </c>
      <c r="C174" s="269">
        <v>316543.53430146369</v>
      </c>
      <c r="D174" s="269">
        <v>76163.725406010257</v>
      </c>
      <c r="E174" s="269">
        <v>392707.25970747392</v>
      </c>
      <c r="F174" s="429">
        <f t="shared" si="9"/>
        <v>1</v>
      </c>
      <c r="G174" s="272" t="s">
        <v>473</v>
      </c>
      <c r="H174" s="269"/>
      <c r="I174" s="269"/>
      <c r="J174" s="269"/>
      <c r="K174" s="274"/>
      <c r="L174" s="269"/>
      <c r="M174" s="269"/>
      <c r="N174" s="269"/>
      <c r="P174" s="308"/>
      <c r="Q174" s="429"/>
      <c r="R174" s="429"/>
      <c r="T174" s="269">
        <f t="shared" si="17"/>
        <v>0</v>
      </c>
      <c r="U174" s="269">
        <f t="shared" si="18"/>
        <v>0</v>
      </c>
    </row>
    <row r="175" spans="2:21">
      <c r="B175" s="272" t="s">
        <v>474</v>
      </c>
      <c r="C175" s="269">
        <v>275515.90038570581</v>
      </c>
      <c r="D175" s="269">
        <v>100733.49997880978</v>
      </c>
      <c r="E175" s="269">
        <v>376249.4003645156</v>
      </c>
      <c r="F175" s="429">
        <f t="shared" si="9"/>
        <v>1</v>
      </c>
      <c r="G175" s="272" t="s">
        <v>474</v>
      </c>
      <c r="H175" s="269">
        <v>275515.90038570581</v>
      </c>
      <c r="I175" s="269">
        <v>100733.49997880978</v>
      </c>
      <c r="J175" s="269">
        <v>376249.4003645156</v>
      </c>
      <c r="K175" s="274">
        <f>+J175/J$179</f>
        <v>0.19944496505390058</v>
      </c>
      <c r="L175" s="269">
        <f>+J175/7</f>
        <v>53749.914337787945</v>
      </c>
      <c r="M175" s="269">
        <f t="shared" ref="M175:N178" si="19">+H175/7</f>
        <v>39359.414340815114</v>
      </c>
      <c r="N175" s="269">
        <f t="shared" si="19"/>
        <v>14390.499996972825</v>
      </c>
      <c r="O175" s="273">
        <f t="shared" ref="O175:O178" si="20">+S$171*K175</f>
        <v>195.25662078776867</v>
      </c>
      <c r="P175" s="304">
        <f>(+O175*7)/J179</f>
        <v>7.2452115299802581E-4</v>
      </c>
      <c r="Q175" s="304">
        <f>(+O175*7)/H175</f>
        <v>4.9608619451761123E-3</v>
      </c>
      <c r="R175" s="429" t="str">
        <f>INDEX(BUSBAR_ALLOC_AdjMar2020!A:A,MATCH(G175,BUSBAR_ALLOC_AdjMar2020!H:H,0))</f>
        <v>Kern_Greater_Carrizo_Solar</v>
      </c>
      <c r="T175" s="269">
        <f t="shared" si="17"/>
        <v>0</v>
      </c>
      <c r="U175" s="269">
        <f t="shared" si="18"/>
        <v>0</v>
      </c>
    </row>
    <row r="176" spans="2:21">
      <c r="B176" s="272" t="s">
        <v>475</v>
      </c>
      <c r="C176" s="269">
        <v>318206.20713482186</v>
      </c>
      <c r="D176" s="269">
        <v>68185.788637998543</v>
      </c>
      <c r="E176" s="269">
        <v>386391.99577282043</v>
      </c>
      <c r="F176" s="429">
        <f t="shared" si="9"/>
        <v>1</v>
      </c>
      <c r="G176" s="272" t="s">
        <v>475</v>
      </c>
      <c r="H176" s="269">
        <v>318206.20713482186</v>
      </c>
      <c r="I176" s="269">
        <v>68185.788637998543</v>
      </c>
      <c r="J176" s="269">
        <v>386391.99577282043</v>
      </c>
      <c r="K176" s="274">
        <f>+J176/J$179</f>
        <v>0.20482142435139158</v>
      </c>
      <c r="L176" s="269">
        <f>+J176/7</f>
        <v>55198.856538974345</v>
      </c>
      <c r="M176" s="269">
        <f t="shared" si="19"/>
        <v>45458.029590688835</v>
      </c>
      <c r="N176" s="269">
        <f t="shared" si="19"/>
        <v>9740.8269482855067</v>
      </c>
      <c r="O176" s="273">
        <f t="shared" si="20"/>
        <v>200.52017444001237</v>
      </c>
      <c r="P176" s="304">
        <f>(+O176*7)/J179</f>
        <v>7.4405214736638411E-4</v>
      </c>
      <c r="Q176" s="304">
        <f>(+O176*7)/H176</f>
        <v>4.411105722036947E-3</v>
      </c>
      <c r="R176" s="429" t="str">
        <f>INDEX(BUSBAR_ALLOC_AdjMar2020!A:A,MATCH(G176,BUSBAR_ALLOC_AdjMar2020!H:H,0))</f>
        <v>Kern_Greater_Carrizo_Solar</v>
      </c>
      <c r="T176" s="269">
        <f t="shared" si="17"/>
        <v>0</v>
      </c>
      <c r="U176" s="269">
        <f t="shared" si="18"/>
        <v>0</v>
      </c>
    </row>
    <row r="177" spans="2:21">
      <c r="B177" s="272" t="s">
        <v>476</v>
      </c>
      <c r="C177" s="269">
        <v>329570.66430129041</v>
      </c>
      <c r="D177" s="269">
        <v>58200.377969034096</v>
      </c>
      <c r="E177" s="269">
        <v>387771.04227032448</v>
      </c>
      <c r="F177" s="429">
        <f t="shared" si="9"/>
        <v>1</v>
      </c>
      <c r="G177" s="272" t="s">
        <v>476</v>
      </c>
      <c r="H177" s="269">
        <v>329570.66430129041</v>
      </c>
      <c r="I177" s="269">
        <v>58200.377969034096</v>
      </c>
      <c r="J177" s="269">
        <v>387771.04227032448</v>
      </c>
      <c r="K177" s="274">
        <f>+J177/J$179</f>
        <v>0.20555243915230803</v>
      </c>
      <c r="L177" s="269">
        <f>+J177/7</f>
        <v>55395.863181474924</v>
      </c>
      <c r="M177" s="269">
        <f t="shared" si="19"/>
        <v>47081.523471612913</v>
      </c>
      <c r="N177" s="269">
        <f t="shared" si="19"/>
        <v>8314.3397098620135</v>
      </c>
      <c r="O177" s="273">
        <f t="shared" si="20"/>
        <v>201.23583793010957</v>
      </c>
      <c r="P177" s="304">
        <f>(+O177*7)/J179</f>
        <v>7.4670769540829875E-4</v>
      </c>
      <c r="Q177" s="304">
        <f>(+O177*7)/H177</f>
        <v>4.2741997941388122E-3</v>
      </c>
      <c r="R177" s="429" t="str">
        <f>INDEX(BUSBAR_ALLOC_AdjMar2020!A:A,MATCH(G177,BUSBAR_ALLOC_AdjMar2020!H:H,0))</f>
        <v>Kern_Greater_Carrizo_Solar</v>
      </c>
      <c r="T177" s="269">
        <f t="shared" si="17"/>
        <v>0</v>
      </c>
      <c r="U177" s="269">
        <f t="shared" si="18"/>
        <v>0</v>
      </c>
    </row>
    <row r="178" spans="2:21">
      <c r="B178" s="272" t="s">
        <v>477</v>
      </c>
      <c r="C178" s="269">
        <v>238849.92300728222</v>
      </c>
      <c r="D178" s="269">
        <v>108140.41488049923</v>
      </c>
      <c r="E178" s="269">
        <v>346990.33788778144</v>
      </c>
      <c r="F178" s="429">
        <f t="shared" si="9"/>
        <v>1</v>
      </c>
      <c r="G178" s="272" t="s">
        <v>477</v>
      </c>
      <c r="H178" s="269">
        <v>238849.92300728222</v>
      </c>
      <c r="I178" s="269">
        <v>108140.41488049923</v>
      </c>
      <c r="J178" s="269">
        <f>SUM(H178:I178)</f>
        <v>346990.33788778144</v>
      </c>
      <c r="K178" s="274">
        <f>+J178/J$179</f>
        <v>0.18393511257964135</v>
      </c>
      <c r="L178" s="269">
        <f>+J178/7</f>
        <v>49570.048269683066</v>
      </c>
      <c r="M178" s="269">
        <f t="shared" si="19"/>
        <v>34121.41757246889</v>
      </c>
      <c r="N178" s="269">
        <f t="shared" si="19"/>
        <v>15448.630697214176</v>
      </c>
      <c r="O178" s="273">
        <f t="shared" si="20"/>
        <v>180.07247521546887</v>
      </c>
      <c r="P178" s="304">
        <f>(+O178*7)/J179</f>
        <v>6.6817871189181553E-4</v>
      </c>
      <c r="Q178" s="304">
        <f>(+O178*7)/H178</f>
        <v>5.277403110026755E-3</v>
      </c>
      <c r="R178" s="429" t="str">
        <f>INDEX(BUSBAR_ALLOC_AdjMar2020!A:A,MATCH(G178,BUSBAR_ALLOC_AdjMar2020!H:H,0))</f>
        <v>Kern_Greater_Carrizo_Solar</v>
      </c>
      <c r="T178" s="269">
        <f t="shared" si="17"/>
        <v>0</v>
      </c>
      <c r="U178" s="269">
        <f t="shared" si="18"/>
        <v>0</v>
      </c>
    </row>
    <row r="179" spans="2:21">
      <c r="B179" s="272"/>
      <c r="C179" s="269"/>
      <c r="D179" s="269"/>
      <c r="E179" s="269"/>
      <c r="F179" s="429">
        <f t="shared" si="9"/>
        <v>1</v>
      </c>
      <c r="G179" s="307" t="s">
        <v>138</v>
      </c>
      <c r="H179" s="271">
        <f>SUM(H172:H178)</f>
        <v>1436037.6284662841</v>
      </c>
      <c r="I179" s="271">
        <f>SUM(I172:I178)</f>
        <v>450444.69141997164</v>
      </c>
      <c r="J179" s="271">
        <f>SUM(J172:J178)</f>
        <v>1886482.3198862558</v>
      </c>
      <c r="K179" s="429"/>
      <c r="L179" s="429"/>
      <c r="M179" s="429"/>
      <c r="N179" s="429"/>
      <c r="O179" s="273">
        <f>SUM(O172:O178)</f>
        <v>979.00000000000011</v>
      </c>
      <c r="P179" s="429"/>
      <c r="Q179" s="429"/>
      <c r="R179" s="429"/>
      <c r="T179" s="269">
        <f t="shared" si="17"/>
        <v>0</v>
      </c>
      <c r="U179" s="269">
        <f t="shared" si="18"/>
        <v>0</v>
      </c>
    </row>
    <row r="180" spans="2:21">
      <c r="B180" s="301" t="s">
        <v>277</v>
      </c>
      <c r="C180" s="429"/>
      <c r="D180" s="429"/>
      <c r="E180" s="429"/>
      <c r="F180" s="429">
        <f t="shared" si="9"/>
        <v>0</v>
      </c>
      <c r="G180" s="429"/>
      <c r="H180" s="429"/>
      <c r="I180" s="429"/>
      <c r="J180" s="429"/>
      <c r="K180" s="429"/>
      <c r="L180" s="429"/>
      <c r="M180" s="429"/>
      <c r="N180" s="429"/>
      <c r="P180" s="429"/>
      <c r="Q180" s="429"/>
      <c r="R180" s="429"/>
    </row>
    <row r="181" spans="2:21">
      <c r="B181" s="272" t="s">
        <v>478</v>
      </c>
      <c r="C181" s="269">
        <v>153856.66364651476</v>
      </c>
      <c r="D181" s="269">
        <v>222592.8348607574</v>
      </c>
      <c r="E181" s="269">
        <v>376449.49850727216</v>
      </c>
      <c r="F181" s="429">
        <f t="shared" si="9"/>
        <v>0</v>
      </c>
      <c r="G181" s="429"/>
      <c r="H181" s="429"/>
      <c r="I181" s="429"/>
      <c r="J181" s="429"/>
      <c r="K181" s="429"/>
      <c r="L181" s="429"/>
      <c r="M181" s="429"/>
      <c r="N181" s="429"/>
      <c r="P181" s="429"/>
      <c r="Q181" s="429"/>
      <c r="R181" s="429"/>
    </row>
    <row r="182" spans="2:21">
      <c r="B182" s="272" t="s">
        <v>479</v>
      </c>
      <c r="C182" s="269">
        <v>183463.27137451095</v>
      </c>
      <c r="D182" s="269">
        <v>152282.02305186464</v>
      </c>
      <c r="E182" s="269">
        <v>335745.29442637559</v>
      </c>
      <c r="F182" s="429">
        <f t="shared" si="9"/>
        <v>0</v>
      </c>
      <c r="G182" s="429"/>
      <c r="H182" s="429"/>
      <c r="I182" s="429"/>
      <c r="J182" s="429"/>
      <c r="K182" s="429"/>
      <c r="L182" s="429"/>
      <c r="M182" s="429"/>
      <c r="N182" s="429"/>
      <c r="P182" s="429"/>
      <c r="Q182" s="429"/>
      <c r="R182" s="429"/>
    </row>
    <row r="183" spans="2:21">
      <c r="B183" s="272" t="s">
        <v>480</v>
      </c>
      <c r="C183" s="269">
        <v>129612.63346664973</v>
      </c>
      <c r="D183" s="269">
        <v>260323.19026090755</v>
      </c>
      <c r="E183" s="269">
        <v>389935.82372755726</v>
      </c>
      <c r="F183" s="429">
        <f t="shared" si="9"/>
        <v>0</v>
      </c>
      <c r="G183" s="429"/>
      <c r="H183" s="429"/>
      <c r="I183" s="429"/>
      <c r="J183" s="429"/>
      <c r="K183" s="429"/>
      <c r="L183" s="429"/>
      <c r="M183" s="429"/>
      <c r="N183" s="429"/>
      <c r="P183" s="429"/>
      <c r="Q183" s="429"/>
      <c r="R183" s="429"/>
    </row>
    <row r="184" spans="2:21">
      <c r="B184" s="272" t="s">
        <v>481</v>
      </c>
      <c r="C184" s="269">
        <v>246398.01052559551</v>
      </c>
      <c r="D184" s="269">
        <v>178426.63022796452</v>
      </c>
      <c r="E184" s="269">
        <v>424824.64075356</v>
      </c>
      <c r="F184" s="429">
        <f t="shared" si="9"/>
        <v>0</v>
      </c>
      <c r="G184" s="429"/>
      <c r="H184" s="429"/>
      <c r="I184" s="429"/>
      <c r="J184" s="429"/>
      <c r="K184" s="429"/>
      <c r="L184" s="429"/>
      <c r="M184" s="429"/>
      <c r="N184" s="429"/>
      <c r="P184" s="429"/>
      <c r="Q184" s="429"/>
      <c r="R184" s="429"/>
    </row>
    <row r="185" spans="2:21">
      <c r="B185" s="272"/>
      <c r="C185" s="269"/>
      <c r="D185" s="269"/>
      <c r="E185" s="269"/>
      <c r="F185" s="429">
        <f t="shared" si="9"/>
        <v>0</v>
      </c>
      <c r="G185" s="429"/>
      <c r="H185" s="429"/>
      <c r="I185" s="429"/>
      <c r="J185" s="429"/>
      <c r="K185" s="429"/>
      <c r="L185" s="429"/>
      <c r="M185" s="429"/>
      <c r="N185" s="429"/>
      <c r="P185" s="429"/>
      <c r="Q185" s="429"/>
      <c r="R185" s="429"/>
    </row>
    <row r="186" spans="2:21">
      <c r="B186" s="301" t="s">
        <v>282</v>
      </c>
      <c r="C186" s="429"/>
      <c r="D186" s="429"/>
      <c r="E186" s="429"/>
      <c r="F186" s="429">
        <f t="shared" si="9"/>
        <v>0</v>
      </c>
      <c r="G186" s="301"/>
      <c r="H186" s="429"/>
      <c r="I186" s="429"/>
      <c r="J186" s="429"/>
      <c r="K186" s="429"/>
      <c r="L186" s="429"/>
      <c r="M186" s="429"/>
      <c r="N186" s="429"/>
      <c r="P186" s="429"/>
      <c r="Q186" s="429"/>
      <c r="R186" s="429"/>
    </row>
    <row r="187" spans="2:21">
      <c r="B187" s="272" t="s">
        <v>482</v>
      </c>
      <c r="C187" s="269">
        <v>255519.95639183407</v>
      </c>
      <c r="D187" s="269">
        <v>190398.79502573787</v>
      </c>
      <c r="E187" s="269">
        <v>445918.75141757191</v>
      </c>
      <c r="F187" s="429">
        <f t="shared" si="9"/>
        <v>0</v>
      </c>
      <c r="G187" s="272"/>
      <c r="H187" s="269"/>
      <c r="I187" s="269"/>
      <c r="J187" s="269"/>
      <c r="K187" s="269"/>
      <c r="L187" s="269"/>
      <c r="M187" s="269"/>
      <c r="N187" s="269"/>
      <c r="P187" s="274"/>
      <c r="Q187" s="429"/>
      <c r="R187" s="429"/>
    </row>
    <row r="188" spans="2:21">
      <c r="B188" s="272" t="s">
        <v>483</v>
      </c>
      <c r="C188" s="269">
        <v>244115.43683207364</v>
      </c>
      <c r="D188" s="269">
        <v>184777.54084090027</v>
      </c>
      <c r="E188" s="269">
        <v>428892.97767297388</v>
      </c>
      <c r="F188" s="429">
        <f t="shared" si="9"/>
        <v>0</v>
      </c>
      <c r="G188" s="272"/>
      <c r="H188" s="269"/>
      <c r="I188" s="269"/>
      <c r="J188" s="269"/>
      <c r="K188" s="274"/>
      <c r="L188" s="269"/>
      <c r="M188" s="269"/>
      <c r="N188" s="269"/>
      <c r="P188" s="304"/>
      <c r="Q188" s="304"/>
      <c r="R188" s="429"/>
    </row>
    <row r="189" spans="2:21">
      <c r="B189" s="272" t="s">
        <v>484</v>
      </c>
      <c r="C189" s="269">
        <v>361384.91293189576</v>
      </c>
      <c r="D189" s="269">
        <v>26159.04068955296</v>
      </c>
      <c r="E189" s="269">
        <v>387543.95362144872</v>
      </c>
      <c r="F189" s="429">
        <f t="shared" si="9"/>
        <v>0</v>
      </c>
      <c r="G189" s="272"/>
      <c r="H189" s="269"/>
      <c r="I189" s="269"/>
      <c r="J189" s="269"/>
      <c r="K189" s="269"/>
      <c r="L189" s="269"/>
      <c r="M189" s="269"/>
      <c r="N189" s="269"/>
      <c r="P189" s="274"/>
      <c r="Q189" s="429"/>
      <c r="R189" s="429"/>
    </row>
    <row r="190" spans="2:21">
      <c r="B190" s="272" t="s">
        <v>485</v>
      </c>
      <c r="C190" s="269">
        <v>361483.79866842588</v>
      </c>
      <c r="D190" s="269">
        <v>19362.657785470095</v>
      </c>
      <c r="E190" s="269">
        <v>380846.45645389595</v>
      </c>
      <c r="F190" s="429">
        <f t="shared" si="9"/>
        <v>0</v>
      </c>
      <c r="G190" s="272"/>
      <c r="H190" s="269"/>
      <c r="I190" s="269"/>
      <c r="J190" s="269"/>
      <c r="K190" s="269"/>
      <c r="L190" s="269"/>
      <c r="M190" s="269"/>
      <c r="N190" s="269"/>
      <c r="P190" s="274"/>
      <c r="Q190" s="429"/>
      <c r="R190" s="429"/>
    </row>
    <row r="191" spans="2:21">
      <c r="B191" s="272" t="s">
        <v>486</v>
      </c>
      <c r="C191" s="269">
        <v>293286.08566440275</v>
      </c>
      <c r="D191" s="269">
        <v>148690.1618290726</v>
      </c>
      <c r="E191" s="269">
        <v>441976.24749347533</v>
      </c>
      <c r="F191" s="429">
        <f t="shared" si="9"/>
        <v>0</v>
      </c>
      <c r="G191" s="272"/>
      <c r="H191" s="269"/>
      <c r="I191" s="269"/>
      <c r="J191" s="269"/>
      <c r="K191" s="274"/>
      <c r="L191" s="269"/>
      <c r="M191" s="269"/>
      <c r="N191" s="269"/>
      <c r="P191" s="304"/>
      <c r="Q191" s="304"/>
      <c r="R191" s="429"/>
    </row>
    <row r="192" spans="2:21">
      <c r="B192" s="272" t="s">
        <v>487</v>
      </c>
      <c r="C192" s="269">
        <v>390024.44372611243</v>
      </c>
      <c r="D192" s="269">
        <v>7132.1546542374208</v>
      </c>
      <c r="E192" s="269">
        <v>397156.59838034987</v>
      </c>
      <c r="F192" s="429">
        <f t="shared" si="9"/>
        <v>0</v>
      </c>
      <c r="G192" s="272"/>
      <c r="H192" s="269"/>
      <c r="I192" s="269"/>
      <c r="J192" s="269"/>
      <c r="K192" s="274"/>
      <c r="L192" s="269"/>
      <c r="M192" s="269"/>
      <c r="N192" s="269"/>
      <c r="P192" s="304"/>
      <c r="Q192" s="304"/>
      <c r="R192" s="429"/>
    </row>
    <row r="193" spans="2:21">
      <c r="B193" s="272" t="s">
        <v>488</v>
      </c>
      <c r="C193" s="269">
        <v>221460.66493432893</v>
      </c>
      <c r="D193" s="269">
        <v>144010.49549459072</v>
      </c>
      <c r="E193" s="269">
        <v>365471.16042891965</v>
      </c>
      <c r="F193" s="429">
        <f t="shared" si="9"/>
        <v>0</v>
      </c>
      <c r="G193" s="272"/>
      <c r="H193" s="269"/>
      <c r="I193" s="269"/>
      <c r="J193" s="269"/>
      <c r="K193" s="274"/>
      <c r="L193" s="269"/>
      <c r="M193" s="269"/>
      <c r="N193" s="269"/>
      <c r="P193" s="304"/>
      <c r="Q193" s="304"/>
      <c r="R193" s="429"/>
    </row>
    <row r="194" spans="2:21">
      <c r="B194" s="272"/>
      <c r="C194" s="269"/>
      <c r="D194" s="269"/>
      <c r="E194" s="269"/>
      <c r="F194" s="429">
        <f t="shared" si="9"/>
        <v>0</v>
      </c>
      <c r="G194" s="307"/>
      <c r="H194" s="271"/>
      <c r="I194" s="271"/>
      <c r="J194" s="271"/>
      <c r="K194" s="271"/>
      <c r="L194" s="271"/>
      <c r="M194" s="271"/>
      <c r="N194" s="271"/>
      <c r="P194" s="429"/>
      <c r="Q194" s="429"/>
      <c r="R194" s="429"/>
    </row>
    <row r="195" spans="2:21">
      <c r="B195" s="301" t="s">
        <v>207</v>
      </c>
      <c r="C195" s="429"/>
      <c r="D195" s="429"/>
      <c r="E195" s="429"/>
      <c r="F195" s="429">
        <f t="shared" si="9"/>
        <v>1</v>
      </c>
      <c r="G195" s="301" t="s">
        <v>207</v>
      </c>
      <c r="H195" s="429"/>
      <c r="I195" s="429"/>
      <c r="J195" s="429"/>
      <c r="K195" s="429"/>
      <c r="L195" s="429"/>
      <c r="M195" s="429"/>
      <c r="N195" s="429"/>
      <c r="P195" s="429"/>
      <c r="Q195" s="429"/>
      <c r="R195" s="429"/>
      <c r="S195" s="269">
        <v>3202</v>
      </c>
      <c r="T195" s="269">
        <f t="shared" ref="T195:T212" si="21">IF(P195&gt;$C$2,1,0)</f>
        <v>0</v>
      </c>
      <c r="U195" s="269">
        <f t="shared" ref="U195:U212" si="22">IF(Q195&gt;$C$2,1,0)</f>
        <v>0</v>
      </c>
    </row>
    <row r="196" spans="2:21">
      <c r="B196" s="272" t="s">
        <v>489</v>
      </c>
      <c r="C196" s="269">
        <v>283494.60861641739</v>
      </c>
      <c r="D196" s="269">
        <v>91597.511203482092</v>
      </c>
      <c r="E196" s="269">
        <v>375092.1198198995</v>
      </c>
      <c r="F196" s="429">
        <f t="shared" si="9"/>
        <v>1</v>
      </c>
      <c r="G196" s="272" t="s">
        <v>489</v>
      </c>
      <c r="H196" s="269">
        <v>283494.60861641739</v>
      </c>
      <c r="I196" s="269">
        <v>91597.511203482092</v>
      </c>
      <c r="J196" s="269">
        <v>375092.1198198995</v>
      </c>
      <c r="K196" s="274">
        <f>+J196/J$212</f>
        <v>0.25986117410621934</v>
      </c>
      <c r="L196" s="269">
        <f>+J196/7</f>
        <v>53584.588545699931</v>
      </c>
      <c r="M196" s="269">
        <f>+H196/7</f>
        <v>40499.22980234534</v>
      </c>
      <c r="N196" s="269">
        <f>+I196/7</f>
        <v>13085.358743354585</v>
      </c>
      <c r="O196" s="273">
        <f>+S$195*K196</f>
        <v>832.0754794881143</v>
      </c>
      <c r="P196" s="304">
        <f>(+O196*7)/J212</f>
        <v>4.0351921497049255E-3</v>
      </c>
      <c r="Q196" s="304">
        <f>(+O196*7)/H196</f>
        <v>2.0545464285346191E-2</v>
      </c>
      <c r="R196" s="429" t="str">
        <f>INDEX(BUSBAR_ALLOC_AdjMar2020!A:A,MATCH(G196,BUSBAR_ALLOC_AdjMar2020!H:H,0))</f>
        <v>Tehachapi_Solar</v>
      </c>
      <c r="T196" s="269">
        <f t="shared" si="21"/>
        <v>0</v>
      </c>
      <c r="U196" s="269">
        <f t="shared" si="22"/>
        <v>0</v>
      </c>
    </row>
    <row r="197" spans="2:21">
      <c r="B197" s="272" t="s">
        <v>490</v>
      </c>
      <c r="C197" s="269">
        <v>187469.06369076058</v>
      </c>
      <c r="D197" s="269">
        <v>131236.30508338098</v>
      </c>
      <c r="E197" s="269">
        <v>318705.36877414153</v>
      </c>
      <c r="F197" s="429">
        <f t="shared" si="9"/>
        <v>1</v>
      </c>
      <c r="G197" s="272" t="s">
        <v>490</v>
      </c>
      <c r="H197" s="269"/>
      <c r="I197" s="269"/>
      <c r="J197" s="269"/>
      <c r="K197" s="269"/>
      <c r="L197" s="269"/>
      <c r="M197" s="269"/>
      <c r="N197" s="269"/>
      <c r="P197" s="274">
        <f t="shared" ref="P197:P202" si="23">+J197/J$212</f>
        <v>0</v>
      </c>
      <c r="Q197" s="429"/>
      <c r="R197" s="429"/>
      <c r="T197" s="269">
        <f t="shared" si="21"/>
        <v>0</v>
      </c>
      <c r="U197" s="269">
        <f t="shared" si="22"/>
        <v>0</v>
      </c>
    </row>
    <row r="198" spans="2:21">
      <c r="B198" s="272" t="s">
        <v>491</v>
      </c>
      <c r="C198" s="269">
        <v>51084.664739462387</v>
      </c>
      <c r="D198" s="269">
        <v>172593.79560385449</v>
      </c>
      <c r="E198" s="269">
        <v>223678.4603433169</v>
      </c>
      <c r="F198" s="429">
        <f t="shared" ref="F198:F256" si="24">IF(G198="",0,1)</f>
        <v>1</v>
      </c>
      <c r="G198" s="272" t="s">
        <v>491</v>
      </c>
      <c r="H198" s="269"/>
      <c r="I198" s="269"/>
      <c r="J198" s="269"/>
      <c r="K198" s="269"/>
      <c r="L198" s="269"/>
      <c r="M198" s="269"/>
      <c r="N198" s="269"/>
      <c r="P198" s="274">
        <f t="shared" si="23"/>
        <v>0</v>
      </c>
      <c r="Q198" s="429"/>
      <c r="R198" s="429"/>
      <c r="T198" s="269">
        <f t="shared" si="21"/>
        <v>0</v>
      </c>
      <c r="U198" s="269">
        <f t="shared" si="22"/>
        <v>0</v>
      </c>
    </row>
    <row r="199" spans="2:21">
      <c r="B199" s="272" t="s">
        <v>492</v>
      </c>
      <c r="C199" s="269">
        <v>177593.11107215891</v>
      </c>
      <c r="D199" s="269">
        <v>122671.09477471698</v>
      </c>
      <c r="E199" s="269">
        <v>300264.20584687591</v>
      </c>
      <c r="F199" s="429">
        <f t="shared" si="24"/>
        <v>1</v>
      </c>
      <c r="G199" s="272" t="s">
        <v>492</v>
      </c>
      <c r="H199" s="269"/>
      <c r="I199" s="269"/>
      <c r="J199" s="269"/>
      <c r="K199" s="269"/>
      <c r="L199" s="269"/>
      <c r="M199" s="269"/>
      <c r="N199" s="269"/>
      <c r="P199" s="274">
        <f t="shared" si="23"/>
        <v>0</v>
      </c>
      <c r="Q199" s="429"/>
      <c r="R199" s="429"/>
      <c r="T199" s="269">
        <f t="shared" si="21"/>
        <v>0</v>
      </c>
      <c r="U199" s="269">
        <f t="shared" si="22"/>
        <v>0</v>
      </c>
    </row>
    <row r="200" spans="2:21">
      <c r="B200" s="272" t="s">
        <v>493</v>
      </c>
      <c r="C200" s="269">
        <v>219898.16831249394</v>
      </c>
      <c r="D200" s="269">
        <v>123482.87523791115</v>
      </c>
      <c r="E200" s="269">
        <v>343381.04355040507</v>
      </c>
      <c r="F200" s="429">
        <f t="shared" si="24"/>
        <v>1</v>
      </c>
      <c r="G200" s="272" t="s">
        <v>493</v>
      </c>
      <c r="H200" s="269"/>
      <c r="I200" s="269"/>
      <c r="J200" s="269"/>
      <c r="K200" s="269"/>
      <c r="L200" s="269"/>
      <c r="M200" s="269"/>
      <c r="N200" s="269"/>
      <c r="P200" s="274">
        <f t="shared" si="23"/>
        <v>0</v>
      </c>
      <c r="Q200" s="429"/>
      <c r="R200" s="429"/>
      <c r="T200" s="269">
        <f t="shared" si="21"/>
        <v>0</v>
      </c>
      <c r="U200" s="269">
        <f t="shared" si="22"/>
        <v>0</v>
      </c>
    </row>
    <row r="201" spans="2:21">
      <c r="B201" s="272" t="s">
        <v>401</v>
      </c>
      <c r="C201" s="269">
        <v>449206.5857686433</v>
      </c>
      <c r="D201" s="269">
        <v>549784.88158808846</v>
      </c>
      <c r="E201" s="269">
        <v>998991.46735673177</v>
      </c>
      <c r="F201" s="429">
        <f t="shared" si="24"/>
        <v>1</v>
      </c>
      <c r="G201" s="272" t="s">
        <v>401</v>
      </c>
      <c r="H201" s="269"/>
      <c r="I201" s="269"/>
      <c r="J201" s="269"/>
      <c r="K201" s="269"/>
      <c r="L201" s="269"/>
      <c r="M201" s="269"/>
      <c r="N201" s="269"/>
      <c r="P201" s="274">
        <f t="shared" si="23"/>
        <v>0</v>
      </c>
      <c r="Q201" s="429"/>
      <c r="R201" s="429"/>
      <c r="T201" s="269">
        <f t="shared" si="21"/>
        <v>0</v>
      </c>
      <c r="U201" s="269">
        <f t="shared" si="22"/>
        <v>0</v>
      </c>
    </row>
    <row r="202" spans="2:21">
      <c r="B202" s="272" t="s">
        <v>494</v>
      </c>
      <c r="C202" s="269">
        <v>103540.69647029672</v>
      </c>
      <c r="D202" s="269">
        <v>134265.15032731142</v>
      </c>
      <c r="E202" s="269">
        <v>237805.84679760813</v>
      </c>
      <c r="F202" s="429">
        <f t="shared" si="24"/>
        <v>1</v>
      </c>
      <c r="G202" s="272" t="s">
        <v>494</v>
      </c>
      <c r="H202" s="269"/>
      <c r="I202" s="269"/>
      <c r="J202" s="269"/>
      <c r="K202" s="269"/>
      <c r="L202" s="269"/>
      <c r="M202" s="269"/>
      <c r="N202" s="269"/>
      <c r="P202" s="274">
        <f t="shared" si="23"/>
        <v>0</v>
      </c>
      <c r="Q202" s="429"/>
      <c r="R202" s="429"/>
      <c r="T202" s="269">
        <f t="shared" si="21"/>
        <v>0</v>
      </c>
      <c r="U202" s="269">
        <f t="shared" si="22"/>
        <v>0</v>
      </c>
    </row>
    <row r="203" spans="2:21">
      <c r="B203" s="272" t="s">
        <v>495</v>
      </c>
      <c r="C203" s="269">
        <v>161230.54781230667</v>
      </c>
      <c r="D203" s="269">
        <v>175860.46726936684</v>
      </c>
      <c r="E203" s="269">
        <v>337091.01508167351</v>
      </c>
      <c r="F203" s="429">
        <f t="shared" si="24"/>
        <v>1</v>
      </c>
      <c r="G203" s="272" t="s">
        <v>495</v>
      </c>
      <c r="H203" s="269">
        <v>161230.54781230667</v>
      </c>
      <c r="I203" s="269">
        <v>175860.46726936684</v>
      </c>
      <c r="J203" s="269">
        <v>337091.01508167351</v>
      </c>
      <c r="K203" s="274">
        <f>+J203/J$212</f>
        <v>0.23353427686468223</v>
      </c>
      <c r="L203" s="269">
        <f>+J203/7</f>
        <v>48155.859297381932</v>
      </c>
      <c r="M203" s="269">
        <f>+H203/7</f>
        <v>23032.935401758095</v>
      </c>
      <c r="N203" s="269">
        <f>+I203/7</f>
        <v>25122.923895623833</v>
      </c>
      <c r="O203" s="273">
        <f>+S$195*K203</f>
        <v>747.77675452071253</v>
      </c>
      <c r="P203" s="304">
        <f>(+O203*7)/J212</f>
        <v>3.6263812165575398E-3</v>
      </c>
      <c r="Q203" s="304">
        <f>(+O203*7)/H203</f>
        <v>3.2465542992129219E-2</v>
      </c>
      <c r="R203" s="429" t="str">
        <f>INDEX(BUSBAR_ALLOC_AdjMar2020!A:A,MATCH(G203,BUSBAR_ALLOC_AdjMar2020!H:H,0))</f>
        <v>Tehachapi_Solar</v>
      </c>
      <c r="T203" s="269">
        <f t="shared" si="21"/>
        <v>0</v>
      </c>
      <c r="U203" s="269">
        <f t="shared" si="22"/>
        <v>0</v>
      </c>
    </row>
    <row r="204" spans="2:21">
      <c r="B204" s="272" t="s">
        <v>496</v>
      </c>
      <c r="C204" s="269">
        <v>104148.99768713806</v>
      </c>
      <c r="D204" s="269">
        <v>130389.4178489671</v>
      </c>
      <c r="E204" s="269">
        <v>234538.41553610517</v>
      </c>
      <c r="F204" s="429">
        <f t="shared" si="24"/>
        <v>1</v>
      </c>
      <c r="G204" s="272" t="s">
        <v>496</v>
      </c>
      <c r="H204" s="269"/>
      <c r="I204" s="269"/>
      <c r="J204" s="269"/>
      <c r="K204" s="269"/>
      <c r="L204" s="269"/>
      <c r="M204" s="269"/>
      <c r="N204" s="269"/>
      <c r="P204" s="274">
        <f>+J204/J$212</f>
        <v>0</v>
      </c>
      <c r="Q204" s="429"/>
      <c r="R204" s="429"/>
      <c r="T204" s="269">
        <f t="shared" si="21"/>
        <v>0</v>
      </c>
      <c r="U204" s="269">
        <f t="shared" si="22"/>
        <v>0</v>
      </c>
    </row>
    <row r="205" spans="2:21">
      <c r="B205" s="272" t="s">
        <v>497</v>
      </c>
      <c r="C205" s="269">
        <v>42559.462491461629</v>
      </c>
      <c r="D205" s="269">
        <v>138617.33879180002</v>
      </c>
      <c r="E205" s="269">
        <v>181176.80128326165</v>
      </c>
      <c r="F205" s="429">
        <f t="shared" si="24"/>
        <v>1</v>
      </c>
      <c r="G205" s="272" t="s">
        <v>497</v>
      </c>
      <c r="H205" s="269"/>
      <c r="I205" s="269"/>
      <c r="J205" s="269"/>
      <c r="K205" s="269"/>
      <c r="L205" s="269"/>
      <c r="M205" s="269"/>
      <c r="N205" s="269"/>
      <c r="P205" s="274">
        <f>+J205/J$212</f>
        <v>0</v>
      </c>
      <c r="Q205" s="429"/>
      <c r="R205" s="429"/>
      <c r="T205" s="269">
        <f t="shared" si="21"/>
        <v>0</v>
      </c>
      <c r="U205" s="269">
        <f t="shared" si="22"/>
        <v>0</v>
      </c>
    </row>
    <row r="206" spans="2:21">
      <c r="B206" s="272" t="s">
        <v>498</v>
      </c>
      <c r="C206" s="269">
        <v>184408.90520496678</v>
      </c>
      <c r="D206" s="269">
        <v>117262.33184340558</v>
      </c>
      <c r="E206" s="269">
        <v>301671.23704837239</v>
      </c>
      <c r="F206" s="429">
        <f t="shared" si="24"/>
        <v>1</v>
      </c>
      <c r="G206" s="272" t="s">
        <v>498</v>
      </c>
      <c r="H206" s="269"/>
      <c r="I206" s="269"/>
      <c r="J206" s="269"/>
      <c r="K206" s="269"/>
      <c r="L206" s="269"/>
      <c r="M206" s="269"/>
      <c r="N206" s="269"/>
      <c r="P206" s="274">
        <f>+J206/J$212</f>
        <v>0</v>
      </c>
      <c r="Q206" s="429"/>
      <c r="R206" s="429"/>
      <c r="T206" s="269">
        <f t="shared" si="21"/>
        <v>0</v>
      </c>
      <c r="U206" s="269">
        <f t="shared" si="22"/>
        <v>0</v>
      </c>
    </row>
    <row r="207" spans="2:21">
      <c r="B207" s="272" t="s">
        <v>499</v>
      </c>
      <c r="C207" s="269">
        <v>33576.208895419157</v>
      </c>
      <c r="D207" s="269">
        <v>158595.98269880624</v>
      </c>
      <c r="E207" s="269">
        <v>192172.19159422541</v>
      </c>
      <c r="F207" s="429">
        <f t="shared" si="24"/>
        <v>1</v>
      </c>
      <c r="G207" s="272" t="s">
        <v>499</v>
      </c>
      <c r="H207" s="269"/>
      <c r="I207" s="269"/>
      <c r="J207" s="269"/>
      <c r="K207" s="269"/>
      <c r="L207" s="269"/>
      <c r="M207" s="269"/>
      <c r="N207" s="269"/>
      <c r="P207" s="274">
        <f>+J207/J$212</f>
        <v>0</v>
      </c>
      <c r="Q207" s="429"/>
      <c r="R207" s="429"/>
      <c r="T207" s="269">
        <f t="shared" si="21"/>
        <v>0</v>
      </c>
      <c r="U207" s="269">
        <f t="shared" si="22"/>
        <v>0</v>
      </c>
    </row>
    <row r="208" spans="2:21">
      <c r="B208" s="272" t="s">
        <v>500</v>
      </c>
      <c r="C208" s="269">
        <v>219616.57436515973</v>
      </c>
      <c r="D208" s="269">
        <v>124770.49835695175</v>
      </c>
      <c r="E208" s="269">
        <v>344387.07272211148</v>
      </c>
      <c r="F208" s="429">
        <f t="shared" si="24"/>
        <v>1</v>
      </c>
      <c r="G208" s="272" t="s">
        <v>500</v>
      </c>
      <c r="H208" s="269"/>
      <c r="I208" s="269"/>
      <c r="J208" s="269"/>
      <c r="K208" s="269"/>
      <c r="L208" s="269"/>
      <c r="M208" s="269"/>
      <c r="N208" s="269"/>
      <c r="P208" s="274">
        <f>+J208/J$212</f>
        <v>0</v>
      </c>
      <c r="Q208" s="429"/>
      <c r="R208" s="429"/>
      <c r="T208" s="269">
        <f t="shared" si="21"/>
        <v>0</v>
      </c>
      <c r="U208" s="269">
        <f t="shared" si="22"/>
        <v>0</v>
      </c>
    </row>
    <row r="209" spans="2:21">
      <c r="B209" s="272" t="s">
        <v>501</v>
      </c>
      <c r="C209" s="269">
        <v>242518.5077544924</v>
      </c>
      <c r="D209" s="269">
        <v>141802.20744405311</v>
      </c>
      <c r="E209" s="269">
        <v>384320.71519854548</v>
      </c>
      <c r="F209" s="429">
        <f t="shared" si="24"/>
        <v>1</v>
      </c>
      <c r="G209" s="272" t="s">
        <v>501</v>
      </c>
      <c r="H209" s="269">
        <v>242518.5077544924</v>
      </c>
      <c r="I209" s="269">
        <v>141802.20744405311</v>
      </c>
      <c r="J209" s="269">
        <v>384320.71519854548</v>
      </c>
      <c r="K209" s="274">
        <f>+J209/J$212</f>
        <v>0.2662546798711436</v>
      </c>
      <c r="L209" s="269">
        <f>+J209/7</f>
        <v>54902.959314077925</v>
      </c>
      <c r="M209" s="269">
        <f>+H209/7</f>
        <v>34645.501107784628</v>
      </c>
      <c r="N209" s="269">
        <f>+I209/7</f>
        <v>20257.4582062933</v>
      </c>
      <c r="O209" s="273">
        <f>+S$195*K209</f>
        <v>852.54748494740181</v>
      </c>
      <c r="P209" s="304">
        <f>(+O209*7)/J212</f>
        <v>4.1344721762823855E-3</v>
      </c>
      <c r="Q209" s="304">
        <f>(+O209*7)/H209</f>
        <v>2.4607740043795748E-2</v>
      </c>
      <c r="R209" s="429" t="str">
        <f>INDEX(BUSBAR_ALLOC_AdjMar2020!A:A,MATCH(G209,BUSBAR_ALLOC_AdjMar2020!H:H,0))</f>
        <v>Tehachapi_Solar</v>
      </c>
      <c r="T209" s="269">
        <f t="shared" si="21"/>
        <v>0</v>
      </c>
      <c r="U209" s="269">
        <f t="shared" si="22"/>
        <v>0</v>
      </c>
    </row>
    <row r="210" spans="2:21">
      <c r="B210" s="272" t="s">
        <v>502</v>
      </c>
      <c r="C210" s="269">
        <v>224940.27908217019</v>
      </c>
      <c r="D210" s="269">
        <v>119399.76747588936</v>
      </c>
      <c r="E210" s="269">
        <v>344340.04655805952</v>
      </c>
      <c r="F210" s="429">
        <f t="shared" si="24"/>
        <v>1</v>
      </c>
      <c r="G210" s="272" t="s">
        <v>502</v>
      </c>
      <c r="H210" s="269"/>
      <c r="I210" s="269"/>
      <c r="J210" s="269"/>
      <c r="K210" s="269"/>
      <c r="L210" s="269"/>
      <c r="M210" s="269"/>
      <c r="N210" s="269"/>
      <c r="P210" s="274">
        <f>+J210/J$212</f>
        <v>0</v>
      </c>
      <c r="Q210" s="304"/>
      <c r="R210" s="429"/>
      <c r="T210" s="269">
        <f t="shared" si="21"/>
        <v>0</v>
      </c>
      <c r="U210" s="269">
        <f t="shared" si="22"/>
        <v>0</v>
      </c>
    </row>
    <row r="211" spans="2:21">
      <c r="B211" s="272" t="s">
        <v>503</v>
      </c>
      <c r="C211" s="269">
        <v>224363.66792724023</v>
      </c>
      <c r="D211" s="269">
        <v>122565.19603626303</v>
      </c>
      <c r="E211" s="269">
        <v>346928.86396350327</v>
      </c>
      <c r="F211" s="429">
        <f t="shared" si="24"/>
        <v>1</v>
      </c>
      <c r="G211" s="272" t="s">
        <v>503</v>
      </c>
      <c r="H211" s="269">
        <v>224363.66792724023</v>
      </c>
      <c r="I211" s="269">
        <v>122565.19603626303</v>
      </c>
      <c r="J211" s="269">
        <v>346928.86396350327</v>
      </c>
      <c r="K211" s="274">
        <f>+J211/J$212</f>
        <v>0.24034986915795498</v>
      </c>
      <c r="L211" s="269">
        <f t="shared" ref="L211" si="25">+J211/7</f>
        <v>49561.266280500466</v>
      </c>
      <c r="M211" s="269">
        <f t="shared" ref="M211:N211" si="26">+H211/7</f>
        <v>32051.952561034319</v>
      </c>
      <c r="N211" s="269">
        <f t="shared" si="26"/>
        <v>17509.313719466147</v>
      </c>
      <c r="O211" s="273">
        <f>+S$195*K211</f>
        <v>769.60028104377182</v>
      </c>
      <c r="P211" s="304">
        <f>(+O211*7)/J212</f>
        <v>3.7322155129351966E-3</v>
      </c>
      <c r="Q211" s="304">
        <f>(+O211*7)/H211</f>
        <v>2.4011026460190689E-2</v>
      </c>
      <c r="R211" s="429" t="str">
        <f>INDEX(BUSBAR_ALLOC_AdjMar2020!A:A,MATCH(G211,BUSBAR_ALLOC_AdjMar2020!H:H,0))</f>
        <v>Tehachapi_Solar</v>
      </c>
      <c r="T211" s="269">
        <f t="shared" si="21"/>
        <v>0</v>
      </c>
      <c r="U211" s="269">
        <f t="shared" si="22"/>
        <v>0</v>
      </c>
    </row>
    <row r="212" spans="2:21">
      <c r="B212" s="272"/>
      <c r="C212" s="269"/>
      <c r="D212" s="269"/>
      <c r="E212" s="269"/>
      <c r="F212" s="429">
        <f t="shared" si="24"/>
        <v>1</v>
      </c>
      <c r="G212" s="307" t="s">
        <v>138</v>
      </c>
      <c r="H212" s="271">
        <f>SUM(H196:H211)</f>
        <v>911607.33211045666</v>
      </c>
      <c r="I212" s="271">
        <f>SUM(I196:I211)</f>
        <v>531825.38195316505</v>
      </c>
      <c r="J212" s="271">
        <f>SUM(J196:J211)</f>
        <v>1443432.7140636216</v>
      </c>
      <c r="K212" s="271"/>
      <c r="L212" s="271"/>
      <c r="M212" s="271"/>
      <c r="N212" s="271"/>
      <c r="O212" s="273">
        <f>SUM(O196:O211)</f>
        <v>3202.0000000000005</v>
      </c>
      <c r="P212" s="429"/>
      <c r="Q212" s="429"/>
      <c r="R212" s="429"/>
      <c r="S212" s="269">
        <f>SUM(S6:S211)</f>
        <v>7225</v>
      </c>
      <c r="T212" s="269">
        <f t="shared" si="21"/>
        <v>0</v>
      </c>
      <c r="U212" s="269">
        <f t="shared" si="22"/>
        <v>0</v>
      </c>
    </row>
    <row r="213" spans="2:21">
      <c r="B213" s="301" t="s">
        <v>301</v>
      </c>
      <c r="C213" s="429"/>
      <c r="D213" s="429"/>
      <c r="E213" s="429"/>
      <c r="F213" s="429">
        <f t="shared" si="24"/>
        <v>0</v>
      </c>
      <c r="G213" s="429"/>
      <c r="H213" s="429"/>
      <c r="I213" s="429"/>
      <c r="J213" s="429"/>
      <c r="K213" s="429"/>
      <c r="L213" s="429"/>
      <c r="M213" s="429"/>
      <c r="N213" s="429"/>
      <c r="P213" s="429"/>
      <c r="Q213" s="429"/>
      <c r="R213" s="429"/>
    </row>
    <row r="214" spans="2:21">
      <c r="B214" s="272" t="s">
        <v>504</v>
      </c>
      <c r="C214" s="269">
        <v>0</v>
      </c>
      <c r="D214" s="269">
        <v>0</v>
      </c>
      <c r="E214" s="269">
        <v>0</v>
      </c>
      <c r="F214" s="429">
        <f t="shared" si="24"/>
        <v>1</v>
      </c>
      <c r="G214" s="301" t="s">
        <v>103</v>
      </c>
      <c r="H214" s="429"/>
      <c r="I214" s="429"/>
      <c r="J214" s="429"/>
      <c r="K214" s="429"/>
      <c r="L214" s="429"/>
      <c r="M214" s="429"/>
      <c r="N214" s="429"/>
      <c r="P214" s="429"/>
      <c r="Q214" s="429"/>
      <c r="R214" s="429"/>
      <c r="T214" s="269">
        <f t="shared" ref="T214:T218" si="27">IF(P214&gt;$C$2,1,0)</f>
        <v>0</v>
      </c>
      <c r="U214" s="269">
        <f t="shared" ref="U214:U218" si="28">IF(Q214&gt;$C$2,1,0)</f>
        <v>0</v>
      </c>
    </row>
    <row r="215" spans="2:21">
      <c r="B215" s="272" t="s">
        <v>505</v>
      </c>
      <c r="C215" s="269">
        <v>0</v>
      </c>
      <c r="D215" s="269">
        <v>0</v>
      </c>
      <c r="E215" s="269">
        <v>0</v>
      </c>
      <c r="F215" s="429">
        <f t="shared" si="24"/>
        <v>1</v>
      </c>
      <c r="G215" s="292" t="s">
        <v>506</v>
      </c>
      <c r="H215" s="290"/>
      <c r="I215" s="291"/>
      <c r="J215" s="290">
        <v>155787</v>
      </c>
      <c r="K215" s="291">
        <v>0.61</v>
      </c>
      <c r="L215" s="269">
        <f t="shared" ref="L215:L218" si="29">+J215/7</f>
        <v>22255.285714285714</v>
      </c>
      <c r="M215" s="429"/>
      <c r="N215" s="429"/>
      <c r="O215" s="273">
        <v>427</v>
      </c>
      <c r="P215" s="304">
        <f>(+O215*7)/J215</f>
        <v>1.9186453298413859E-2</v>
      </c>
      <c r="Q215" s="429"/>
      <c r="R215" s="429" t="str">
        <f>INDEX(BUSBAR_ALLOC_AdjMar2020!A:A,MATCH(G215,BUSBAR_ALLOC_AdjMar2020!H:H,0))</f>
        <v>Southern_Nevada_Solar</v>
      </c>
      <c r="T215" s="269">
        <f t="shared" si="27"/>
        <v>0</v>
      </c>
      <c r="U215" s="269">
        <f t="shared" si="28"/>
        <v>0</v>
      </c>
    </row>
    <row r="216" spans="2:21">
      <c r="B216" s="272" t="s">
        <v>507</v>
      </c>
      <c r="C216" s="269">
        <v>0</v>
      </c>
      <c r="D216" s="269">
        <v>0</v>
      </c>
      <c r="E216" s="269">
        <v>0</v>
      </c>
      <c r="F216" s="429">
        <f t="shared" si="24"/>
        <v>1</v>
      </c>
      <c r="G216" s="292" t="s">
        <v>508</v>
      </c>
      <c r="H216" s="290"/>
      <c r="I216" s="291"/>
      <c r="J216" s="290">
        <v>42719</v>
      </c>
      <c r="K216" s="291">
        <v>0.17</v>
      </c>
      <c r="L216" s="269">
        <f t="shared" si="29"/>
        <v>6102.7142857142853</v>
      </c>
      <c r="M216" s="429"/>
      <c r="N216" s="429"/>
      <c r="O216" s="273">
        <v>119.00000000000001</v>
      </c>
      <c r="P216" s="304">
        <f>(+O216*7)/J216</f>
        <v>1.9499520119852995E-2</v>
      </c>
      <c r="Q216" s="429"/>
      <c r="R216" s="429" t="str">
        <f>INDEX(BUSBAR_ALLOC_AdjMar2020!A:A,MATCH(G216,BUSBAR_ALLOC_AdjMar2020!H:H,0))</f>
        <v>Southern_Nevada_Solar</v>
      </c>
      <c r="T216" s="269">
        <f t="shared" si="27"/>
        <v>0</v>
      </c>
      <c r="U216" s="269">
        <f t="shared" si="28"/>
        <v>0</v>
      </c>
    </row>
    <row r="217" spans="2:21">
      <c r="B217" s="272" t="s">
        <v>509</v>
      </c>
      <c r="C217" s="269">
        <v>105110.57474114401</v>
      </c>
      <c r="D217" s="269">
        <v>55297.416756976047</v>
      </c>
      <c r="E217" s="269">
        <v>160407.99149812007</v>
      </c>
      <c r="F217" s="429">
        <f t="shared" si="24"/>
        <v>1</v>
      </c>
      <c r="G217" s="292" t="s">
        <v>510</v>
      </c>
      <c r="H217" s="290"/>
      <c r="I217" s="291"/>
      <c r="J217" s="290">
        <v>54904</v>
      </c>
      <c r="K217" s="291">
        <v>0.22</v>
      </c>
      <c r="L217" s="269">
        <f t="shared" si="29"/>
        <v>7843.4285714285716</v>
      </c>
      <c r="M217" s="429"/>
      <c r="N217" s="429"/>
      <c r="O217" s="273">
        <v>154</v>
      </c>
      <c r="P217" s="304">
        <f>(+O217*7)/J217</f>
        <v>1.9634270727087278E-2</v>
      </c>
      <c r="Q217" s="429"/>
      <c r="R217" s="429" t="str">
        <f>INDEX(BUSBAR_ALLOC_AdjMar2020!A:A,MATCH(G217,BUSBAR_ALLOC_AdjMar2020!H:H,0))</f>
        <v>Southern_Nevada_Solar</v>
      </c>
      <c r="T217" s="269">
        <f t="shared" si="27"/>
        <v>0</v>
      </c>
      <c r="U217" s="269">
        <f t="shared" si="28"/>
        <v>0</v>
      </c>
    </row>
    <row r="218" spans="2:21">
      <c r="B218" s="272" t="s">
        <v>511</v>
      </c>
      <c r="C218" s="269">
        <v>834.83570776179135</v>
      </c>
      <c r="D218" s="269">
        <v>0</v>
      </c>
      <c r="E218" s="269">
        <v>834.83570776179135</v>
      </c>
      <c r="F218" s="429">
        <f t="shared" si="24"/>
        <v>1</v>
      </c>
      <c r="G218" s="331" t="s">
        <v>512</v>
      </c>
      <c r="H218" s="290"/>
      <c r="I218" s="291"/>
      <c r="J218" s="290">
        <v>42263</v>
      </c>
      <c r="K218" s="291">
        <v>1</v>
      </c>
      <c r="L218" s="269">
        <f t="shared" si="29"/>
        <v>6037.5714285714284</v>
      </c>
      <c r="M218" s="429"/>
      <c r="N218" s="429"/>
      <c r="O218" s="273">
        <f>248+162</f>
        <v>410</v>
      </c>
      <c r="P218" s="304">
        <f>(+O218*7)/J218</f>
        <v>6.7908099283060838E-2</v>
      </c>
      <c r="Q218" s="429"/>
      <c r="R218" s="429" t="str">
        <f>INDEX(BUSBAR_ALLOC_AdjMar2020!A:A,MATCH(G218,BUSBAR_ALLOC_AdjMar2020!H:H,0))</f>
        <v>Mountain_Pass_El_Dorado_Solar</v>
      </c>
      <c r="T218" s="269">
        <f t="shared" si="27"/>
        <v>0</v>
      </c>
      <c r="U218" s="269">
        <f t="shared" si="28"/>
        <v>0</v>
      </c>
    </row>
    <row r="219" spans="2:21">
      <c r="B219" s="272" t="s">
        <v>513</v>
      </c>
      <c r="C219" s="269">
        <v>0</v>
      </c>
      <c r="D219" s="269">
        <v>0</v>
      </c>
      <c r="E219" s="269">
        <v>0</v>
      </c>
      <c r="F219" s="429">
        <f t="shared" si="24"/>
        <v>0</v>
      </c>
      <c r="G219" s="429"/>
      <c r="H219" s="429"/>
      <c r="I219" s="429"/>
      <c r="J219" s="429"/>
      <c r="K219" s="429"/>
      <c r="L219" s="429"/>
      <c r="M219" s="429"/>
      <c r="N219" s="429"/>
      <c r="P219" s="429"/>
      <c r="Q219" s="429"/>
      <c r="R219" s="429"/>
    </row>
    <row r="220" spans="2:21">
      <c r="B220" s="272" t="s">
        <v>514</v>
      </c>
      <c r="C220" s="269">
        <v>0</v>
      </c>
      <c r="D220" s="269">
        <v>0</v>
      </c>
      <c r="E220" s="269">
        <v>0</v>
      </c>
      <c r="F220" s="429">
        <f t="shared" si="24"/>
        <v>1</v>
      </c>
      <c r="G220" s="301" t="s">
        <v>94</v>
      </c>
      <c r="H220" s="289"/>
      <c r="I220" s="289"/>
      <c r="J220" s="289"/>
      <c r="K220" s="289"/>
      <c r="L220" s="429"/>
      <c r="M220" s="429"/>
      <c r="N220" s="429"/>
      <c r="P220" s="429"/>
      <c r="Q220" s="429"/>
      <c r="R220" s="429"/>
      <c r="T220" s="269">
        <f t="shared" ref="T220:T221" si="30">IF(P220&gt;$C$2,1,0)</f>
        <v>0</v>
      </c>
      <c r="U220" s="269">
        <f t="shared" ref="U220:U221" si="31">IF(Q220&gt;$C$2,1,0)</f>
        <v>0</v>
      </c>
    </row>
    <row r="221" spans="2:21">
      <c r="B221" s="272" t="s">
        <v>515</v>
      </c>
      <c r="C221" s="269">
        <v>89.847516701461302</v>
      </c>
      <c r="D221" s="269">
        <v>20648.216738905547</v>
      </c>
      <c r="E221" s="269">
        <v>20738.064255607009</v>
      </c>
      <c r="F221" s="429">
        <f t="shared" si="24"/>
        <v>1</v>
      </c>
      <c r="G221" s="289" t="s">
        <v>516</v>
      </c>
      <c r="H221" s="290"/>
      <c r="I221" s="291"/>
      <c r="J221" s="290">
        <v>28764</v>
      </c>
      <c r="K221" s="291">
        <v>1</v>
      </c>
      <c r="L221" s="269">
        <f>+J221/7</f>
        <v>4109.1428571428569</v>
      </c>
      <c r="M221" s="429"/>
      <c r="N221" s="429"/>
      <c r="O221" s="273">
        <v>330</v>
      </c>
      <c r="P221" s="304">
        <f>(+O221*7)/J221</f>
        <v>8.0308719232373801E-2</v>
      </c>
      <c r="Q221" s="429"/>
      <c r="R221" s="429" t="str">
        <f>INDEX(BUSBAR_ALLOC_AdjMar2020!A:A,MATCH(G221,BUSBAR_ALLOC_AdjMar2020!H:H,0))</f>
        <v>SCADSNV_Solar</v>
      </c>
      <c r="T221" s="269">
        <f t="shared" si="30"/>
        <v>0</v>
      </c>
      <c r="U221" s="269">
        <f t="shared" si="31"/>
        <v>0</v>
      </c>
    </row>
    <row r="222" spans="2:21">
      <c r="B222" s="272" t="s">
        <v>517</v>
      </c>
      <c r="C222" s="269">
        <v>0</v>
      </c>
      <c r="D222" s="269">
        <v>0</v>
      </c>
      <c r="E222" s="269">
        <v>0</v>
      </c>
      <c r="F222" s="429">
        <f t="shared" si="24"/>
        <v>0</v>
      </c>
      <c r="G222" s="289"/>
      <c r="H222" s="289"/>
      <c r="I222" s="289"/>
      <c r="J222" s="289"/>
      <c r="K222" s="289"/>
      <c r="L222" s="429"/>
      <c r="M222" s="429"/>
      <c r="N222" s="429"/>
      <c r="P222" s="429"/>
      <c r="Q222" s="429"/>
      <c r="R222" s="429"/>
    </row>
    <row r="223" spans="2:21">
      <c r="B223" s="272" t="s">
        <v>518</v>
      </c>
      <c r="C223" s="269">
        <v>0</v>
      </c>
      <c r="D223" s="269">
        <v>3.3699583144307899</v>
      </c>
      <c r="E223" s="269">
        <v>3.3699583144307899</v>
      </c>
      <c r="F223" s="429">
        <f t="shared" si="24"/>
        <v>0</v>
      </c>
      <c r="G223" s="429"/>
      <c r="H223" s="429"/>
      <c r="I223" s="429"/>
      <c r="J223" s="429"/>
      <c r="K223" s="429"/>
      <c r="L223" s="429"/>
      <c r="M223" s="429"/>
      <c r="N223" s="429"/>
      <c r="P223" s="429"/>
      <c r="Q223" s="429"/>
      <c r="R223" s="429"/>
    </row>
    <row r="224" spans="2:21">
      <c r="B224" s="272" t="s">
        <v>519</v>
      </c>
      <c r="C224" s="269">
        <v>0</v>
      </c>
      <c r="D224" s="269">
        <v>0</v>
      </c>
      <c r="E224" s="269">
        <v>0</v>
      </c>
      <c r="F224" s="429">
        <f t="shared" si="24"/>
        <v>0</v>
      </c>
      <c r="G224" s="429"/>
      <c r="H224" s="429"/>
      <c r="I224" s="429"/>
      <c r="J224" s="429"/>
      <c r="K224" s="429"/>
      <c r="L224" s="429"/>
      <c r="M224" s="429"/>
      <c r="N224" s="429"/>
      <c r="P224" s="429"/>
      <c r="Q224" s="429"/>
      <c r="R224" s="429"/>
    </row>
    <row r="225" spans="2:6">
      <c r="B225" s="272" t="s">
        <v>520</v>
      </c>
      <c r="C225" s="269">
        <v>90.292306388102205</v>
      </c>
      <c r="D225" s="269">
        <v>23212.422823900226</v>
      </c>
      <c r="E225" s="269">
        <v>23302.715130288329</v>
      </c>
      <c r="F225" s="429">
        <f t="shared" si="24"/>
        <v>0</v>
      </c>
    </row>
    <row r="226" spans="2:6">
      <c r="B226" s="272" t="s">
        <v>521</v>
      </c>
      <c r="C226" s="269">
        <v>3646.5285301577801</v>
      </c>
      <c r="D226" s="269">
        <v>48488.110498711045</v>
      </c>
      <c r="E226" s="269">
        <v>52134.639028868827</v>
      </c>
      <c r="F226" s="429">
        <f t="shared" si="24"/>
        <v>0</v>
      </c>
    </row>
    <row r="227" spans="2:6">
      <c r="B227" s="272" t="s">
        <v>522</v>
      </c>
      <c r="C227" s="269">
        <v>0</v>
      </c>
      <c r="D227" s="269">
        <v>0</v>
      </c>
      <c r="E227" s="269">
        <v>0</v>
      </c>
      <c r="F227" s="429">
        <f t="shared" si="24"/>
        <v>0</v>
      </c>
    </row>
    <row r="228" spans="2:6">
      <c r="B228" s="272" t="s">
        <v>523</v>
      </c>
      <c r="C228" s="269">
        <v>0</v>
      </c>
      <c r="D228" s="269">
        <v>0</v>
      </c>
      <c r="E228" s="269">
        <v>0</v>
      </c>
      <c r="F228" s="429">
        <f t="shared" si="24"/>
        <v>0</v>
      </c>
    </row>
    <row r="229" spans="2:6">
      <c r="B229" s="272" t="s">
        <v>524</v>
      </c>
      <c r="C229" s="269">
        <v>0</v>
      </c>
      <c r="D229" s="269">
        <v>0</v>
      </c>
      <c r="E229" s="269">
        <v>0</v>
      </c>
      <c r="F229" s="429">
        <f t="shared" si="24"/>
        <v>0</v>
      </c>
    </row>
    <row r="230" spans="2:6">
      <c r="B230" s="272" t="s">
        <v>525</v>
      </c>
      <c r="C230" s="269">
        <v>60.444768331430815</v>
      </c>
      <c r="D230" s="269">
        <v>3.3699583144307899</v>
      </c>
      <c r="E230" s="269">
        <v>63.814726645861604</v>
      </c>
      <c r="F230" s="429">
        <f t="shared" si="24"/>
        <v>0</v>
      </c>
    </row>
    <row r="231" spans="2:6">
      <c r="B231" s="272" t="s">
        <v>526</v>
      </c>
      <c r="C231" s="269">
        <v>0</v>
      </c>
      <c r="D231" s="269">
        <v>0</v>
      </c>
      <c r="E231" s="269">
        <v>0</v>
      </c>
      <c r="F231" s="429">
        <f t="shared" si="24"/>
        <v>0</v>
      </c>
    </row>
    <row r="232" spans="2:6">
      <c r="B232" s="272" t="s">
        <v>527</v>
      </c>
      <c r="C232" s="269">
        <v>0</v>
      </c>
      <c r="D232" s="269">
        <v>0</v>
      </c>
      <c r="E232" s="269">
        <v>0</v>
      </c>
      <c r="F232" s="429">
        <f t="shared" si="24"/>
        <v>0</v>
      </c>
    </row>
    <row r="233" spans="2:6">
      <c r="B233" s="272" t="s">
        <v>528</v>
      </c>
      <c r="C233" s="269">
        <v>0</v>
      </c>
      <c r="D233" s="269">
        <v>0</v>
      </c>
      <c r="E233" s="269">
        <v>0</v>
      </c>
      <c r="F233" s="429">
        <f t="shared" si="24"/>
        <v>0</v>
      </c>
    </row>
    <row r="234" spans="2:6">
      <c r="B234" s="272" t="s">
        <v>529</v>
      </c>
      <c r="C234" s="269">
        <v>0</v>
      </c>
      <c r="D234" s="269">
        <v>0</v>
      </c>
      <c r="E234" s="269">
        <v>0</v>
      </c>
      <c r="F234" s="429">
        <f t="shared" si="24"/>
        <v>0</v>
      </c>
    </row>
    <row r="235" spans="2:6">
      <c r="B235" s="272" t="s">
        <v>530</v>
      </c>
      <c r="C235" s="269">
        <v>121907.73408629795</v>
      </c>
      <c r="D235" s="269">
        <v>24738.773554336487</v>
      </c>
      <c r="E235" s="269">
        <v>146646.50764063443</v>
      </c>
      <c r="F235" s="429">
        <f t="shared" si="24"/>
        <v>0</v>
      </c>
    </row>
    <row r="236" spans="2:6">
      <c r="B236" s="272" t="s">
        <v>479</v>
      </c>
      <c r="C236" s="269">
        <v>183463.27137451095</v>
      </c>
      <c r="D236" s="269">
        <v>152282.02305186464</v>
      </c>
      <c r="E236" s="269">
        <v>335745.29442637559</v>
      </c>
      <c r="F236" s="429">
        <f t="shared" si="24"/>
        <v>0</v>
      </c>
    </row>
    <row r="237" spans="2:6">
      <c r="B237" s="272" t="s">
        <v>531</v>
      </c>
      <c r="C237" s="269">
        <v>175849.82300679878</v>
      </c>
      <c r="D237" s="269">
        <v>76091.560322912977</v>
      </c>
      <c r="E237" s="269">
        <v>251941.38332971174</v>
      </c>
      <c r="F237" s="429">
        <f t="shared" si="24"/>
        <v>0</v>
      </c>
    </row>
    <row r="238" spans="2:6">
      <c r="B238" s="272" t="s">
        <v>401</v>
      </c>
      <c r="C238" s="269">
        <v>449206.5857686433</v>
      </c>
      <c r="D238" s="269">
        <v>549784.88158808846</v>
      </c>
      <c r="E238" s="269">
        <v>998991.46735673177</v>
      </c>
      <c r="F238" s="429">
        <f t="shared" si="24"/>
        <v>0</v>
      </c>
    </row>
    <row r="239" spans="2:6">
      <c r="B239" s="272" t="s">
        <v>532</v>
      </c>
      <c r="C239" s="269">
        <v>28973.303195555152</v>
      </c>
      <c r="D239" s="269">
        <v>12098.187047309728</v>
      </c>
      <c r="E239" s="269">
        <v>41071.490242864878</v>
      </c>
      <c r="F239" s="429">
        <f t="shared" si="24"/>
        <v>0</v>
      </c>
    </row>
    <row r="240" spans="2:6">
      <c r="B240" s="272" t="s">
        <v>533</v>
      </c>
      <c r="C240" s="269">
        <v>110407.07250981563</v>
      </c>
      <c r="D240" s="269">
        <v>14884.700045285863</v>
      </c>
      <c r="E240" s="269">
        <v>125291.77255510149</v>
      </c>
      <c r="F240" s="429">
        <f t="shared" si="24"/>
        <v>0</v>
      </c>
    </row>
    <row r="241" spans="2:6">
      <c r="B241" s="272" t="s">
        <v>534</v>
      </c>
      <c r="C241" s="269">
        <v>0</v>
      </c>
      <c r="D241" s="269">
        <v>0</v>
      </c>
      <c r="E241" s="269">
        <v>0</v>
      </c>
      <c r="F241" s="429">
        <f t="shared" si="24"/>
        <v>0</v>
      </c>
    </row>
    <row r="242" spans="2:6">
      <c r="B242" s="272" t="s">
        <v>535</v>
      </c>
      <c r="C242" s="269">
        <v>0</v>
      </c>
      <c r="D242" s="269">
        <v>0</v>
      </c>
      <c r="E242" s="269">
        <v>0</v>
      </c>
      <c r="F242" s="429">
        <f t="shared" si="24"/>
        <v>0</v>
      </c>
    </row>
    <row r="243" spans="2:6">
      <c r="B243" s="272" t="s">
        <v>536</v>
      </c>
      <c r="C243" s="269">
        <v>18154.177202906361</v>
      </c>
      <c r="D243" s="269">
        <v>19395.37538472145</v>
      </c>
      <c r="E243" s="269">
        <v>37549.552587627812</v>
      </c>
      <c r="F243" s="429">
        <f t="shared" si="24"/>
        <v>0</v>
      </c>
    </row>
    <row r="244" spans="2:6">
      <c r="B244" s="272" t="s">
        <v>537</v>
      </c>
      <c r="C244" s="269">
        <v>0</v>
      </c>
      <c r="D244" s="269">
        <v>0</v>
      </c>
      <c r="E244" s="269">
        <v>0</v>
      </c>
      <c r="F244" s="429">
        <f t="shared" si="24"/>
        <v>0</v>
      </c>
    </row>
    <row r="245" spans="2:6">
      <c r="B245" s="272" t="s">
        <v>538</v>
      </c>
      <c r="C245" s="269">
        <v>176304.67758835293</v>
      </c>
      <c r="D245" s="269">
        <v>44572.427991728262</v>
      </c>
      <c r="E245" s="269">
        <v>220877.1055800812</v>
      </c>
      <c r="F245" s="429">
        <f t="shared" si="24"/>
        <v>0</v>
      </c>
    </row>
    <row r="246" spans="2:6">
      <c r="B246" s="272" t="s">
        <v>539</v>
      </c>
      <c r="C246" s="269">
        <v>0</v>
      </c>
      <c r="D246" s="269">
        <v>0</v>
      </c>
      <c r="E246" s="269">
        <v>0</v>
      </c>
      <c r="F246" s="429">
        <f t="shared" si="24"/>
        <v>0</v>
      </c>
    </row>
    <row r="247" spans="2:6">
      <c r="B247" s="272" t="s">
        <v>540</v>
      </c>
      <c r="C247" s="269">
        <v>0</v>
      </c>
      <c r="D247" s="269">
        <v>0</v>
      </c>
      <c r="E247" s="269">
        <v>0</v>
      </c>
      <c r="F247" s="429">
        <f t="shared" si="24"/>
        <v>0</v>
      </c>
    </row>
    <row r="248" spans="2:6">
      <c r="B248" s="272" t="s">
        <v>541</v>
      </c>
      <c r="C248" s="269">
        <v>60.444768331430815</v>
      </c>
      <c r="D248" s="269">
        <v>13.385398674595969</v>
      </c>
      <c r="E248" s="269">
        <v>73.830167006026784</v>
      </c>
      <c r="F248" s="429">
        <f t="shared" si="24"/>
        <v>0</v>
      </c>
    </row>
    <row r="249" spans="2:6">
      <c r="B249" s="272" t="s">
        <v>542</v>
      </c>
      <c r="C249" s="269">
        <v>60.444768331430815</v>
      </c>
      <c r="D249" s="269">
        <v>8.0743763228174501</v>
      </c>
      <c r="E249" s="269">
        <v>68.519144654248265</v>
      </c>
      <c r="F249" s="429">
        <f t="shared" si="24"/>
        <v>0</v>
      </c>
    </row>
    <row r="250" spans="2:6">
      <c r="B250" s="272" t="s">
        <v>543</v>
      </c>
      <c r="C250" s="269">
        <v>26759.316467533463</v>
      </c>
      <c r="D250" s="269">
        <v>8355.5953512558262</v>
      </c>
      <c r="E250" s="269">
        <v>35114.911818789289</v>
      </c>
      <c r="F250" s="429">
        <f t="shared" si="24"/>
        <v>0</v>
      </c>
    </row>
    <row r="251" spans="2:6">
      <c r="B251" s="272" t="s">
        <v>544</v>
      </c>
      <c r="C251" s="269">
        <v>0</v>
      </c>
      <c r="D251" s="269">
        <v>0</v>
      </c>
      <c r="E251" s="269">
        <v>0</v>
      </c>
      <c r="F251" s="429">
        <f t="shared" si="24"/>
        <v>0</v>
      </c>
    </row>
    <row r="252" spans="2:6">
      <c r="B252" s="272"/>
      <c r="C252" s="269"/>
      <c r="D252" s="269"/>
      <c r="E252" s="269"/>
      <c r="F252" s="429">
        <f t="shared" si="24"/>
        <v>0</v>
      </c>
    </row>
    <row r="253" spans="2:6">
      <c r="B253" s="301" t="s">
        <v>302</v>
      </c>
      <c r="C253" s="429"/>
      <c r="D253" s="429"/>
      <c r="E253" s="429"/>
      <c r="F253" s="429">
        <f t="shared" si="24"/>
        <v>0</v>
      </c>
    </row>
    <row r="254" spans="2:6">
      <c r="B254" s="272" t="s">
        <v>545</v>
      </c>
      <c r="C254" s="269">
        <v>162720.81217475588</v>
      </c>
      <c r="D254" s="269">
        <v>218556.79286252835</v>
      </c>
      <c r="E254" s="269">
        <v>381277.6050372842</v>
      </c>
      <c r="F254" s="429">
        <f t="shared" si="24"/>
        <v>0</v>
      </c>
    </row>
    <row r="255" spans="2:6">
      <c r="B255" s="272" t="s">
        <v>546</v>
      </c>
      <c r="C255" s="269">
        <v>52516.430566597672</v>
      </c>
      <c r="D255" s="269">
        <v>78414.782751393388</v>
      </c>
      <c r="E255" s="269">
        <v>130931.21331799106</v>
      </c>
      <c r="F255" s="429">
        <f t="shared" si="24"/>
        <v>0</v>
      </c>
    </row>
    <row r="256" spans="2:6">
      <c r="B256" s="272" t="s">
        <v>547</v>
      </c>
      <c r="C256" s="269">
        <v>50794.101041764516</v>
      </c>
      <c r="D256" s="269">
        <v>53728.87957268129</v>
      </c>
      <c r="E256" s="269">
        <v>104522.98061444581</v>
      </c>
      <c r="F256" s="429">
        <f t="shared" si="24"/>
        <v>0</v>
      </c>
    </row>
    <row r="257" spans="2:5">
      <c r="B257" s="272"/>
      <c r="C257" s="269"/>
      <c r="D257" s="269"/>
      <c r="E257" s="269"/>
    </row>
    <row r="258" spans="2:5">
      <c r="B258" s="296" t="s">
        <v>212</v>
      </c>
      <c r="C258" s="302">
        <v>28058029.072754096</v>
      </c>
      <c r="D258" s="302">
        <v>21760032.27686435</v>
      </c>
      <c r="E258" s="303">
        <v>49818061.34961845</v>
      </c>
    </row>
  </sheetData>
  <mergeCells count="1">
    <mergeCell ref="AD26:AM26"/>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54274-C367-4495-9D8C-EAF50EEBCE5C}">
  <sheetPr>
    <tabColor rgb="FF0070C0"/>
  </sheetPr>
  <dimension ref="A1:U89"/>
  <sheetViews>
    <sheetView zoomScale="60" zoomScaleNormal="60" workbookViewId="0"/>
  </sheetViews>
  <sheetFormatPr defaultColWidth="11" defaultRowHeight="14.25"/>
  <cols>
    <col min="1" max="1" width="11" style="252" customWidth="1"/>
    <col min="2" max="2" width="4.3984375" style="252" customWidth="1"/>
    <col min="3" max="3" width="36.73046875" style="252" customWidth="1"/>
    <col min="4" max="4" width="11.265625" style="252" bestFit="1" customWidth="1"/>
    <col min="5" max="5" width="10.73046875" style="252" bestFit="1" customWidth="1"/>
    <col min="6" max="6" width="11.1328125" style="252" bestFit="1" customWidth="1"/>
    <col min="7" max="7" width="11.86328125" style="252" bestFit="1" customWidth="1"/>
    <col min="8" max="8" width="12" style="252" bestFit="1" customWidth="1"/>
    <col min="9" max="9" width="12.86328125" style="252" bestFit="1" customWidth="1"/>
    <col min="10" max="10" width="18.265625" style="252" bestFit="1" customWidth="1"/>
    <col min="11" max="11" width="13.265625" style="252" bestFit="1" customWidth="1"/>
    <col min="12" max="12" width="18.73046875" style="252" bestFit="1" customWidth="1"/>
    <col min="13" max="15" width="11" style="252"/>
    <col min="16" max="16" width="35.3984375" style="252" bestFit="1" customWidth="1"/>
    <col min="18" max="18" width="34.86328125" style="252" customWidth="1"/>
    <col min="19" max="16384" width="11" style="252"/>
  </cols>
  <sheetData>
    <row r="1" spans="1:21">
      <c r="A1" s="429" t="s">
        <v>232</v>
      </c>
      <c r="B1" s="429"/>
      <c r="C1" s="429"/>
      <c r="D1" s="309" t="s">
        <v>186</v>
      </c>
      <c r="E1" s="429"/>
      <c r="F1" s="269"/>
      <c r="G1" s="429"/>
      <c r="H1" s="429"/>
      <c r="I1" s="429"/>
      <c r="J1" s="429"/>
      <c r="K1" s="429"/>
      <c r="L1" s="429"/>
      <c r="M1" s="429"/>
      <c r="N1" s="429"/>
      <c r="O1" s="429"/>
      <c r="P1" s="429"/>
      <c r="Q1" s="429"/>
      <c r="R1" s="429"/>
      <c r="S1" s="429"/>
      <c r="T1" s="429"/>
      <c r="U1" s="429"/>
    </row>
    <row r="2" spans="1:21">
      <c r="A2" s="429" t="s">
        <v>234</v>
      </c>
      <c r="B2" s="429"/>
      <c r="C2" s="429"/>
      <c r="D2" s="309">
        <v>0.2</v>
      </c>
      <c r="E2" s="269" t="s">
        <v>310</v>
      </c>
      <c r="F2" s="429"/>
      <c r="G2" s="429"/>
      <c r="H2" s="429"/>
      <c r="I2" s="429"/>
      <c r="J2" s="429"/>
      <c r="K2" s="429"/>
      <c r="L2" s="429"/>
      <c r="M2" s="429"/>
      <c r="N2" s="429"/>
      <c r="O2" s="429"/>
      <c r="P2" s="429"/>
      <c r="Q2" s="429"/>
      <c r="R2" s="429"/>
      <c r="S2" s="429"/>
      <c r="T2" s="429"/>
      <c r="U2" s="429"/>
    </row>
    <row r="3" spans="1:21">
      <c r="A3" s="429" t="s">
        <v>235</v>
      </c>
      <c r="B3" s="429"/>
      <c r="C3" s="429"/>
      <c r="D3" s="269" t="s">
        <v>236</v>
      </c>
      <c r="E3" s="429"/>
      <c r="F3" s="269"/>
      <c r="G3" s="429"/>
      <c r="H3" s="429"/>
      <c r="I3" s="429"/>
      <c r="J3" s="429"/>
      <c r="K3" s="429"/>
      <c r="L3" s="429"/>
      <c r="M3" s="429"/>
      <c r="N3" s="429"/>
      <c r="O3" s="429"/>
      <c r="P3" s="429"/>
      <c r="Q3" s="429"/>
      <c r="R3" s="429"/>
      <c r="S3" s="429"/>
      <c r="T3" s="429"/>
      <c r="U3" s="429"/>
    </row>
    <row r="4" spans="1:21" ht="52.9">
      <c r="A4" s="429"/>
      <c r="B4" s="429"/>
      <c r="C4" s="429"/>
      <c r="D4" s="300" t="s">
        <v>548</v>
      </c>
      <c r="E4" s="300" t="s">
        <v>549</v>
      </c>
      <c r="F4" s="300" t="s">
        <v>550</v>
      </c>
      <c r="G4" s="300" t="s">
        <v>551</v>
      </c>
      <c r="H4" s="327" t="s">
        <v>317</v>
      </c>
      <c r="I4" s="327" t="s">
        <v>320</v>
      </c>
      <c r="J4" s="300" t="s">
        <v>350</v>
      </c>
      <c r="K4" s="300" t="s">
        <v>552</v>
      </c>
      <c r="L4" s="300" t="s">
        <v>553</v>
      </c>
      <c r="M4" s="429"/>
      <c r="N4" s="333" t="str">
        <f>"Criteria Threshold: Exceeds "&amp;$D$2*100&amp;"% (Total)?"</f>
        <v>Criteria Threshold: Exceeds 20% (Total)?</v>
      </c>
      <c r="O4" s="333" t="str">
        <f>"Criteria Threshold: Exceeds "&amp;$D$2*100&amp;"% (Low)?"</f>
        <v>Criteria Threshold: Exceeds 20% (Low)?</v>
      </c>
      <c r="P4" s="333" t="s">
        <v>177</v>
      </c>
      <c r="Q4" s="429"/>
      <c r="R4" s="333" t="s">
        <v>324</v>
      </c>
      <c r="S4" s="333" t="str">
        <f>"Criteria Threshold: Exceeds "&amp;$D$2*100&amp;"% (Total)?"</f>
        <v>Criteria Threshold: Exceeds 20% (Total)?</v>
      </c>
      <c r="T4" s="333" t="str">
        <f>"Criteria Threshold: Exceeds "&amp;$D$2*100&amp;"% (Low)?"</f>
        <v>Criteria Threshold: Exceeds 20% (Low)?</v>
      </c>
      <c r="U4" s="429"/>
    </row>
    <row r="5" spans="1:21">
      <c r="A5" s="429"/>
      <c r="B5" s="429" t="s">
        <v>554</v>
      </c>
      <c r="C5" s="429"/>
      <c r="D5" s="429"/>
      <c r="E5" s="429"/>
      <c r="F5" s="429"/>
      <c r="G5" s="429"/>
      <c r="H5" s="429"/>
      <c r="I5" s="269">
        <v>287</v>
      </c>
      <c r="J5" s="429"/>
      <c r="K5" s="429"/>
      <c r="L5" s="429"/>
      <c r="M5" s="429"/>
      <c r="N5" s="276"/>
      <c r="O5" s="276">
        <f t="shared" ref="O5:O36" si="0">IF(L5&gt;$D$2,1,0)</f>
        <v>0</v>
      </c>
      <c r="P5" s="82" t="s">
        <v>60</v>
      </c>
      <c r="Q5" s="429"/>
      <c r="R5" s="82" t="s">
        <v>60</v>
      </c>
      <c r="S5" s="276">
        <f>IF(SUMIF($P:$P,R5,$N:$N)=0,1,2)</f>
        <v>2</v>
      </c>
      <c r="T5" s="276">
        <f>IF(SUMIF($P:$P,R5,$O:$O)=0,1,2)</f>
        <v>2</v>
      </c>
      <c r="U5" s="429"/>
    </row>
    <row r="6" spans="1:21">
      <c r="A6" s="429"/>
      <c r="B6" s="429"/>
      <c r="C6" s="429" t="s">
        <v>481</v>
      </c>
      <c r="D6" s="270" t="s">
        <v>555</v>
      </c>
      <c r="E6" s="269">
        <v>6729.9533843216032</v>
      </c>
      <c r="F6" s="269">
        <v>24299.829816110032</v>
      </c>
      <c r="G6" s="269">
        <v>31029.783200431637</v>
      </c>
      <c r="H6" s="269">
        <v>288</v>
      </c>
      <c r="I6" s="269"/>
      <c r="J6" s="309">
        <f>+I5/H6</f>
        <v>0.99652777777777779</v>
      </c>
      <c r="K6" s="269">
        <f>+I5*40</f>
        <v>11480</v>
      </c>
      <c r="L6" s="309">
        <f>+K6/+E6</f>
        <v>1.7058067633491065</v>
      </c>
      <c r="M6" s="429"/>
      <c r="N6" s="276">
        <f t="shared" ref="N6:N37" si="1">IF(J6&gt;$D$2,1,0)</f>
        <v>1</v>
      </c>
      <c r="O6" s="276">
        <f t="shared" si="0"/>
        <v>1</v>
      </c>
      <c r="P6" s="82" t="s">
        <v>60</v>
      </c>
      <c r="Q6" s="429"/>
      <c r="R6" s="82" t="s">
        <v>63</v>
      </c>
      <c r="S6" s="276">
        <f t="shared" ref="S6:S11" si="2">IF(SUMIF($P:$P,R6,$N:$N)=0,1,2)</f>
        <v>2</v>
      </c>
      <c r="T6" s="276">
        <f t="shared" ref="T6:T11" si="3">IF(SUMIF($P:$P,R6,$O:$O)=0,1,2)</f>
        <v>2</v>
      </c>
      <c r="U6" s="429"/>
    </row>
    <row r="7" spans="1:21">
      <c r="A7" s="429"/>
      <c r="B7" s="429"/>
      <c r="C7" s="429"/>
      <c r="D7" s="429"/>
      <c r="E7" s="429"/>
      <c r="F7" s="429"/>
      <c r="G7" s="429"/>
      <c r="H7" s="429"/>
      <c r="I7" s="429"/>
      <c r="J7" s="309"/>
      <c r="K7" s="429"/>
      <c r="L7" s="429"/>
      <c r="M7" s="429"/>
      <c r="N7" s="276">
        <f t="shared" si="1"/>
        <v>0</v>
      </c>
      <c r="O7" s="276">
        <f t="shared" si="0"/>
        <v>0</v>
      </c>
      <c r="P7" s="276">
        <f t="shared" ref="P7:P53" si="4">A7</f>
        <v>0</v>
      </c>
      <c r="Q7" s="429"/>
      <c r="R7" s="335" t="s">
        <v>72</v>
      </c>
      <c r="S7" s="276">
        <f t="shared" si="2"/>
        <v>2</v>
      </c>
      <c r="T7" s="276">
        <v>2</v>
      </c>
      <c r="U7" s="429" t="s">
        <v>556</v>
      </c>
    </row>
    <row r="8" spans="1:21">
      <c r="A8" s="429"/>
      <c r="B8" s="429" t="s">
        <v>557</v>
      </c>
      <c r="C8" s="429"/>
      <c r="D8" s="429"/>
      <c r="E8" s="429"/>
      <c r="F8" s="429"/>
      <c r="G8" s="429"/>
      <c r="H8" s="429"/>
      <c r="I8" s="269">
        <v>173</v>
      </c>
      <c r="J8" s="309"/>
      <c r="K8" s="429"/>
      <c r="L8" s="429"/>
      <c r="M8" s="429"/>
      <c r="N8" s="276">
        <f t="shared" si="1"/>
        <v>0</v>
      </c>
      <c r="O8" s="276">
        <f t="shared" si="0"/>
        <v>0</v>
      </c>
      <c r="P8" s="82" t="s">
        <v>63</v>
      </c>
      <c r="Q8" s="429"/>
      <c r="R8" s="335" t="s">
        <v>76</v>
      </c>
      <c r="S8" s="276">
        <f t="shared" si="2"/>
        <v>1</v>
      </c>
      <c r="T8" s="276">
        <f t="shared" si="3"/>
        <v>1</v>
      </c>
      <c r="U8" s="429"/>
    </row>
    <row r="9" spans="1:21">
      <c r="A9" s="429"/>
      <c r="B9" s="429"/>
      <c r="C9" s="429" t="s">
        <v>462</v>
      </c>
      <c r="D9" s="270" t="s">
        <v>558</v>
      </c>
      <c r="E9" s="269">
        <v>16166.129039144009</v>
      </c>
      <c r="F9" s="269">
        <v>23407.34292605818</v>
      </c>
      <c r="G9" s="269">
        <v>39573.471965202189</v>
      </c>
      <c r="H9" s="269">
        <v>170</v>
      </c>
      <c r="I9" s="269"/>
      <c r="J9" s="309">
        <f>+I8/H9</f>
        <v>1.0176470588235293</v>
      </c>
      <c r="K9" s="269">
        <f>+I8*40</f>
        <v>6920</v>
      </c>
      <c r="L9" s="309">
        <f>+K9/+E9</f>
        <v>0.42805547223111934</v>
      </c>
      <c r="M9" s="429"/>
      <c r="N9" s="276">
        <f t="shared" si="1"/>
        <v>1</v>
      </c>
      <c r="O9" s="276">
        <f t="shared" si="0"/>
        <v>1</v>
      </c>
      <c r="P9" s="82" t="s">
        <v>63</v>
      </c>
      <c r="Q9" s="429"/>
      <c r="R9" s="5" t="s">
        <v>83</v>
      </c>
      <c r="S9" s="276">
        <f t="shared" si="2"/>
        <v>2</v>
      </c>
      <c r="T9" s="276">
        <f t="shared" si="3"/>
        <v>1</v>
      </c>
      <c r="U9" s="429"/>
    </row>
    <row r="10" spans="1:21">
      <c r="A10" s="429"/>
      <c r="B10" s="429"/>
      <c r="C10" s="429"/>
      <c r="D10" s="429"/>
      <c r="E10" s="429"/>
      <c r="F10" s="429"/>
      <c r="G10" s="429"/>
      <c r="H10" s="429"/>
      <c r="I10" s="429"/>
      <c r="J10" s="309"/>
      <c r="K10" s="429"/>
      <c r="L10" s="429"/>
      <c r="M10" s="429"/>
      <c r="N10" s="276">
        <f t="shared" si="1"/>
        <v>0</v>
      </c>
      <c r="O10" s="276">
        <f t="shared" si="0"/>
        <v>0</v>
      </c>
      <c r="P10" s="276">
        <f t="shared" si="4"/>
        <v>0</v>
      </c>
      <c r="Q10" s="429"/>
      <c r="R10" s="335" t="s">
        <v>99</v>
      </c>
      <c r="S10" s="276">
        <f t="shared" si="2"/>
        <v>2</v>
      </c>
      <c r="T10" s="276">
        <f t="shared" si="3"/>
        <v>2</v>
      </c>
      <c r="U10" s="429"/>
    </row>
    <row r="11" spans="1:21">
      <c r="A11" s="429"/>
      <c r="B11" s="429" t="s">
        <v>559</v>
      </c>
      <c r="C11" s="429"/>
      <c r="D11" s="429"/>
      <c r="E11" s="429"/>
      <c r="F11" s="429"/>
      <c r="G11" s="429"/>
      <c r="H11" s="429"/>
      <c r="I11" s="269">
        <v>34</v>
      </c>
      <c r="J11" s="309"/>
      <c r="K11" s="429"/>
      <c r="L11" s="429"/>
      <c r="M11" s="429"/>
      <c r="N11" s="276">
        <f t="shared" si="1"/>
        <v>0</v>
      </c>
      <c r="O11" s="276">
        <f t="shared" si="0"/>
        <v>0</v>
      </c>
      <c r="P11" s="335" t="s">
        <v>72</v>
      </c>
      <c r="Q11" s="429"/>
      <c r="R11" s="335" t="s">
        <v>110</v>
      </c>
      <c r="S11" s="276">
        <f t="shared" si="2"/>
        <v>2</v>
      </c>
      <c r="T11" s="276">
        <f t="shared" si="3"/>
        <v>1</v>
      </c>
      <c r="U11" s="429"/>
    </row>
    <row r="12" spans="1:21">
      <c r="A12" s="429"/>
      <c r="B12" s="429"/>
      <c r="C12" s="429" t="s">
        <v>560</v>
      </c>
      <c r="D12" s="270" t="s">
        <v>561</v>
      </c>
      <c r="E12" s="269">
        <v>0</v>
      </c>
      <c r="F12" s="269">
        <v>11414.633136143297</v>
      </c>
      <c r="G12" s="269">
        <v>11414.633136143297</v>
      </c>
      <c r="H12" s="269">
        <v>34</v>
      </c>
      <c r="I12" s="269"/>
      <c r="J12" s="309">
        <f>+H12/H14</f>
        <v>0.5074626865671642</v>
      </c>
      <c r="K12" s="269">
        <v>5022.2</v>
      </c>
      <c r="L12" s="309"/>
      <c r="M12" s="429"/>
      <c r="N12" s="276">
        <f t="shared" si="1"/>
        <v>1</v>
      </c>
      <c r="O12" s="276">
        <f t="shared" si="0"/>
        <v>0</v>
      </c>
      <c r="P12" s="335" t="s">
        <v>72</v>
      </c>
      <c r="Q12" s="429"/>
      <c r="R12" s="276"/>
      <c r="S12" s="276"/>
      <c r="T12" s="276"/>
      <c r="U12" s="429"/>
    </row>
    <row r="13" spans="1:21">
      <c r="A13" s="429"/>
      <c r="B13" s="429"/>
      <c r="C13" s="429"/>
      <c r="D13" s="270" t="s">
        <v>562</v>
      </c>
      <c r="E13" s="269">
        <v>0</v>
      </c>
      <c r="F13" s="269">
        <v>11355.855734668881</v>
      </c>
      <c r="G13" s="269">
        <v>11356.300524355522</v>
      </c>
      <c r="H13" s="269">
        <v>33</v>
      </c>
      <c r="I13" s="429"/>
      <c r="J13" s="309">
        <f>+H13/H14</f>
        <v>0.4925373134328358</v>
      </c>
      <c r="K13" s="269">
        <v>4837.3</v>
      </c>
      <c r="L13" s="429"/>
      <c r="M13" s="429"/>
      <c r="N13" s="276">
        <f t="shared" si="1"/>
        <v>1</v>
      </c>
      <c r="O13" s="276">
        <f t="shared" si="0"/>
        <v>0</v>
      </c>
      <c r="P13" s="335" t="s">
        <v>72</v>
      </c>
      <c r="Q13" s="429"/>
      <c r="R13" s="276"/>
      <c r="S13" s="276"/>
      <c r="T13" s="276"/>
      <c r="U13" s="429"/>
    </row>
    <row r="14" spans="1:21">
      <c r="A14" s="429"/>
      <c r="B14" s="429"/>
      <c r="C14" s="429"/>
      <c r="D14" s="270"/>
      <c r="E14" s="269">
        <f>SUM(E12:E13)</f>
        <v>0</v>
      </c>
      <c r="F14" s="269">
        <f>SUM(F12:F13)</f>
        <v>22770.48887081218</v>
      </c>
      <c r="G14" s="269">
        <f>SUM(G12:G13)</f>
        <v>22770.93366049882</v>
      </c>
      <c r="H14" s="269">
        <f>SUM(H12:H13)</f>
        <v>67</v>
      </c>
      <c r="I14" s="429"/>
      <c r="J14" s="309"/>
      <c r="K14" s="269">
        <f>+I11*40</f>
        <v>1360</v>
      </c>
      <c r="L14" s="309" t="e">
        <f>+K14/+E14</f>
        <v>#DIV/0!</v>
      </c>
      <c r="M14" s="429" t="s">
        <v>563</v>
      </c>
      <c r="N14" s="276">
        <f t="shared" si="1"/>
        <v>0</v>
      </c>
      <c r="O14" s="276" t="e">
        <f t="shared" si="0"/>
        <v>#DIV/0!</v>
      </c>
      <c r="P14" s="335" t="s">
        <v>72</v>
      </c>
      <c r="Q14" s="429"/>
      <c r="R14" s="276"/>
      <c r="S14" s="276"/>
      <c r="T14" s="276"/>
      <c r="U14" s="429"/>
    </row>
    <row r="15" spans="1:21">
      <c r="A15" s="429"/>
      <c r="B15" s="429"/>
      <c r="C15" s="429"/>
      <c r="D15" s="429"/>
      <c r="E15" s="429"/>
      <c r="F15" s="429"/>
      <c r="G15" s="429"/>
      <c r="H15" s="429"/>
      <c r="I15" s="429"/>
      <c r="J15" s="309"/>
      <c r="K15" s="429"/>
      <c r="L15" s="429"/>
      <c r="M15" s="429"/>
      <c r="N15" s="276">
        <f t="shared" si="1"/>
        <v>0</v>
      </c>
      <c r="O15" s="276">
        <f t="shared" si="0"/>
        <v>0</v>
      </c>
      <c r="P15" s="276">
        <f t="shared" si="4"/>
        <v>0</v>
      </c>
      <c r="Q15" s="429"/>
      <c r="R15" s="276"/>
      <c r="S15" s="276"/>
      <c r="T15" s="276"/>
      <c r="U15" s="429"/>
    </row>
    <row r="16" spans="1:21">
      <c r="A16" s="429"/>
      <c r="B16" s="429" t="s">
        <v>564</v>
      </c>
      <c r="C16" s="429"/>
      <c r="D16" s="429"/>
      <c r="E16" s="429"/>
      <c r="F16" s="429"/>
      <c r="G16" s="429"/>
      <c r="H16" s="429"/>
      <c r="I16" s="269">
        <v>60</v>
      </c>
      <c r="J16" s="309"/>
      <c r="K16" s="429"/>
      <c r="L16" s="429"/>
      <c r="M16" s="429"/>
      <c r="N16" s="276">
        <f t="shared" si="1"/>
        <v>0</v>
      </c>
      <c r="O16" s="276">
        <f t="shared" si="0"/>
        <v>0</v>
      </c>
      <c r="P16" s="276">
        <f t="shared" si="4"/>
        <v>0</v>
      </c>
      <c r="Q16" s="429"/>
      <c r="R16" s="276"/>
      <c r="S16" s="276"/>
      <c r="T16" s="276"/>
      <c r="U16" s="429"/>
    </row>
    <row r="17" spans="1:20">
      <c r="A17" s="429"/>
      <c r="B17" s="429"/>
      <c r="C17" s="429" t="s">
        <v>565</v>
      </c>
      <c r="D17" s="270" t="s">
        <v>566</v>
      </c>
      <c r="E17" s="269">
        <v>11176.175471877643</v>
      </c>
      <c r="F17" s="269">
        <v>9449.3402594321124</v>
      </c>
      <c r="G17" s="269">
        <v>20625.515731309755</v>
      </c>
      <c r="H17" s="269">
        <v>69</v>
      </c>
      <c r="I17" s="269"/>
      <c r="J17" s="309">
        <f>+I16/H17</f>
        <v>0.86956521739130432</v>
      </c>
      <c r="K17" s="269">
        <f>+I16*40</f>
        <v>2400</v>
      </c>
      <c r="L17" s="309">
        <f>+K17/+E17</f>
        <v>0.21474251241304018</v>
      </c>
      <c r="M17" s="429"/>
      <c r="N17" s="276">
        <f t="shared" si="1"/>
        <v>1</v>
      </c>
      <c r="O17" s="276">
        <f t="shared" si="0"/>
        <v>1</v>
      </c>
      <c r="P17" s="276">
        <f t="shared" si="4"/>
        <v>0</v>
      </c>
      <c r="Q17" s="429"/>
      <c r="R17" s="276"/>
      <c r="S17" s="276"/>
      <c r="T17" s="276"/>
    </row>
    <row r="18" spans="1:20">
      <c r="A18" s="429"/>
      <c r="B18" s="429"/>
      <c r="C18" s="429"/>
      <c r="D18" s="429"/>
      <c r="E18" s="429"/>
      <c r="F18" s="429"/>
      <c r="G18" s="429"/>
      <c r="H18" s="429"/>
      <c r="I18" s="429"/>
      <c r="J18" s="309"/>
      <c r="K18" s="429"/>
      <c r="L18" s="429"/>
      <c r="M18" s="429"/>
      <c r="N18" s="276">
        <f t="shared" si="1"/>
        <v>0</v>
      </c>
      <c r="O18" s="276">
        <f t="shared" si="0"/>
        <v>0</v>
      </c>
      <c r="P18" s="276">
        <f t="shared" si="4"/>
        <v>0</v>
      </c>
      <c r="Q18" s="429"/>
      <c r="R18" s="429"/>
      <c r="S18" s="429"/>
      <c r="T18" s="429"/>
    </row>
    <row r="19" spans="1:20">
      <c r="A19" s="429"/>
      <c r="B19" s="429" t="s">
        <v>567</v>
      </c>
      <c r="C19" s="429"/>
      <c r="D19" s="429"/>
      <c r="E19" s="429"/>
      <c r="F19" s="429"/>
      <c r="G19" s="429"/>
      <c r="H19" s="429"/>
      <c r="I19" s="269">
        <v>866</v>
      </c>
      <c r="J19" s="309"/>
      <c r="K19" s="429"/>
      <c r="L19" s="429"/>
      <c r="M19" s="429"/>
      <c r="N19" s="276">
        <f t="shared" si="1"/>
        <v>0</v>
      </c>
      <c r="O19" s="276">
        <f t="shared" si="0"/>
        <v>0</v>
      </c>
      <c r="P19" s="5" t="s">
        <v>83</v>
      </c>
      <c r="Q19" s="429"/>
      <c r="R19" s="429"/>
      <c r="S19" s="429"/>
      <c r="T19" s="429"/>
    </row>
    <row r="20" spans="1:20">
      <c r="A20" s="429"/>
      <c r="B20" s="429"/>
      <c r="C20" s="429" t="s">
        <v>374</v>
      </c>
      <c r="D20" s="270" t="s">
        <v>568</v>
      </c>
      <c r="E20" s="269">
        <v>21839.435141431539</v>
      </c>
      <c r="F20" s="269">
        <v>0</v>
      </c>
      <c r="G20" s="269">
        <v>21839.435141431539</v>
      </c>
      <c r="H20" s="269">
        <v>120</v>
      </c>
      <c r="I20" s="429"/>
      <c r="J20" s="309"/>
      <c r="K20" s="269"/>
      <c r="L20" s="429"/>
      <c r="M20" s="429"/>
      <c r="N20" s="276">
        <f t="shared" si="1"/>
        <v>0</v>
      </c>
      <c r="O20" s="276">
        <f t="shared" si="0"/>
        <v>0</v>
      </c>
      <c r="P20" s="5" t="s">
        <v>83</v>
      </c>
      <c r="Q20" s="429"/>
      <c r="R20" s="429"/>
      <c r="S20" s="429"/>
      <c r="T20" s="429"/>
    </row>
    <row r="21" spans="1:20">
      <c r="A21" s="429"/>
      <c r="B21" s="429"/>
      <c r="C21" s="429"/>
      <c r="D21" s="270" t="s">
        <v>569</v>
      </c>
      <c r="E21" s="269">
        <v>32087.194227326061</v>
      </c>
      <c r="F21" s="269">
        <v>0</v>
      </c>
      <c r="G21" s="269">
        <v>32087.194227326061</v>
      </c>
      <c r="H21" s="269">
        <v>166</v>
      </c>
      <c r="I21" s="429"/>
      <c r="J21" s="309"/>
      <c r="K21" s="269"/>
      <c r="L21" s="429"/>
      <c r="M21" s="429"/>
      <c r="N21" s="276">
        <f t="shared" si="1"/>
        <v>0</v>
      </c>
      <c r="O21" s="276">
        <f t="shared" si="0"/>
        <v>0</v>
      </c>
      <c r="P21" s="5" t="s">
        <v>83</v>
      </c>
      <c r="Q21" s="429"/>
      <c r="R21" s="429"/>
      <c r="S21" s="429"/>
      <c r="T21" s="429"/>
    </row>
    <row r="22" spans="1:20">
      <c r="A22" s="429"/>
      <c r="B22" s="429"/>
      <c r="C22" s="429"/>
      <c r="D22" s="270" t="s">
        <v>570</v>
      </c>
      <c r="E22" s="269">
        <v>27505.304551804995</v>
      </c>
      <c r="F22" s="269">
        <v>1796.0502630254914</v>
      </c>
      <c r="G22" s="269">
        <v>29301.354814830487</v>
      </c>
      <c r="H22" s="269">
        <v>149</v>
      </c>
      <c r="I22" s="429"/>
      <c r="J22" s="309"/>
      <c r="K22" s="269"/>
      <c r="L22" s="429"/>
      <c r="M22" s="429"/>
      <c r="N22" s="276">
        <f t="shared" si="1"/>
        <v>0</v>
      </c>
      <c r="O22" s="276">
        <f t="shared" si="0"/>
        <v>0</v>
      </c>
      <c r="P22" s="5" t="s">
        <v>83</v>
      </c>
      <c r="Q22" s="429"/>
      <c r="R22" s="429"/>
      <c r="S22" s="429"/>
      <c r="T22" s="429"/>
    </row>
    <row r="23" spans="1:20">
      <c r="A23" s="429"/>
      <c r="B23" s="429"/>
      <c r="C23" s="429"/>
      <c r="D23" s="270" t="s">
        <v>571</v>
      </c>
      <c r="E23" s="269">
        <v>25021.998849932603</v>
      </c>
      <c r="F23" s="269">
        <v>3740.2999319597325</v>
      </c>
      <c r="G23" s="269">
        <v>28762.298781892336</v>
      </c>
      <c r="H23" s="269">
        <v>168</v>
      </c>
      <c r="I23" s="429"/>
      <c r="J23" s="309"/>
      <c r="K23" s="269"/>
      <c r="L23" s="429"/>
      <c r="M23" s="429"/>
      <c r="N23" s="276">
        <f t="shared" si="1"/>
        <v>0</v>
      </c>
      <c r="O23" s="276">
        <f t="shared" si="0"/>
        <v>0</v>
      </c>
      <c r="P23" s="5" t="s">
        <v>83</v>
      </c>
      <c r="Q23" s="429"/>
      <c r="R23" s="429"/>
      <c r="S23" s="429"/>
      <c r="T23" s="429"/>
    </row>
    <row r="24" spans="1:20">
      <c r="A24" s="429"/>
      <c r="B24" s="429"/>
      <c r="C24" s="429"/>
      <c r="D24" s="270" t="s">
        <v>572</v>
      </c>
      <c r="E24" s="269">
        <v>13114.374645785463</v>
      </c>
      <c r="F24" s="269">
        <v>16735.776448410739</v>
      </c>
      <c r="G24" s="269">
        <v>29850.151094196204</v>
      </c>
      <c r="H24" s="269">
        <v>157</v>
      </c>
      <c r="I24" s="429"/>
      <c r="J24" s="309"/>
      <c r="K24" s="269"/>
      <c r="L24" s="429"/>
      <c r="M24" s="429"/>
      <c r="N24" s="276">
        <f t="shared" si="1"/>
        <v>0</v>
      </c>
      <c r="O24" s="276">
        <f t="shared" si="0"/>
        <v>0</v>
      </c>
      <c r="P24" s="5" t="s">
        <v>83</v>
      </c>
      <c r="Q24" s="429"/>
      <c r="R24" s="429"/>
      <c r="S24" s="429"/>
      <c r="T24" s="429"/>
    </row>
    <row r="25" spans="1:20">
      <c r="A25" s="429"/>
      <c r="B25" s="429"/>
      <c r="C25" s="429"/>
      <c r="D25" s="270" t="s">
        <v>573</v>
      </c>
      <c r="E25" s="269">
        <v>25914.242781438414</v>
      </c>
      <c r="F25" s="269">
        <v>7966.2533509675104</v>
      </c>
      <c r="G25" s="269">
        <v>33880.496132405926</v>
      </c>
      <c r="H25" s="269">
        <v>166</v>
      </c>
      <c r="I25" s="429"/>
      <c r="J25" s="309"/>
      <c r="K25" s="269"/>
      <c r="L25" s="429"/>
      <c r="M25" s="429"/>
      <c r="N25" s="276">
        <f t="shared" si="1"/>
        <v>0</v>
      </c>
      <c r="O25" s="276">
        <f t="shared" si="0"/>
        <v>0</v>
      </c>
      <c r="P25" s="5" t="s">
        <v>83</v>
      </c>
      <c r="Q25" s="429"/>
      <c r="R25" s="429"/>
      <c r="S25" s="429"/>
      <c r="T25" s="429"/>
    </row>
    <row r="26" spans="1:20">
      <c r="A26" s="429"/>
      <c r="B26" s="429"/>
      <c r="C26" s="429"/>
      <c r="D26" s="270" t="s">
        <v>574</v>
      </c>
      <c r="E26" s="269">
        <v>20908.704639336305</v>
      </c>
      <c r="F26" s="269">
        <v>8987.8426589735354</v>
      </c>
      <c r="G26" s="269">
        <v>29896.547298309841</v>
      </c>
      <c r="H26" s="269">
        <v>166</v>
      </c>
      <c r="I26" s="429"/>
      <c r="J26" s="309"/>
      <c r="K26" s="269"/>
      <c r="L26" s="429"/>
      <c r="M26" s="429"/>
      <c r="N26" s="276">
        <f t="shared" si="1"/>
        <v>0</v>
      </c>
      <c r="O26" s="276">
        <f t="shared" si="0"/>
        <v>0</v>
      </c>
      <c r="P26" s="5" t="s">
        <v>83</v>
      </c>
      <c r="Q26" s="429"/>
      <c r="R26" s="429"/>
      <c r="S26" s="429"/>
      <c r="T26" s="429"/>
    </row>
    <row r="27" spans="1:20">
      <c r="A27" s="429"/>
      <c r="B27" s="429"/>
      <c r="C27" s="429"/>
      <c r="D27" s="270" t="s">
        <v>575</v>
      </c>
      <c r="E27" s="269">
        <v>31674.545861914241</v>
      </c>
      <c r="F27" s="269">
        <v>1332.0413438829564</v>
      </c>
      <c r="G27" s="269">
        <v>33006.587205797201</v>
      </c>
      <c r="H27" s="269">
        <v>183</v>
      </c>
      <c r="I27" s="429"/>
      <c r="J27" s="309"/>
      <c r="K27" s="269"/>
      <c r="L27" s="429"/>
      <c r="M27" s="429"/>
      <c r="N27" s="276">
        <f t="shared" si="1"/>
        <v>0</v>
      </c>
      <c r="O27" s="276">
        <f t="shared" si="0"/>
        <v>0</v>
      </c>
      <c r="P27" s="5" t="s">
        <v>83</v>
      </c>
      <c r="Q27" s="429"/>
      <c r="R27" s="429"/>
      <c r="S27" s="429"/>
      <c r="T27" s="429"/>
    </row>
    <row r="28" spans="1:20">
      <c r="A28" s="429"/>
      <c r="B28" s="429"/>
      <c r="C28" s="429"/>
      <c r="D28" s="270" t="s">
        <v>576</v>
      </c>
      <c r="E28" s="269">
        <v>21329.231324669228</v>
      </c>
      <c r="F28" s="269">
        <v>11015.703764841153</v>
      </c>
      <c r="G28" s="269">
        <v>32344.935089510382</v>
      </c>
      <c r="H28" s="269">
        <v>183</v>
      </c>
      <c r="I28" s="429"/>
      <c r="J28" s="309"/>
      <c r="K28" s="269"/>
      <c r="L28" s="429"/>
      <c r="M28" s="429"/>
      <c r="N28" s="276">
        <f t="shared" si="1"/>
        <v>0</v>
      </c>
      <c r="O28" s="276">
        <f t="shared" si="0"/>
        <v>0</v>
      </c>
      <c r="P28" s="5" t="s">
        <v>83</v>
      </c>
      <c r="Q28" s="429"/>
      <c r="R28" s="429"/>
      <c r="S28" s="429"/>
      <c r="T28" s="429"/>
    </row>
    <row r="29" spans="1:20">
      <c r="A29" s="429"/>
      <c r="B29" s="429"/>
      <c r="C29" s="429"/>
      <c r="D29" s="270" t="s">
        <v>577</v>
      </c>
      <c r="E29" s="269">
        <v>17028.330638893563</v>
      </c>
      <c r="F29" s="269">
        <v>12467.31634278666</v>
      </c>
      <c r="G29" s="269">
        <v>29495.646981680224</v>
      </c>
      <c r="H29" s="269">
        <v>166</v>
      </c>
      <c r="I29" s="429"/>
      <c r="J29" s="309"/>
      <c r="K29" s="269"/>
      <c r="L29" s="429"/>
      <c r="M29" s="429"/>
      <c r="N29" s="276">
        <f t="shared" si="1"/>
        <v>0</v>
      </c>
      <c r="O29" s="276">
        <f t="shared" si="0"/>
        <v>0</v>
      </c>
      <c r="P29" s="5" t="s">
        <v>83</v>
      </c>
      <c r="Q29" s="429"/>
      <c r="R29" s="429"/>
      <c r="S29" s="429"/>
      <c r="T29" s="429"/>
    </row>
    <row r="30" spans="1:20">
      <c r="A30" s="429"/>
      <c r="B30" s="429"/>
      <c r="C30" s="429"/>
      <c r="D30" s="270" t="s">
        <v>578</v>
      </c>
      <c r="E30" s="269">
        <v>33870.133921273271</v>
      </c>
      <c r="F30" s="269">
        <v>247.10538146716533</v>
      </c>
      <c r="G30" s="269">
        <v>34117.23930274044</v>
      </c>
      <c r="H30" s="269">
        <v>163</v>
      </c>
      <c r="I30" s="429"/>
      <c r="J30" s="309"/>
      <c r="K30" s="269"/>
      <c r="L30" s="429"/>
      <c r="M30" s="429"/>
      <c r="N30" s="276">
        <f t="shared" si="1"/>
        <v>0</v>
      </c>
      <c r="O30" s="276">
        <f t="shared" si="0"/>
        <v>0</v>
      </c>
      <c r="P30" s="5" t="s">
        <v>83</v>
      </c>
      <c r="Q30" s="429"/>
      <c r="R30" s="429"/>
      <c r="S30" s="429"/>
      <c r="T30" s="429"/>
    </row>
    <row r="31" spans="1:20">
      <c r="A31" s="429"/>
      <c r="B31" s="429"/>
      <c r="C31" s="429"/>
      <c r="D31" s="270" t="s">
        <v>579</v>
      </c>
      <c r="E31" s="269">
        <v>13663.468927414297</v>
      </c>
      <c r="F31" s="269">
        <v>0</v>
      </c>
      <c r="G31" s="269">
        <v>13663.468927414297</v>
      </c>
      <c r="H31" s="269">
        <v>69</v>
      </c>
      <c r="I31" s="429"/>
      <c r="J31" s="309"/>
      <c r="K31" s="269"/>
      <c r="L31" s="429"/>
      <c r="M31" s="429"/>
      <c r="N31" s="276">
        <f t="shared" si="1"/>
        <v>0</v>
      </c>
      <c r="O31" s="276">
        <f t="shared" si="0"/>
        <v>0</v>
      </c>
      <c r="P31" s="5" t="s">
        <v>83</v>
      </c>
      <c r="Q31" s="429"/>
      <c r="R31" s="429"/>
      <c r="S31" s="429"/>
      <c r="T31" s="429"/>
    </row>
    <row r="32" spans="1:20">
      <c r="A32" s="429"/>
      <c r="B32" s="429"/>
      <c r="C32" s="429"/>
      <c r="D32" s="270"/>
      <c r="E32" s="269">
        <f>SUM(E20:E31)</f>
        <v>283956.96551121993</v>
      </c>
      <c r="F32" s="269">
        <f>SUM(F20:F31)</f>
        <v>64288.389486314947</v>
      </c>
      <c r="G32" s="269">
        <f>SUM(G20:G31)</f>
        <v>348245.35499753489</v>
      </c>
      <c r="H32" s="269">
        <f>SUM(H20:H31)</f>
        <v>1856</v>
      </c>
      <c r="I32" s="429">
        <v>400</v>
      </c>
      <c r="J32" s="309">
        <f>+I32/H32</f>
        <v>0.21551724137931033</v>
      </c>
      <c r="K32" s="269">
        <f>+I32*40</f>
        <v>16000</v>
      </c>
      <c r="L32" s="309">
        <f>+K32/+E32</f>
        <v>5.6346566358020177E-2</v>
      </c>
      <c r="M32" s="429"/>
      <c r="N32" s="276">
        <f t="shared" si="1"/>
        <v>1</v>
      </c>
      <c r="O32" s="276">
        <f t="shared" si="0"/>
        <v>0</v>
      </c>
      <c r="P32" s="5" t="s">
        <v>83</v>
      </c>
      <c r="Q32" s="429"/>
      <c r="R32" s="429"/>
      <c r="S32" s="429"/>
      <c r="T32" s="429"/>
    </row>
    <row r="33" spans="1:16">
      <c r="A33" s="429"/>
      <c r="B33" s="429"/>
      <c r="C33" s="429" t="s">
        <v>373</v>
      </c>
      <c r="D33" s="429"/>
      <c r="E33" s="429"/>
      <c r="F33" s="429"/>
      <c r="G33" s="429"/>
      <c r="H33" s="429"/>
      <c r="I33" s="429"/>
      <c r="J33" s="309"/>
      <c r="K33" s="429"/>
      <c r="L33" s="429"/>
      <c r="M33" s="429"/>
      <c r="N33" s="276">
        <f t="shared" si="1"/>
        <v>0</v>
      </c>
      <c r="O33" s="276">
        <f t="shared" si="0"/>
        <v>0</v>
      </c>
      <c r="P33" s="5" t="s">
        <v>83</v>
      </c>
    </row>
    <row r="34" spans="1:16">
      <c r="A34" s="429"/>
      <c r="B34" s="429"/>
      <c r="C34" s="429"/>
      <c r="D34" s="270" t="s">
        <v>580</v>
      </c>
      <c r="E34" s="269">
        <v>6084.8094302061818</v>
      </c>
      <c r="F34" s="269">
        <v>1282.7612221364973</v>
      </c>
      <c r="G34" s="269">
        <v>7367.5706523426788</v>
      </c>
      <c r="H34" s="269">
        <v>38</v>
      </c>
      <c r="I34" s="429"/>
      <c r="J34" s="309"/>
      <c r="K34" s="269"/>
      <c r="L34" s="429"/>
      <c r="M34" s="429"/>
      <c r="N34" s="276">
        <f t="shared" si="1"/>
        <v>0</v>
      </c>
      <c r="O34" s="276">
        <f t="shared" si="0"/>
        <v>0</v>
      </c>
      <c r="P34" s="5" t="s">
        <v>83</v>
      </c>
    </row>
    <row r="35" spans="1:16">
      <c r="A35" s="429"/>
      <c r="B35" s="429"/>
      <c r="C35" s="429"/>
      <c r="D35" s="270" t="s">
        <v>581</v>
      </c>
      <c r="E35" s="269">
        <v>31202.931672264211</v>
      </c>
      <c r="F35" s="269">
        <v>2641.3580084796949</v>
      </c>
      <c r="G35" s="269">
        <v>33844.289680743903</v>
      </c>
      <c r="H35" s="269">
        <v>175</v>
      </c>
      <c r="I35" s="429"/>
      <c r="J35" s="309"/>
      <c r="K35" s="269"/>
      <c r="L35" s="429"/>
      <c r="M35" s="429"/>
      <c r="N35" s="276">
        <f t="shared" si="1"/>
        <v>0</v>
      </c>
      <c r="O35" s="276">
        <f t="shared" si="0"/>
        <v>0</v>
      </c>
      <c r="P35" s="5" t="s">
        <v>83</v>
      </c>
    </row>
    <row r="36" spans="1:16">
      <c r="A36" s="429"/>
      <c r="B36" s="429"/>
      <c r="C36" s="429"/>
      <c r="D36" s="270" t="s">
        <v>582</v>
      </c>
      <c r="E36" s="269">
        <v>29015.876767363541</v>
      </c>
      <c r="F36" s="269">
        <v>0</v>
      </c>
      <c r="G36" s="269">
        <v>29015.876767363541</v>
      </c>
      <c r="H36" s="269">
        <v>222</v>
      </c>
      <c r="I36" s="429"/>
      <c r="J36" s="309"/>
      <c r="K36" s="269"/>
      <c r="L36" s="429"/>
      <c r="M36" s="429"/>
      <c r="N36" s="276">
        <f t="shared" si="1"/>
        <v>0</v>
      </c>
      <c r="O36" s="276">
        <f t="shared" si="0"/>
        <v>0</v>
      </c>
      <c r="P36" s="5" t="s">
        <v>83</v>
      </c>
    </row>
    <row r="37" spans="1:16">
      <c r="A37" s="429"/>
      <c r="B37" s="429"/>
      <c r="C37" s="429"/>
      <c r="D37" s="270"/>
      <c r="E37" s="269">
        <f>SUM(E34:E36)</f>
        <v>66303.617869833935</v>
      </c>
      <c r="F37" s="269">
        <f>SUM(F34:F36)</f>
        <v>3924.119230616192</v>
      </c>
      <c r="G37" s="269">
        <f>SUM(G34:G36)</f>
        <v>70227.737100450118</v>
      </c>
      <c r="H37" s="269">
        <f>SUM(H34:H36)</f>
        <v>435</v>
      </c>
      <c r="I37" s="429">
        <v>94</v>
      </c>
      <c r="J37" s="309">
        <f>+I37/H37</f>
        <v>0.2160919540229885</v>
      </c>
      <c r="K37" s="269">
        <f>+I37*40</f>
        <v>3760</v>
      </c>
      <c r="L37" s="309">
        <f>+K37/+E37</f>
        <v>5.6708821038718639E-2</v>
      </c>
      <c r="M37" s="429"/>
      <c r="N37" s="276">
        <f t="shared" si="1"/>
        <v>1</v>
      </c>
      <c r="O37" s="276">
        <f t="shared" ref="O37:O68" si="5">IF(L37&gt;$D$2,1,0)</f>
        <v>0</v>
      </c>
      <c r="P37" s="5" t="s">
        <v>83</v>
      </c>
    </row>
    <row r="38" spans="1:16">
      <c r="A38" s="429"/>
      <c r="B38" s="429"/>
      <c r="C38" s="429" t="s">
        <v>381</v>
      </c>
      <c r="D38" s="429"/>
      <c r="E38" s="429"/>
      <c r="F38" s="429"/>
      <c r="G38" s="429"/>
      <c r="H38" s="269"/>
      <c r="I38" s="429"/>
      <c r="J38" s="309"/>
      <c r="K38" s="429"/>
      <c r="L38" s="429"/>
      <c r="M38" s="429"/>
      <c r="N38" s="276">
        <f t="shared" ref="N38:N69" si="6">IF(J38&gt;$D$2,1,0)</f>
        <v>0</v>
      </c>
      <c r="O38" s="276">
        <f t="shared" si="5"/>
        <v>0</v>
      </c>
      <c r="P38" s="5" t="s">
        <v>83</v>
      </c>
    </row>
    <row r="39" spans="1:16">
      <c r="A39" s="429"/>
      <c r="B39" s="429"/>
      <c r="C39" s="429"/>
      <c r="D39" s="270" t="s">
        <v>583</v>
      </c>
      <c r="E39" s="269">
        <v>32608.752896109567</v>
      </c>
      <c r="F39" s="269">
        <v>0</v>
      </c>
      <c r="G39" s="269">
        <v>32608.752896109567</v>
      </c>
      <c r="H39" s="269">
        <v>182</v>
      </c>
      <c r="I39" s="429"/>
      <c r="J39" s="309"/>
      <c r="K39" s="269"/>
      <c r="L39" s="429"/>
      <c r="M39" s="429"/>
      <c r="N39" s="276">
        <f t="shared" si="6"/>
        <v>0</v>
      </c>
      <c r="O39" s="276">
        <f t="shared" si="5"/>
        <v>0</v>
      </c>
      <c r="P39" s="5" t="s">
        <v>83</v>
      </c>
    </row>
    <row r="40" spans="1:16">
      <c r="A40" s="429"/>
      <c r="B40" s="429"/>
      <c r="C40" s="429"/>
      <c r="D40" s="270" t="s">
        <v>584</v>
      </c>
      <c r="E40" s="269">
        <v>29609.261655793736</v>
      </c>
      <c r="F40" s="269">
        <v>0</v>
      </c>
      <c r="G40" s="269">
        <v>29609.261655793736</v>
      </c>
      <c r="H40" s="269">
        <v>172</v>
      </c>
      <c r="I40" s="429"/>
      <c r="J40" s="309"/>
      <c r="K40" s="269"/>
      <c r="L40" s="429"/>
      <c r="M40" s="429"/>
      <c r="N40" s="276">
        <f t="shared" si="6"/>
        <v>0</v>
      </c>
      <c r="O40" s="276">
        <f t="shared" si="5"/>
        <v>0</v>
      </c>
      <c r="P40" s="5" t="s">
        <v>83</v>
      </c>
    </row>
    <row r="41" spans="1:16">
      <c r="A41" s="429"/>
      <c r="B41" s="429"/>
      <c r="C41" s="429"/>
      <c r="D41" s="270" t="s">
        <v>585</v>
      </c>
      <c r="E41" s="269">
        <v>30953.456099171446</v>
      </c>
      <c r="F41" s="269">
        <v>377.02512918250022</v>
      </c>
      <c r="G41" s="269">
        <v>31330.481228353947</v>
      </c>
      <c r="H41" s="269">
        <v>174</v>
      </c>
      <c r="I41" s="429"/>
      <c r="J41" s="309"/>
      <c r="K41" s="269"/>
      <c r="L41" s="429"/>
      <c r="M41" s="429"/>
      <c r="N41" s="276">
        <f t="shared" si="6"/>
        <v>0</v>
      </c>
      <c r="O41" s="276">
        <f t="shared" si="5"/>
        <v>0</v>
      </c>
      <c r="P41" s="5" t="s">
        <v>83</v>
      </c>
    </row>
    <row r="42" spans="1:16">
      <c r="A42" s="429"/>
      <c r="B42" s="429"/>
      <c r="C42" s="429"/>
      <c r="D42" s="270" t="s">
        <v>586</v>
      </c>
      <c r="E42" s="269">
        <v>23422.030474452276</v>
      </c>
      <c r="F42" s="269">
        <v>0</v>
      </c>
      <c r="G42" s="269">
        <v>23422.030474452276</v>
      </c>
      <c r="H42" s="269">
        <v>138</v>
      </c>
      <c r="I42" s="429"/>
      <c r="J42" s="309"/>
      <c r="K42" s="269"/>
      <c r="L42" s="429"/>
      <c r="M42" s="429"/>
      <c r="N42" s="276">
        <f t="shared" si="6"/>
        <v>0</v>
      </c>
      <c r="O42" s="276">
        <f t="shared" si="5"/>
        <v>0</v>
      </c>
      <c r="P42" s="5" t="s">
        <v>83</v>
      </c>
    </row>
    <row r="43" spans="1:16">
      <c r="A43" s="429"/>
      <c r="B43" s="429"/>
      <c r="C43" s="429"/>
      <c r="D43" s="270" t="s">
        <v>587</v>
      </c>
      <c r="E43" s="269">
        <v>31228.978344504452</v>
      </c>
      <c r="F43" s="269">
        <v>633.89198344747638</v>
      </c>
      <c r="G43" s="269">
        <v>31862.870327951929</v>
      </c>
      <c r="H43" s="269">
        <v>172</v>
      </c>
      <c r="I43" s="429"/>
      <c r="J43" s="309"/>
      <c r="K43" s="269"/>
      <c r="L43" s="429"/>
      <c r="M43" s="429"/>
      <c r="N43" s="276">
        <f t="shared" si="6"/>
        <v>0</v>
      </c>
      <c r="O43" s="276">
        <f t="shared" si="5"/>
        <v>0</v>
      </c>
      <c r="P43" s="5" t="s">
        <v>83</v>
      </c>
    </row>
    <row r="44" spans="1:16">
      <c r="A44" s="429"/>
      <c r="B44" s="429"/>
      <c r="C44" s="429"/>
      <c r="D44" s="270" t="s">
        <v>588</v>
      </c>
      <c r="E44" s="269">
        <v>16889.058319684718</v>
      </c>
      <c r="F44" s="269">
        <v>0</v>
      </c>
      <c r="G44" s="269">
        <v>16889.058319684718</v>
      </c>
      <c r="H44" s="269">
        <v>96</v>
      </c>
      <c r="I44" s="429"/>
      <c r="J44" s="309"/>
      <c r="K44" s="269"/>
      <c r="L44" s="429"/>
      <c r="M44" s="429"/>
      <c r="N44" s="276">
        <f t="shared" si="6"/>
        <v>0</v>
      </c>
      <c r="O44" s="276">
        <f t="shared" si="5"/>
        <v>0</v>
      </c>
      <c r="P44" s="5" t="s">
        <v>83</v>
      </c>
    </row>
    <row r="45" spans="1:16">
      <c r="A45" s="429"/>
      <c r="B45" s="429"/>
      <c r="C45" s="429"/>
      <c r="D45" s="270"/>
      <c r="E45" s="269">
        <f>SUM(E39:E44)</f>
        <v>164711.53778971621</v>
      </c>
      <c r="F45" s="269">
        <f>SUM(F39:F44)</f>
        <v>1010.9171126299766</v>
      </c>
      <c r="G45" s="269">
        <f>SUM(G39:G44)</f>
        <v>165722.45490234619</v>
      </c>
      <c r="H45" s="271">
        <f>SUM(H39:H44)</f>
        <v>934</v>
      </c>
      <c r="I45" s="429">
        <v>201</v>
      </c>
      <c r="J45" s="309">
        <f>+I45/H45</f>
        <v>0.21520342612419699</v>
      </c>
      <c r="K45" s="269">
        <f>+I45*40</f>
        <v>8040</v>
      </c>
      <c r="L45" s="309">
        <f>+K45/+E45</f>
        <v>4.8812609656188749E-2</v>
      </c>
      <c r="M45" s="429"/>
      <c r="N45" s="276">
        <f t="shared" si="6"/>
        <v>1</v>
      </c>
      <c r="O45" s="276">
        <f t="shared" si="5"/>
        <v>0</v>
      </c>
      <c r="P45" s="5" t="s">
        <v>83</v>
      </c>
    </row>
    <row r="46" spans="1:16">
      <c r="A46" s="429"/>
      <c r="B46" s="429"/>
      <c r="C46" s="429" t="s">
        <v>379</v>
      </c>
      <c r="D46" s="429"/>
      <c r="E46" s="429"/>
      <c r="F46" s="429"/>
      <c r="G46" s="429"/>
      <c r="H46" s="429"/>
      <c r="I46" s="429"/>
      <c r="J46" s="309"/>
      <c r="K46" s="429"/>
      <c r="L46" s="429"/>
      <c r="M46" s="429"/>
      <c r="N46" s="276">
        <f t="shared" si="6"/>
        <v>0</v>
      </c>
      <c r="O46" s="276">
        <f t="shared" si="5"/>
        <v>0</v>
      </c>
      <c r="P46" s="5" t="s">
        <v>83</v>
      </c>
    </row>
    <row r="47" spans="1:16">
      <c r="A47" s="429"/>
      <c r="B47" s="429"/>
      <c r="C47" s="429"/>
      <c r="D47" s="270" t="s">
        <v>589</v>
      </c>
      <c r="E47" s="269">
        <v>30714.344080807627</v>
      </c>
      <c r="F47" s="269">
        <v>0</v>
      </c>
      <c r="G47" s="269">
        <v>30714.344080807627</v>
      </c>
      <c r="H47" s="271">
        <v>176</v>
      </c>
      <c r="I47" s="429"/>
      <c r="J47" s="309"/>
      <c r="K47" s="269"/>
      <c r="L47" s="429"/>
      <c r="M47" s="429"/>
      <c r="N47" s="276">
        <f t="shared" si="6"/>
        <v>0</v>
      </c>
      <c r="O47" s="276">
        <f t="shared" si="5"/>
        <v>0</v>
      </c>
      <c r="P47" s="5" t="s">
        <v>83</v>
      </c>
    </row>
    <row r="48" spans="1:16">
      <c r="A48" s="429"/>
      <c r="B48" s="429"/>
      <c r="C48" s="429"/>
      <c r="D48" s="270" t="s">
        <v>590</v>
      </c>
      <c r="E48" s="269">
        <v>29002.073237094231</v>
      </c>
      <c r="F48" s="269">
        <v>0</v>
      </c>
      <c r="G48" s="269">
        <v>29002.073237094231</v>
      </c>
      <c r="H48" s="271">
        <v>172</v>
      </c>
      <c r="I48" s="429"/>
      <c r="J48" s="309"/>
      <c r="K48" s="269"/>
      <c r="L48" s="429"/>
      <c r="M48" s="429"/>
      <c r="N48" s="276">
        <f t="shared" si="6"/>
        <v>0</v>
      </c>
      <c r="O48" s="276">
        <f t="shared" si="5"/>
        <v>0</v>
      </c>
      <c r="P48" s="5" t="s">
        <v>83</v>
      </c>
    </row>
    <row r="49" spans="1:16">
      <c r="A49" s="429"/>
      <c r="B49" s="429"/>
      <c r="C49" s="429"/>
      <c r="D49" s="270" t="s">
        <v>591</v>
      </c>
      <c r="E49" s="269">
        <v>35294.390417414863</v>
      </c>
      <c r="F49" s="269">
        <v>0</v>
      </c>
      <c r="G49" s="269">
        <v>35294.390417414863</v>
      </c>
      <c r="H49" s="271">
        <v>181</v>
      </c>
      <c r="I49" s="429"/>
      <c r="J49" s="309"/>
      <c r="K49" s="269"/>
      <c r="L49" s="429"/>
      <c r="M49" s="429"/>
      <c r="N49" s="276">
        <f t="shared" si="6"/>
        <v>0</v>
      </c>
      <c r="O49" s="276">
        <f t="shared" si="5"/>
        <v>0</v>
      </c>
      <c r="P49" s="5" t="s">
        <v>83</v>
      </c>
    </row>
    <row r="50" spans="1:16">
      <c r="A50" s="429"/>
      <c r="B50" s="429"/>
      <c r="C50" s="429"/>
      <c r="D50" s="270" t="s">
        <v>592</v>
      </c>
      <c r="E50" s="269">
        <v>30267.312715389304</v>
      </c>
      <c r="F50" s="269">
        <v>0</v>
      </c>
      <c r="G50" s="269">
        <v>30267.312715389304</v>
      </c>
      <c r="H50" s="271">
        <v>160</v>
      </c>
      <c r="I50" s="429"/>
      <c r="J50" s="309"/>
      <c r="K50" s="269"/>
      <c r="L50" s="429"/>
      <c r="M50" s="429"/>
      <c r="N50" s="276">
        <f t="shared" si="6"/>
        <v>0</v>
      </c>
      <c r="O50" s="276">
        <f t="shared" si="5"/>
        <v>0</v>
      </c>
      <c r="P50" s="5" t="s">
        <v>83</v>
      </c>
    </row>
    <row r="51" spans="1:16">
      <c r="A51" s="429"/>
      <c r="B51" s="429"/>
      <c r="C51" s="429"/>
      <c r="D51" s="270" t="s">
        <v>593</v>
      </c>
      <c r="E51" s="269">
        <v>20227.93461006241</v>
      </c>
      <c r="F51" s="269">
        <v>0</v>
      </c>
      <c r="G51" s="269">
        <v>20227.93461006241</v>
      </c>
      <c r="H51" s="271">
        <v>107</v>
      </c>
      <c r="I51" s="429"/>
      <c r="J51" s="309"/>
      <c r="K51" s="269"/>
      <c r="L51" s="429"/>
      <c r="M51" s="429"/>
      <c r="N51" s="276">
        <f t="shared" si="6"/>
        <v>0</v>
      </c>
      <c r="O51" s="276">
        <f t="shared" si="5"/>
        <v>0</v>
      </c>
      <c r="P51" s="5" t="s">
        <v>83</v>
      </c>
    </row>
    <row r="52" spans="1:16">
      <c r="A52" s="429"/>
      <c r="B52" s="429"/>
      <c r="C52" s="429"/>
      <c r="D52" s="429"/>
      <c r="E52" s="271">
        <f>SUM(E47:E51)</f>
        <v>145506.05506076844</v>
      </c>
      <c r="F52" s="271">
        <f>SUM(F47:F51)</f>
        <v>0</v>
      </c>
      <c r="G52" s="271">
        <f>SUM(G47:G51)</f>
        <v>145506.05506076844</v>
      </c>
      <c r="H52" s="271">
        <f>SUM(H47:H51)</f>
        <v>796</v>
      </c>
      <c r="I52" s="429">
        <v>171</v>
      </c>
      <c r="J52" s="309">
        <f>+I52/H52</f>
        <v>0.21482412060301506</v>
      </c>
      <c r="K52" s="269">
        <f>+I52*40</f>
        <v>6840</v>
      </c>
      <c r="L52" s="309">
        <f>+K52/+E52</f>
        <v>4.7008353000453321E-2</v>
      </c>
      <c r="M52" s="429"/>
      <c r="N52" s="276">
        <f t="shared" si="6"/>
        <v>1</v>
      </c>
      <c r="O52" s="276">
        <f t="shared" si="5"/>
        <v>0</v>
      </c>
      <c r="P52" s="5" t="s">
        <v>83</v>
      </c>
    </row>
    <row r="53" spans="1:16">
      <c r="A53" s="429"/>
      <c r="B53" s="429"/>
      <c r="C53" s="429"/>
      <c r="D53" s="429"/>
      <c r="E53" s="429"/>
      <c r="F53" s="429"/>
      <c r="G53" s="429"/>
      <c r="H53" s="271"/>
      <c r="I53" s="429"/>
      <c r="J53" s="309"/>
      <c r="K53" s="429"/>
      <c r="L53" s="429"/>
      <c r="M53" s="429"/>
      <c r="N53" s="276">
        <f t="shared" si="6"/>
        <v>0</v>
      </c>
      <c r="O53" s="276">
        <f t="shared" si="5"/>
        <v>0</v>
      </c>
      <c r="P53" s="276">
        <f t="shared" si="4"/>
        <v>0</v>
      </c>
    </row>
    <row r="54" spans="1:16">
      <c r="A54" s="429"/>
      <c r="B54" s="429" t="s">
        <v>594</v>
      </c>
      <c r="C54" s="429"/>
      <c r="D54" s="429"/>
      <c r="E54" s="429"/>
      <c r="F54" s="429"/>
      <c r="G54" s="429"/>
      <c r="H54" s="429"/>
      <c r="I54" s="429"/>
      <c r="J54" s="309"/>
      <c r="K54" s="429"/>
      <c r="L54" s="429"/>
      <c r="M54" s="429"/>
      <c r="N54" s="276">
        <f t="shared" si="6"/>
        <v>0</v>
      </c>
      <c r="O54" s="276">
        <f t="shared" si="5"/>
        <v>0</v>
      </c>
      <c r="P54" s="335" t="s">
        <v>99</v>
      </c>
    </row>
    <row r="55" spans="1:16">
      <c r="A55" s="429"/>
      <c r="B55" s="429"/>
      <c r="C55" s="429" t="s">
        <v>397</v>
      </c>
      <c r="D55" s="270" t="s">
        <v>595</v>
      </c>
      <c r="E55" s="269">
        <v>2361.3655511324555</v>
      </c>
      <c r="F55" s="269">
        <v>15002.799132090946</v>
      </c>
      <c r="G55" s="269">
        <v>17364.1646832234</v>
      </c>
      <c r="H55" s="269">
        <v>71</v>
      </c>
      <c r="I55" s="429"/>
      <c r="J55" s="309"/>
      <c r="K55" s="269"/>
      <c r="L55" s="429"/>
      <c r="M55" s="429"/>
      <c r="N55" s="276">
        <f t="shared" si="6"/>
        <v>0</v>
      </c>
      <c r="O55" s="276">
        <f t="shared" si="5"/>
        <v>0</v>
      </c>
      <c r="P55" s="335" t="s">
        <v>99</v>
      </c>
    </row>
    <row r="56" spans="1:16">
      <c r="A56" s="429"/>
      <c r="B56" s="429"/>
      <c r="C56" s="429"/>
      <c r="D56" s="270" t="s">
        <v>596</v>
      </c>
      <c r="E56" s="269">
        <v>2393.1548432306558</v>
      </c>
      <c r="F56" s="269">
        <v>29048.76353801712</v>
      </c>
      <c r="G56" s="269">
        <v>31441.918381247775</v>
      </c>
      <c r="H56" s="269">
        <v>166</v>
      </c>
      <c r="I56" s="429"/>
      <c r="J56" s="309"/>
      <c r="K56" s="269"/>
      <c r="L56" s="429"/>
      <c r="M56" s="429"/>
      <c r="N56" s="276">
        <f t="shared" si="6"/>
        <v>0</v>
      </c>
      <c r="O56" s="276">
        <f t="shared" si="5"/>
        <v>0</v>
      </c>
      <c r="P56" s="335" t="s">
        <v>99</v>
      </c>
    </row>
    <row r="57" spans="1:16">
      <c r="A57" s="429"/>
      <c r="B57" s="429"/>
      <c r="C57" s="429"/>
      <c r="D57" s="270" t="s">
        <v>597</v>
      </c>
      <c r="E57" s="269">
        <v>7207.3104234363564</v>
      </c>
      <c r="F57" s="269">
        <v>8590.8880830288563</v>
      </c>
      <c r="G57" s="269">
        <v>15798.198506465213</v>
      </c>
      <c r="H57" s="269">
        <v>70</v>
      </c>
      <c r="I57" s="429"/>
      <c r="J57" s="309"/>
      <c r="K57" s="269"/>
      <c r="L57" s="429"/>
      <c r="M57" s="429"/>
      <c r="N57" s="276">
        <f t="shared" si="6"/>
        <v>0</v>
      </c>
      <c r="O57" s="276">
        <f t="shared" si="5"/>
        <v>0</v>
      </c>
      <c r="P57" s="335" t="s">
        <v>99</v>
      </c>
    </row>
    <row r="58" spans="1:16">
      <c r="A58" s="429"/>
      <c r="B58" s="429"/>
      <c r="C58" s="429"/>
      <c r="D58" s="270" t="s">
        <v>598</v>
      </c>
      <c r="E58" s="269">
        <v>2948.0119096309327</v>
      </c>
      <c r="F58" s="269">
        <v>31570.523344888647</v>
      </c>
      <c r="G58" s="269">
        <v>34518.535254519578</v>
      </c>
      <c r="H58" s="269">
        <v>146</v>
      </c>
      <c r="I58" s="429"/>
      <c r="J58" s="309"/>
      <c r="K58" s="269"/>
      <c r="L58" s="429"/>
      <c r="M58" s="429"/>
      <c r="N58" s="276">
        <f t="shared" si="6"/>
        <v>0</v>
      </c>
      <c r="O58" s="276">
        <f t="shared" si="5"/>
        <v>0</v>
      </c>
      <c r="P58" s="335" t="s">
        <v>99</v>
      </c>
    </row>
    <row r="59" spans="1:16">
      <c r="A59" s="429"/>
      <c r="B59" s="429"/>
      <c r="C59" s="429"/>
      <c r="D59" s="270" t="s">
        <v>599</v>
      </c>
      <c r="E59" s="269">
        <v>4625.9770632600048</v>
      </c>
      <c r="F59" s="269">
        <v>26007.499424845402</v>
      </c>
      <c r="G59" s="269">
        <v>30633.476488105407</v>
      </c>
      <c r="H59" s="269">
        <v>117</v>
      </c>
      <c r="I59" s="429"/>
      <c r="J59" s="309"/>
      <c r="K59" s="269"/>
      <c r="L59" s="429"/>
      <c r="M59" s="429"/>
      <c r="N59" s="276">
        <f t="shared" si="6"/>
        <v>0</v>
      </c>
      <c r="O59" s="276">
        <f t="shared" si="5"/>
        <v>0</v>
      </c>
      <c r="P59" s="335" t="s">
        <v>99</v>
      </c>
    </row>
    <row r="60" spans="1:16">
      <c r="A60" s="429"/>
      <c r="B60" s="429"/>
      <c r="C60" s="429"/>
      <c r="D60" s="270" t="s">
        <v>600</v>
      </c>
      <c r="E60" s="269">
        <v>4046.7783208535038</v>
      </c>
      <c r="F60" s="269">
        <v>26316.155600783837</v>
      </c>
      <c r="G60" s="269">
        <v>30362.933921637341</v>
      </c>
      <c r="H60" s="269">
        <v>136</v>
      </c>
      <c r="I60" s="429"/>
      <c r="J60" s="309"/>
      <c r="K60" s="269"/>
      <c r="L60" s="429"/>
      <c r="M60" s="429"/>
      <c r="N60" s="276">
        <f t="shared" si="6"/>
        <v>0</v>
      </c>
      <c r="O60" s="276">
        <f t="shared" si="5"/>
        <v>0</v>
      </c>
      <c r="P60" s="335" t="s">
        <v>99</v>
      </c>
    </row>
    <row r="61" spans="1:16">
      <c r="A61" s="429"/>
      <c r="B61" s="429"/>
      <c r="C61" s="429"/>
      <c r="D61" s="270"/>
      <c r="E61" s="269">
        <f>SUM(E55:E60)</f>
        <v>23582.59811154391</v>
      </c>
      <c r="F61" s="269">
        <f>SUM(F55:F60)</f>
        <v>136536.6291236548</v>
      </c>
      <c r="G61" s="269">
        <f>SUM(G55:G60)</f>
        <v>160119.22723519869</v>
      </c>
      <c r="H61" s="271">
        <f>SUM(H55:H60)</f>
        <v>706</v>
      </c>
      <c r="I61" s="429">
        <v>227</v>
      </c>
      <c r="J61" s="309">
        <f>+I61/H61</f>
        <v>0.32152974504249293</v>
      </c>
      <c r="K61" s="269">
        <f>+I61*40</f>
        <v>9080</v>
      </c>
      <c r="L61" s="309">
        <f>+K61/+E61</f>
        <v>0.38502967133020227</v>
      </c>
      <c r="M61" s="429"/>
      <c r="N61" s="276">
        <f t="shared" si="6"/>
        <v>1</v>
      </c>
      <c r="O61" s="276">
        <f t="shared" si="5"/>
        <v>1</v>
      </c>
      <c r="P61" s="335" t="s">
        <v>99</v>
      </c>
    </row>
    <row r="62" spans="1:16">
      <c r="A62" s="429"/>
      <c r="B62" s="429"/>
      <c r="C62" s="429" t="s">
        <v>418</v>
      </c>
      <c r="D62" s="429"/>
      <c r="E62" s="429"/>
      <c r="F62" s="429"/>
      <c r="G62" s="429"/>
      <c r="H62" s="429"/>
      <c r="I62" s="429"/>
      <c r="J62" s="309"/>
      <c r="K62" s="429"/>
      <c r="L62" s="429"/>
      <c r="M62" s="429"/>
      <c r="N62" s="276">
        <f t="shared" si="6"/>
        <v>0</v>
      </c>
      <c r="O62" s="276">
        <f t="shared" si="5"/>
        <v>0</v>
      </c>
      <c r="P62" s="335" t="s">
        <v>99</v>
      </c>
    </row>
    <row r="63" spans="1:16">
      <c r="A63" s="429"/>
      <c r="B63" s="429"/>
      <c r="C63" s="429"/>
      <c r="D63" s="270" t="s">
        <v>601</v>
      </c>
      <c r="E63" s="269">
        <v>3479.210561586171</v>
      </c>
      <c r="F63" s="269">
        <v>13204.937158866182</v>
      </c>
      <c r="G63" s="269">
        <v>16684.147720452354</v>
      </c>
      <c r="H63" s="271">
        <v>22</v>
      </c>
      <c r="I63" s="429"/>
      <c r="J63" s="309"/>
      <c r="K63" s="269"/>
      <c r="L63" s="429"/>
      <c r="M63" s="429"/>
      <c r="N63" s="276">
        <f t="shared" si="6"/>
        <v>0</v>
      </c>
      <c r="O63" s="276">
        <f t="shared" si="5"/>
        <v>0</v>
      </c>
      <c r="P63" s="335" t="s">
        <v>99</v>
      </c>
    </row>
    <row r="64" spans="1:16">
      <c r="A64" s="429"/>
      <c r="B64" s="429"/>
      <c r="C64" s="429"/>
      <c r="D64" s="270" t="s">
        <v>602</v>
      </c>
      <c r="E64" s="269">
        <v>5958.7605912175286</v>
      </c>
      <c r="F64" s="269">
        <v>19351.327427002358</v>
      </c>
      <c r="G64" s="269">
        <v>25310.088018219885</v>
      </c>
      <c r="H64" s="271">
        <v>50</v>
      </c>
      <c r="I64" s="429"/>
      <c r="J64" s="309"/>
      <c r="K64" s="269"/>
      <c r="L64" s="429"/>
      <c r="M64" s="429"/>
      <c r="N64" s="276">
        <f t="shared" si="6"/>
        <v>0</v>
      </c>
      <c r="O64" s="276">
        <f t="shared" si="5"/>
        <v>0</v>
      </c>
      <c r="P64" s="335" t="s">
        <v>99</v>
      </c>
    </row>
    <row r="65" spans="1:16">
      <c r="A65" s="429"/>
      <c r="B65" s="429"/>
      <c r="C65" s="429"/>
      <c r="D65" s="270"/>
      <c r="E65" s="269">
        <f>SUM(E63:E64)</f>
        <v>9437.9711528037005</v>
      </c>
      <c r="F65" s="269">
        <f>SUM(F63:F64)</f>
        <v>32556.264585868539</v>
      </c>
      <c r="G65" s="269">
        <f>SUM(G63:G64)</f>
        <v>41994.235738672243</v>
      </c>
      <c r="H65" s="271">
        <f>SUM(H63:H64)</f>
        <v>72</v>
      </c>
      <c r="I65" s="429">
        <v>23</v>
      </c>
      <c r="J65" s="309">
        <f>+I65/H65</f>
        <v>0.31944444444444442</v>
      </c>
      <c r="K65" s="269">
        <f>+I65*40</f>
        <v>920</v>
      </c>
      <c r="L65" s="309">
        <f>+K65/+E65</f>
        <v>9.7478577239208802E-2</v>
      </c>
      <c r="M65" s="429"/>
      <c r="N65" s="276">
        <f t="shared" si="6"/>
        <v>1</v>
      </c>
      <c r="O65" s="276">
        <f t="shared" si="5"/>
        <v>0</v>
      </c>
      <c r="P65" s="335" t="s">
        <v>99</v>
      </c>
    </row>
    <row r="66" spans="1:16">
      <c r="A66" s="429"/>
      <c r="B66" s="429"/>
      <c r="C66" s="429" t="s">
        <v>603</v>
      </c>
      <c r="D66" s="429"/>
      <c r="E66" s="429"/>
      <c r="F66" s="429"/>
      <c r="G66" s="429"/>
      <c r="H66" s="429"/>
      <c r="I66" s="429"/>
      <c r="J66" s="309"/>
      <c r="K66" s="429"/>
      <c r="L66" s="429"/>
      <c r="M66" s="429"/>
      <c r="N66" s="276">
        <f t="shared" si="6"/>
        <v>0</v>
      </c>
      <c r="O66" s="276">
        <f t="shared" si="5"/>
        <v>0</v>
      </c>
      <c r="P66" s="335" t="s">
        <v>99</v>
      </c>
    </row>
    <row r="67" spans="1:16">
      <c r="A67" s="429"/>
      <c r="B67" s="429"/>
      <c r="C67" s="429"/>
      <c r="D67" s="270" t="s">
        <v>604</v>
      </c>
      <c r="E67" s="269">
        <v>11733.265097532023</v>
      </c>
      <c r="F67" s="269">
        <v>20668.716763797514</v>
      </c>
      <c r="G67" s="269">
        <v>32401.981861329536</v>
      </c>
      <c r="H67" s="269">
        <v>86</v>
      </c>
      <c r="I67" s="429"/>
      <c r="J67" s="309"/>
      <c r="K67" s="269"/>
      <c r="L67" s="429"/>
      <c r="M67" s="429"/>
      <c r="N67" s="276">
        <f t="shared" si="6"/>
        <v>0</v>
      </c>
      <c r="O67" s="276">
        <f t="shared" si="5"/>
        <v>0</v>
      </c>
      <c r="P67" s="335" t="s">
        <v>99</v>
      </c>
    </row>
    <row r="68" spans="1:16">
      <c r="A68" s="429"/>
      <c r="B68" s="429"/>
      <c r="C68" s="429"/>
      <c r="D68" s="270" t="s">
        <v>605</v>
      </c>
      <c r="E68" s="269">
        <v>23098.390159047009</v>
      </c>
      <c r="F68" s="269">
        <v>11485.509005062142</v>
      </c>
      <c r="G68" s="269">
        <v>34583.899164109149</v>
      </c>
      <c r="H68" s="269">
        <v>114</v>
      </c>
      <c r="I68" s="429"/>
      <c r="J68" s="309"/>
      <c r="K68" s="269"/>
      <c r="L68" s="429"/>
      <c r="M68" s="429"/>
      <c r="N68" s="276">
        <f t="shared" si="6"/>
        <v>0</v>
      </c>
      <c r="O68" s="276">
        <f t="shared" si="5"/>
        <v>0</v>
      </c>
      <c r="P68" s="335" t="s">
        <v>99</v>
      </c>
    </row>
    <row r="69" spans="1:16">
      <c r="A69" s="429"/>
      <c r="B69" s="429"/>
      <c r="C69" s="429"/>
      <c r="D69" s="270" t="s">
        <v>606</v>
      </c>
      <c r="E69" s="269">
        <v>30872.384933196121</v>
      </c>
      <c r="F69" s="269">
        <v>0</v>
      </c>
      <c r="G69" s="269">
        <v>30872.384933196121</v>
      </c>
      <c r="H69" s="269">
        <v>77</v>
      </c>
      <c r="I69" s="429"/>
      <c r="J69" s="309"/>
      <c r="K69" s="269"/>
      <c r="L69" s="429"/>
      <c r="M69" s="429"/>
      <c r="N69" s="276">
        <f t="shared" si="6"/>
        <v>0</v>
      </c>
      <c r="O69" s="276">
        <f t="shared" ref="O69:O89" si="7">IF(L69&gt;$D$2,1,0)</f>
        <v>0</v>
      </c>
      <c r="P69" s="335" t="s">
        <v>99</v>
      </c>
    </row>
    <row r="70" spans="1:16">
      <c r="A70" s="429"/>
      <c r="B70" s="429"/>
      <c r="C70" s="429"/>
      <c r="D70" s="270" t="s">
        <v>607</v>
      </c>
      <c r="E70" s="269">
        <v>34973.082645059374</v>
      </c>
      <c r="F70" s="269">
        <v>573.80619169914576</v>
      </c>
      <c r="G70" s="269">
        <v>35546.888836758517</v>
      </c>
      <c r="H70" s="269">
        <v>80</v>
      </c>
      <c r="I70" s="429"/>
      <c r="J70" s="309"/>
      <c r="K70" s="269"/>
      <c r="L70" s="429"/>
      <c r="M70" s="429"/>
      <c r="N70" s="276">
        <f t="shared" ref="N70:N89" si="8">IF(J70&gt;$D$2,1,0)</f>
        <v>0</v>
      </c>
      <c r="O70" s="276">
        <f t="shared" si="7"/>
        <v>0</v>
      </c>
      <c r="P70" s="335" t="s">
        <v>99</v>
      </c>
    </row>
    <row r="71" spans="1:16">
      <c r="A71" s="429"/>
      <c r="B71" s="429"/>
      <c r="C71" s="429"/>
      <c r="D71" s="270" t="s">
        <v>608</v>
      </c>
      <c r="E71" s="269">
        <v>32773.45537188126</v>
      </c>
      <c r="F71" s="269">
        <v>3679.0070111753271</v>
      </c>
      <c r="G71" s="269">
        <v>36452.462383056591</v>
      </c>
      <c r="H71" s="269">
        <v>89</v>
      </c>
      <c r="I71" s="429"/>
      <c r="J71" s="309"/>
      <c r="K71" s="269"/>
      <c r="L71" s="429"/>
      <c r="M71" s="429"/>
      <c r="N71" s="276">
        <f t="shared" si="8"/>
        <v>0</v>
      </c>
      <c r="O71" s="276">
        <f t="shared" si="7"/>
        <v>0</v>
      </c>
      <c r="P71" s="335" t="s">
        <v>99</v>
      </c>
    </row>
    <row r="72" spans="1:16">
      <c r="A72" s="429"/>
      <c r="B72" s="429"/>
      <c r="C72" s="429"/>
      <c r="D72" s="270" t="s">
        <v>609</v>
      </c>
      <c r="E72" s="269">
        <v>29812.553209965838</v>
      </c>
      <c r="F72" s="269">
        <v>6243.4008648009794</v>
      </c>
      <c r="G72" s="269">
        <v>36055.954074766814</v>
      </c>
      <c r="H72" s="269">
        <v>85</v>
      </c>
      <c r="I72" s="429"/>
      <c r="J72" s="309"/>
      <c r="K72" s="269"/>
      <c r="L72" s="429"/>
      <c r="M72" s="429"/>
      <c r="N72" s="276">
        <f t="shared" si="8"/>
        <v>0</v>
      </c>
      <c r="O72" s="276">
        <f t="shared" si="7"/>
        <v>0</v>
      </c>
      <c r="P72" s="335" t="s">
        <v>99</v>
      </c>
    </row>
    <row r="73" spans="1:16">
      <c r="A73" s="429"/>
      <c r="B73" s="429"/>
      <c r="C73" s="429"/>
      <c r="D73" s="270"/>
      <c r="E73" s="269">
        <f>SUM(E67:E72)</f>
        <v>163263.13141668163</v>
      </c>
      <c r="F73" s="269">
        <f>SUM(F67:F72)</f>
        <v>42650.439836535108</v>
      </c>
      <c r="G73" s="269">
        <f>SUM(G67:G72)</f>
        <v>205913.57125321674</v>
      </c>
      <c r="H73" s="271">
        <f>SUM(H67:H72)</f>
        <v>531</v>
      </c>
      <c r="I73" s="429">
        <v>171</v>
      </c>
      <c r="J73" s="309">
        <f>+I73/H73</f>
        <v>0.32203389830508472</v>
      </c>
      <c r="K73" s="269">
        <f>+I73*40</f>
        <v>6840</v>
      </c>
      <c r="L73" s="309">
        <f>+K73/+E73</f>
        <v>4.1895558051884295E-2</v>
      </c>
      <c r="M73" s="429"/>
      <c r="N73" s="276">
        <f t="shared" si="8"/>
        <v>1</v>
      </c>
      <c r="O73" s="276">
        <f t="shared" si="7"/>
        <v>0</v>
      </c>
      <c r="P73" s="335" t="s">
        <v>99</v>
      </c>
    </row>
    <row r="74" spans="1:16">
      <c r="A74" s="429"/>
      <c r="B74" s="429"/>
      <c r="C74" s="429" t="s">
        <v>610</v>
      </c>
      <c r="D74" s="429"/>
      <c r="E74" s="429"/>
      <c r="F74" s="429"/>
      <c r="G74" s="429"/>
      <c r="H74" s="429"/>
      <c r="I74" s="429"/>
      <c r="J74" s="309"/>
      <c r="K74" s="429"/>
      <c r="L74" s="429"/>
      <c r="M74" s="429"/>
      <c r="N74" s="276">
        <f t="shared" si="8"/>
        <v>0</v>
      </c>
      <c r="O74" s="276">
        <f t="shared" si="7"/>
        <v>0</v>
      </c>
      <c r="P74" s="335" t="s">
        <v>99</v>
      </c>
    </row>
    <row r="75" spans="1:16">
      <c r="A75" s="429"/>
      <c r="B75" s="429"/>
      <c r="C75" s="429"/>
      <c r="D75" s="270" t="s">
        <v>611</v>
      </c>
      <c r="E75" s="269">
        <v>28653.815557446909</v>
      </c>
      <c r="F75" s="269">
        <v>5619.5353785039206</v>
      </c>
      <c r="G75" s="269">
        <v>34273.350935950832</v>
      </c>
      <c r="H75" s="271">
        <v>82</v>
      </c>
      <c r="I75" s="429"/>
      <c r="J75" s="309"/>
      <c r="K75" s="269"/>
      <c r="L75" s="429"/>
      <c r="M75" s="429"/>
      <c r="N75" s="276">
        <f t="shared" si="8"/>
        <v>0</v>
      </c>
      <c r="O75" s="276">
        <f t="shared" si="7"/>
        <v>0</v>
      </c>
      <c r="P75" s="335" t="s">
        <v>99</v>
      </c>
    </row>
    <row r="76" spans="1:16">
      <c r="A76" s="429"/>
      <c r="B76" s="429"/>
      <c r="C76" s="429"/>
      <c r="D76" s="270" t="s">
        <v>612</v>
      </c>
      <c r="E76" s="269">
        <v>10020.746960566852</v>
      </c>
      <c r="F76" s="269">
        <v>4704.632622121243</v>
      </c>
      <c r="G76" s="269">
        <v>14725.379582688096</v>
      </c>
      <c r="H76" s="271">
        <v>34</v>
      </c>
      <c r="I76" s="429"/>
      <c r="J76" s="309"/>
      <c r="K76" s="269"/>
      <c r="L76" s="429"/>
      <c r="M76" s="429"/>
      <c r="N76" s="276">
        <f t="shared" si="8"/>
        <v>0</v>
      </c>
      <c r="O76" s="276">
        <f t="shared" si="7"/>
        <v>0</v>
      </c>
      <c r="P76" s="335" t="s">
        <v>99</v>
      </c>
    </row>
    <row r="77" spans="1:16">
      <c r="A77" s="429"/>
      <c r="B77" s="429"/>
      <c r="C77" s="429"/>
      <c r="D77" s="270" t="s">
        <v>613</v>
      </c>
      <c r="E77" s="269">
        <v>38048.726031212202</v>
      </c>
      <c r="F77" s="269">
        <v>3368.0093280847896</v>
      </c>
      <c r="G77" s="269">
        <v>41416.735359296988</v>
      </c>
      <c r="H77" s="271">
        <v>88</v>
      </c>
      <c r="I77" s="429"/>
      <c r="J77" s="309"/>
      <c r="K77" s="269"/>
      <c r="L77" s="429"/>
      <c r="M77" s="429"/>
      <c r="N77" s="276">
        <f t="shared" si="8"/>
        <v>0</v>
      </c>
      <c r="O77" s="276">
        <f t="shared" si="7"/>
        <v>0</v>
      </c>
      <c r="P77" s="335" t="s">
        <v>99</v>
      </c>
    </row>
    <row r="78" spans="1:16">
      <c r="A78" s="429"/>
      <c r="B78" s="429"/>
      <c r="C78" s="429"/>
      <c r="D78" s="270" t="s">
        <v>614</v>
      </c>
      <c r="E78" s="269">
        <v>22115.523806502446</v>
      </c>
      <c r="F78" s="269">
        <v>689.47691957262612</v>
      </c>
      <c r="G78" s="269">
        <v>22805.000726075072</v>
      </c>
      <c r="H78" s="271">
        <v>57</v>
      </c>
      <c r="I78" s="429"/>
      <c r="J78" s="309"/>
      <c r="K78" s="269"/>
      <c r="L78" s="429"/>
      <c r="M78" s="429"/>
      <c r="N78" s="276">
        <f t="shared" si="8"/>
        <v>0</v>
      </c>
      <c r="O78" s="276">
        <f t="shared" si="7"/>
        <v>0</v>
      </c>
      <c r="P78" s="335" t="s">
        <v>99</v>
      </c>
    </row>
    <row r="79" spans="1:16">
      <c r="A79" s="429"/>
      <c r="B79" s="429"/>
      <c r="C79" s="429"/>
      <c r="D79" s="270"/>
      <c r="E79" s="269">
        <f>SUM(E75:E78)</f>
        <v>98838.812355728398</v>
      </c>
      <c r="F79" s="269">
        <f>SUM(F75:F78)</f>
        <v>14381.654248282579</v>
      </c>
      <c r="G79" s="269">
        <f>SUM(G75:G78)</f>
        <v>113220.46660401099</v>
      </c>
      <c r="H79" s="271">
        <f>SUM(H75:H78)</f>
        <v>261</v>
      </c>
      <c r="I79" s="429">
        <v>84</v>
      </c>
      <c r="J79" s="309">
        <f>+I79/H79</f>
        <v>0.32183908045977011</v>
      </c>
      <c r="K79" s="269">
        <f>+I79*40</f>
        <v>3360</v>
      </c>
      <c r="L79" s="309">
        <f>+K79/+E79</f>
        <v>3.3994742752544466E-2</v>
      </c>
      <c r="M79" s="429"/>
      <c r="N79" s="276">
        <f t="shared" si="8"/>
        <v>1</v>
      </c>
      <c r="O79" s="276">
        <f t="shared" si="7"/>
        <v>0</v>
      </c>
      <c r="P79" s="335" t="s">
        <v>99</v>
      </c>
    </row>
    <row r="80" spans="1:16">
      <c r="A80" s="429"/>
      <c r="B80" s="429"/>
      <c r="C80" s="429" t="s">
        <v>399</v>
      </c>
      <c r="D80" s="429"/>
      <c r="E80" s="429"/>
      <c r="F80" s="429"/>
      <c r="G80" s="429"/>
      <c r="H80" s="429"/>
      <c r="I80" s="429"/>
      <c r="J80" s="309"/>
      <c r="K80" s="429"/>
      <c r="L80" s="429"/>
      <c r="M80" s="429"/>
      <c r="N80" s="276">
        <f t="shared" si="8"/>
        <v>0</v>
      </c>
      <c r="O80" s="276">
        <f t="shared" si="7"/>
        <v>0</v>
      </c>
      <c r="P80" s="335" t="s">
        <v>99</v>
      </c>
    </row>
    <row r="81" spans="1:16">
      <c r="A81" s="429"/>
      <c r="B81" s="429"/>
      <c r="C81" s="429"/>
      <c r="D81" s="270" t="s">
        <v>615</v>
      </c>
      <c r="E81" s="269">
        <v>5792.3906355823447</v>
      </c>
      <c r="F81" s="269">
        <v>16974.662138195152</v>
      </c>
      <c r="G81" s="269">
        <v>22767.052773777497</v>
      </c>
      <c r="H81" s="271">
        <v>35</v>
      </c>
      <c r="I81" s="429"/>
      <c r="J81" s="309"/>
      <c r="K81" s="269"/>
      <c r="L81" s="429"/>
      <c r="M81" s="429"/>
      <c r="N81" s="276">
        <f t="shared" si="8"/>
        <v>0</v>
      </c>
      <c r="O81" s="276">
        <f t="shared" si="7"/>
        <v>0</v>
      </c>
      <c r="P81" s="335" t="s">
        <v>99</v>
      </c>
    </row>
    <row r="82" spans="1:16">
      <c r="A82" s="429"/>
      <c r="B82" s="429"/>
      <c r="C82" s="429"/>
      <c r="D82" s="270" t="s">
        <v>616</v>
      </c>
      <c r="E82" s="269">
        <v>15567.898321851108</v>
      </c>
      <c r="F82" s="269">
        <v>23209.473068498992</v>
      </c>
      <c r="G82" s="269">
        <v>38777.371390350097</v>
      </c>
      <c r="H82" s="271">
        <v>79</v>
      </c>
      <c r="I82" s="429"/>
      <c r="J82" s="309"/>
      <c r="K82" s="269"/>
      <c r="L82" s="429"/>
      <c r="M82" s="429"/>
      <c r="N82" s="276">
        <f t="shared" si="8"/>
        <v>0</v>
      </c>
      <c r="O82" s="276">
        <f t="shared" si="7"/>
        <v>0</v>
      </c>
      <c r="P82" s="335" t="s">
        <v>99</v>
      </c>
    </row>
    <row r="83" spans="1:16">
      <c r="A83" s="429"/>
      <c r="B83" s="429"/>
      <c r="C83" s="429"/>
      <c r="D83" s="270"/>
      <c r="E83" s="269">
        <f>SUM(E81:E82)</f>
        <v>21360.288957433451</v>
      </c>
      <c r="F83" s="269">
        <f>SUM(F81:F82)</f>
        <v>40184.135206694147</v>
      </c>
      <c r="G83" s="269">
        <f>SUM(G81:G82)</f>
        <v>61544.424164127595</v>
      </c>
      <c r="H83" s="271">
        <f>SUM(H81:H82)</f>
        <v>114</v>
      </c>
      <c r="I83" s="429">
        <v>37</v>
      </c>
      <c r="J83" s="310">
        <f>+I83/H83</f>
        <v>0.32456140350877194</v>
      </c>
      <c r="K83" s="269">
        <f>+I83*40</f>
        <v>1480</v>
      </c>
      <c r="L83" s="309">
        <f>+K83/+E83</f>
        <v>6.9287452194552596E-2</v>
      </c>
      <c r="M83" s="429"/>
      <c r="N83" s="276">
        <f t="shared" si="8"/>
        <v>1</v>
      </c>
      <c r="O83" s="276">
        <f t="shared" si="7"/>
        <v>0</v>
      </c>
      <c r="P83" s="335" t="s">
        <v>99</v>
      </c>
    </row>
    <row r="84" spans="1:16">
      <c r="A84" s="429"/>
      <c r="B84" s="429"/>
      <c r="C84" s="429"/>
      <c r="D84" s="270"/>
      <c r="E84" s="269"/>
      <c r="F84" s="269"/>
      <c r="G84" s="269"/>
      <c r="H84" s="429"/>
      <c r="I84" s="429"/>
      <c r="J84" s="309"/>
      <c r="K84" s="429"/>
      <c r="L84" s="429"/>
      <c r="M84" s="429"/>
      <c r="N84" s="276">
        <f t="shared" si="8"/>
        <v>0</v>
      </c>
      <c r="O84" s="276">
        <f t="shared" si="7"/>
        <v>0</v>
      </c>
      <c r="P84" s="276">
        <f t="shared" ref="P84" si="9">A84</f>
        <v>0</v>
      </c>
    </row>
    <row r="85" spans="1:16">
      <c r="A85" s="429"/>
      <c r="B85" s="429" t="s">
        <v>617</v>
      </c>
      <c r="C85" s="429"/>
      <c r="D85" s="429"/>
      <c r="E85" s="429"/>
      <c r="F85" s="429"/>
      <c r="G85" s="429"/>
      <c r="H85" s="429"/>
      <c r="I85" s="429"/>
      <c r="J85" s="309"/>
      <c r="K85" s="429"/>
      <c r="L85" s="429"/>
      <c r="M85" s="429"/>
      <c r="N85" s="276">
        <f t="shared" si="8"/>
        <v>0</v>
      </c>
      <c r="O85" s="276">
        <f t="shared" si="7"/>
        <v>0</v>
      </c>
      <c r="P85" s="335" t="s">
        <v>110</v>
      </c>
    </row>
    <row r="86" spans="1:16">
      <c r="A86" s="429"/>
      <c r="B86" s="429"/>
      <c r="C86" s="429" t="s">
        <v>503</v>
      </c>
      <c r="D86" s="270" t="s">
        <v>618</v>
      </c>
      <c r="E86" s="269">
        <v>13670.799781397584</v>
      </c>
      <c r="F86" s="269">
        <v>16116.601484760806</v>
      </c>
      <c r="G86" s="269">
        <v>29787.401266158391</v>
      </c>
      <c r="H86" s="269">
        <v>128</v>
      </c>
      <c r="I86" s="429"/>
      <c r="J86" s="309"/>
      <c r="K86" s="269"/>
      <c r="L86" s="429"/>
      <c r="M86" s="429"/>
      <c r="N86" s="276">
        <f t="shared" si="8"/>
        <v>0</v>
      </c>
      <c r="O86" s="276">
        <f t="shared" si="7"/>
        <v>0</v>
      </c>
      <c r="P86" s="335" t="s">
        <v>110</v>
      </c>
    </row>
    <row r="87" spans="1:16">
      <c r="A87" s="429"/>
      <c r="B87" s="429"/>
      <c r="C87" s="429"/>
      <c r="D87" s="270" t="s">
        <v>619</v>
      </c>
      <c r="E87" s="269">
        <v>12435.830012118753</v>
      </c>
      <c r="F87" s="269">
        <v>922.29792498386655</v>
      </c>
      <c r="G87" s="269">
        <v>13358.127937102619</v>
      </c>
      <c r="H87" s="269">
        <v>86</v>
      </c>
      <c r="I87" s="429"/>
      <c r="J87" s="309"/>
      <c r="K87" s="269"/>
      <c r="L87" s="429"/>
      <c r="M87" s="429"/>
      <c r="N87" s="276">
        <f t="shared" si="8"/>
        <v>0</v>
      </c>
      <c r="O87" s="276">
        <f t="shared" si="7"/>
        <v>0</v>
      </c>
      <c r="P87" s="335" t="s">
        <v>110</v>
      </c>
    </row>
    <row r="88" spans="1:16">
      <c r="A88" s="429"/>
      <c r="B88" s="429"/>
      <c r="C88" s="429"/>
      <c r="D88" s="270" t="s">
        <v>620</v>
      </c>
      <c r="E88" s="269">
        <v>30641.678194337284</v>
      </c>
      <c r="F88" s="269">
        <v>1300.9199076165623</v>
      </c>
      <c r="G88" s="269">
        <v>31942.598101953845</v>
      </c>
      <c r="H88" s="269">
        <v>138</v>
      </c>
      <c r="I88" s="429"/>
      <c r="J88" s="309"/>
      <c r="K88" s="269"/>
      <c r="L88" s="429"/>
      <c r="M88" s="429"/>
      <c r="N88" s="276">
        <f t="shared" si="8"/>
        <v>0</v>
      </c>
      <c r="O88" s="276">
        <f t="shared" si="7"/>
        <v>0</v>
      </c>
      <c r="P88" s="335" t="s">
        <v>110</v>
      </c>
    </row>
    <row r="89" spans="1:16">
      <c r="A89" s="429"/>
      <c r="B89" s="429"/>
      <c r="C89" s="429"/>
      <c r="D89" s="429"/>
      <c r="E89" s="271">
        <f>SUM(E86:E88)</f>
        <v>56748.307987853623</v>
      </c>
      <c r="F89" s="271">
        <f>SUM(F86:F88)</f>
        <v>18339.819317361238</v>
      </c>
      <c r="G89" s="271">
        <f>SUM(G86:G88)</f>
        <v>75088.127305214846</v>
      </c>
      <c r="H89" s="271">
        <f>SUM(H86:H88)</f>
        <v>352</v>
      </c>
      <c r="I89" s="429">
        <v>275</v>
      </c>
      <c r="J89" s="310">
        <f>+I89/H89</f>
        <v>0.78125</v>
      </c>
      <c r="K89" s="269">
        <f>+I89*40</f>
        <v>11000</v>
      </c>
      <c r="L89" s="309">
        <f>+K89/+E89</f>
        <v>0.19383837844741439</v>
      </c>
      <c r="M89" s="429"/>
      <c r="N89" s="276">
        <f t="shared" si="8"/>
        <v>1</v>
      </c>
      <c r="O89" s="276">
        <f t="shared" si="7"/>
        <v>0</v>
      </c>
      <c r="P89" s="335" t="s">
        <v>110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0C16-C111-4FB0-AC76-8A76714DA50A}">
  <sheetPr>
    <tabColor rgb="FF0070C0"/>
  </sheetPr>
  <dimension ref="A1:Y258"/>
  <sheetViews>
    <sheetView workbookViewId="0">
      <selection activeCell="H10" sqref="H10"/>
    </sheetView>
  </sheetViews>
  <sheetFormatPr defaultRowHeight="14.25"/>
  <cols>
    <col min="1" max="1" width="20.59765625" customWidth="1"/>
    <col min="23" max="23" width="16.3984375" customWidth="1"/>
  </cols>
  <sheetData>
    <row r="1" spans="1:25">
      <c r="A1" s="361" t="s">
        <v>232</v>
      </c>
      <c r="B1" s="361" t="s">
        <v>186</v>
      </c>
      <c r="C1" s="361"/>
      <c r="D1" s="361"/>
      <c r="E1" s="361"/>
      <c r="F1" s="361"/>
      <c r="G1" s="361"/>
      <c r="H1" s="361"/>
      <c r="I1" s="361"/>
      <c r="J1" s="361"/>
      <c r="K1" s="361"/>
      <c r="L1" s="361"/>
      <c r="M1" s="361"/>
      <c r="N1" s="361"/>
      <c r="O1" s="361"/>
      <c r="P1" s="361"/>
      <c r="Q1" s="361"/>
      <c r="R1" s="361"/>
      <c r="S1" s="361"/>
      <c r="T1" s="361"/>
      <c r="U1" s="429"/>
      <c r="V1" s="429"/>
      <c r="W1" s="429"/>
      <c r="X1" s="429"/>
      <c r="Y1" s="429"/>
    </row>
    <row r="2" spans="1:25">
      <c r="A2" s="361" t="s">
        <v>234</v>
      </c>
      <c r="B2" s="432">
        <v>0.2</v>
      </c>
      <c r="C2" s="361" t="s">
        <v>621</v>
      </c>
      <c r="D2" s="361"/>
      <c r="E2" s="361"/>
      <c r="F2" s="361"/>
      <c r="G2" s="361"/>
      <c r="H2" s="361"/>
      <c r="I2" s="361"/>
      <c r="J2" s="361"/>
      <c r="K2" s="361"/>
      <c r="L2" s="361"/>
      <c r="M2" s="361"/>
      <c r="N2" s="429"/>
      <c r="O2" s="429"/>
      <c r="P2" s="429"/>
      <c r="Q2" s="429"/>
      <c r="R2" s="429"/>
      <c r="S2" s="429"/>
      <c r="T2" s="429"/>
      <c r="U2" s="429"/>
      <c r="V2" s="429"/>
      <c r="W2" s="429"/>
      <c r="X2" s="429"/>
      <c r="Y2" s="429"/>
    </row>
    <row r="3" spans="1:25">
      <c r="A3" s="361" t="s">
        <v>235</v>
      </c>
      <c r="B3" s="361" t="s">
        <v>622</v>
      </c>
      <c r="C3" s="361"/>
      <c r="D3" s="361"/>
      <c r="E3" s="361"/>
      <c r="F3" s="361"/>
      <c r="G3" s="361"/>
      <c r="H3" s="361"/>
      <c r="I3" s="361"/>
      <c r="J3" s="361"/>
      <c r="K3" s="361"/>
      <c r="L3" s="361"/>
      <c r="M3" s="361"/>
      <c r="N3" s="361"/>
      <c r="O3" s="361"/>
      <c r="P3" s="361"/>
      <c r="Q3" s="361"/>
      <c r="R3" s="361"/>
      <c r="S3" s="361"/>
      <c r="T3" s="361"/>
      <c r="U3" s="429"/>
      <c r="V3" s="429"/>
      <c r="W3" s="429"/>
      <c r="X3" s="429"/>
      <c r="Y3" s="429"/>
    </row>
    <row r="4" spans="1:25">
      <c r="A4" s="361"/>
      <c r="B4" s="361"/>
      <c r="C4" s="361"/>
      <c r="D4" s="361"/>
      <c r="E4" s="361"/>
      <c r="F4" s="361"/>
      <c r="G4" s="361" t="s">
        <v>311</v>
      </c>
      <c r="H4" s="361"/>
      <c r="I4" s="361"/>
      <c r="J4" s="361"/>
      <c r="K4" s="361"/>
      <c r="L4" s="361"/>
      <c r="M4" s="361"/>
      <c r="N4" s="361"/>
      <c r="O4" s="361"/>
      <c r="P4" s="361"/>
      <c r="Q4" s="361"/>
      <c r="R4" s="361"/>
      <c r="S4" s="361"/>
      <c r="T4" s="361"/>
      <c r="U4" s="361"/>
      <c r="V4" s="429"/>
      <c r="W4" s="429"/>
      <c r="X4" s="429"/>
      <c r="Y4" s="429"/>
    </row>
    <row r="5" spans="1:25" ht="66">
      <c r="A5" s="361"/>
      <c r="B5" s="436" t="s">
        <v>312</v>
      </c>
      <c r="C5" s="436" t="s">
        <v>313</v>
      </c>
      <c r="D5" s="436" t="s">
        <v>314</v>
      </c>
      <c r="E5" s="436" t="s">
        <v>315</v>
      </c>
      <c r="F5" s="361">
        <v>1</v>
      </c>
      <c r="G5" s="436" t="s">
        <v>312</v>
      </c>
      <c r="H5" s="436" t="s">
        <v>313</v>
      </c>
      <c r="I5" s="436" t="s">
        <v>314</v>
      </c>
      <c r="J5" s="436" t="s">
        <v>315</v>
      </c>
      <c r="K5" s="436" t="s">
        <v>316</v>
      </c>
      <c r="L5" s="436" t="s">
        <v>317</v>
      </c>
      <c r="M5" s="436" t="s">
        <v>318</v>
      </c>
      <c r="N5" s="436" t="s">
        <v>319</v>
      </c>
      <c r="O5" s="436" t="s">
        <v>623</v>
      </c>
      <c r="P5" s="436" t="s">
        <v>321</v>
      </c>
      <c r="Q5" s="436" t="s">
        <v>322</v>
      </c>
      <c r="R5" s="435" t="s">
        <v>177</v>
      </c>
      <c r="S5" s="436" t="s">
        <v>624</v>
      </c>
      <c r="T5" s="435" t="s">
        <v>625</v>
      </c>
      <c r="U5" s="435" t="s">
        <v>626</v>
      </c>
      <c r="V5" s="429"/>
      <c r="W5" s="435" t="s">
        <v>324</v>
      </c>
      <c r="X5" s="435" t="s">
        <v>627</v>
      </c>
      <c r="Y5" s="435" t="s">
        <v>628</v>
      </c>
    </row>
    <row r="6" spans="1:25">
      <c r="A6" s="361"/>
      <c r="B6" s="361" t="s">
        <v>265</v>
      </c>
      <c r="C6" s="361">
        <v>1</v>
      </c>
      <c r="D6" s="361" t="s">
        <v>265</v>
      </c>
      <c r="E6" s="361"/>
      <c r="F6" s="361"/>
      <c r="G6" s="361"/>
      <c r="H6" s="361"/>
      <c r="I6" s="361"/>
      <c r="J6" s="361"/>
      <c r="K6" s="361"/>
      <c r="L6" s="361"/>
      <c r="M6" s="361">
        <v>97</v>
      </c>
      <c r="N6" s="361" t="s">
        <v>629</v>
      </c>
      <c r="O6" s="361" t="s">
        <v>629</v>
      </c>
      <c r="P6" s="429"/>
      <c r="Q6" s="429"/>
      <c r="R6" s="429"/>
      <c r="S6" s="429"/>
      <c r="T6" s="269">
        <f>IF(P6&gt;$B$2,1,0)</f>
        <v>0</v>
      </c>
      <c r="U6" s="269">
        <f>IF(Q6&gt;$B$2,1,0)</f>
        <v>0</v>
      </c>
      <c r="V6" s="429"/>
      <c r="W6" s="439" t="s">
        <v>73</v>
      </c>
      <c r="X6" s="438">
        <f>IF(SUMIF($R:$R,W6,$T:$T)=0,1,2)</f>
        <v>1</v>
      </c>
      <c r="Y6" s="438">
        <f>IF(SUMIF($R:$R,X6,$U:$U)=0,1,2)</f>
        <v>1</v>
      </c>
    </row>
    <row r="7" spans="1:25">
      <c r="A7" s="361"/>
      <c r="B7" s="361" t="s">
        <v>325</v>
      </c>
      <c r="C7" s="433">
        <v>22292</v>
      </c>
      <c r="D7" s="433">
        <v>108531</v>
      </c>
      <c r="E7" s="433">
        <v>130823</v>
      </c>
      <c r="F7" s="361">
        <v>1</v>
      </c>
      <c r="G7" s="361" t="s">
        <v>325</v>
      </c>
      <c r="H7" s="433">
        <v>22292</v>
      </c>
      <c r="I7" s="433">
        <v>108531</v>
      </c>
      <c r="J7" s="433">
        <v>130823</v>
      </c>
      <c r="K7" s="361">
        <v>0.44</v>
      </c>
      <c r="L7" s="433">
        <v>18689</v>
      </c>
      <c r="M7" s="433">
        <v>3185</v>
      </c>
      <c r="N7" s="433">
        <v>15504</v>
      </c>
      <c r="O7" s="361">
        <v>43</v>
      </c>
      <c r="P7" s="434">
        <v>1E-3</v>
      </c>
      <c r="Q7" s="434">
        <v>1.35E-2</v>
      </c>
      <c r="R7" s="361" t="s">
        <v>73</v>
      </c>
      <c r="S7" s="361" t="s">
        <v>629</v>
      </c>
      <c r="T7" s="269">
        <f t="shared" ref="T7:T70" si="0">IF(P7&gt;$B$2,1,0)</f>
        <v>0</v>
      </c>
      <c r="U7" s="269">
        <f t="shared" ref="U7:U70" si="1">IF(Q7&gt;$B$2,1,0)</f>
        <v>0</v>
      </c>
      <c r="V7" s="429"/>
      <c r="W7" s="440" t="s">
        <v>81</v>
      </c>
      <c r="X7" s="438">
        <f t="shared" ref="X7:X15" si="2">IF(SUMIF($R:$R,W7,$T:$T)=0,1,2)</f>
        <v>1</v>
      </c>
      <c r="Y7" s="438">
        <f t="shared" ref="Y7:Y15" si="3">IF(SUMIF($R:$R,X7,$U:$U)=0,1,2)</f>
        <v>1</v>
      </c>
    </row>
    <row r="8" spans="1:25">
      <c r="A8" s="361"/>
      <c r="B8" s="361" t="s">
        <v>326</v>
      </c>
      <c r="C8" s="433">
        <v>32006</v>
      </c>
      <c r="D8" s="433">
        <v>132828</v>
      </c>
      <c r="E8" s="433">
        <v>164834</v>
      </c>
      <c r="F8" s="361">
        <v>1</v>
      </c>
      <c r="G8" s="361" t="s">
        <v>326</v>
      </c>
      <c r="H8" s="433">
        <v>32006</v>
      </c>
      <c r="I8" s="433">
        <v>132828</v>
      </c>
      <c r="J8" s="433">
        <v>164834</v>
      </c>
      <c r="K8" s="361">
        <v>0.56000000000000005</v>
      </c>
      <c r="L8" s="433">
        <v>23548</v>
      </c>
      <c r="M8" s="433">
        <v>4572</v>
      </c>
      <c r="N8" s="433">
        <v>18975</v>
      </c>
      <c r="O8" s="361">
        <v>54</v>
      </c>
      <c r="P8" s="434">
        <v>1.2999999999999999E-3</v>
      </c>
      <c r="Q8" s="434">
        <v>1.18E-2</v>
      </c>
      <c r="R8" s="361" t="s">
        <v>73</v>
      </c>
      <c r="S8" s="361" t="s">
        <v>629</v>
      </c>
      <c r="T8" s="269">
        <f t="shared" si="0"/>
        <v>0</v>
      </c>
      <c r="U8" s="269">
        <f t="shared" si="1"/>
        <v>0</v>
      </c>
      <c r="V8" s="429"/>
      <c r="W8" s="440" t="s">
        <v>67</v>
      </c>
      <c r="X8" s="438">
        <f t="shared" si="2"/>
        <v>1</v>
      </c>
      <c r="Y8" s="438">
        <f t="shared" si="3"/>
        <v>1</v>
      </c>
    </row>
    <row r="9" spans="1:25">
      <c r="A9" s="361"/>
      <c r="B9" s="361"/>
      <c r="C9" s="361"/>
      <c r="D9" s="361"/>
      <c r="E9" s="361"/>
      <c r="F9" s="361">
        <v>1</v>
      </c>
      <c r="G9" s="361" t="s">
        <v>138</v>
      </c>
      <c r="H9" s="433">
        <v>54298</v>
      </c>
      <c r="I9" s="433">
        <v>241359</v>
      </c>
      <c r="J9" s="433">
        <v>295657</v>
      </c>
      <c r="K9" s="361"/>
      <c r="L9" s="433">
        <v>42237</v>
      </c>
      <c r="M9" s="433">
        <v>7757</v>
      </c>
      <c r="N9" s="433">
        <v>34480</v>
      </c>
      <c r="O9" s="361"/>
      <c r="P9" s="361"/>
      <c r="Q9" s="361"/>
      <c r="R9" s="361"/>
      <c r="S9" s="361"/>
      <c r="T9" s="269">
        <f t="shared" si="0"/>
        <v>0</v>
      </c>
      <c r="U9" s="269">
        <f t="shared" si="1"/>
        <v>0</v>
      </c>
      <c r="V9" s="429"/>
      <c r="W9" s="440" t="s">
        <v>87</v>
      </c>
      <c r="X9" s="438">
        <f t="shared" si="2"/>
        <v>1</v>
      </c>
      <c r="Y9" s="438">
        <f t="shared" si="3"/>
        <v>1</v>
      </c>
    </row>
    <row r="10" spans="1:25">
      <c r="A10" s="361"/>
      <c r="B10" s="361" t="s">
        <v>287</v>
      </c>
      <c r="C10" s="361"/>
      <c r="D10" s="361">
        <v>1</v>
      </c>
      <c r="E10" s="361" t="s">
        <v>287</v>
      </c>
      <c r="F10" s="361"/>
      <c r="G10" s="361"/>
      <c r="H10" s="361"/>
      <c r="I10" s="361"/>
      <c r="J10" s="361"/>
      <c r="K10" s="361"/>
      <c r="L10" s="361"/>
      <c r="M10" s="361"/>
      <c r="N10" s="361"/>
      <c r="O10" s="361"/>
      <c r="P10" s="361"/>
      <c r="Q10" s="361"/>
      <c r="R10" s="429"/>
      <c r="S10" s="429"/>
      <c r="T10" s="269">
        <f t="shared" si="0"/>
        <v>0</v>
      </c>
      <c r="U10" s="269">
        <f t="shared" si="1"/>
        <v>0</v>
      </c>
      <c r="V10" s="429"/>
      <c r="W10" s="440" t="s">
        <v>115</v>
      </c>
      <c r="X10" s="438">
        <f t="shared" si="2"/>
        <v>1</v>
      </c>
      <c r="Y10" s="438">
        <f t="shared" si="3"/>
        <v>1</v>
      </c>
    </row>
    <row r="11" spans="1:25">
      <c r="A11" s="361"/>
      <c r="B11" s="361" t="s">
        <v>327</v>
      </c>
      <c r="C11" s="433">
        <v>202590</v>
      </c>
      <c r="D11" s="433">
        <v>157849</v>
      </c>
      <c r="E11" s="433">
        <v>360439</v>
      </c>
      <c r="F11" s="361">
        <v>1</v>
      </c>
      <c r="G11" s="361" t="s">
        <v>327</v>
      </c>
      <c r="H11" s="361"/>
      <c r="I11" s="361"/>
      <c r="J11" s="361"/>
      <c r="K11" s="361"/>
      <c r="L11" s="361"/>
      <c r="M11" s="361"/>
      <c r="N11" s="361"/>
      <c r="O11" s="361"/>
      <c r="P11" s="361"/>
      <c r="Q11" s="361"/>
      <c r="R11" s="361" t="s">
        <v>328</v>
      </c>
      <c r="S11" s="361">
        <v>300</v>
      </c>
      <c r="T11" s="269">
        <f t="shared" si="0"/>
        <v>0</v>
      </c>
      <c r="U11" s="269">
        <f t="shared" si="1"/>
        <v>0</v>
      </c>
      <c r="V11" s="429"/>
      <c r="W11" s="440" t="s">
        <v>75</v>
      </c>
      <c r="X11" s="438">
        <f t="shared" si="2"/>
        <v>1</v>
      </c>
      <c r="Y11" s="438">
        <f t="shared" si="3"/>
        <v>1</v>
      </c>
    </row>
    <row r="12" spans="1:25">
      <c r="A12" s="361"/>
      <c r="B12" s="361" t="s">
        <v>329</v>
      </c>
      <c r="C12" s="433">
        <v>37474</v>
      </c>
      <c r="D12" s="433">
        <v>118138</v>
      </c>
      <c r="E12" s="433">
        <v>155612</v>
      </c>
      <c r="F12" s="361">
        <v>1</v>
      </c>
      <c r="G12" s="437" t="s">
        <v>330</v>
      </c>
      <c r="H12" s="433">
        <v>37474</v>
      </c>
      <c r="I12" s="433">
        <v>118138</v>
      </c>
      <c r="J12" s="433">
        <v>155612</v>
      </c>
      <c r="K12" s="361">
        <v>0.28000000000000003</v>
      </c>
      <c r="L12" s="433">
        <v>22230</v>
      </c>
      <c r="M12" s="433">
        <v>5353</v>
      </c>
      <c r="N12" s="433">
        <v>16877</v>
      </c>
      <c r="O12" s="361">
        <v>85</v>
      </c>
      <c r="P12" s="434">
        <v>1.1000000000000001E-3</v>
      </c>
      <c r="Q12" s="434">
        <v>1.5900000000000001E-2</v>
      </c>
      <c r="R12" s="361" t="s">
        <v>81</v>
      </c>
      <c r="S12" s="361" t="s">
        <v>629</v>
      </c>
      <c r="T12" s="269">
        <f t="shared" si="0"/>
        <v>0</v>
      </c>
      <c r="U12" s="269">
        <f t="shared" si="1"/>
        <v>0</v>
      </c>
      <c r="V12" s="429"/>
      <c r="W12" s="440" t="s">
        <v>107</v>
      </c>
      <c r="X12" s="438">
        <f t="shared" si="2"/>
        <v>1</v>
      </c>
      <c r="Y12" s="438">
        <f t="shared" si="3"/>
        <v>1</v>
      </c>
    </row>
    <row r="13" spans="1:25">
      <c r="A13" s="361"/>
      <c r="B13" s="361" t="s">
        <v>331</v>
      </c>
      <c r="C13" s="433">
        <v>226644</v>
      </c>
      <c r="D13" s="433">
        <v>167494</v>
      </c>
      <c r="E13" s="433">
        <v>394138</v>
      </c>
      <c r="F13" s="361">
        <v>1</v>
      </c>
      <c r="G13" s="361" t="s">
        <v>331</v>
      </c>
      <c r="H13" s="433">
        <v>226644</v>
      </c>
      <c r="I13" s="433">
        <v>167494</v>
      </c>
      <c r="J13" s="433">
        <v>394138</v>
      </c>
      <c r="K13" s="361">
        <v>0.72</v>
      </c>
      <c r="L13" s="433">
        <v>56305</v>
      </c>
      <c r="M13" s="433">
        <v>32378</v>
      </c>
      <c r="N13" s="433">
        <v>23928</v>
      </c>
      <c r="O13" s="361">
        <v>215</v>
      </c>
      <c r="P13" s="434">
        <v>2.7000000000000001E-3</v>
      </c>
      <c r="Q13" s="434">
        <v>6.6E-3</v>
      </c>
      <c r="R13" s="361" t="s">
        <v>81</v>
      </c>
      <c r="S13" s="361" t="s">
        <v>629</v>
      </c>
      <c r="T13" s="269">
        <f t="shared" si="0"/>
        <v>0</v>
      </c>
      <c r="U13" s="269">
        <f t="shared" si="1"/>
        <v>0</v>
      </c>
      <c r="V13" s="429"/>
      <c r="W13" s="440" t="s">
        <v>103</v>
      </c>
      <c r="X13" s="438">
        <f t="shared" si="2"/>
        <v>1</v>
      </c>
      <c r="Y13" s="438">
        <f t="shared" si="3"/>
        <v>1</v>
      </c>
    </row>
    <row r="14" spans="1:25">
      <c r="A14" s="361"/>
      <c r="B14" s="361" t="s">
        <v>290</v>
      </c>
      <c r="C14" s="361"/>
      <c r="D14" s="361"/>
      <c r="E14" s="361">
        <v>1</v>
      </c>
      <c r="F14" s="361" t="s">
        <v>138</v>
      </c>
      <c r="G14" s="433">
        <v>264117</v>
      </c>
      <c r="H14" s="433">
        <v>285633</v>
      </c>
      <c r="I14" s="433">
        <v>549750</v>
      </c>
      <c r="J14" s="361"/>
      <c r="K14" s="433">
        <v>78536</v>
      </c>
      <c r="L14" s="433">
        <v>37731</v>
      </c>
      <c r="M14" s="433">
        <v>40805</v>
      </c>
      <c r="N14" s="361"/>
      <c r="O14" s="361"/>
      <c r="P14" s="361"/>
      <c r="Q14" s="361"/>
      <c r="R14" s="361"/>
      <c r="S14" s="361" t="s">
        <v>629</v>
      </c>
      <c r="T14" s="269">
        <f t="shared" si="0"/>
        <v>0</v>
      </c>
      <c r="U14" s="269">
        <f t="shared" si="1"/>
        <v>0</v>
      </c>
      <c r="V14" s="429"/>
      <c r="W14" s="440" t="s">
        <v>79</v>
      </c>
      <c r="X14" s="438">
        <f t="shared" si="2"/>
        <v>1</v>
      </c>
      <c r="Y14" s="438">
        <f t="shared" si="3"/>
        <v>1</v>
      </c>
    </row>
    <row r="15" spans="1:25">
      <c r="A15" s="361"/>
      <c r="B15" s="361" t="s">
        <v>332</v>
      </c>
      <c r="C15" s="433">
        <v>263893</v>
      </c>
      <c r="D15" s="433">
        <v>637139</v>
      </c>
      <c r="E15" s="433">
        <v>901032</v>
      </c>
      <c r="F15" s="361">
        <v>0</v>
      </c>
      <c r="G15" s="361"/>
      <c r="H15" s="361"/>
      <c r="I15" s="361"/>
      <c r="J15" s="361"/>
      <c r="K15" s="361"/>
      <c r="L15" s="361"/>
      <c r="M15" s="361"/>
      <c r="N15" s="361"/>
      <c r="O15" s="361"/>
      <c r="P15" s="361"/>
      <c r="Q15" s="361"/>
      <c r="R15" s="361"/>
      <c r="S15" s="361"/>
      <c r="T15" s="269">
        <f t="shared" si="0"/>
        <v>0</v>
      </c>
      <c r="U15" s="269">
        <f t="shared" si="1"/>
        <v>0</v>
      </c>
      <c r="V15" s="429"/>
      <c r="W15" s="440" t="s">
        <v>94</v>
      </c>
      <c r="X15" s="438">
        <f t="shared" si="2"/>
        <v>1</v>
      </c>
      <c r="Y15" s="438">
        <f t="shared" si="3"/>
        <v>1</v>
      </c>
    </row>
    <row r="16" spans="1:25">
      <c r="A16" s="361"/>
      <c r="B16" s="361" t="s">
        <v>333</v>
      </c>
      <c r="C16" s="433">
        <v>172374</v>
      </c>
      <c r="D16" s="433">
        <v>130196</v>
      </c>
      <c r="E16" s="433">
        <v>302570</v>
      </c>
      <c r="F16" s="361">
        <v>0</v>
      </c>
      <c r="G16" s="361"/>
      <c r="H16" s="361"/>
      <c r="I16" s="361"/>
      <c r="J16" s="361"/>
      <c r="K16" s="361"/>
      <c r="L16" s="361"/>
      <c r="M16" s="361"/>
      <c r="N16" s="361"/>
      <c r="O16" s="361"/>
      <c r="P16" s="361"/>
      <c r="Q16" s="361"/>
      <c r="R16" s="361"/>
      <c r="S16" s="361"/>
      <c r="T16" s="269">
        <f t="shared" si="0"/>
        <v>0</v>
      </c>
      <c r="U16" s="269">
        <f t="shared" si="1"/>
        <v>0</v>
      </c>
      <c r="V16" s="429"/>
      <c r="W16" s="429"/>
      <c r="X16" s="429"/>
      <c r="Y16" s="429"/>
    </row>
    <row r="17" spans="1:21">
      <c r="A17" s="361"/>
      <c r="B17" s="361" t="s">
        <v>334</v>
      </c>
      <c r="C17" s="433">
        <v>33413</v>
      </c>
      <c r="D17" s="433">
        <v>60109</v>
      </c>
      <c r="E17" s="433">
        <v>93523</v>
      </c>
      <c r="F17" s="361">
        <v>0</v>
      </c>
      <c r="G17" s="361"/>
      <c r="H17" s="361"/>
      <c r="I17" s="361"/>
      <c r="J17" s="361"/>
      <c r="K17" s="361"/>
      <c r="L17" s="361"/>
      <c r="M17" s="361"/>
      <c r="N17" s="361"/>
      <c r="O17" s="361"/>
      <c r="P17" s="361"/>
      <c r="Q17" s="361"/>
      <c r="R17" s="361"/>
      <c r="S17" s="361"/>
      <c r="T17" s="269">
        <f t="shared" si="0"/>
        <v>0</v>
      </c>
      <c r="U17" s="269">
        <f t="shared" si="1"/>
        <v>0</v>
      </c>
    </row>
    <row r="18" spans="1:21">
      <c r="A18" s="361"/>
      <c r="B18" s="361"/>
      <c r="C18" s="361"/>
      <c r="D18" s="361"/>
      <c r="E18" s="361"/>
      <c r="F18" s="361">
        <v>0</v>
      </c>
      <c r="G18" s="361"/>
      <c r="H18" s="361"/>
      <c r="I18" s="361"/>
      <c r="J18" s="361"/>
      <c r="K18" s="361"/>
      <c r="L18" s="361"/>
      <c r="M18" s="361"/>
      <c r="N18" s="361"/>
      <c r="O18" s="361"/>
      <c r="P18" s="361"/>
      <c r="Q18" s="361"/>
      <c r="R18" s="361"/>
      <c r="S18" s="361"/>
      <c r="T18" s="269">
        <f t="shared" si="0"/>
        <v>0</v>
      </c>
      <c r="U18" s="269">
        <f t="shared" si="1"/>
        <v>0</v>
      </c>
    </row>
    <row r="19" spans="1:21">
      <c r="A19" s="361"/>
      <c r="B19" s="361" t="s">
        <v>214</v>
      </c>
      <c r="C19" s="361">
        <v>0</v>
      </c>
      <c r="D19" s="361"/>
      <c r="E19" s="361"/>
      <c r="F19" s="361"/>
      <c r="G19" s="361"/>
      <c r="H19" s="361"/>
      <c r="I19" s="361"/>
      <c r="J19" s="361"/>
      <c r="K19" s="361"/>
      <c r="L19" s="361"/>
      <c r="M19" s="361"/>
      <c r="N19" s="361"/>
      <c r="O19" s="361"/>
      <c r="P19" s="361"/>
      <c r="Q19" s="361"/>
      <c r="R19" s="361" t="s">
        <v>629</v>
      </c>
      <c r="S19" s="429"/>
      <c r="T19" s="269">
        <f t="shared" si="0"/>
        <v>0</v>
      </c>
      <c r="U19" s="269">
        <f t="shared" si="1"/>
        <v>0</v>
      </c>
    </row>
    <row r="20" spans="1:21">
      <c r="A20" s="361"/>
      <c r="B20" s="361" t="s">
        <v>335</v>
      </c>
      <c r="C20" s="433">
        <v>157633</v>
      </c>
      <c r="D20" s="433">
        <v>47688</v>
      </c>
      <c r="E20" s="433">
        <v>205321</v>
      </c>
      <c r="F20" s="361">
        <v>0</v>
      </c>
      <c r="G20" s="361"/>
      <c r="H20" s="361"/>
      <c r="I20" s="361"/>
      <c r="J20" s="361"/>
      <c r="K20" s="361"/>
      <c r="L20" s="361"/>
      <c r="M20" s="361"/>
      <c r="N20" s="361"/>
      <c r="O20" s="361"/>
      <c r="P20" s="361"/>
      <c r="Q20" s="361"/>
      <c r="R20" s="361"/>
      <c r="S20" s="361"/>
      <c r="T20" s="269">
        <f t="shared" si="0"/>
        <v>0</v>
      </c>
      <c r="U20" s="269">
        <f t="shared" si="1"/>
        <v>0</v>
      </c>
    </row>
    <row r="21" spans="1:21">
      <c r="A21" s="361"/>
      <c r="B21" s="361" t="s">
        <v>336</v>
      </c>
      <c r="C21" s="433">
        <v>202401</v>
      </c>
      <c r="D21" s="433">
        <v>121913</v>
      </c>
      <c r="E21" s="433">
        <v>324314</v>
      </c>
      <c r="F21" s="361">
        <v>0</v>
      </c>
      <c r="G21" s="361"/>
      <c r="H21" s="361"/>
      <c r="I21" s="361"/>
      <c r="J21" s="361"/>
      <c r="K21" s="361"/>
      <c r="L21" s="361"/>
      <c r="M21" s="361"/>
      <c r="N21" s="361"/>
      <c r="O21" s="361"/>
      <c r="P21" s="361"/>
      <c r="Q21" s="361"/>
      <c r="R21" s="361"/>
      <c r="S21" s="361"/>
      <c r="T21" s="269">
        <f t="shared" si="0"/>
        <v>0</v>
      </c>
      <c r="U21" s="269">
        <f t="shared" si="1"/>
        <v>0</v>
      </c>
    </row>
    <row r="22" spans="1:21">
      <c r="A22" s="361"/>
      <c r="B22" s="361" t="s">
        <v>337</v>
      </c>
      <c r="C22" s="433">
        <v>80436</v>
      </c>
      <c r="D22" s="433">
        <v>44592</v>
      </c>
      <c r="E22" s="433">
        <v>125028</v>
      </c>
      <c r="F22" s="361">
        <v>0</v>
      </c>
      <c r="G22" s="361"/>
      <c r="H22" s="361"/>
      <c r="I22" s="361"/>
      <c r="J22" s="361"/>
      <c r="K22" s="361"/>
      <c r="L22" s="361"/>
      <c r="M22" s="361"/>
      <c r="N22" s="361"/>
      <c r="O22" s="361"/>
      <c r="P22" s="361"/>
      <c r="Q22" s="361"/>
      <c r="R22" s="361"/>
      <c r="S22" s="361"/>
      <c r="T22" s="269">
        <f t="shared" si="0"/>
        <v>0</v>
      </c>
      <c r="U22" s="269">
        <f t="shared" si="1"/>
        <v>0</v>
      </c>
    </row>
    <row r="23" spans="1:21">
      <c r="A23" s="361"/>
      <c r="B23" s="361" t="s">
        <v>338</v>
      </c>
      <c r="C23" s="433">
        <v>45307</v>
      </c>
      <c r="D23" s="433">
        <v>46729</v>
      </c>
      <c r="E23" s="433">
        <v>92036</v>
      </c>
      <c r="F23" s="361">
        <v>0</v>
      </c>
      <c r="G23" s="361"/>
      <c r="H23" s="361"/>
      <c r="I23" s="361"/>
      <c r="J23" s="361"/>
      <c r="K23" s="361"/>
      <c r="L23" s="361"/>
      <c r="M23" s="361"/>
      <c r="N23" s="361"/>
      <c r="O23" s="361"/>
      <c r="P23" s="361"/>
      <c r="Q23" s="361"/>
      <c r="R23" s="361"/>
      <c r="S23" s="361"/>
      <c r="T23" s="269">
        <f t="shared" si="0"/>
        <v>0</v>
      </c>
      <c r="U23" s="269">
        <f t="shared" si="1"/>
        <v>0</v>
      </c>
    </row>
    <row r="24" spans="1:21">
      <c r="A24" s="361"/>
      <c r="B24" s="361" t="s">
        <v>339</v>
      </c>
      <c r="C24" s="433">
        <v>126454</v>
      </c>
      <c r="D24" s="433">
        <v>24920</v>
      </c>
      <c r="E24" s="433">
        <v>151374</v>
      </c>
      <c r="F24" s="361">
        <v>0</v>
      </c>
      <c r="G24" s="361"/>
      <c r="H24" s="361"/>
      <c r="I24" s="361"/>
      <c r="J24" s="361"/>
      <c r="K24" s="361"/>
      <c r="L24" s="361"/>
      <c r="M24" s="361"/>
      <c r="N24" s="361"/>
      <c r="O24" s="361"/>
      <c r="P24" s="361"/>
      <c r="Q24" s="361"/>
      <c r="R24" s="361"/>
      <c r="S24" s="361"/>
      <c r="T24" s="269">
        <f t="shared" si="0"/>
        <v>0</v>
      </c>
      <c r="U24" s="269">
        <f t="shared" si="1"/>
        <v>0</v>
      </c>
    </row>
    <row r="25" spans="1:21">
      <c r="A25" s="361"/>
      <c r="B25" s="361" t="s">
        <v>340</v>
      </c>
      <c r="C25" s="433">
        <v>203431</v>
      </c>
      <c r="D25" s="433">
        <v>121928</v>
      </c>
      <c r="E25" s="433">
        <v>325359</v>
      </c>
      <c r="F25" s="361">
        <v>0</v>
      </c>
      <c r="G25" s="361"/>
      <c r="H25" s="361"/>
      <c r="I25" s="361"/>
      <c r="J25" s="361"/>
      <c r="K25" s="361"/>
      <c r="L25" s="361"/>
      <c r="M25" s="361"/>
      <c r="N25" s="361"/>
      <c r="O25" s="361"/>
      <c r="P25" s="361"/>
      <c r="Q25" s="361"/>
      <c r="R25" s="361"/>
      <c r="S25" s="361"/>
      <c r="T25" s="269">
        <f t="shared" si="0"/>
        <v>0</v>
      </c>
      <c r="U25" s="269">
        <f t="shared" si="1"/>
        <v>0</v>
      </c>
    </row>
    <row r="26" spans="1:21">
      <c r="A26" s="361"/>
      <c r="B26" s="361" t="s">
        <v>341</v>
      </c>
      <c r="C26" s="433">
        <v>28282</v>
      </c>
      <c r="D26" s="433">
        <v>16983</v>
      </c>
      <c r="E26" s="433">
        <v>45265</v>
      </c>
      <c r="F26" s="361">
        <v>0</v>
      </c>
      <c r="G26" s="361"/>
      <c r="H26" s="361"/>
      <c r="I26" s="361"/>
      <c r="J26" s="361"/>
      <c r="K26" s="361"/>
      <c r="L26" s="361"/>
      <c r="M26" s="361"/>
      <c r="N26" s="361"/>
      <c r="O26" s="361"/>
      <c r="P26" s="361"/>
      <c r="Q26" s="361"/>
      <c r="R26" s="361"/>
      <c r="S26" s="361"/>
      <c r="T26" s="269">
        <f t="shared" si="0"/>
        <v>0</v>
      </c>
      <c r="U26" s="269">
        <f t="shared" si="1"/>
        <v>0</v>
      </c>
    </row>
    <row r="27" spans="1:21">
      <c r="A27" s="361"/>
      <c r="B27" s="361" t="s">
        <v>343</v>
      </c>
      <c r="C27" s="433">
        <v>30269</v>
      </c>
      <c r="D27" s="433">
        <v>20371</v>
      </c>
      <c r="E27" s="433">
        <v>50640</v>
      </c>
      <c r="F27" s="361">
        <v>0</v>
      </c>
      <c r="G27" s="361"/>
      <c r="H27" s="361"/>
      <c r="I27" s="361"/>
      <c r="J27" s="361"/>
      <c r="K27" s="361"/>
      <c r="L27" s="361"/>
      <c r="M27" s="361"/>
      <c r="N27" s="361"/>
      <c r="O27" s="361"/>
      <c r="P27" s="361"/>
      <c r="Q27" s="361"/>
      <c r="R27" s="361"/>
      <c r="S27" s="361"/>
      <c r="T27" s="269">
        <f t="shared" si="0"/>
        <v>0</v>
      </c>
      <c r="U27" s="269">
        <f t="shared" si="1"/>
        <v>0</v>
      </c>
    </row>
    <row r="28" spans="1:21">
      <c r="A28" s="361"/>
      <c r="B28" s="361" t="s">
        <v>352</v>
      </c>
      <c r="C28" s="433">
        <v>8747</v>
      </c>
      <c r="D28" s="433">
        <v>7667</v>
      </c>
      <c r="E28" s="433">
        <v>16414</v>
      </c>
      <c r="F28" s="361">
        <v>0</v>
      </c>
      <c r="G28" s="361"/>
      <c r="H28" s="361"/>
      <c r="I28" s="361"/>
      <c r="J28" s="361"/>
      <c r="K28" s="361"/>
      <c r="L28" s="361"/>
      <c r="M28" s="361"/>
      <c r="N28" s="361"/>
      <c r="O28" s="361"/>
      <c r="P28" s="361"/>
      <c r="Q28" s="361"/>
      <c r="R28" s="361"/>
      <c r="S28" s="361"/>
      <c r="T28" s="269">
        <f t="shared" si="0"/>
        <v>0</v>
      </c>
      <c r="U28" s="269">
        <f t="shared" si="1"/>
        <v>0</v>
      </c>
    </row>
    <row r="29" spans="1:21">
      <c r="A29" s="361"/>
      <c r="B29" s="361" t="s">
        <v>353</v>
      </c>
      <c r="C29" s="433">
        <v>74254</v>
      </c>
      <c r="D29" s="433">
        <v>55527</v>
      </c>
      <c r="E29" s="433">
        <v>129781</v>
      </c>
      <c r="F29" s="361">
        <v>0</v>
      </c>
      <c r="G29" s="361"/>
      <c r="H29" s="361"/>
      <c r="I29" s="361"/>
      <c r="J29" s="361"/>
      <c r="K29" s="361"/>
      <c r="L29" s="361"/>
      <c r="M29" s="361"/>
      <c r="N29" s="361"/>
      <c r="O29" s="361"/>
      <c r="P29" s="361"/>
      <c r="Q29" s="361"/>
      <c r="R29" s="361"/>
      <c r="S29" s="361"/>
      <c r="T29" s="269">
        <f t="shared" si="0"/>
        <v>0</v>
      </c>
      <c r="U29" s="269">
        <f t="shared" si="1"/>
        <v>0</v>
      </c>
    </row>
    <row r="30" spans="1:21">
      <c r="A30" s="361"/>
      <c r="B30" s="361" t="s">
        <v>354</v>
      </c>
      <c r="C30" s="433">
        <v>32441</v>
      </c>
      <c r="D30" s="433">
        <v>23993</v>
      </c>
      <c r="E30" s="433">
        <v>56434</v>
      </c>
      <c r="F30" s="361">
        <v>0</v>
      </c>
      <c r="G30" s="361"/>
      <c r="H30" s="361"/>
      <c r="I30" s="361"/>
      <c r="J30" s="361"/>
      <c r="K30" s="361"/>
      <c r="L30" s="361"/>
      <c r="M30" s="361"/>
      <c r="N30" s="361"/>
      <c r="O30" s="361"/>
      <c r="P30" s="361"/>
      <c r="Q30" s="361"/>
      <c r="R30" s="361"/>
      <c r="S30" s="361"/>
      <c r="T30" s="269">
        <f t="shared" si="0"/>
        <v>0</v>
      </c>
      <c r="U30" s="269">
        <f t="shared" si="1"/>
        <v>0</v>
      </c>
    </row>
    <row r="31" spans="1:21">
      <c r="A31" s="361"/>
      <c r="B31" s="361" t="s">
        <v>355</v>
      </c>
      <c r="C31" s="433">
        <v>96479</v>
      </c>
      <c r="D31" s="433">
        <v>49202</v>
      </c>
      <c r="E31" s="433">
        <v>145681</v>
      </c>
      <c r="F31" s="361">
        <v>0</v>
      </c>
      <c r="G31" s="361"/>
      <c r="H31" s="361"/>
      <c r="I31" s="361"/>
      <c r="J31" s="361"/>
      <c r="K31" s="361"/>
      <c r="L31" s="361"/>
      <c r="M31" s="361"/>
      <c r="N31" s="361"/>
      <c r="O31" s="361"/>
      <c r="P31" s="361"/>
      <c r="Q31" s="361"/>
      <c r="R31" s="361"/>
      <c r="S31" s="361"/>
      <c r="T31" s="269">
        <f t="shared" si="0"/>
        <v>0</v>
      </c>
      <c r="U31" s="269">
        <f t="shared" si="1"/>
        <v>0</v>
      </c>
    </row>
    <row r="32" spans="1:21">
      <c r="A32" s="361"/>
      <c r="B32" s="361" t="s">
        <v>356</v>
      </c>
      <c r="C32" s="433">
        <v>25583</v>
      </c>
      <c r="D32" s="433">
        <v>12290</v>
      </c>
      <c r="E32" s="433">
        <v>37873</v>
      </c>
      <c r="F32" s="361">
        <v>0</v>
      </c>
      <c r="G32" s="361"/>
      <c r="H32" s="361"/>
      <c r="I32" s="361"/>
      <c r="J32" s="361"/>
      <c r="K32" s="361"/>
      <c r="L32" s="361"/>
      <c r="M32" s="361"/>
      <c r="N32" s="361"/>
      <c r="O32" s="361"/>
      <c r="P32" s="361"/>
      <c r="Q32" s="361"/>
      <c r="R32" s="361"/>
      <c r="S32" s="361"/>
      <c r="T32" s="269">
        <f t="shared" si="0"/>
        <v>0</v>
      </c>
      <c r="U32" s="269">
        <f t="shared" si="1"/>
        <v>0</v>
      </c>
    </row>
    <row r="33" spans="1:21">
      <c r="A33" s="361"/>
      <c r="B33" s="361" t="s">
        <v>357</v>
      </c>
      <c r="C33" s="433">
        <v>143556</v>
      </c>
      <c r="D33" s="433">
        <v>37740</v>
      </c>
      <c r="E33" s="433">
        <v>181296</v>
      </c>
      <c r="F33" s="361">
        <v>0</v>
      </c>
      <c r="G33" s="361"/>
      <c r="H33" s="361"/>
      <c r="I33" s="361"/>
      <c r="J33" s="361"/>
      <c r="K33" s="361"/>
      <c r="L33" s="361"/>
      <c r="M33" s="361"/>
      <c r="N33" s="361"/>
      <c r="O33" s="361"/>
      <c r="P33" s="361"/>
      <c r="Q33" s="361"/>
      <c r="R33" s="361"/>
      <c r="S33" s="361"/>
      <c r="T33" s="269">
        <f t="shared" si="0"/>
        <v>0</v>
      </c>
      <c r="U33" s="269">
        <f t="shared" si="1"/>
        <v>0</v>
      </c>
    </row>
    <row r="34" spans="1:21">
      <c r="A34" s="361"/>
      <c r="B34" s="361" t="s">
        <v>358</v>
      </c>
      <c r="C34" s="433">
        <v>81522</v>
      </c>
      <c r="D34" s="433">
        <v>44598</v>
      </c>
      <c r="E34" s="433">
        <v>126120</v>
      </c>
      <c r="F34" s="361">
        <v>0</v>
      </c>
      <c r="G34" s="361"/>
      <c r="H34" s="361"/>
      <c r="I34" s="361"/>
      <c r="J34" s="361"/>
      <c r="K34" s="361"/>
      <c r="L34" s="361"/>
      <c r="M34" s="361"/>
      <c r="N34" s="361"/>
      <c r="O34" s="361"/>
      <c r="P34" s="361"/>
      <c r="Q34" s="361"/>
      <c r="R34" s="361"/>
      <c r="S34" s="361"/>
      <c r="T34" s="269">
        <f t="shared" si="0"/>
        <v>0</v>
      </c>
      <c r="U34" s="269">
        <f t="shared" si="1"/>
        <v>0</v>
      </c>
    </row>
    <row r="35" spans="1:21">
      <c r="A35" s="361"/>
      <c r="B35" s="361" t="s">
        <v>359</v>
      </c>
      <c r="C35" s="433">
        <v>133893</v>
      </c>
      <c r="D35" s="433">
        <v>33714</v>
      </c>
      <c r="E35" s="433">
        <v>167606</v>
      </c>
      <c r="F35" s="361">
        <v>0</v>
      </c>
      <c r="G35" s="361"/>
      <c r="H35" s="361"/>
      <c r="I35" s="361"/>
      <c r="J35" s="361"/>
      <c r="K35" s="361"/>
      <c r="L35" s="361"/>
      <c r="M35" s="361"/>
      <c r="N35" s="361"/>
      <c r="O35" s="361"/>
      <c r="P35" s="361"/>
      <c r="Q35" s="361"/>
      <c r="R35" s="361"/>
      <c r="S35" s="361"/>
      <c r="T35" s="269">
        <f t="shared" si="0"/>
        <v>0</v>
      </c>
      <c r="U35" s="269">
        <f t="shared" si="1"/>
        <v>0</v>
      </c>
    </row>
    <row r="36" spans="1:21">
      <c r="A36" s="361"/>
      <c r="B36" s="361" t="s">
        <v>360</v>
      </c>
      <c r="C36" s="433">
        <v>23573</v>
      </c>
      <c r="D36" s="433">
        <v>62718</v>
      </c>
      <c r="E36" s="433">
        <v>86290</v>
      </c>
      <c r="F36" s="361">
        <v>0</v>
      </c>
      <c r="G36" s="361"/>
      <c r="H36" s="361"/>
      <c r="I36" s="361"/>
      <c r="J36" s="361"/>
      <c r="K36" s="361"/>
      <c r="L36" s="361"/>
      <c r="M36" s="361"/>
      <c r="N36" s="361"/>
      <c r="O36" s="361"/>
      <c r="P36" s="361"/>
      <c r="Q36" s="361"/>
      <c r="R36" s="361"/>
      <c r="S36" s="361"/>
      <c r="T36" s="269">
        <f t="shared" si="0"/>
        <v>0</v>
      </c>
      <c r="U36" s="269">
        <f t="shared" si="1"/>
        <v>0</v>
      </c>
    </row>
    <row r="37" spans="1:21">
      <c r="A37" s="361"/>
      <c r="B37" s="361" t="s">
        <v>361</v>
      </c>
      <c r="C37" s="433">
        <v>174758</v>
      </c>
      <c r="D37" s="433">
        <v>56678</v>
      </c>
      <c r="E37" s="433">
        <v>231437</v>
      </c>
      <c r="F37" s="361">
        <v>0</v>
      </c>
      <c r="G37" s="361"/>
      <c r="H37" s="361"/>
      <c r="I37" s="361"/>
      <c r="J37" s="361"/>
      <c r="K37" s="361"/>
      <c r="L37" s="361"/>
      <c r="M37" s="361"/>
      <c r="N37" s="361"/>
      <c r="O37" s="361"/>
      <c r="P37" s="361"/>
      <c r="Q37" s="361"/>
      <c r="R37" s="361"/>
      <c r="S37" s="361"/>
      <c r="T37" s="269">
        <f t="shared" si="0"/>
        <v>0</v>
      </c>
      <c r="U37" s="269">
        <f t="shared" si="1"/>
        <v>0</v>
      </c>
    </row>
    <row r="38" spans="1:21">
      <c r="A38" s="361"/>
      <c r="B38" s="361" t="s">
        <v>362</v>
      </c>
      <c r="C38" s="433">
        <v>8282</v>
      </c>
      <c r="D38" s="433">
        <v>7914</v>
      </c>
      <c r="E38" s="433">
        <v>16196</v>
      </c>
      <c r="F38" s="361">
        <v>0</v>
      </c>
      <c r="G38" s="361"/>
      <c r="H38" s="361"/>
      <c r="I38" s="361"/>
      <c r="J38" s="361"/>
      <c r="K38" s="361"/>
      <c r="L38" s="361"/>
      <c r="M38" s="361"/>
      <c r="N38" s="361"/>
      <c r="O38" s="361"/>
      <c r="P38" s="361"/>
      <c r="Q38" s="361"/>
      <c r="R38" s="361"/>
      <c r="S38" s="361"/>
      <c r="T38" s="269">
        <f t="shared" si="0"/>
        <v>0</v>
      </c>
      <c r="U38" s="269">
        <f t="shared" si="1"/>
        <v>0</v>
      </c>
    </row>
    <row r="39" spans="1:21">
      <c r="A39" s="361"/>
      <c r="B39" s="361" t="s">
        <v>363</v>
      </c>
      <c r="C39" s="433">
        <v>81712</v>
      </c>
      <c r="D39" s="433">
        <v>110788</v>
      </c>
      <c r="E39" s="433">
        <v>192500</v>
      </c>
      <c r="F39" s="361">
        <v>0</v>
      </c>
      <c r="G39" s="361"/>
      <c r="H39" s="361"/>
      <c r="I39" s="361"/>
      <c r="J39" s="361"/>
      <c r="K39" s="361"/>
      <c r="L39" s="361"/>
      <c r="M39" s="361"/>
      <c r="N39" s="361"/>
      <c r="O39" s="361"/>
      <c r="P39" s="361"/>
      <c r="Q39" s="361"/>
      <c r="R39" s="361"/>
      <c r="S39" s="361"/>
      <c r="T39" s="269">
        <f t="shared" si="0"/>
        <v>0</v>
      </c>
      <c r="U39" s="269">
        <f t="shared" si="1"/>
        <v>0</v>
      </c>
    </row>
    <row r="40" spans="1:21">
      <c r="A40" s="361"/>
      <c r="B40" s="361"/>
      <c r="C40" s="361"/>
      <c r="D40" s="361"/>
      <c r="E40" s="361"/>
      <c r="F40" s="361">
        <v>0</v>
      </c>
      <c r="G40" s="361"/>
      <c r="H40" s="361"/>
      <c r="I40" s="361"/>
      <c r="J40" s="361"/>
      <c r="K40" s="361"/>
      <c r="L40" s="361"/>
      <c r="M40" s="361"/>
      <c r="N40" s="361"/>
      <c r="O40" s="361"/>
      <c r="P40" s="361"/>
      <c r="Q40" s="361"/>
      <c r="R40" s="361"/>
      <c r="S40" s="361"/>
      <c r="T40" s="269">
        <f t="shared" si="0"/>
        <v>0</v>
      </c>
      <c r="U40" s="269">
        <f t="shared" si="1"/>
        <v>0</v>
      </c>
    </row>
    <row r="41" spans="1:21">
      <c r="A41" s="361"/>
      <c r="B41" s="361" t="s">
        <v>300</v>
      </c>
      <c r="C41" s="361">
        <v>0</v>
      </c>
      <c r="D41" s="361"/>
      <c r="E41" s="361"/>
      <c r="F41" s="361"/>
      <c r="G41" s="361"/>
      <c r="H41" s="361"/>
      <c r="I41" s="361"/>
      <c r="J41" s="361"/>
      <c r="K41" s="361"/>
      <c r="L41" s="361"/>
      <c r="M41" s="361"/>
      <c r="N41" s="361"/>
      <c r="O41" s="361"/>
      <c r="P41" s="361"/>
      <c r="Q41" s="361"/>
      <c r="R41" s="361" t="s">
        <v>629</v>
      </c>
      <c r="S41" s="429"/>
      <c r="T41" s="269">
        <f t="shared" si="0"/>
        <v>0</v>
      </c>
      <c r="U41" s="269">
        <f t="shared" si="1"/>
        <v>0</v>
      </c>
    </row>
    <row r="42" spans="1:21">
      <c r="A42" s="361"/>
      <c r="B42" s="361" t="s">
        <v>364</v>
      </c>
      <c r="C42" s="433">
        <v>115236</v>
      </c>
      <c r="D42" s="433">
        <v>34278</v>
      </c>
      <c r="E42" s="433">
        <v>149514</v>
      </c>
      <c r="F42" s="361">
        <v>0</v>
      </c>
      <c r="G42" s="361"/>
      <c r="H42" s="361"/>
      <c r="I42" s="361"/>
      <c r="J42" s="361"/>
      <c r="K42" s="361"/>
      <c r="L42" s="361"/>
      <c r="M42" s="361"/>
      <c r="N42" s="361"/>
      <c r="O42" s="361"/>
      <c r="P42" s="361"/>
      <c r="Q42" s="361"/>
      <c r="R42" s="361"/>
      <c r="S42" s="361"/>
      <c r="T42" s="269">
        <f t="shared" si="0"/>
        <v>0</v>
      </c>
      <c r="U42" s="269">
        <f t="shared" si="1"/>
        <v>0</v>
      </c>
    </row>
    <row r="43" spans="1:21">
      <c r="A43" s="361"/>
      <c r="B43" s="361" t="s">
        <v>365</v>
      </c>
      <c r="C43" s="433">
        <v>119521</v>
      </c>
      <c r="D43" s="433">
        <v>34144</v>
      </c>
      <c r="E43" s="433">
        <v>153665</v>
      </c>
      <c r="F43" s="361">
        <v>0</v>
      </c>
      <c r="G43" s="361"/>
      <c r="H43" s="361"/>
      <c r="I43" s="361"/>
      <c r="J43" s="361"/>
      <c r="K43" s="361"/>
      <c r="L43" s="361"/>
      <c r="M43" s="361"/>
      <c r="N43" s="361"/>
      <c r="O43" s="361"/>
      <c r="P43" s="361"/>
      <c r="Q43" s="361"/>
      <c r="R43" s="361"/>
      <c r="S43" s="361"/>
      <c r="T43" s="269">
        <f t="shared" si="0"/>
        <v>0</v>
      </c>
      <c r="U43" s="269">
        <f t="shared" si="1"/>
        <v>0</v>
      </c>
    </row>
    <row r="44" spans="1:21">
      <c r="A44" s="361"/>
      <c r="B44" s="361" t="s">
        <v>366</v>
      </c>
      <c r="C44" s="433">
        <v>153868</v>
      </c>
      <c r="D44" s="433">
        <v>44777</v>
      </c>
      <c r="E44" s="433">
        <v>198645</v>
      </c>
      <c r="F44" s="361">
        <v>0</v>
      </c>
      <c r="G44" s="361"/>
      <c r="H44" s="361"/>
      <c r="I44" s="361"/>
      <c r="J44" s="361"/>
      <c r="K44" s="361"/>
      <c r="L44" s="361"/>
      <c r="M44" s="361"/>
      <c r="N44" s="361"/>
      <c r="O44" s="361"/>
      <c r="P44" s="361"/>
      <c r="Q44" s="361"/>
      <c r="R44" s="361"/>
      <c r="S44" s="361"/>
      <c r="T44" s="269">
        <f t="shared" si="0"/>
        <v>0</v>
      </c>
      <c r="U44" s="269">
        <f t="shared" si="1"/>
        <v>0</v>
      </c>
    </row>
    <row r="45" spans="1:21">
      <c r="A45" s="361"/>
      <c r="B45" s="361" t="s">
        <v>367</v>
      </c>
      <c r="C45" s="433">
        <v>103281</v>
      </c>
      <c r="D45" s="433">
        <v>37944</v>
      </c>
      <c r="E45" s="433">
        <v>141225</v>
      </c>
      <c r="F45" s="361">
        <v>0</v>
      </c>
      <c r="G45" s="361"/>
      <c r="H45" s="361"/>
      <c r="I45" s="361"/>
      <c r="J45" s="361"/>
      <c r="K45" s="361"/>
      <c r="L45" s="361"/>
      <c r="M45" s="361"/>
      <c r="N45" s="361"/>
      <c r="O45" s="361"/>
      <c r="P45" s="361"/>
      <c r="Q45" s="361"/>
      <c r="R45" s="361"/>
      <c r="S45" s="361"/>
      <c r="T45" s="269">
        <f t="shared" si="0"/>
        <v>0</v>
      </c>
      <c r="U45" s="269">
        <f t="shared" si="1"/>
        <v>0</v>
      </c>
    </row>
    <row r="46" spans="1:21">
      <c r="A46" s="361"/>
      <c r="B46" s="361" t="s">
        <v>368</v>
      </c>
      <c r="C46" s="433">
        <v>117869</v>
      </c>
      <c r="D46" s="433">
        <v>35516</v>
      </c>
      <c r="E46" s="433">
        <v>153385</v>
      </c>
      <c r="F46" s="361">
        <v>0</v>
      </c>
      <c r="G46" s="361"/>
      <c r="H46" s="361"/>
      <c r="I46" s="361"/>
      <c r="J46" s="361"/>
      <c r="K46" s="361"/>
      <c r="L46" s="361"/>
      <c r="M46" s="361"/>
      <c r="N46" s="361"/>
      <c r="O46" s="361"/>
      <c r="P46" s="361"/>
      <c r="Q46" s="361"/>
      <c r="R46" s="361"/>
      <c r="S46" s="361"/>
      <c r="T46" s="269">
        <f t="shared" si="0"/>
        <v>0</v>
      </c>
      <c r="U46" s="269">
        <f t="shared" si="1"/>
        <v>0</v>
      </c>
    </row>
    <row r="47" spans="1:21">
      <c r="A47" s="361"/>
      <c r="B47" s="361" t="s">
        <v>369</v>
      </c>
      <c r="C47" s="433">
        <v>109190</v>
      </c>
      <c r="D47" s="433">
        <v>93582</v>
      </c>
      <c r="E47" s="433">
        <v>202772</v>
      </c>
      <c r="F47" s="361">
        <v>0</v>
      </c>
      <c r="G47" s="361"/>
      <c r="H47" s="361"/>
      <c r="I47" s="361"/>
      <c r="J47" s="361"/>
      <c r="K47" s="361"/>
      <c r="L47" s="361"/>
      <c r="M47" s="361"/>
      <c r="N47" s="361"/>
      <c r="O47" s="361"/>
      <c r="P47" s="361"/>
      <c r="Q47" s="361"/>
      <c r="R47" s="361"/>
      <c r="S47" s="361"/>
      <c r="T47" s="269">
        <f t="shared" si="0"/>
        <v>0</v>
      </c>
      <c r="U47" s="269">
        <f t="shared" si="1"/>
        <v>0</v>
      </c>
    </row>
    <row r="48" spans="1:21">
      <c r="A48" s="361"/>
      <c r="B48" s="361" t="s">
        <v>370</v>
      </c>
      <c r="C48" s="433">
        <v>112556</v>
      </c>
      <c r="D48" s="433">
        <v>38097</v>
      </c>
      <c r="E48" s="433">
        <v>150654</v>
      </c>
      <c r="F48" s="361">
        <v>0</v>
      </c>
      <c r="G48" s="361"/>
      <c r="H48" s="361"/>
      <c r="I48" s="361"/>
      <c r="J48" s="361"/>
      <c r="K48" s="361"/>
      <c r="L48" s="361"/>
      <c r="M48" s="361"/>
      <c r="N48" s="361"/>
      <c r="O48" s="361"/>
      <c r="P48" s="361"/>
      <c r="Q48" s="361"/>
      <c r="R48" s="361"/>
      <c r="S48" s="361"/>
      <c r="T48" s="269">
        <f t="shared" si="0"/>
        <v>0</v>
      </c>
      <c r="U48" s="269">
        <f t="shared" si="1"/>
        <v>0</v>
      </c>
    </row>
    <row r="49" spans="1:21">
      <c r="A49" s="361"/>
      <c r="B49" s="361" t="s">
        <v>371</v>
      </c>
      <c r="C49" s="433">
        <v>154339</v>
      </c>
      <c r="D49" s="433">
        <v>71821</v>
      </c>
      <c r="E49" s="433">
        <v>226161</v>
      </c>
      <c r="F49" s="361">
        <v>0</v>
      </c>
      <c r="G49" s="361"/>
      <c r="H49" s="361"/>
      <c r="I49" s="361"/>
      <c r="J49" s="361"/>
      <c r="K49" s="361"/>
      <c r="L49" s="361"/>
      <c r="M49" s="361"/>
      <c r="N49" s="361"/>
      <c r="O49" s="361"/>
      <c r="P49" s="361"/>
      <c r="Q49" s="361"/>
      <c r="R49" s="361"/>
      <c r="S49" s="361"/>
      <c r="T49" s="269">
        <f t="shared" si="0"/>
        <v>0</v>
      </c>
      <c r="U49" s="269">
        <f t="shared" si="1"/>
        <v>0</v>
      </c>
    </row>
    <row r="50" spans="1:21">
      <c r="A50" s="361"/>
      <c r="B50" s="361"/>
      <c r="C50" s="361"/>
      <c r="D50" s="361"/>
      <c r="E50" s="361"/>
      <c r="F50" s="361">
        <v>0</v>
      </c>
      <c r="G50" s="361"/>
      <c r="H50" s="361"/>
      <c r="I50" s="361"/>
      <c r="J50" s="361"/>
      <c r="K50" s="361"/>
      <c r="L50" s="361"/>
      <c r="M50" s="361"/>
      <c r="N50" s="361"/>
      <c r="O50" s="361"/>
      <c r="P50" s="361"/>
      <c r="Q50" s="361"/>
      <c r="R50" s="361"/>
      <c r="S50" s="361"/>
      <c r="T50" s="269">
        <f t="shared" si="0"/>
        <v>0</v>
      </c>
      <c r="U50" s="269">
        <f t="shared" si="1"/>
        <v>0</v>
      </c>
    </row>
    <row r="51" spans="1:21">
      <c r="A51" s="361"/>
      <c r="B51" s="361" t="s">
        <v>267</v>
      </c>
      <c r="C51" s="361"/>
      <c r="D51" s="361">
        <v>0</v>
      </c>
      <c r="E51" s="361"/>
      <c r="F51" s="361"/>
      <c r="G51" s="361"/>
      <c r="H51" s="361"/>
      <c r="I51" s="361"/>
      <c r="J51" s="361"/>
      <c r="K51" s="361"/>
      <c r="L51" s="361"/>
      <c r="M51" s="361"/>
      <c r="N51" s="361"/>
      <c r="O51" s="361"/>
      <c r="P51" s="361"/>
      <c r="Q51" s="361"/>
      <c r="R51" s="361" t="s">
        <v>629</v>
      </c>
      <c r="S51" s="361" t="s">
        <v>629</v>
      </c>
      <c r="T51" s="269">
        <f t="shared" si="0"/>
        <v>0</v>
      </c>
      <c r="U51" s="269">
        <f t="shared" si="1"/>
        <v>0</v>
      </c>
    </row>
    <row r="52" spans="1:21">
      <c r="A52" s="361"/>
      <c r="B52" s="361" t="s">
        <v>372</v>
      </c>
      <c r="C52" s="433">
        <v>63074</v>
      </c>
      <c r="D52" s="433">
        <v>243738</v>
      </c>
      <c r="E52" s="433">
        <v>306812</v>
      </c>
      <c r="F52" s="361">
        <v>0</v>
      </c>
      <c r="G52" s="361"/>
      <c r="H52" s="361"/>
      <c r="I52" s="361"/>
      <c r="J52" s="361"/>
      <c r="K52" s="361"/>
      <c r="L52" s="361"/>
      <c r="M52" s="361"/>
      <c r="N52" s="361"/>
      <c r="O52" s="361"/>
      <c r="P52" s="361"/>
      <c r="Q52" s="361"/>
      <c r="R52" s="361"/>
      <c r="S52" s="361"/>
      <c r="T52" s="269">
        <f t="shared" si="0"/>
        <v>0</v>
      </c>
      <c r="U52" s="269">
        <f t="shared" si="1"/>
        <v>0</v>
      </c>
    </row>
    <row r="53" spans="1:21">
      <c r="A53" s="361"/>
      <c r="B53" s="361" t="s">
        <v>373</v>
      </c>
      <c r="C53" s="433">
        <v>226931</v>
      </c>
      <c r="D53" s="433">
        <v>151233</v>
      </c>
      <c r="E53" s="433">
        <v>378165</v>
      </c>
      <c r="F53" s="361">
        <v>0</v>
      </c>
      <c r="G53" s="361"/>
      <c r="H53" s="361"/>
      <c r="I53" s="361"/>
      <c r="J53" s="361"/>
      <c r="K53" s="361"/>
      <c r="L53" s="361"/>
      <c r="M53" s="361"/>
      <c r="N53" s="361"/>
      <c r="O53" s="361"/>
      <c r="P53" s="361"/>
      <c r="Q53" s="361"/>
      <c r="R53" s="361"/>
      <c r="S53" s="361"/>
      <c r="T53" s="269">
        <f t="shared" si="0"/>
        <v>0</v>
      </c>
      <c r="U53" s="269">
        <f t="shared" si="1"/>
        <v>0</v>
      </c>
    </row>
    <row r="54" spans="1:21">
      <c r="A54" s="361"/>
      <c r="B54" s="361" t="s">
        <v>374</v>
      </c>
      <c r="C54" s="433">
        <v>312380</v>
      </c>
      <c r="D54" s="433">
        <v>98005</v>
      </c>
      <c r="E54" s="433">
        <v>410385</v>
      </c>
      <c r="F54" s="361">
        <v>0</v>
      </c>
      <c r="G54" s="361"/>
      <c r="H54" s="361"/>
      <c r="I54" s="361"/>
      <c r="J54" s="361"/>
      <c r="K54" s="361"/>
      <c r="L54" s="361"/>
      <c r="M54" s="361"/>
      <c r="N54" s="361"/>
      <c r="O54" s="361"/>
      <c r="P54" s="361"/>
      <c r="Q54" s="361"/>
      <c r="R54" s="361"/>
      <c r="S54" s="361"/>
      <c r="T54" s="269">
        <f t="shared" si="0"/>
        <v>0</v>
      </c>
      <c r="U54" s="269">
        <f t="shared" si="1"/>
        <v>0</v>
      </c>
    </row>
    <row r="55" spans="1:21">
      <c r="A55" s="361"/>
      <c r="B55" s="361" t="s">
        <v>375</v>
      </c>
      <c r="C55" s="433">
        <v>136010</v>
      </c>
      <c r="D55" s="433">
        <v>217546</v>
      </c>
      <c r="E55" s="433">
        <v>353557</v>
      </c>
      <c r="F55" s="361">
        <v>0</v>
      </c>
      <c r="G55" s="361"/>
      <c r="H55" s="361"/>
      <c r="I55" s="361"/>
      <c r="J55" s="361"/>
      <c r="K55" s="361"/>
      <c r="L55" s="361"/>
      <c r="M55" s="361"/>
      <c r="N55" s="361"/>
      <c r="O55" s="361"/>
      <c r="P55" s="361"/>
      <c r="Q55" s="361"/>
      <c r="R55" s="361"/>
      <c r="S55" s="361"/>
      <c r="T55" s="269">
        <f t="shared" si="0"/>
        <v>0</v>
      </c>
      <c r="U55" s="269">
        <f t="shared" si="1"/>
        <v>0</v>
      </c>
    </row>
    <row r="56" spans="1:21">
      <c r="A56" s="361"/>
      <c r="B56" s="361" t="s">
        <v>376</v>
      </c>
      <c r="C56" s="433">
        <v>214738</v>
      </c>
      <c r="D56" s="433">
        <v>187412</v>
      </c>
      <c r="E56" s="433">
        <v>402150</v>
      </c>
      <c r="F56" s="361">
        <v>0</v>
      </c>
      <c r="G56" s="361"/>
      <c r="H56" s="361"/>
      <c r="I56" s="361"/>
      <c r="J56" s="361"/>
      <c r="K56" s="361"/>
      <c r="L56" s="361"/>
      <c r="M56" s="361"/>
      <c r="N56" s="361"/>
      <c r="O56" s="361"/>
      <c r="P56" s="361"/>
      <c r="Q56" s="361"/>
      <c r="R56" s="361"/>
      <c r="S56" s="361"/>
      <c r="T56" s="269">
        <f t="shared" si="0"/>
        <v>0</v>
      </c>
      <c r="U56" s="269">
        <f t="shared" si="1"/>
        <v>0</v>
      </c>
    </row>
    <row r="57" spans="1:21">
      <c r="A57" s="361"/>
      <c r="B57" s="361" t="s">
        <v>377</v>
      </c>
      <c r="C57" s="433">
        <v>141777</v>
      </c>
      <c r="D57" s="433">
        <v>214370</v>
      </c>
      <c r="E57" s="433">
        <v>356147</v>
      </c>
      <c r="F57" s="361">
        <v>0</v>
      </c>
      <c r="G57" s="361"/>
      <c r="H57" s="361"/>
      <c r="I57" s="361"/>
      <c r="J57" s="361"/>
      <c r="K57" s="361"/>
      <c r="L57" s="361"/>
      <c r="M57" s="361"/>
      <c r="N57" s="361"/>
      <c r="O57" s="361"/>
      <c r="P57" s="361"/>
      <c r="Q57" s="361"/>
      <c r="R57" s="361"/>
      <c r="S57" s="361"/>
      <c r="T57" s="269">
        <f t="shared" si="0"/>
        <v>0</v>
      </c>
      <c r="U57" s="269">
        <f t="shared" si="1"/>
        <v>0</v>
      </c>
    </row>
    <row r="58" spans="1:21">
      <c r="A58" s="361"/>
      <c r="B58" s="361" t="s">
        <v>378</v>
      </c>
      <c r="C58" s="433">
        <v>141555</v>
      </c>
      <c r="D58" s="433">
        <v>215093</v>
      </c>
      <c r="E58" s="433">
        <v>356648</v>
      </c>
      <c r="F58" s="361">
        <v>0</v>
      </c>
      <c r="G58" s="361"/>
      <c r="H58" s="361"/>
      <c r="I58" s="361"/>
      <c r="J58" s="361"/>
      <c r="K58" s="361"/>
      <c r="L58" s="361"/>
      <c r="M58" s="361"/>
      <c r="N58" s="361"/>
      <c r="O58" s="361"/>
      <c r="P58" s="361"/>
      <c r="Q58" s="361"/>
      <c r="R58" s="361"/>
      <c r="S58" s="361"/>
      <c r="T58" s="269">
        <f t="shared" si="0"/>
        <v>0</v>
      </c>
      <c r="U58" s="269">
        <f t="shared" si="1"/>
        <v>0</v>
      </c>
    </row>
    <row r="59" spans="1:21">
      <c r="A59" s="361"/>
      <c r="B59" s="361" t="s">
        <v>379</v>
      </c>
      <c r="C59" s="433">
        <v>390291</v>
      </c>
      <c r="D59" s="433">
        <v>40334</v>
      </c>
      <c r="E59" s="433">
        <v>430625</v>
      </c>
      <c r="F59" s="361">
        <v>0</v>
      </c>
      <c r="G59" s="361"/>
      <c r="H59" s="361"/>
      <c r="I59" s="361"/>
      <c r="J59" s="361"/>
      <c r="K59" s="361"/>
      <c r="L59" s="361"/>
      <c r="M59" s="361"/>
      <c r="N59" s="361"/>
      <c r="O59" s="361"/>
      <c r="P59" s="361"/>
      <c r="Q59" s="361"/>
      <c r="R59" s="361"/>
      <c r="S59" s="361"/>
      <c r="T59" s="269">
        <f t="shared" si="0"/>
        <v>0</v>
      </c>
      <c r="U59" s="269">
        <f t="shared" si="1"/>
        <v>0</v>
      </c>
    </row>
    <row r="60" spans="1:21">
      <c r="A60" s="361"/>
      <c r="B60" s="361" t="s">
        <v>380</v>
      </c>
      <c r="C60" s="433">
        <v>240287</v>
      </c>
      <c r="D60" s="433">
        <v>158423</v>
      </c>
      <c r="E60" s="433">
        <v>398711</v>
      </c>
      <c r="F60" s="361">
        <v>0</v>
      </c>
      <c r="G60" s="361"/>
      <c r="H60" s="361"/>
      <c r="I60" s="361"/>
      <c r="J60" s="361"/>
      <c r="K60" s="361"/>
      <c r="L60" s="361"/>
      <c r="M60" s="361"/>
      <c r="N60" s="361"/>
      <c r="O60" s="361"/>
      <c r="P60" s="361"/>
      <c r="Q60" s="361"/>
      <c r="R60" s="361"/>
      <c r="S60" s="361"/>
      <c r="T60" s="269">
        <f t="shared" si="0"/>
        <v>0</v>
      </c>
      <c r="U60" s="269">
        <f t="shared" si="1"/>
        <v>0</v>
      </c>
    </row>
    <row r="61" spans="1:21">
      <c r="A61" s="361"/>
      <c r="B61" s="361" t="s">
        <v>381</v>
      </c>
      <c r="C61" s="433">
        <v>249280</v>
      </c>
      <c r="D61" s="433">
        <v>157779</v>
      </c>
      <c r="E61" s="433">
        <v>407058</v>
      </c>
      <c r="F61" s="361">
        <v>0</v>
      </c>
      <c r="G61" s="361"/>
      <c r="H61" s="361"/>
      <c r="I61" s="361"/>
      <c r="J61" s="361"/>
      <c r="K61" s="361"/>
      <c r="L61" s="361"/>
      <c r="M61" s="361"/>
      <c r="N61" s="361"/>
      <c r="O61" s="361"/>
      <c r="P61" s="361"/>
      <c r="Q61" s="361"/>
      <c r="R61" s="361"/>
      <c r="S61" s="361"/>
      <c r="T61" s="269">
        <f t="shared" si="0"/>
        <v>0</v>
      </c>
      <c r="U61" s="269">
        <f t="shared" si="1"/>
        <v>0</v>
      </c>
    </row>
    <row r="62" spans="1:21">
      <c r="A62" s="361"/>
      <c r="B62" s="361"/>
      <c r="C62" s="361"/>
      <c r="D62" s="361"/>
      <c r="E62" s="361"/>
      <c r="F62" s="361">
        <v>0</v>
      </c>
      <c r="G62" s="361"/>
      <c r="H62" s="361"/>
      <c r="I62" s="361"/>
      <c r="J62" s="361"/>
      <c r="K62" s="361"/>
      <c r="L62" s="361"/>
      <c r="M62" s="361"/>
      <c r="N62" s="361"/>
      <c r="O62" s="361"/>
      <c r="P62" s="361"/>
      <c r="Q62" s="361"/>
      <c r="R62" s="361"/>
      <c r="S62" s="361"/>
      <c r="T62" s="269">
        <f t="shared" si="0"/>
        <v>0</v>
      </c>
      <c r="U62" s="269">
        <f t="shared" si="1"/>
        <v>0</v>
      </c>
    </row>
    <row r="63" spans="1:21">
      <c r="A63" s="361"/>
      <c r="B63" s="361" t="s">
        <v>272</v>
      </c>
      <c r="C63" s="361"/>
      <c r="D63" s="361"/>
      <c r="E63" s="361">
        <v>0</v>
      </c>
      <c r="F63" s="361"/>
      <c r="G63" s="361"/>
      <c r="H63" s="361"/>
      <c r="I63" s="361"/>
      <c r="J63" s="361"/>
      <c r="K63" s="361"/>
      <c r="L63" s="361"/>
      <c r="M63" s="361"/>
      <c r="N63" s="361"/>
      <c r="O63" s="361"/>
      <c r="P63" s="361"/>
      <c r="Q63" s="361"/>
      <c r="R63" s="361"/>
      <c r="S63" s="361" t="s">
        <v>629</v>
      </c>
      <c r="T63" s="269">
        <f t="shared" si="0"/>
        <v>0</v>
      </c>
      <c r="U63" s="269">
        <f t="shared" si="1"/>
        <v>0</v>
      </c>
    </row>
    <row r="64" spans="1:21">
      <c r="A64" s="361"/>
      <c r="B64" s="361" t="s">
        <v>382</v>
      </c>
      <c r="C64" s="433">
        <v>260414</v>
      </c>
      <c r="D64" s="433">
        <v>114395</v>
      </c>
      <c r="E64" s="433">
        <v>374808</v>
      </c>
      <c r="F64" s="361">
        <v>0</v>
      </c>
      <c r="G64" s="361"/>
      <c r="H64" s="361"/>
      <c r="I64" s="361"/>
      <c r="J64" s="361"/>
      <c r="K64" s="361"/>
      <c r="L64" s="361"/>
      <c r="M64" s="361"/>
      <c r="N64" s="361"/>
      <c r="O64" s="361"/>
      <c r="P64" s="361"/>
      <c r="Q64" s="361"/>
      <c r="R64" s="361"/>
      <c r="S64" s="361"/>
      <c r="T64" s="269">
        <f t="shared" si="0"/>
        <v>0</v>
      </c>
      <c r="U64" s="269">
        <f t="shared" si="1"/>
        <v>0</v>
      </c>
    </row>
    <row r="65" spans="1:21">
      <c r="A65" s="361"/>
      <c r="B65" s="361" t="s">
        <v>383</v>
      </c>
      <c r="C65" s="433">
        <v>117353</v>
      </c>
      <c r="D65" s="433">
        <v>203394</v>
      </c>
      <c r="E65" s="433">
        <v>320747</v>
      </c>
      <c r="F65" s="361">
        <v>0</v>
      </c>
      <c r="G65" s="361"/>
      <c r="H65" s="361"/>
      <c r="I65" s="361"/>
      <c r="J65" s="361"/>
      <c r="K65" s="361"/>
      <c r="L65" s="361"/>
      <c r="M65" s="361"/>
      <c r="N65" s="361"/>
      <c r="O65" s="361"/>
      <c r="P65" s="361"/>
      <c r="Q65" s="361"/>
      <c r="R65" s="361"/>
      <c r="S65" s="361"/>
      <c r="T65" s="269">
        <f t="shared" si="0"/>
        <v>0</v>
      </c>
      <c r="U65" s="269">
        <f t="shared" si="1"/>
        <v>0</v>
      </c>
    </row>
    <row r="66" spans="1:21">
      <c r="A66" s="361"/>
      <c r="B66" s="361" t="s">
        <v>384</v>
      </c>
      <c r="C66" s="433">
        <v>130673</v>
      </c>
      <c r="D66" s="433">
        <v>197242</v>
      </c>
      <c r="E66" s="433">
        <v>327915</v>
      </c>
      <c r="F66" s="361">
        <v>0</v>
      </c>
      <c r="G66" s="361"/>
      <c r="H66" s="361"/>
      <c r="I66" s="361"/>
      <c r="J66" s="361"/>
      <c r="K66" s="361"/>
      <c r="L66" s="361"/>
      <c r="M66" s="361"/>
      <c r="N66" s="361"/>
      <c r="O66" s="361"/>
      <c r="P66" s="361"/>
      <c r="Q66" s="361"/>
      <c r="R66" s="361"/>
      <c r="S66" s="361"/>
      <c r="T66" s="269">
        <f t="shared" si="0"/>
        <v>0</v>
      </c>
      <c r="U66" s="269">
        <f t="shared" si="1"/>
        <v>0</v>
      </c>
    </row>
    <row r="67" spans="1:21">
      <c r="A67" s="361"/>
      <c r="B67" s="361" t="s">
        <v>385</v>
      </c>
      <c r="C67" s="433">
        <v>139609</v>
      </c>
      <c r="D67" s="433">
        <v>188704</v>
      </c>
      <c r="E67" s="433">
        <v>328314</v>
      </c>
      <c r="F67" s="361">
        <v>0</v>
      </c>
      <c r="G67" s="361"/>
      <c r="H67" s="361"/>
      <c r="I67" s="361"/>
      <c r="J67" s="361"/>
      <c r="K67" s="361"/>
      <c r="L67" s="361"/>
      <c r="M67" s="361"/>
      <c r="N67" s="361"/>
      <c r="O67" s="361"/>
      <c r="P67" s="361"/>
      <c r="Q67" s="361"/>
      <c r="R67" s="361"/>
      <c r="S67" s="361"/>
      <c r="T67" s="269">
        <f t="shared" si="0"/>
        <v>0</v>
      </c>
      <c r="U67" s="269">
        <f t="shared" si="1"/>
        <v>0</v>
      </c>
    </row>
    <row r="68" spans="1:21">
      <c r="A68" s="361"/>
      <c r="B68" s="361" t="s">
        <v>386</v>
      </c>
      <c r="C68" s="433">
        <v>262551</v>
      </c>
      <c r="D68" s="433">
        <v>111983</v>
      </c>
      <c r="E68" s="433">
        <v>374534</v>
      </c>
      <c r="F68" s="361">
        <v>0</v>
      </c>
      <c r="G68" s="361"/>
      <c r="H68" s="361"/>
      <c r="I68" s="361"/>
      <c r="J68" s="361"/>
      <c r="K68" s="361"/>
      <c r="L68" s="361"/>
      <c r="M68" s="361"/>
      <c r="N68" s="361"/>
      <c r="O68" s="361"/>
      <c r="P68" s="361"/>
      <c r="Q68" s="361"/>
      <c r="R68" s="361"/>
      <c r="S68" s="361"/>
      <c r="T68" s="269">
        <f t="shared" si="0"/>
        <v>0</v>
      </c>
      <c r="U68" s="269">
        <f t="shared" si="1"/>
        <v>0</v>
      </c>
    </row>
    <row r="69" spans="1:21">
      <c r="A69" s="361"/>
      <c r="B69" s="361" t="s">
        <v>387</v>
      </c>
      <c r="C69" s="433">
        <v>46179</v>
      </c>
      <c r="D69" s="433">
        <v>79407</v>
      </c>
      <c r="E69" s="433">
        <v>125586</v>
      </c>
      <c r="F69" s="361">
        <v>0</v>
      </c>
      <c r="G69" s="361"/>
      <c r="H69" s="361"/>
      <c r="I69" s="361"/>
      <c r="J69" s="361"/>
      <c r="K69" s="361"/>
      <c r="L69" s="361"/>
      <c r="M69" s="361"/>
      <c r="N69" s="361"/>
      <c r="O69" s="361"/>
      <c r="P69" s="361"/>
      <c r="Q69" s="361"/>
      <c r="R69" s="361"/>
      <c r="S69" s="361"/>
      <c r="T69" s="269">
        <f t="shared" si="0"/>
        <v>0</v>
      </c>
      <c r="U69" s="269">
        <f t="shared" si="1"/>
        <v>0</v>
      </c>
    </row>
    <row r="70" spans="1:21">
      <c r="A70" s="361"/>
      <c r="B70" s="361" t="s">
        <v>388</v>
      </c>
      <c r="C70" s="433">
        <v>116508</v>
      </c>
      <c r="D70" s="433">
        <v>230435</v>
      </c>
      <c r="E70" s="433">
        <v>346943</v>
      </c>
      <c r="F70" s="361">
        <v>0</v>
      </c>
      <c r="G70" s="361"/>
      <c r="H70" s="361"/>
      <c r="I70" s="361"/>
      <c r="J70" s="361"/>
      <c r="K70" s="361"/>
      <c r="L70" s="361"/>
      <c r="M70" s="361"/>
      <c r="N70" s="361"/>
      <c r="O70" s="361"/>
      <c r="P70" s="361"/>
      <c r="Q70" s="361"/>
      <c r="R70" s="361"/>
      <c r="S70" s="361"/>
      <c r="T70" s="269">
        <f t="shared" si="0"/>
        <v>0</v>
      </c>
      <c r="U70" s="269">
        <f t="shared" si="1"/>
        <v>0</v>
      </c>
    </row>
    <row r="71" spans="1:21">
      <c r="A71" s="361"/>
      <c r="B71" s="361" t="s">
        <v>389</v>
      </c>
      <c r="C71" s="433">
        <v>146233</v>
      </c>
      <c r="D71" s="433">
        <v>181413</v>
      </c>
      <c r="E71" s="433">
        <v>327646</v>
      </c>
      <c r="F71" s="361">
        <v>0</v>
      </c>
      <c r="G71" s="361"/>
      <c r="H71" s="361"/>
      <c r="I71" s="361"/>
      <c r="J71" s="361"/>
      <c r="K71" s="361"/>
      <c r="L71" s="361"/>
      <c r="M71" s="361"/>
      <c r="N71" s="361"/>
      <c r="O71" s="361"/>
      <c r="P71" s="361"/>
      <c r="Q71" s="361"/>
      <c r="R71" s="361"/>
      <c r="S71" s="361"/>
      <c r="T71" s="269">
        <f t="shared" ref="T71:T134" si="4">IF(P71&gt;$B$2,1,0)</f>
        <v>0</v>
      </c>
      <c r="U71" s="269">
        <f t="shared" ref="U71:U134" si="5">IF(Q71&gt;$B$2,1,0)</f>
        <v>0</v>
      </c>
    </row>
    <row r="72" spans="1:21">
      <c r="A72" s="361"/>
      <c r="B72" s="361" t="s">
        <v>390</v>
      </c>
      <c r="C72" s="433">
        <v>200922</v>
      </c>
      <c r="D72" s="433">
        <v>142150</v>
      </c>
      <c r="E72" s="433">
        <v>343072</v>
      </c>
      <c r="F72" s="361">
        <v>0</v>
      </c>
      <c r="G72" s="361"/>
      <c r="H72" s="361"/>
      <c r="I72" s="361"/>
      <c r="J72" s="361"/>
      <c r="K72" s="361"/>
      <c r="L72" s="361"/>
      <c r="M72" s="361"/>
      <c r="N72" s="361"/>
      <c r="O72" s="361"/>
      <c r="P72" s="361"/>
      <c r="Q72" s="361"/>
      <c r="R72" s="361"/>
      <c r="S72" s="361"/>
      <c r="T72" s="269">
        <f t="shared" si="4"/>
        <v>0</v>
      </c>
      <c r="U72" s="269">
        <f t="shared" si="5"/>
        <v>0</v>
      </c>
    </row>
    <row r="73" spans="1:21">
      <c r="A73" s="361"/>
      <c r="B73" s="361" t="s">
        <v>391</v>
      </c>
      <c r="C73" s="433">
        <v>210000</v>
      </c>
      <c r="D73" s="433">
        <v>136983</v>
      </c>
      <c r="E73" s="433">
        <v>346983</v>
      </c>
      <c r="F73" s="361">
        <v>0</v>
      </c>
      <c r="G73" s="361"/>
      <c r="H73" s="361"/>
      <c r="I73" s="361"/>
      <c r="J73" s="361"/>
      <c r="K73" s="361"/>
      <c r="L73" s="361"/>
      <c r="M73" s="361"/>
      <c r="N73" s="361"/>
      <c r="O73" s="361"/>
      <c r="P73" s="361"/>
      <c r="Q73" s="361"/>
      <c r="R73" s="361"/>
      <c r="S73" s="361"/>
      <c r="T73" s="269">
        <f t="shared" si="4"/>
        <v>0</v>
      </c>
      <c r="U73" s="269">
        <f t="shared" si="5"/>
        <v>0</v>
      </c>
    </row>
    <row r="74" spans="1:21">
      <c r="A74" s="361"/>
      <c r="B74" s="361" t="s">
        <v>392</v>
      </c>
      <c r="C74" s="433">
        <v>167498</v>
      </c>
      <c r="D74" s="433">
        <v>182136</v>
      </c>
      <c r="E74" s="433">
        <v>349634</v>
      </c>
      <c r="F74" s="361">
        <v>0</v>
      </c>
      <c r="G74" s="361"/>
      <c r="H74" s="361"/>
      <c r="I74" s="361"/>
      <c r="J74" s="361"/>
      <c r="K74" s="361"/>
      <c r="L74" s="361"/>
      <c r="M74" s="361"/>
      <c r="N74" s="361"/>
      <c r="O74" s="361"/>
      <c r="P74" s="361"/>
      <c r="Q74" s="361"/>
      <c r="R74" s="361"/>
      <c r="S74" s="361"/>
      <c r="T74" s="269">
        <f t="shared" si="4"/>
        <v>0</v>
      </c>
      <c r="U74" s="269">
        <f t="shared" si="5"/>
        <v>0</v>
      </c>
    </row>
    <row r="75" spans="1:21">
      <c r="A75" s="361"/>
      <c r="B75" s="361" t="s">
        <v>393</v>
      </c>
      <c r="C75" s="433">
        <v>143276</v>
      </c>
      <c r="D75" s="433">
        <v>186187</v>
      </c>
      <c r="E75" s="433">
        <v>329463</v>
      </c>
      <c r="F75" s="361">
        <v>0</v>
      </c>
      <c r="G75" s="361"/>
      <c r="H75" s="361"/>
      <c r="I75" s="361"/>
      <c r="J75" s="361"/>
      <c r="K75" s="361"/>
      <c r="L75" s="361"/>
      <c r="M75" s="361"/>
      <c r="N75" s="361"/>
      <c r="O75" s="361"/>
      <c r="P75" s="361"/>
      <c r="Q75" s="361"/>
      <c r="R75" s="361"/>
      <c r="S75" s="361"/>
      <c r="T75" s="269">
        <f t="shared" si="4"/>
        <v>0</v>
      </c>
      <c r="U75" s="269">
        <f t="shared" si="5"/>
        <v>0</v>
      </c>
    </row>
    <row r="76" spans="1:21">
      <c r="A76" s="361"/>
      <c r="B76" s="361" t="s">
        <v>394</v>
      </c>
      <c r="C76" s="433">
        <v>143689</v>
      </c>
      <c r="D76" s="433">
        <v>184448</v>
      </c>
      <c r="E76" s="433">
        <v>328137</v>
      </c>
      <c r="F76" s="361">
        <v>0</v>
      </c>
      <c r="G76" s="361"/>
      <c r="H76" s="361"/>
      <c r="I76" s="361"/>
      <c r="J76" s="361"/>
      <c r="K76" s="361"/>
      <c r="L76" s="361"/>
      <c r="M76" s="361"/>
      <c r="N76" s="361"/>
      <c r="O76" s="361"/>
      <c r="P76" s="361"/>
      <c r="Q76" s="361"/>
      <c r="R76" s="361"/>
      <c r="S76" s="361"/>
      <c r="T76" s="269">
        <f t="shared" si="4"/>
        <v>0</v>
      </c>
      <c r="U76" s="269">
        <f t="shared" si="5"/>
        <v>0</v>
      </c>
    </row>
    <row r="77" spans="1:21">
      <c r="A77" s="361"/>
      <c r="B77" s="361" t="s">
        <v>395</v>
      </c>
      <c r="C77" s="433">
        <v>139259</v>
      </c>
      <c r="D77" s="433">
        <v>192919</v>
      </c>
      <c r="E77" s="433">
        <v>332177</v>
      </c>
      <c r="F77" s="361">
        <v>0</v>
      </c>
      <c r="G77" s="361"/>
      <c r="H77" s="361"/>
      <c r="I77" s="361"/>
      <c r="J77" s="361"/>
      <c r="K77" s="361"/>
      <c r="L77" s="361"/>
      <c r="M77" s="361"/>
      <c r="N77" s="361"/>
      <c r="O77" s="361"/>
      <c r="P77" s="361"/>
      <c r="Q77" s="361"/>
      <c r="R77" s="361"/>
      <c r="S77" s="361"/>
      <c r="T77" s="269">
        <f t="shared" si="4"/>
        <v>0</v>
      </c>
      <c r="U77" s="269">
        <f t="shared" si="5"/>
        <v>0</v>
      </c>
    </row>
    <row r="78" spans="1:21">
      <c r="A78" s="361"/>
      <c r="B78" s="361" t="s">
        <v>396</v>
      </c>
      <c r="C78" s="433">
        <v>156924</v>
      </c>
      <c r="D78" s="433">
        <v>171486</v>
      </c>
      <c r="E78" s="433">
        <v>328410</v>
      </c>
      <c r="F78" s="361">
        <v>0</v>
      </c>
      <c r="G78" s="361"/>
      <c r="H78" s="361"/>
      <c r="I78" s="361"/>
      <c r="J78" s="361"/>
      <c r="K78" s="361"/>
      <c r="L78" s="361"/>
      <c r="M78" s="361"/>
      <c r="N78" s="361"/>
      <c r="O78" s="361"/>
      <c r="P78" s="361"/>
      <c r="Q78" s="361"/>
      <c r="R78" s="361"/>
      <c r="S78" s="361"/>
      <c r="T78" s="269">
        <f t="shared" si="4"/>
        <v>0</v>
      </c>
      <c r="U78" s="269">
        <f t="shared" si="5"/>
        <v>0</v>
      </c>
    </row>
    <row r="79" spans="1:21">
      <c r="A79" s="361"/>
      <c r="B79" s="361" t="s">
        <v>397</v>
      </c>
      <c r="C79" s="433">
        <v>154619</v>
      </c>
      <c r="D79" s="433">
        <v>185621</v>
      </c>
      <c r="E79" s="433">
        <v>340241</v>
      </c>
      <c r="F79" s="361">
        <v>0</v>
      </c>
      <c r="G79" s="361"/>
      <c r="H79" s="361"/>
      <c r="I79" s="361"/>
      <c r="J79" s="361"/>
      <c r="K79" s="361"/>
      <c r="L79" s="361"/>
      <c r="M79" s="361"/>
      <c r="N79" s="361"/>
      <c r="O79" s="361"/>
      <c r="P79" s="361"/>
      <c r="Q79" s="361"/>
      <c r="R79" s="361"/>
      <c r="S79" s="361"/>
      <c r="T79" s="269">
        <f t="shared" si="4"/>
        <v>0</v>
      </c>
      <c r="U79" s="269">
        <f t="shared" si="5"/>
        <v>0</v>
      </c>
    </row>
    <row r="80" spans="1:21">
      <c r="A80" s="361"/>
      <c r="B80" s="361" t="s">
        <v>398</v>
      </c>
      <c r="C80" s="433">
        <v>239213</v>
      </c>
      <c r="D80" s="433">
        <v>117481</v>
      </c>
      <c r="E80" s="433">
        <v>356694</v>
      </c>
      <c r="F80" s="361">
        <v>0</v>
      </c>
      <c r="G80" s="361"/>
      <c r="H80" s="361"/>
      <c r="I80" s="361"/>
      <c r="J80" s="361"/>
      <c r="K80" s="361"/>
      <c r="L80" s="361"/>
      <c r="M80" s="361"/>
      <c r="N80" s="361"/>
      <c r="O80" s="361"/>
      <c r="P80" s="361"/>
      <c r="Q80" s="361"/>
      <c r="R80" s="361"/>
      <c r="S80" s="361"/>
      <c r="T80" s="269">
        <f t="shared" si="4"/>
        <v>0</v>
      </c>
      <c r="U80" s="269">
        <f t="shared" si="5"/>
        <v>0</v>
      </c>
    </row>
    <row r="81" spans="1:21">
      <c r="A81" s="361"/>
      <c r="B81" s="361" t="s">
        <v>399</v>
      </c>
      <c r="C81" s="433">
        <v>189538</v>
      </c>
      <c r="D81" s="433">
        <v>155954</v>
      </c>
      <c r="E81" s="433">
        <v>345491</v>
      </c>
      <c r="F81" s="361">
        <v>0</v>
      </c>
      <c r="G81" s="361"/>
      <c r="H81" s="361"/>
      <c r="I81" s="361"/>
      <c r="J81" s="361"/>
      <c r="K81" s="361"/>
      <c r="L81" s="361"/>
      <c r="M81" s="361"/>
      <c r="N81" s="361"/>
      <c r="O81" s="361"/>
      <c r="P81" s="361"/>
      <c r="Q81" s="361"/>
      <c r="R81" s="361"/>
      <c r="S81" s="361"/>
      <c r="T81" s="269">
        <f t="shared" si="4"/>
        <v>0</v>
      </c>
      <c r="U81" s="269">
        <f t="shared" si="5"/>
        <v>0</v>
      </c>
    </row>
    <row r="82" spans="1:21">
      <c r="A82" s="361"/>
      <c r="B82" s="361" t="s">
        <v>400</v>
      </c>
      <c r="C82" s="433">
        <v>143114</v>
      </c>
      <c r="D82" s="433">
        <v>185477</v>
      </c>
      <c r="E82" s="433">
        <v>328591</v>
      </c>
      <c r="F82" s="361">
        <v>0</v>
      </c>
      <c r="G82" s="361"/>
      <c r="H82" s="361"/>
      <c r="I82" s="361"/>
      <c r="J82" s="361"/>
      <c r="K82" s="361"/>
      <c r="L82" s="361"/>
      <c r="M82" s="361"/>
      <c r="N82" s="361"/>
      <c r="O82" s="361"/>
      <c r="P82" s="361"/>
      <c r="Q82" s="361"/>
      <c r="R82" s="361"/>
      <c r="S82" s="361"/>
      <c r="T82" s="269">
        <f t="shared" si="4"/>
        <v>0</v>
      </c>
      <c r="U82" s="269">
        <f t="shared" si="5"/>
        <v>0</v>
      </c>
    </row>
    <row r="83" spans="1:21">
      <c r="A83" s="361"/>
      <c r="B83" s="361" t="s">
        <v>401</v>
      </c>
      <c r="C83" s="433">
        <v>449207</v>
      </c>
      <c r="D83" s="433">
        <v>549785</v>
      </c>
      <c r="E83" s="433">
        <v>998991</v>
      </c>
      <c r="F83" s="361">
        <v>0</v>
      </c>
      <c r="G83" s="361"/>
      <c r="H83" s="361"/>
      <c r="I83" s="361"/>
      <c r="J83" s="361"/>
      <c r="K83" s="361"/>
      <c r="L83" s="361"/>
      <c r="M83" s="361"/>
      <c r="N83" s="361"/>
      <c r="O83" s="361"/>
      <c r="P83" s="361"/>
      <c r="Q83" s="361"/>
      <c r="R83" s="361"/>
      <c r="S83" s="361"/>
      <c r="T83" s="269">
        <f t="shared" si="4"/>
        <v>0</v>
      </c>
      <c r="U83" s="269">
        <f t="shared" si="5"/>
        <v>0</v>
      </c>
    </row>
    <row r="84" spans="1:21">
      <c r="A84" s="361"/>
      <c r="B84" s="361" t="s">
        <v>402</v>
      </c>
      <c r="C84" s="433">
        <v>123947</v>
      </c>
      <c r="D84" s="433">
        <v>205474</v>
      </c>
      <c r="E84" s="433">
        <v>329421</v>
      </c>
      <c r="F84" s="361">
        <v>0</v>
      </c>
      <c r="G84" s="361"/>
      <c r="H84" s="361"/>
      <c r="I84" s="361"/>
      <c r="J84" s="361"/>
      <c r="K84" s="361"/>
      <c r="L84" s="361"/>
      <c r="M84" s="361"/>
      <c r="N84" s="361"/>
      <c r="O84" s="361"/>
      <c r="P84" s="361"/>
      <c r="Q84" s="361"/>
      <c r="R84" s="361"/>
      <c r="S84" s="361"/>
      <c r="T84" s="269">
        <f t="shared" si="4"/>
        <v>0</v>
      </c>
      <c r="U84" s="269">
        <f t="shared" si="5"/>
        <v>0</v>
      </c>
    </row>
    <row r="85" spans="1:21">
      <c r="A85" s="361"/>
      <c r="B85" s="361" t="s">
        <v>403</v>
      </c>
      <c r="C85" s="433">
        <v>121200</v>
      </c>
      <c r="D85" s="433">
        <v>206076</v>
      </c>
      <c r="E85" s="433">
        <v>327276</v>
      </c>
      <c r="F85" s="361">
        <v>0</v>
      </c>
      <c r="G85" s="361"/>
      <c r="H85" s="361"/>
      <c r="I85" s="361"/>
      <c r="J85" s="361"/>
      <c r="K85" s="361"/>
      <c r="L85" s="361"/>
      <c r="M85" s="361"/>
      <c r="N85" s="361"/>
      <c r="O85" s="361"/>
      <c r="P85" s="361"/>
      <c r="Q85" s="361"/>
      <c r="R85" s="361"/>
      <c r="S85" s="361"/>
      <c r="T85" s="269">
        <f t="shared" si="4"/>
        <v>0</v>
      </c>
      <c r="U85" s="269">
        <f t="shared" si="5"/>
        <v>0</v>
      </c>
    </row>
    <row r="86" spans="1:21">
      <c r="A86" s="361"/>
      <c r="B86" s="361" t="s">
        <v>404</v>
      </c>
      <c r="C86" s="433">
        <v>172006</v>
      </c>
      <c r="D86" s="433">
        <v>168015</v>
      </c>
      <c r="E86" s="433">
        <v>340021</v>
      </c>
      <c r="F86" s="361">
        <v>0</v>
      </c>
      <c r="G86" s="361"/>
      <c r="H86" s="361"/>
      <c r="I86" s="361"/>
      <c r="J86" s="361"/>
      <c r="K86" s="361"/>
      <c r="L86" s="361"/>
      <c r="M86" s="361"/>
      <c r="N86" s="361"/>
      <c r="O86" s="361"/>
      <c r="P86" s="361"/>
      <c r="Q86" s="361"/>
      <c r="R86" s="361"/>
      <c r="S86" s="361"/>
      <c r="T86" s="269">
        <f t="shared" si="4"/>
        <v>0</v>
      </c>
      <c r="U86" s="269">
        <f t="shared" si="5"/>
        <v>0</v>
      </c>
    </row>
    <row r="87" spans="1:21">
      <c r="A87" s="361"/>
      <c r="B87" s="361" t="s">
        <v>405</v>
      </c>
      <c r="C87" s="433">
        <v>178163</v>
      </c>
      <c r="D87" s="433">
        <v>164286</v>
      </c>
      <c r="E87" s="433">
        <v>342449</v>
      </c>
      <c r="F87" s="361">
        <v>0</v>
      </c>
      <c r="G87" s="361"/>
      <c r="H87" s="361"/>
      <c r="I87" s="361"/>
      <c r="J87" s="361"/>
      <c r="K87" s="361"/>
      <c r="L87" s="361"/>
      <c r="M87" s="361"/>
      <c r="N87" s="361"/>
      <c r="O87" s="361"/>
      <c r="P87" s="361"/>
      <c r="Q87" s="361"/>
      <c r="R87" s="361"/>
      <c r="S87" s="361"/>
      <c r="T87" s="269">
        <f t="shared" si="4"/>
        <v>0</v>
      </c>
      <c r="U87" s="269">
        <f t="shared" si="5"/>
        <v>0</v>
      </c>
    </row>
    <row r="88" spans="1:21">
      <c r="A88" s="361"/>
      <c r="B88" s="361" t="s">
        <v>406</v>
      </c>
      <c r="C88" s="433">
        <v>208221</v>
      </c>
      <c r="D88" s="433">
        <v>151124</v>
      </c>
      <c r="E88" s="433">
        <v>359345</v>
      </c>
      <c r="F88" s="361">
        <v>0</v>
      </c>
      <c r="G88" s="361"/>
      <c r="H88" s="361"/>
      <c r="I88" s="361"/>
      <c r="J88" s="361"/>
      <c r="K88" s="361"/>
      <c r="L88" s="361"/>
      <c r="M88" s="361"/>
      <c r="N88" s="361"/>
      <c r="O88" s="361"/>
      <c r="P88" s="361"/>
      <c r="Q88" s="361"/>
      <c r="R88" s="361"/>
      <c r="S88" s="361"/>
      <c r="T88" s="269">
        <f t="shared" si="4"/>
        <v>0</v>
      </c>
      <c r="U88" s="269">
        <f t="shared" si="5"/>
        <v>0</v>
      </c>
    </row>
    <row r="89" spans="1:21">
      <c r="A89" s="361"/>
      <c r="B89" s="361" t="s">
        <v>407</v>
      </c>
      <c r="C89" s="433">
        <v>124619</v>
      </c>
      <c r="D89" s="433">
        <v>201651</v>
      </c>
      <c r="E89" s="433">
        <v>326270</v>
      </c>
      <c r="F89" s="361">
        <v>0</v>
      </c>
      <c r="G89" s="361"/>
      <c r="H89" s="361"/>
      <c r="I89" s="361"/>
      <c r="J89" s="361"/>
      <c r="K89" s="361"/>
      <c r="L89" s="361"/>
      <c r="M89" s="361"/>
      <c r="N89" s="361"/>
      <c r="O89" s="361"/>
      <c r="P89" s="361"/>
      <c r="Q89" s="361"/>
      <c r="R89" s="361"/>
      <c r="S89" s="361"/>
      <c r="T89" s="269">
        <f t="shared" si="4"/>
        <v>0</v>
      </c>
      <c r="U89" s="269">
        <f t="shared" si="5"/>
        <v>0</v>
      </c>
    </row>
    <row r="90" spans="1:21">
      <c r="A90" s="361"/>
      <c r="B90" s="361" t="s">
        <v>408</v>
      </c>
      <c r="C90" s="433">
        <v>59665</v>
      </c>
      <c r="D90" s="433">
        <v>164537</v>
      </c>
      <c r="E90" s="433">
        <v>224202</v>
      </c>
      <c r="F90" s="361">
        <v>0</v>
      </c>
      <c r="G90" s="361"/>
      <c r="H90" s="361"/>
      <c r="I90" s="361"/>
      <c r="J90" s="361"/>
      <c r="K90" s="361"/>
      <c r="L90" s="361"/>
      <c r="M90" s="361"/>
      <c r="N90" s="361"/>
      <c r="O90" s="361"/>
      <c r="P90" s="361"/>
      <c r="Q90" s="361"/>
      <c r="R90" s="361"/>
      <c r="S90" s="361"/>
      <c r="T90" s="269">
        <f t="shared" si="4"/>
        <v>0</v>
      </c>
      <c r="U90" s="269">
        <f t="shared" si="5"/>
        <v>0</v>
      </c>
    </row>
    <row r="91" spans="1:21">
      <c r="A91" s="361"/>
      <c r="B91" s="361" t="s">
        <v>409</v>
      </c>
      <c r="C91" s="433">
        <v>58453</v>
      </c>
      <c r="D91" s="433">
        <v>139042</v>
      </c>
      <c r="E91" s="433">
        <v>197495</v>
      </c>
      <c r="F91" s="361">
        <v>0</v>
      </c>
      <c r="G91" s="361"/>
      <c r="H91" s="361"/>
      <c r="I91" s="361"/>
      <c r="J91" s="361"/>
      <c r="K91" s="361"/>
      <c r="L91" s="361"/>
      <c r="M91" s="361"/>
      <c r="N91" s="361"/>
      <c r="O91" s="361"/>
      <c r="P91" s="361"/>
      <c r="Q91" s="361"/>
      <c r="R91" s="361"/>
      <c r="S91" s="361"/>
      <c r="T91" s="269">
        <f t="shared" si="4"/>
        <v>0</v>
      </c>
      <c r="U91" s="269">
        <f t="shared" si="5"/>
        <v>0</v>
      </c>
    </row>
    <row r="92" spans="1:21">
      <c r="A92" s="361"/>
      <c r="B92" s="361" t="s">
        <v>410</v>
      </c>
      <c r="C92" s="433">
        <v>225035</v>
      </c>
      <c r="D92" s="433">
        <v>123667</v>
      </c>
      <c r="E92" s="433">
        <v>348702</v>
      </c>
      <c r="F92" s="361">
        <v>0</v>
      </c>
      <c r="G92" s="361"/>
      <c r="H92" s="361"/>
      <c r="I92" s="361"/>
      <c r="J92" s="361"/>
      <c r="K92" s="361"/>
      <c r="L92" s="361"/>
      <c r="M92" s="361"/>
      <c r="N92" s="361"/>
      <c r="O92" s="361"/>
      <c r="P92" s="361"/>
      <c r="Q92" s="361"/>
      <c r="R92" s="361"/>
      <c r="S92" s="361"/>
      <c r="T92" s="269">
        <f t="shared" si="4"/>
        <v>0</v>
      </c>
      <c r="U92" s="269">
        <f t="shared" si="5"/>
        <v>0</v>
      </c>
    </row>
    <row r="93" spans="1:21">
      <c r="A93" s="361"/>
      <c r="B93" s="361" t="s">
        <v>411</v>
      </c>
      <c r="C93" s="433">
        <v>223956</v>
      </c>
      <c r="D93" s="433">
        <v>124121</v>
      </c>
      <c r="E93" s="433">
        <v>348077</v>
      </c>
      <c r="F93" s="361">
        <v>0</v>
      </c>
      <c r="G93" s="361"/>
      <c r="H93" s="361"/>
      <c r="I93" s="361"/>
      <c r="J93" s="361"/>
      <c r="K93" s="361"/>
      <c r="L93" s="361"/>
      <c r="M93" s="361"/>
      <c r="N93" s="361"/>
      <c r="O93" s="361"/>
      <c r="P93" s="361"/>
      <c r="Q93" s="361"/>
      <c r="R93" s="361"/>
      <c r="S93" s="361"/>
      <c r="T93" s="269">
        <f t="shared" si="4"/>
        <v>0</v>
      </c>
      <c r="U93" s="269">
        <f t="shared" si="5"/>
        <v>0</v>
      </c>
    </row>
    <row r="94" spans="1:21">
      <c r="A94" s="361"/>
      <c r="B94" s="361" t="s">
        <v>412</v>
      </c>
      <c r="C94" s="433">
        <v>135800</v>
      </c>
      <c r="D94" s="433">
        <v>198058</v>
      </c>
      <c r="E94" s="433">
        <v>333858</v>
      </c>
      <c r="F94" s="361">
        <v>0</v>
      </c>
      <c r="G94" s="361"/>
      <c r="H94" s="361"/>
      <c r="I94" s="361"/>
      <c r="J94" s="361"/>
      <c r="K94" s="361"/>
      <c r="L94" s="361"/>
      <c r="M94" s="361"/>
      <c r="N94" s="361"/>
      <c r="O94" s="361"/>
      <c r="P94" s="361"/>
      <c r="Q94" s="361"/>
      <c r="R94" s="361"/>
      <c r="S94" s="361"/>
      <c r="T94" s="269">
        <f t="shared" si="4"/>
        <v>0</v>
      </c>
      <c r="U94" s="269">
        <f t="shared" si="5"/>
        <v>0</v>
      </c>
    </row>
    <row r="95" spans="1:21">
      <c r="A95" s="361"/>
      <c r="B95" s="361" t="s">
        <v>413</v>
      </c>
      <c r="C95" s="433">
        <v>141347</v>
      </c>
      <c r="D95" s="433">
        <v>188617</v>
      </c>
      <c r="E95" s="433">
        <v>329964</v>
      </c>
      <c r="F95" s="361">
        <v>0</v>
      </c>
      <c r="G95" s="361"/>
      <c r="H95" s="361"/>
      <c r="I95" s="361"/>
      <c r="J95" s="361"/>
      <c r="K95" s="361"/>
      <c r="L95" s="361"/>
      <c r="M95" s="361"/>
      <c r="N95" s="361"/>
      <c r="O95" s="361"/>
      <c r="P95" s="361"/>
      <c r="Q95" s="361"/>
      <c r="R95" s="361"/>
      <c r="S95" s="361"/>
      <c r="T95" s="269">
        <f t="shared" si="4"/>
        <v>0</v>
      </c>
      <c r="U95" s="269">
        <f t="shared" si="5"/>
        <v>0</v>
      </c>
    </row>
    <row r="96" spans="1:21">
      <c r="A96" s="361"/>
      <c r="B96" s="361" t="s">
        <v>414</v>
      </c>
      <c r="C96" s="433">
        <v>139885</v>
      </c>
      <c r="D96" s="433">
        <v>191618</v>
      </c>
      <c r="E96" s="433">
        <v>331503</v>
      </c>
      <c r="F96" s="361">
        <v>0</v>
      </c>
      <c r="G96" s="361"/>
      <c r="H96" s="361"/>
      <c r="I96" s="361"/>
      <c r="J96" s="361"/>
      <c r="K96" s="361"/>
      <c r="L96" s="361"/>
      <c r="M96" s="361"/>
      <c r="N96" s="361"/>
      <c r="O96" s="361"/>
      <c r="P96" s="361"/>
      <c r="Q96" s="361"/>
      <c r="R96" s="361"/>
      <c r="S96" s="361"/>
      <c r="T96" s="269">
        <f t="shared" si="4"/>
        <v>0</v>
      </c>
      <c r="U96" s="269">
        <f t="shared" si="5"/>
        <v>0</v>
      </c>
    </row>
    <row r="97" spans="1:21">
      <c r="A97" s="361"/>
      <c r="B97" s="361" t="s">
        <v>415</v>
      </c>
      <c r="C97" s="433">
        <v>84879</v>
      </c>
      <c r="D97" s="433">
        <v>164187</v>
      </c>
      <c r="E97" s="433">
        <v>249066</v>
      </c>
      <c r="F97" s="361">
        <v>0</v>
      </c>
      <c r="G97" s="361"/>
      <c r="H97" s="361"/>
      <c r="I97" s="361"/>
      <c r="J97" s="361"/>
      <c r="K97" s="361"/>
      <c r="L97" s="361"/>
      <c r="M97" s="361"/>
      <c r="N97" s="361"/>
      <c r="O97" s="361"/>
      <c r="P97" s="361"/>
      <c r="Q97" s="361"/>
      <c r="R97" s="361"/>
      <c r="S97" s="361"/>
      <c r="T97" s="269">
        <f t="shared" si="4"/>
        <v>0</v>
      </c>
      <c r="U97" s="269">
        <f t="shared" si="5"/>
        <v>0</v>
      </c>
    </row>
    <row r="98" spans="1:21">
      <c r="A98" s="361"/>
      <c r="B98" s="361" t="s">
        <v>416</v>
      </c>
      <c r="C98" s="433">
        <v>58453</v>
      </c>
      <c r="D98" s="433">
        <v>138968</v>
      </c>
      <c r="E98" s="433">
        <v>197421</v>
      </c>
      <c r="F98" s="361">
        <v>0</v>
      </c>
      <c r="G98" s="361"/>
      <c r="H98" s="361"/>
      <c r="I98" s="361"/>
      <c r="J98" s="361"/>
      <c r="K98" s="361"/>
      <c r="L98" s="361"/>
      <c r="M98" s="361"/>
      <c r="N98" s="361"/>
      <c r="O98" s="361"/>
      <c r="P98" s="361"/>
      <c r="Q98" s="361"/>
      <c r="R98" s="361"/>
      <c r="S98" s="361"/>
      <c r="T98" s="269">
        <f t="shared" si="4"/>
        <v>0</v>
      </c>
      <c r="U98" s="269">
        <f t="shared" si="5"/>
        <v>0</v>
      </c>
    </row>
    <row r="99" spans="1:21">
      <c r="A99" s="361"/>
      <c r="B99" s="361" t="s">
        <v>417</v>
      </c>
      <c r="C99" s="433">
        <v>169698</v>
      </c>
      <c r="D99" s="433">
        <v>134040</v>
      </c>
      <c r="E99" s="433">
        <v>303738</v>
      </c>
      <c r="F99" s="361">
        <v>0</v>
      </c>
      <c r="G99" s="361"/>
      <c r="H99" s="361"/>
      <c r="I99" s="361"/>
      <c r="J99" s="361"/>
      <c r="K99" s="361"/>
      <c r="L99" s="361"/>
      <c r="M99" s="361"/>
      <c r="N99" s="361"/>
      <c r="O99" s="361"/>
      <c r="P99" s="361"/>
      <c r="Q99" s="361"/>
      <c r="R99" s="361"/>
      <c r="S99" s="361"/>
      <c r="T99" s="269">
        <f t="shared" si="4"/>
        <v>0</v>
      </c>
      <c r="U99" s="269">
        <f t="shared" si="5"/>
        <v>0</v>
      </c>
    </row>
    <row r="100" spans="1:21">
      <c r="A100" s="361"/>
      <c r="B100" s="361" t="s">
        <v>418</v>
      </c>
      <c r="C100" s="433">
        <v>167011</v>
      </c>
      <c r="D100" s="433">
        <v>134030</v>
      </c>
      <c r="E100" s="433">
        <v>301040</v>
      </c>
      <c r="F100" s="361">
        <v>0</v>
      </c>
      <c r="G100" s="361"/>
      <c r="H100" s="361"/>
      <c r="I100" s="361"/>
      <c r="J100" s="361"/>
      <c r="K100" s="361"/>
      <c r="L100" s="361"/>
      <c r="M100" s="361"/>
      <c r="N100" s="361"/>
      <c r="O100" s="361"/>
      <c r="P100" s="361"/>
      <c r="Q100" s="361"/>
      <c r="R100" s="361"/>
      <c r="S100" s="361"/>
      <c r="T100" s="269">
        <f t="shared" si="4"/>
        <v>0</v>
      </c>
      <c r="U100" s="269">
        <f t="shared" si="5"/>
        <v>0</v>
      </c>
    </row>
    <row r="101" spans="1:21">
      <c r="A101" s="361"/>
      <c r="B101" s="361" t="s">
        <v>419</v>
      </c>
      <c r="C101" s="433">
        <v>259968</v>
      </c>
      <c r="D101" s="433">
        <v>113943</v>
      </c>
      <c r="E101" s="433">
        <v>373910</v>
      </c>
      <c r="F101" s="361">
        <v>0</v>
      </c>
      <c r="G101" s="361"/>
      <c r="H101" s="361"/>
      <c r="I101" s="361"/>
      <c r="J101" s="361"/>
      <c r="K101" s="361"/>
      <c r="L101" s="361"/>
      <c r="M101" s="361"/>
      <c r="N101" s="361"/>
      <c r="O101" s="361"/>
      <c r="P101" s="361"/>
      <c r="Q101" s="361"/>
      <c r="R101" s="361"/>
      <c r="S101" s="361"/>
      <c r="T101" s="269">
        <f t="shared" si="4"/>
        <v>0</v>
      </c>
      <c r="U101" s="269">
        <f t="shared" si="5"/>
        <v>0</v>
      </c>
    </row>
    <row r="102" spans="1:21">
      <c r="A102" s="361"/>
      <c r="B102" s="361" t="s">
        <v>420</v>
      </c>
      <c r="C102" s="433">
        <v>132006</v>
      </c>
      <c r="D102" s="433">
        <v>192813</v>
      </c>
      <c r="E102" s="433">
        <v>324820</v>
      </c>
      <c r="F102" s="361">
        <v>0</v>
      </c>
      <c r="G102" s="361"/>
      <c r="H102" s="361"/>
      <c r="I102" s="361"/>
      <c r="J102" s="361"/>
      <c r="K102" s="361"/>
      <c r="L102" s="361"/>
      <c r="M102" s="361"/>
      <c r="N102" s="361"/>
      <c r="O102" s="361"/>
      <c r="P102" s="361"/>
      <c r="Q102" s="361"/>
      <c r="R102" s="361"/>
      <c r="S102" s="361"/>
      <c r="T102" s="269">
        <f t="shared" si="4"/>
        <v>0</v>
      </c>
      <c r="U102" s="269">
        <f t="shared" si="5"/>
        <v>0</v>
      </c>
    </row>
    <row r="103" spans="1:21">
      <c r="A103" s="361"/>
      <c r="B103" s="361"/>
      <c r="C103" s="361"/>
      <c r="D103" s="361"/>
      <c r="E103" s="361"/>
      <c r="F103" s="361">
        <v>0</v>
      </c>
      <c r="G103" s="361"/>
      <c r="H103" s="361"/>
      <c r="I103" s="361"/>
      <c r="J103" s="361"/>
      <c r="K103" s="361"/>
      <c r="L103" s="361"/>
      <c r="M103" s="361"/>
      <c r="N103" s="361"/>
      <c r="O103" s="361"/>
      <c r="P103" s="361"/>
      <c r="Q103" s="361"/>
      <c r="R103" s="361"/>
      <c r="S103" s="361"/>
      <c r="T103" s="269">
        <f t="shared" si="4"/>
        <v>0</v>
      </c>
      <c r="U103" s="269">
        <f t="shared" si="5"/>
        <v>0</v>
      </c>
    </row>
    <row r="104" spans="1:21">
      <c r="A104" s="361"/>
      <c r="B104" s="361" t="s">
        <v>273</v>
      </c>
      <c r="C104" s="361"/>
      <c r="D104" s="361">
        <v>0</v>
      </c>
      <c r="E104" s="361"/>
      <c r="F104" s="361"/>
      <c r="G104" s="361"/>
      <c r="H104" s="361"/>
      <c r="I104" s="361"/>
      <c r="J104" s="361"/>
      <c r="K104" s="361"/>
      <c r="L104" s="361"/>
      <c r="M104" s="361"/>
      <c r="N104" s="361"/>
      <c r="O104" s="361"/>
      <c r="P104" s="361"/>
      <c r="Q104" s="361"/>
      <c r="R104" s="361"/>
      <c r="S104" s="361"/>
      <c r="T104" s="269">
        <f t="shared" si="4"/>
        <v>0</v>
      </c>
      <c r="U104" s="269">
        <f t="shared" si="5"/>
        <v>0</v>
      </c>
    </row>
    <row r="105" spans="1:21">
      <c r="A105" s="361"/>
      <c r="B105" s="361" t="s">
        <v>421</v>
      </c>
      <c r="C105" s="433">
        <v>89718</v>
      </c>
      <c r="D105" s="433">
        <v>122146</v>
      </c>
      <c r="E105" s="433">
        <v>211863</v>
      </c>
      <c r="F105" s="361">
        <v>0</v>
      </c>
      <c r="G105" s="361"/>
      <c r="H105" s="361"/>
      <c r="I105" s="361"/>
      <c r="J105" s="361"/>
      <c r="K105" s="361"/>
      <c r="L105" s="361"/>
      <c r="M105" s="361"/>
      <c r="N105" s="361"/>
      <c r="O105" s="361"/>
      <c r="P105" s="361"/>
      <c r="Q105" s="361"/>
      <c r="R105" s="361"/>
      <c r="S105" s="361"/>
      <c r="T105" s="269">
        <f t="shared" si="4"/>
        <v>0</v>
      </c>
      <c r="U105" s="269">
        <f t="shared" si="5"/>
        <v>0</v>
      </c>
    </row>
    <row r="106" spans="1:21">
      <c r="A106" s="361"/>
      <c r="B106" s="361" t="s">
        <v>422</v>
      </c>
      <c r="C106" s="433">
        <v>11282</v>
      </c>
      <c r="D106" s="433">
        <v>9587</v>
      </c>
      <c r="E106" s="433">
        <v>20869</v>
      </c>
      <c r="F106" s="361">
        <v>0</v>
      </c>
      <c r="G106" s="361"/>
      <c r="H106" s="361"/>
      <c r="I106" s="361"/>
      <c r="J106" s="361"/>
      <c r="K106" s="361"/>
      <c r="L106" s="361"/>
      <c r="M106" s="361"/>
      <c r="N106" s="361"/>
      <c r="O106" s="361"/>
      <c r="P106" s="361"/>
      <c r="Q106" s="361"/>
      <c r="R106" s="361"/>
      <c r="S106" s="361"/>
      <c r="T106" s="269">
        <f t="shared" si="4"/>
        <v>0</v>
      </c>
      <c r="U106" s="269">
        <f t="shared" si="5"/>
        <v>0</v>
      </c>
    </row>
    <row r="107" spans="1:21">
      <c r="A107" s="361"/>
      <c r="B107" s="361" t="s">
        <v>423</v>
      </c>
      <c r="C107" s="433">
        <v>97444</v>
      </c>
      <c r="D107" s="433">
        <v>129759</v>
      </c>
      <c r="E107" s="433">
        <v>227203</v>
      </c>
      <c r="F107" s="361">
        <v>0</v>
      </c>
      <c r="G107" s="361"/>
      <c r="H107" s="361"/>
      <c r="I107" s="361"/>
      <c r="J107" s="361"/>
      <c r="K107" s="361"/>
      <c r="L107" s="361"/>
      <c r="M107" s="361"/>
      <c r="N107" s="361"/>
      <c r="O107" s="361"/>
      <c r="P107" s="361"/>
      <c r="Q107" s="361"/>
      <c r="R107" s="361"/>
      <c r="S107" s="361"/>
      <c r="T107" s="269">
        <f t="shared" si="4"/>
        <v>0</v>
      </c>
      <c r="U107" s="269">
        <f t="shared" si="5"/>
        <v>0</v>
      </c>
    </row>
    <row r="108" spans="1:21">
      <c r="A108" s="361"/>
      <c r="B108" s="361" t="s">
        <v>424</v>
      </c>
      <c r="C108" s="433">
        <v>39757</v>
      </c>
      <c r="D108" s="433">
        <v>50910</v>
      </c>
      <c r="E108" s="433">
        <v>90667</v>
      </c>
      <c r="F108" s="361">
        <v>0</v>
      </c>
      <c r="G108" s="361"/>
      <c r="H108" s="361"/>
      <c r="I108" s="361"/>
      <c r="J108" s="361"/>
      <c r="K108" s="361"/>
      <c r="L108" s="361"/>
      <c r="M108" s="361"/>
      <c r="N108" s="361"/>
      <c r="O108" s="361"/>
      <c r="P108" s="361"/>
      <c r="Q108" s="361"/>
      <c r="R108" s="361"/>
      <c r="S108" s="361"/>
      <c r="T108" s="269">
        <f t="shared" si="4"/>
        <v>0</v>
      </c>
      <c r="U108" s="269">
        <f t="shared" si="5"/>
        <v>0</v>
      </c>
    </row>
    <row r="109" spans="1:21">
      <c r="A109" s="361"/>
      <c r="B109" s="361" t="s">
        <v>425</v>
      </c>
      <c r="C109" s="433">
        <v>130355</v>
      </c>
      <c r="D109" s="433">
        <v>119288</v>
      </c>
      <c r="E109" s="433">
        <v>249643</v>
      </c>
      <c r="F109" s="361">
        <v>0</v>
      </c>
      <c r="G109" s="361"/>
      <c r="H109" s="361"/>
      <c r="I109" s="361"/>
      <c r="J109" s="361"/>
      <c r="K109" s="361"/>
      <c r="L109" s="361"/>
      <c r="M109" s="361"/>
      <c r="N109" s="361"/>
      <c r="O109" s="361"/>
      <c r="P109" s="361"/>
      <c r="Q109" s="361"/>
      <c r="R109" s="361"/>
      <c r="S109" s="361"/>
      <c r="T109" s="269">
        <f t="shared" si="4"/>
        <v>0</v>
      </c>
      <c r="U109" s="269">
        <f t="shared" si="5"/>
        <v>0</v>
      </c>
    </row>
    <row r="110" spans="1:21">
      <c r="A110" s="361"/>
      <c r="B110" s="361" t="s">
        <v>426</v>
      </c>
      <c r="C110" s="433">
        <v>142317</v>
      </c>
      <c r="D110" s="433">
        <v>145504</v>
      </c>
      <c r="E110" s="433">
        <v>287821</v>
      </c>
      <c r="F110" s="361">
        <v>0</v>
      </c>
      <c r="G110" s="361"/>
      <c r="H110" s="361"/>
      <c r="I110" s="361"/>
      <c r="J110" s="361"/>
      <c r="K110" s="361"/>
      <c r="L110" s="361"/>
      <c r="M110" s="361"/>
      <c r="N110" s="361"/>
      <c r="O110" s="361"/>
      <c r="P110" s="361"/>
      <c r="Q110" s="361"/>
      <c r="R110" s="361"/>
      <c r="S110" s="361"/>
      <c r="T110" s="269">
        <f t="shared" si="4"/>
        <v>0</v>
      </c>
      <c r="U110" s="269">
        <f t="shared" si="5"/>
        <v>0</v>
      </c>
    </row>
    <row r="111" spans="1:21">
      <c r="A111" s="361"/>
      <c r="B111" s="361" t="s">
        <v>427</v>
      </c>
      <c r="C111" s="433">
        <v>57401</v>
      </c>
      <c r="D111" s="433">
        <v>90527</v>
      </c>
      <c r="E111" s="433">
        <v>147928</v>
      </c>
      <c r="F111" s="361">
        <v>0</v>
      </c>
      <c r="G111" s="361"/>
      <c r="H111" s="361"/>
      <c r="I111" s="361"/>
      <c r="J111" s="361"/>
      <c r="K111" s="361"/>
      <c r="L111" s="361"/>
      <c r="M111" s="361"/>
      <c r="N111" s="361"/>
      <c r="O111" s="361"/>
      <c r="P111" s="361"/>
      <c r="Q111" s="361"/>
      <c r="R111" s="361"/>
      <c r="S111" s="361"/>
      <c r="T111" s="269">
        <f t="shared" si="4"/>
        <v>0</v>
      </c>
      <c r="U111" s="269">
        <f t="shared" si="5"/>
        <v>0</v>
      </c>
    </row>
    <row r="112" spans="1:21">
      <c r="A112" s="361"/>
      <c r="B112" s="361" t="s">
        <v>428</v>
      </c>
      <c r="C112" s="433">
        <v>34876</v>
      </c>
      <c r="D112" s="433">
        <v>49389</v>
      </c>
      <c r="E112" s="433">
        <v>84265</v>
      </c>
      <c r="F112" s="361">
        <v>0</v>
      </c>
      <c r="G112" s="361"/>
      <c r="H112" s="361"/>
      <c r="I112" s="361"/>
      <c r="J112" s="361"/>
      <c r="K112" s="361"/>
      <c r="L112" s="361"/>
      <c r="M112" s="361"/>
      <c r="N112" s="361"/>
      <c r="O112" s="361"/>
      <c r="P112" s="361"/>
      <c r="Q112" s="361"/>
      <c r="R112" s="361"/>
      <c r="S112" s="361"/>
      <c r="T112" s="269">
        <f t="shared" si="4"/>
        <v>0</v>
      </c>
      <c r="U112" s="269">
        <f t="shared" si="5"/>
        <v>0</v>
      </c>
    </row>
    <row r="113" spans="1:21">
      <c r="A113" s="361"/>
      <c r="B113" s="361" t="s">
        <v>429</v>
      </c>
      <c r="C113" s="433">
        <v>69223</v>
      </c>
      <c r="D113" s="433">
        <v>127137</v>
      </c>
      <c r="E113" s="433">
        <v>196360</v>
      </c>
      <c r="F113" s="361">
        <v>0</v>
      </c>
      <c r="G113" s="361"/>
      <c r="H113" s="361"/>
      <c r="I113" s="361"/>
      <c r="J113" s="361"/>
      <c r="K113" s="361"/>
      <c r="L113" s="361"/>
      <c r="M113" s="361"/>
      <c r="N113" s="361"/>
      <c r="O113" s="361"/>
      <c r="P113" s="361"/>
      <c r="Q113" s="361"/>
      <c r="R113" s="361"/>
      <c r="S113" s="361"/>
      <c r="T113" s="269">
        <f t="shared" si="4"/>
        <v>0</v>
      </c>
      <c r="U113" s="269">
        <f t="shared" si="5"/>
        <v>0</v>
      </c>
    </row>
    <row r="114" spans="1:21">
      <c r="A114" s="361"/>
      <c r="B114" s="361" t="s">
        <v>430</v>
      </c>
      <c r="C114" s="433">
        <v>88845</v>
      </c>
      <c r="D114" s="433">
        <v>87790</v>
      </c>
      <c r="E114" s="433">
        <v>176635</v>
      </c>
      <c r="F114" s="361">
        <v>0</v>
      </c>
      <c r="G114" s="361"/>
      <c r="H114" s="361"/>
      <c r="I114" s="361"/>
      <c r="J114" s="361"/>
      <c r="K114" s="361"/>
      <c r="L114" s="361"/>
      <c r="M114" s="361"/>
      <c r="N114" s="361"/>
      <c r="O114" s="361"/>
      <c r="P114" s="361"/>
      <c r="Q114" s="361"/>
      <c r="R114" s="361"/>
      <c r="S114" s="361"/>
      <c r="T114" s="269">
        <f t="shared" si="4"/>
        <v>0</v>
      </c>
      <c r="U114" s="269">
        <f t="shared" si="5"/>
        <v>0</v>
      </c>
    </row>
    <row r="115" spans="1:21">
      <c r="A115" s="361"/>
      <c r="B115" s="361"/>
      <c r="C115" s="361"/>
      <c r="D115" s="361"/>
      <c r="E115" s="361"/>
      <c r="F115" s="361">
        <v>0</v>
      </c>
      <c r="G115" s="361"/>
      <c r="H115" s="361"/>
      <c r="I115" s="361"/>
      <c r="J115" s="361"/>
      <c r="K115" s="361"/>
      <c r="L115" s="361"/>
      <c r="M115" s="361"/>
      <c r="N115" s="361"/>
      <c r="O115" s="361"/>
      <c r="P115" s="361"/>
      <c r="Q115" s="361"/>
      <c r="R115" s="361"/>
      <c r="S115" s="361"/>
      <c r="T115" s="269">
        <f t="shared" si="4"/>
        <v>0</v>
      </c>
      <c r="U115" s="269">
        <f t="shared" si="5"/>
        <v>0</v>
      </c>
    </row>
    <row r="116" spans="1:21">
      <c r="A116" s="361"/>
      <c r="B116" s="361" t="s">
        <v>298</v>
      </c>
      <c r="C116" s="361">
        <v>0</v>
      </c>
      <c r="D116" s="361"/>
      <c r="E116" s="361"/>
      <c r="F116" s="361"/>
      <c r="G116" s="361"/>
      <c r="H116" s="361"/>
      <c r="I116" s="361"/>
      <c r="J116" s="361"/>
      <c r="K116" s="361"/>
      <c r="L116" s="361"/>
      <c r="M116" s="361"/>
      <c r="N116" s="361"/>
      <c r="O116" s="361"/>
      <c r="P116" s="361"/>
      <c r="Q116" s="361"/>
      <c r="R116" s="361"/>
      <c r="S116" s="429"/>
      <c r="T116" s="269">
        <f t="shared" si="4"/>
        <v>0</v>
      </c>
      <c r="U116" s="269">
        <f t="shared" si="5"/>
        <v>0</v>
      </c>
    </row>
    <row r="117" spans="1:21">
      <c r="A117" s="361"/>
      <c r="B117" s="361" t="s">
        <v>431</v>
      </c>
      <c r="C117" s="433">
        <v>191632</v>
      </c>
      <c r="D117" s="433">
        <v>60092</v>
      </c>
      <c r="E117" s="433">
        <v>251724</v>
      </c>
      <c r="F117" s="361">
        <v>0</v>
      </c>
      <c r="G117" s="361"/>
      <c r="H117" s="361"/>
      <c r="I117" s="361"/>
      <c r="J117" s="361"/>
      <c r="K117" s="361"/>
      <c r="L117" s="361"/>
      <c r="M117" s="361"/>
      <c r="N117" s="361"/>
      <c r="O117" s="361"/>
      <c r="P117" s="361"/>
      <c r="Q117" s="361"/>
      <c r="R117" s="361"/>
      <c r="S117" s="361"/>
      <c r="T117" s="269">
        <f t="shared" si="4"/>
        <v>0</v>
      </c>
      <c r="U117" s="269">
        <f t="shared" si="5"/>
        <v>0</v>
      </c>
    </row>
    <row r="118" spans="1:21">
      <c r="A118" s="361"/>
      <c r="B118" s="361" t="s">
        <v>432</v>
      </c>
      <c r="C118" s="433">
        <v>129525</v>
      </c>
      <c r="D118" s="433">
        <v>192148</v>
      </c>
      <c r="E118" s="433">
        <v>321673</v>
      </c>
      <c r="F118" s="361">
        <v>0</v>
      </c>
      <c r="G118" s="361"/>
      <c r="H118" s="361"/>
      <c r="I118" s="361"/>
      <c r="J118" s="361"/>
      <c r="K118" s="361"/>
      <c r="L118" s="361"/>
      <c r="M118" s="361"/>
      <c r="N118" s="361"/>
      <c r="O118" s="361"/>
      <c r="P118" s="361"/>
      <c r="Q118" s="361"/>
      <c r="R118" s="361"/>
      <c r="S118" s="361"/>
      <c r="T118" s="269">
        <f t="shared" si="4"/>
        <v>0</v>
      </c>
      <c r="U118" s="269">
        <f t="shared" si="5"/>
        <v>0</v>
      </c>
    </row>
    <row r="119" spans="1:21">
      <c r="A119" s="361"/>
      <c r="B119" s="361" t="s">
        <v>433</v>
      </c>
      <c r="C119" s="433">
        <v>7654</v>
      </c>
      <c r="D119" s="433">
        <v>89704</v>
      </c>
      <c r="E119" s="433">
        <v>97358</v>
      </c>
      <c r="F119" s="361">
        <v>0</v>
      </c>
      <c r="G119" s="361"/>
      <c r="H119" s="361"/>
      <c r="I119" s="361"/>
      <c r="J119" s="361"/>
      <c r="K119" s="361"/>
      <c r="L119" s="361"/>
      <c r="M119" s="361"/>
      <c r="N119" s="361"/>
      <c r="O119" s="361"/>
      <c r="P119" s="361"/>
      <c r="Q119" s="361"/>
      <c r="R119" s="361"/>
      <c r="S119" s="361"/>
      <c r="T119" s="269">
        <f t="shared" si="4"/>
        <v>0</v>
      </c>
      <c r="U119" s="269">
        <f t="shared" si="5"/>
        <v>0</v>
      </c>
    </row>
    <row r="120" spans="1:21">
      <c r="A120" s="361"/>
      <c r="B120" s="361" t="s">
        <v>434</v>
      </c>
      <c r="C120" s="433">
        <v>250598</v>
      </c>
      <c r="D120" s="433">
        <v>139780</v>
      </c>
      <c r="E120" s="433">
        <v>390378</v>
      </c>
      <c r="F120" s="361">
        <v>0</v>
      </c>
      <c r="G120" s="361"/>
      <c r="H120" s="361"/>
      <c r="I120" s="361"/>
      <c r="J120" s="361"/>
      <c r="K120" s="361"/>
      <c r="L120" s="361"/>
      <c r="M120" s="361"/>
      <c r="N120" s="361"/>
      <c r="O120" s="361"/>
      <c r="P120" s="361"/>
      <c r="Q120" s="361"/>
      <c r="R120" s="361"/>
      <c r="S120" s="361"/>
      <c r="T120" s="269">
        <f t="shared" si="4"/>
        <v>0</v>
      </c>
      <c r="U120" s="269">
        <f t="shared" si="5"/>
        <v>0</v>
      </c>
    </row>
    <row r="121" spans="1:21">
      <c r="A121" s="361"/>
      <c r="B121" s="361" t="s">
        <v>435</v>
      </c>
      <c r="C121" s="433">
        <v>5970</v>
      </c>
      <c r="D121" s="433">
        <v>14050</v>
      </c>
      <c r="E121" s="433">
        <v>20020</v>
      </c>
      <c r="F121" s="361">
        <v>0</v>
      </c>
      <c r="G121" s="361"/>
      <c r="H121" s="361"/>
      <c r="I121" s="361"/>
      <c r="J121" s="361"/>
      <c r="K121" s="361"/>
      <c r="L121" s="361"/>
      <c r="M121" s="361"/>
      <c r="N121" s="361"/>
      <c r="O121" s="361"/>
      <c r="P121" s="361"/>
      <c r="Q121" s="361"/>
      <c r="R121" s="361"/>
      <c r="S121" s="361"/>
      <c r="T121" s="269">
        <f t="shared" si="4"/>
        <v>0</v>
      </c>
      <c r="U121" s="269">
        <f t="shared" si="5"/>
        <v>0</v>
      </c>
    </row>
    <row r="122" spans="1:21">
      <c r="A122" s="361"/>
      <c r="B122" s="361" t="s">
        <v>436</v>
      </c>
      <c r="C122" s="433">
        <v>9079</v>
      </c>
      <c r="D122" s="433">
        <v>37974</v>
      </c>
      <c r="E122" s="433">
        <v>47053</v>
      </c>
      <c r="F122" s="361">
        <v>0</v>
      </c>
      <c r="G122" s="361"/>
      <c r="H122" s="361"/>
      <c r="I122" s="361"/>
      <c r="J122" s="361"/>
      <c r="K122" s="361"/>
      <c r="L122" s="361"/>
      <c r="M122" s="361"/>
      <c r="N122" s="361"/>
      <c r="O122" s="361"/>
      <c r="P122" s="361"/>
      <c r="Q122" s="361"/>
      <c r="R122" s="361"/>
      <c r="S122" s="361"/>
      <c r="T122" s="269">
        <f t="shared" si="4"/>
        <v>0</v>
      </c>
      <c r="U122" s="269">
        <f t="shared" si="5"/>
        <v>0</v>
      </c>
    </row>
    <row r="123" spans="1:21">
      <c r="A123" s="361"/>
      <c r="B123" s="361"/>
      <c r="C123" s="361"/>
      <c r="D123" s="361"/>
      <c r="E123" s="361"/>
      <c r="F123" s="361">
        <v>0</v>
      </c>
      <c r="G123" s="361"/>
      <c r="H123" s="361"/>
      <c r="I123" s="361"/>
      <c r="J123" s="361"/>
      <c r="K123" s="361"/>
      <c r="L123" s="361"/>
      <c r="M123" s="361"/>
      <c r="N123" s="361"/>
      <c r="O123" s="361"/>
      <c r="P123" s="361"/>
      <c r="Q123" s="361"/>
      <c r="R123" s="361"/>
      <c r="S123" s="361"/>
      <c r="T123" s="269">
        <f t="shared" si="4"/>
        <v>0</v>
      </c>
      <c r="U123" s="269">
        <f t="shared" si="5"/>
        <v>0</v>
      </c>
    </row>
    <row r="124" spans="1:21">
      <c r="A124" s="361"/>
      <c r="B124" s="361" t="s">
        <v>303</v>
      </c>
      <c r="C124" s="361">
        <v>0</v>
      </c>
      <c r="D124" s="361"/>
      <c r="E124" s="361"/>
      <c r="F124" s="361"/>
      <c r="G124" s="361"/>
      <c r="H124" s="361"/>
      <c r="I124" s="361"/>
      <c r="J124" s="361"/>
      <c r="K124" s="361"/>
      <c r="L124" s="361"/>
      <c r="M124" s="361"/>
      <c r="N124" s="361"/>
      <c r="O124" s="361"/>
      <c r="P124" s="361"/>
      <c r="Q124" s="361"/>
      <c r="R124" s="361"/>
      <c r="S124" s="429"/>
      <c r="T124" s="269">
        <f t="shared" si="4"/>
        <v>0</v>
      </c>
      <c r="U124" s="269">
        <f t="shared" si="5"/>
        <v>0</v>
      </c>
    </row>
    <row r="125" spans="1:21">
      <c r="A125" s="361"/>
      <c r="B125" s="361" t="s">
        <v>437</v>
      </c>
      <c r="C125" s="361" t="s">
        <v>629</v>
      </c>
      <c r="D125" s="433">
        <v>8101</v>
      </c>
      <c r="E125" s="433">
        <v>8101</v>
      </c>
      <c r="F125" s="361">
        <v>0</v>
      </c>
      <c r="G125" s="361"/>
      <c r="H125" s="361"/>
      <c r="I125" s="361"/>
      <c r="J125" s="361"/>
      <c r="K125" s="361"/>
      <c r="L125" s="361"/>
      <c r="M125" s="361"/>
      <c r="N125" s="361"/>
      <c r="O125" s="361"/>
      <c r="P125" s="361"/>
      <c r="Q125" s="361"/>
      <c r="R125" s="361"/>
      <c r="S125" s="361"/>
      <c r="T125" s="269">
        <f t="shared" si="4"/>
        <v>0</v>
      </c>
      <c r="U125" s="269">
        <f t="shared" si="5"/>
        <v>0</v>
      </c>
    </row>
    <row r="126" spans="1:21">
      <c r="A126" s="361"/>
      <c r="B126" s="361"/>
      <c r="C126" s="361"/>
      <c r="D126" s="361"/>
      <c r="E126" s="361"/>
      <c r="F126" s="361">
        <v>0</v>
      </c>
      <c r="G126" s="361"/>
      <c r="H126" s="361"/>
      <c r="I126" s="361"/>
      <c r="J126" s="361"/>
      <c r="K126" s="361"/>
      <c r="L126" s="361"/>
      <c r="M126" s="361"/>
      <c r="N126" s="361"/>
      <c r="O126" s="361"/>
      <c r="P126" s="361"/>
      <c r="Q126" s="361"/>
      <c r="R126" s="361"/>
      <c r="S126" s="361"/>
      <c r="T126" s="269">
        <f t="shared" si="4"/>
        <v>0</v>
      </c>
      <c r="U126" s="269">
        <f t="shared" si="5"/>
        <v>0</v>
      </c>
    </row>
    <row r="127" spans="1:21">
      <c r="A127" s="361"/>
      <c r="B127" s="361" t="s">
        <v>293</v>
      </c>
      <c r="C127" s="361">
        <v>0</v>
      </c>
      <c r="D127" s="361"/>
      <c r="E127" s="361"/>
      <c r="F127" s="361"/>
      <c r="G127" s="361"/>
      <c r="H127" s="361"/>
      <c r="I127" s="361"/>
      <c r="J127" s="361"/>
      <c r="K127" s="361"/>
      <c r="L127" s="361"/>
      <c r="M127" s="361"/>
      <c r="N127" s="361"/>
      <c r="O127" s="361"/>
      <c r="P127" s="361"/>
      <c r="Q127" s="361"/>
      <c r="R127" s="361"/>
      <c r="S127" s="429"/>
      <c r="T127" s="269">
        <f t="shared" si="4"/>
        <v>0</v>
      </c>
      <c r="U127" s="269">
        <f t="shared" si="5"/>
        <v>0</v>
      </c>
    </row>
    <row r="128" spans="1:21">
      <c r="A128" s="361"/>
      <c r="B128" s="361" t="s">
        <v>438</v>
      </c>
      <c r="C128" s="361" t="s">
        <v>629</v>
      </c>
      <c r="D128" s="361" t="s">
        <v>629</v>
      </c>
      <c r="E128" s="361" t="s">
        <v>629</v>
      </c>
      <c r="F128" s="361">
        <v>0</v>
      </c>
      <c r="G128" s="361"/>
      <c r="H128" s="361"/>
      <c r="I128" s="361"/>
      <c r="J128" s="361"/>
      <c r="K128" s="361"/>
      <c r="L128" s="361"/>
      <c r="M128" s="361"/>
      <c r="N128" s="361"/>
      <c r="O128" s="361"/>
      <c r="P128" s="361"/>
      <c r="Q128" s="361"/>
      <c r="R128" s="361"/>
      <c r="S128" s="361"/>
      <c r="T128" s="269">
        <f t="shared" si="4"/>
        <v>0</v>
      </c>
      <c r="U128" s="269">
        <f t="shared" si="5"/>
        <v>0</v>
      </c>
    </row>
    <row r="129" spans="1:21">
      <c r="A129" s="361"/>
      <c r="B129" s="361"/>
      <c r="C129" s="361"/>
      <c r="D129" s="361"/>
      <c r="E129" s="361"/>
      <c r="F129" s="361">
        <v>0</v>
      </c>
      <c r="G129" s="361"/>
      <c r="H129" s="361"/>
      <c r="I129" s="361"/>
      <c r="J129" s="361"/>
      <c r="K129" s="361"/>
      <c r="L129" s="361"/>
      <c r="M129" s="361"/>
      <c r="N129" s="361"/>
      <c r="O129" s="361"/>
      <c r="P129" s="361"/>
      <c r="Q129" s="361"/>
      <c r="R129" s="361"/>
      <c r="S129" s="361"/>
      <c r="T129" s="269">
        <f t="shared" si="4"/>
        <v>0</v>
      </c>
      <c r="U129" s="269">
        <f t="shared" si="5"/>
        <v>0</v>
      </c>
    </row>
    <row r="130" spans="1:21">
      <c r="A130" s="361"/>
      <c r="B130" s="361" t="s">
        <v>263</v>
      </c>
      <c r="C130" s="361"/>
      <c r="D130" s="361">
        <v>1</v>
      </c>
      <c r="E130" s="361" t="s">
        <v>263</v>
      </c>
      <c r="F130" s="361"/>
      <c r="G130" s="361"/>
      <c r="H130" s="361"/>
      <c r="I130" s="361"/>
      <c r="J130" s="361"/>
      <c r="K130" s="361"/>
      <c r="L130" s="361"/>
      <c r="M130" s="361"/>
      <c r="N130" s="361"/>
      <c r="O130" s="361">
        <v>548</v>
      </c>
      <c r="P130" s="361"/>
      <c r="Q130" s="361"/>
      <c r="R130" s="429"/>
      <c r="S130" s="429"/>
      <c r="T130" s="269">
        <f t="shared" si="4"/>
        <v>0</v>
      </c>
      <c r="U130" s="269">
        <f t="shared" si="5"/>
        <v>0</v>
      </c>
    </row>
    <row r="131" spans="1:21">
      <c r="A131" s="361"/>
      <c r="B131" s="361" t="s">
        <v>439</v>
      </c>
      <c r="C131" s="433">
        <v>11025</v>
      </c>
      <c r="D131" s="433">
        <v>96156</v>
      </c>
      <c r="E131" s="433">
        <v>107180</v>
      </c>
      <c r="F131" s="361">
        <v>1</v>
      </c>
      <c r="G131" s="361" t="s">
        <v>439</v>
      </c>
      <c r="H131" s="361"/>
      <c r="I131" s="361"/>
      <c r="J131" s="361"/>
      <c r="K131" s="361"/>
      <c r="L131" s="361"/>
      <c r="M131" s="361"/>
      <c r="N131" s="361"/>
      <c r="O131" s="361"/>
      <c r="P131" s="361"/>
      <c r="Q131" s="361"/>
      <c r="R131" s="361"/>
      <c r="S131" s="361" t="s">
        <v>629</v>
      </c>
      <c r="T131" s="269">
        <f t="shared" si="4"/>
        <v>0</v>
      </c>
      <c r="U131" s="269">
        <f t="shared" si="5"/>
        <v>0</v>
      </c>
    </row>
    <row r="132" spans="1:21">
      <c r="A132" s="361"/>
      <c r="B132" s="361" t="s">
        <v>440</v>
      </c>
      <c r="C132" s="433">
        <v>207772</v>
      </c>
      <c r="D132" s="433">
        <v>25483</v>
      </c>
      <c r="E132" s="433">
        <v>233255</v>
      </c>
      <c r="F132" s="361">
        <v>1</v>
      </c>
      <c r="G132" s="361" t="s">
        <v>440</v>
      </c>
      <c r="H132" s="433">
        <v>207772</v>
      </c>
      <c r="I132" s="433">
        <v>25483</v>
      </c>
      <c r="J132" s="433">
        <v>233255</v>
      </c>
      <c r="K132" s="361">
        <v>0.61</v>
      </c>
      <c r="L132" s="433">
        <v>33322</v>
      </c>
      <c r="M132" s="433">
        <v>29682</v>
      </c>
      <c r="N132" s="433">
        <v>3640</v>
      </c>
      <c r="O132" s="361">
        <v>333</v>
      </c>
      <c r="P132" s="434">
        <v>6.1000000000000004E-3</v>
      </c>
      <c r="Q132" s="434">
        <v>1.12E-2</v>
      </c>
      <c r="R132" s="361" t="s">
        <v>67</v>
      </c>
      <c r="S132" s="361" t="s">
        <v>629</v>
      </c>
      <c r="T132" s="269">
        <f t="shared" si="4"/>
        <v>0</v>
      </c>
      <c r="U132" s="269">
        <f t="shared" si="5"/>
        <v>0</v>
      </c>
    </row>
    <row r="133" spans="1:21">
      <c r="A133" s="361"/>
      <c r="B133" s="361" t="s">
        <v>441</v>
      </c>
      <c r="C133" s="433">
        <v>38327</v>
      </c>
      <c r="D133" s="433">
        <v>112107</v>
      </c>
      <c r="E133" s="433">
        <v>150434</v>
      </c>
      <c r="F133" s="361">
        <v>1</v>
      </c>
      <c r="G133" s="361" t="s">
        <v>441</v>
      </c>
      <c r="H133" s="433">
        <v>38327</v>
      </c>
      <c r="I133" s="433">
        <v>112107</v>
      </c>
      <c r="J133" s="433">
        <v>150434</v>
      </c>
      <c r="K133" s="361">
        <v>0.39</v>
      </c>
      <c r="L133" s="433">
        <v>21491</v>
      </c>
      <c r="M133" s="433">
        <v>5475</v>
      </c>
      <c r="N133" s="433">
        <v>16015</v>
      </c>
      <c r="O133" s="361">
        <v>215</v>
      </c>
      <c r="P133" s="434">
        <v>3.8999999999999998E-3</v>
      </c>
      <c r="Q133" s="434">
        <v>3.9199999999999999E-2</v>
      </c>
      <c r="R133" s="361" t="s">
        <v>67</v>
      </c>
      <c r="S133" s="361" t="s">
        <v>629</v>
      </c>
      <c r="T133" s="269">
        <f t="shared" si="4"/>
        <v>0</v>
      </c>
      <c r="U133" s="269">
        <f t="shared" si="5"/>
        <v>0</v>
      </c>
    </row>
    <row r="134" spans="1:21">
      <c r="A134" s="361"/>
      <c r="B134" s="361" t="s">
        <v>442</v>
      </c>
      <c r="C134" s="433">
        <v>14209</v>
      </c>
      <c r="D134" s="433">
        <v>224326</v>
      </c>
      <c r="E134" s="433">
        <v>238534</v>
      </c>
      <c r="F134" s="361">
        <v>1</v>
      </c>
      <c r="G134" s="361" t="s">
        <v>442</v>
      </c>
      <c r="H134" s="361"/>
      <c r="I134" s="361"/>
      <c r="J134" s="361"/>
      <c r="K134" s="361"/>
      <c r="L134" s="361"/>
      <c r="M134" s="361"/>
      <c r="N134" s="361"/>
      <c r="O134" s="361"/>
      <c r="P134" s="361"/>
      <c r="Q134" s="361"/>
      <c r="R134" s="361"/>
      <c r="S134" s="361"/>
      <c r="T134" s="269">
        <f t="shared" si="4"/>
        <v>0</v>
      </c>
      <c r="U134" s="269">
        <f t="shared" si="5"/>
        <v>0</v>
      </c>
    </row>
    <row r="135" spans="1:21">
      <c r="A135" s="361"/>
      <c r="B135" s="361"/>
      <c r="C135" s="361"/>
      <c r="D135" s="361"/>
      <c r="E135" s="361"/>
      <c r="F135" s="361">
        <v>1</v>
      </c>
      <c r="G135" s="361" t="s">
        <v>138</v>
      </c>
      <c r="H135" s="361"/>
      <c r="I135" s="361"/>
      <c r="J135" s="433">
        <v>383689</v>
      </c>
      <c r="K135" s="361"/>
      <c r="L135" s="433">
        <v>54813</v>
      </c>
      <c r="M135" s="433">
        <v>35157</v>
      </c>
      <c r="N135" s="433">
        <v>19656</v>
      </c>
      <c r="O135" s="361"/>
      <c r="P135" s="361"/>
      <c r="Q135" s="361"/>
      <c r="R135" s="361"/>
      <c r="S135" s="361"/>
      <c r="T135" s="269">
        <f t="shared" ref="T135:T198" si="6">IF(P135&gt;$B$2,1,0)</f>
        <v>0</v>
      </c>
      <c r="U135" s="269">
        <f t="shared" ref="U135:U198" si="7">IF(Q135&gt;$B$2,1,0)</f>
        <v>0</v>
      </c>
    </row>
    <row r="136" spans="1:21">
      <c r="A136" s="361"/>
      <c r="B136" s="361"/>
      <c r="C136" s="361"/>
      <c r="D136" s="361"/>
      <c r="E136" s="361"/>
      <c r="F136" s="361">
        <v>0</v>
      </c>
      <c r="G136" s="361"/>
      <c r="H136" s="361"/>
      <c r="I136" s="361"/>
      <c r="J136" s="361"/>
      <c r="K136" s="361"/>
      <c r="L136" s="361"/>
      <c r="M136" s="361"/>
      <c r="N136" s="361"/>
      <c r="O136" s="361"/>
      <c r="P136" s="361"/>
      <c r="Q136" s="361"/>
      <c r="R136" s="361"/>
      <c r="S136" s="361"/>
      <c r="T136" s="269">
        <f t="shared" si="6"/>
        <v>0</v>
      </c>
      <c r="U136" s="269">
        <f t="shared" si="7"/>
        <v>0</v>
      </c>
    </row>
    <row r="137" spans="1:21">
      <c r="A137" s="361"/>
      <c r="B137" s="361" t="s">
        <v>271</v>
      </c>
      <c r="C137" s="361">
        <v>1</v>
      </c>
      <c r="D137" s="361" t="s">
        <v>271</v>
      </c>
      <c r="E137" s="361"/>
      <c r="F137" s="361"/>
      <c r="G137" s="361"/>
      <c r="H137" s="361"/>
      <c r="I137" s="361"/>
      <c r="J137" s="361"/>
      <c r="K137" s="361"/>
      <c r="L137" s="361"/>
      <c r="M137" s="361"/>
      <c r="N137" s="361" t="s">
        <v>629</v>
      </c>
      <c r="O137" s="361" t="s">
        <v>629</v>
      </c>
      <c r="P137" s="429"/>
      <c r="Q137" s="429"/>
      <c r="R137" s="429"/>
      <c r="S137" s="429"/>
      <c r="T137" s="269">
        <f t="shared" si="6"/>
        <v>0</v>
      </c>
      <c r="U137" s="269">
        <f t="shared" si="7"/>
        <v>0</v>
      </c>
    </row>
    <row r="138" spans="1:21">
      <c r="A138" s="361"/>
      <c r="B138" s="361" t="s">
        <v>443</v>
      </c>
      <c r="C138" s="433">
        <v>121669</v>
      </c>
      <c r="D138" s="433">
        <v>200351</v>
      </c>
      <c r="E138" s="433">
        <v>322021</v>
      </c>
      <c r="F138" s="361">
        <v>1</v>
      </c>
      <c r="G138" s="361" t="s">
        <v>443</v>
      </c>
      <c r="H138" s="433">
        <v>121669</v>
      </c>
      <c r="I138" s="433">
        <v>200351</v>
      </c>
      <c r="J138" s="433">
        <v>322021</v>
      </c>
      <c r="K138" s="361">
        <v>0.66</v>
      </c>
      <c r="L138" s="433">
        <v>46003</v>
      </c>
      <c r="M138" s="433">
        <v>17381</v>
      </c>
      <c r="N138" s="433">
        <v>28622</v>
      </c>
      <c r="O138" s="361" t="s">
        <v>629</v>
      </c>
      <c r="P138" s="434">
        <v>0</v>
      </c>
      <c r="Q138" s="434">
        <v>0</v>
      </c>
      <c r="R138" s="361" t="s">
        <v>87</v>
      </c>
      <c r="S138" s="361" t="s">
        <v>629</v>
      </c>
      <c r="T138" s="269">
        <f t="shared" si="6"/>
        <v>0</v>
      </c>
      <c r="U138" s="269">
        <f t="shared" si="7"/>
        <v>0</v>
      </c>
    </row>
    <row r="139" spans="1:21">
      <c r="A139" s="361"/>
      <c r="B139" s="361" t="s">
        <v>444</v>
      </c>
      <c r="C139" s="433">
        <v>51720</v>
      </c>
      <c r="D139" s="433">
        <v>112348</v>
      </c>
      <c r="E139" s="433">
        <v>164067</v>
      </c>
      <c r="F139" s="361">
        <v>1</v>
      </c>
      <c r="G139" s="361" t="s">
        <v>444</v>
      </c>
      <c r="H139" s="433">
        <v>51720</v>
      </c>
      <c r="I139" s="433">
        <v>112348</v>
      </c>
      <c r="J139" s="433">
        <v>164067</v>
      </c>
      <c r="K139" s="361">
        <v>0.34</v>
      </c>
      <c r="L139" s="433">
        <v>23438</v>
      </c>
      <c r="M139" s="433">
        <v>7389</v>
      </c>
      <c r="N139" s="433">
        <v>16050</v>
      </c>
      <c r="O139" s="361" t="s">
        <v>629</v>
      </c>
      <c r="P139" s="434">
        <v>0</v>
      </c>
      <c r="Q139" s="434">
        <v>0</v>
      </c>
      <c r="R139" s="361" t="s">
        <v>87</v>
      </c>
      <c r="S139" s="361" t="s">
        <v>629</v>
      </c>
      <c r="T139" s="269">
        <f t="shared" si="6"/>
        <v>0</v>
      </c>
      <c r="U139" s="269">
        <f t="shared" si="7"/>
        <v>0</v>
      </c>
    </row>
    <row r="140" spans="1:21">
      <c r="A140" s="361"/>
      <c r="B140" s="361"/>
      <c r="C140" s="361"/>
      <c r="D140" s="361"/>
      <c r="E140" s="361"/>
      <c r="F140" s="361">
        <v>1</v>
      </c>
      <c r="G140" s="361" t="s">
        <v>138</v>
      </c>
      <c r="H140" s="361"/>
      <c r="I140" s="361"/>
      <c r="J140" s="433">
        <v>486088</v>
      </c>
      <c r="K140" s="361"/>
      <c r="L140" s="433">
        <v>69441</v>
      </c>
      <c r="M140" s="433">
        <v>24770</v>
      </c>
      <c r="N140" s="433">
        <v>44671</v>
      </c>
      <c r="O140" s="361"/>
      <c r="P140" s="361"/>
      <c r="Q140" s="361"/>
      <c r="R140" s="361"/>
      <c r="S140" s="361"/>
      <c r="T140" s="269">
        <f t="shared" si="6"/>
        <v>0</v>
      </c>
      <c r="U140" s="269">
        <f t="shared" si="7"/>
        <v>0</v>
      </c>
    </row>
    <row r="141" spans="1:21">
      <c r="A141" s="361"/>
      <c r="B141" s="361" t="s">
        <v>275</v>
      </c>
      <c r="C141" s="361"/>
      <c r="D141" s="361">
        <v>0</v>
      </c>
      <c r="E141" s="361"/>
      <c r="F141" s="361"/>
      <c r="G141" s="361"/>
      <c r="H141" s="361"/>
      <c r="I141" s="361"/>
      <c r="J141" s="361"/>
      <c r="K141" s="361"/>
      <c r="L141" s="361"/>
      <c r="M141" s="361"/>
      <c r="N141" s="361"/>
      <c r="O141" s="361"/>
      <c r="P141" s="361"/>
      <c r="Q141" s="361"/>
      <c r="R141" s="361"/>
      <c r="S141" s="361"/>
      <c r="T141" s="269">
        <f t="shared" si="6"/>
        <v>0</v>
      </c>
      <c r="U141" s="269">
        <f t="shared" si="7"/>
        <v>0</v>
      </c>
    </row>
    <row r="142" spans="1:21">
      <c r="A142" s="361"/>
      <c r="B142" s="361" t="s">
        <v>445</v>
      </c>
      <c r="C142" s="433">
        <v>18968</v>
      </c>
      <c r="D142" s="433">
        <v>48995</v>
      </c>
      <c r="E142" s="433">
        <v>67963</v>
      </c>
      <c r="F142" s="361">
        <v>0</v>
      </c>
      <c r="G142" s="361"/>
      <c r="H142" s="361"/>
      <c r="I142" s="361"/>
      <c r="J142" s="361"/>
      <c r="K142" s="361"/>
      <c r="L142" s="361"/>
      <c r="M142" s="361"/>
      <c r="N142" s="361"/>
      <c r="O142" s="361"/>
      <c r="P142" s="361"/>
      <c r="Q142" s="361"/>
      <c r="R142" s="361"/>
      <c r="S142" s="361"/>
      <c r="T142" s="269">
        <f t="shared" si="6"/>
        <v>0</v>
      </c>
      <c r="U142" s="269">
        <f t="shared" si="7"/>
        <v>0</v>
      </c>
    </row>
    <row r="143" spans="1:21">
      <c r="A143" s="361"/>
      <c r="B143" s="361" t="s">
        <v>446</v>
      </c>
      <c r="C143" s="433">
        <v>47355</v>
      </c>
      <c r="D143" s="433">
        <v>84479</v>
      </c>
      <c r="E143" s="433">
        <v>131834</v>
      </c>
      <c r="F143" s="361">
        <v>0</v>
      </c>
      <c r="G143" s="361"/>
      <c r="H143" s="361"/>
      <c r="I143" s="361"/>
      <c r="J143" s="361"/>
      <c r="K143" s="361"/>
      <c r="L143" s="361"/>
      <c r="M143" s="361"/>
      <c r="N143" s="361"/>
      <c r="O143" s="361"/>
      <c r="P143" s="361"/>
      <c r="Q143" s="361"/>
      <c r="R143" s="361"/>
      <c r="S143" s="361"/>
      <c r="T143" s="269">
        <f t="shared" si="6"/>
        <v>0</v>
      </c>
      <c r="U143" s="269">
        <f t="shared" si="7"/>
        <v>0</v>
      </c>
    </row>
    <row r="144" spans="1:21">
      <c r="A144" s="361"/>
      <c r="B144" s="361" t="s">
        <v>447</v>
      </c>
      <c r="C144" s="433">
        <v>32233</v>
      </c>
      <c r="D144" s="433">
        <v>161416</v>
      </c>
      <c r="E144" s="433">
        <v>193650</v>
      </c>
      <c r="F144" s="361">
        <v>0</v>
      </c>
      <c r="G144" s="361"/>
      <c r="H144" s="361"/>
      <c r="I144" s="361"/>
      <c r="J144" s="361"/>
      <c r="K144" s="361"/>
      <c r="L144" s="361"/>
      <c r="M144" s="361"/>
      <c r="N144" s="361"/>
      <c r="O144" s="361"/>
      <c r="P144" s="361"/>
      <c r="Q144" s="361"/>
      <c r="R144" s="361"/>
      <c r="S144" s="361"/>
      <c r="T144" s="269">
        <f t="shared" si="6"/>
        <v>0</v>
      </c>
      <c r="U144" s="269">
        <f t="shared" si="7"/>
        <v>0</v>
      </c>
    </row>
    <row r="145" spans="1:21">
      <c r="A145" s="361"/>
      <c r="B145" s="361" t="s">
        <v>448</v>
      </c>
      <c r="C145" s="433">
        <v>9794</v>
      </c>
      <c r="D145" s="433">
        <v>39712</v>
      </c>
      <c r="E145" s="433">
        <v>49506</v>
      </c>
      <c r="F145" s="361">
        <v>0</v>
      </c>
      <c r="G145" s="361"/>
      <c r="H145" s="361"/>
      <c r="I145" s="361"/>
      <c r="J145" s="361"/>
      <c r="K145" s="361"/>
      <c r="L145" s="361"/>
      <c r="M145" s="361"/>
      <c r="N145" s="361"/>
      <c r="O145" s="361"/>
      <c r="P145" s="361"/>
      <c r="Q145" s="361"/>
      <c r="R145" s="361"/>
      <c r="S145" s="361"/>
      <c r="T145" s="269">
        <f t="shared" si="6"/>
        <v>0</v>
      </c>
      <c r="U145" s="269">
        <f t="shared" si="7"/>
        <v>0</v>
      </c>
    </row>
    <row r="146" spans="1:21">
      <c r="A146" s="361"/>
      <c r="B146" s="361" t="s">
        <v>449</v>
      </c>
      <c r="C146" s="433">
        <v>45300</v>
      </c>
      <c r="D146" s="433">
        <v>141878</v>
      </c>
      <c r="E146" s="433">
        <v>187178</v>
      </c>
      <c r="F146" s="361">
        <v>0</v>
      </c>
      <c r="G146" s="361"/>
      <c r="H146" s="361"/>
      <c r="I146" s="361"/>
      <c r="J146" s="361"/>
      <c r="K146" s="361"/>
      <c r="L146" s="361"/>
      <c r="M146" s="361"/>
      <c r="N146" s="361"/>
      <c r="O146" s="361"/>
      <c r="P146" s="361"/>
      <c r="Q146" s="361"/>
      <c r="R146" s="361"/>
      <c r="S146" s="361"/>
      <c r="T146" s="269">
        <f t="shared" si="6"/>
        <v>0</v>
      </c>
      <c r="U146" s="269">
        <f t="shared" si="7"/>
        <v>0</v>
      </c>
    </row>
    <row r="147" spans="1:21">
      <c r="A147" s="361"/>
      <c r="B147" s="361" t="s">
        <v>450</v>
      </c>
      <c r="C147" s="433">
        <v>11515</v>
      </c>
      <c r="D147" s="433">
        <v>58209</v>
      </c>
      <c r="E147" s="433">
        <v>69725</v>
      </c>
      <c r="F147" s="361">
        <v>0</v>
      </c>
      <c r="G147" s="361"/>
      <c r="H147" s="361"/>
      <c r="I147" s="361"/>
      <c r="J147" s="361"/>
      <c r="K147" s="361"/>
      <c r="L147" s="361"/>
      <c r="M147" s="361"/>
      <c r="N147" s="361"/>
      <c r="O147" s="361"/>
      <c r="P147" s="361"/>
      <c r="Q147" s="361"/>
      <c r="R147" s="361"/>
      <c r="S147" s="361"/>
      <c r="T147" s="269">
        <f t="shared" si="6"/>
        <v>0</v>
      </c>
      <c r="U147" s="269">
        <f t="shared" si="7"/>
        <v>0</v>
      </c>
    </row>
    <row r="148" spans="1:21">
      <c r="A148" s="361"/>
      <c r="B148" s="361" t="s">
        <v>451</v>
      </c>
      <c r="C148" s="361">
        <v>252</v>
      </c>
      <c r="D148" s="433">
        <v>5823</v>
      </c>
      <c r="E148" s="433">
        <v>6075</v>
      </c>
      <c r="F148" s="361">
        <v>0</v>
      </c>
      <c r="G148" s="361"/>
      <c r="H148" s="361"/>
      <c r="I148" s="361"/>
      <c r="J148" s="361"/>
      <c r="K148" s="361"/>
      <c r="L148" s="361"/>
      <c r="M148" s="361"/>
      <c r="N148" s="361"/>
      <c r="O148" s="361"/>
      <c r="P148" s="361"/>
      <c r="Q148" s="361"/>
      <c r="R148" s="361"/>
      <c r="S148" s="361"/>
      <c r="T148" s="269">
        <f t="shared" si="6"/>
        <v>0</v>
      </c>
      <c r="U148" s="269">
        <f t="shared" si="7"/>
        <v>0</v>
      </c>
    </row>
    <row r="149" spans="1:21">
      <c r="A149" s="361"/>
      <c r="B149" s="361" t="s">
        <v>452</v>
      </c>
      <c r="C149" s="433">
        <v>7815</v>
      </c>
      <c r="D149" s="433">
        <v>59710</v>
      </c>
      <c r="E149" s="433">
        <v>67525</v>
      </c>
      <c r="F149" s="361">
        <v>0</v>
      </c>
      <c r="G149" s="361"/>
      <c r="H149" s="361"/>
      <c r="I149" s="361"/>
      <c r="J149" s="361"/>
      <c r="K149" s="361"/>
      <c r="L149" s="361"/>
      <c r="M149" s="361"/>
      <c r="N149" s="361"/>
      <c r="O149" s="361"/>
      <c r="P149" s="361"/>
      <c r="Q149" s="361"/>
      <c r="R149" s="361"/>
      <c r="S149" s="361"/>
      <c r="T149" s="269">
        <f t="shared" si="6"/>
        <v>0</v>
      </c>
      <c r="U149" s="269">
        <f t="shared" si="7"/>
        <v>0</v>
      </c>
    </row>
    <row r="150" spans="1:21">
      <c r="A150" s="361"/>
      <c r="B150" s="361" t="s">
        <v>453</v>
      </c>
      <c r="C150" s="433">
        <v>7192</v>
      </c>
      <c r="D150" s="433">
        <v>12577</v>
      </c>
      <c r="E150" s="433">
        <v>19769</v>
      </c>
      <c r="F150" s="361">
        <v>0</v>
      </c>
      <c r="G150" s="361"/>
      <c r="H150" s="361"/>
      <c r="I150" s="361"/>
      <c r="J150" s="361"/>
      <c r="K150" s="361"/>
      <c r="L150" s="361"/>
      <c r="M150" s="361"/>
      <c r="N150" s="361"/>
      <c r="O150" s="361"/>
      <c r="P150" s="361"/>
      <c r="Q150" s="361"/>
      <c r="R150" s="361"/>
      <c r="S150" s="361"/>
      <c r="T150" s="269">
        <f t="shared" si="6"/>
        <v>0</v>
      </c>
      <c r="U150" s="269">
        <f t="shared" si="7"/>
        <v>0</v>
      </c>
    </row>
    <row r="151" spans="1:21">
      <c r="A151" s="361"/>
      <c r="B151" s="361"/>
      <c r="C151" s="361"/>
      <c r="D151" s="361"/>
      <c r="E151" s="361"/>
      <c r="F151" s="361">
        <v>0</v>
      </c>
      <c r="G151" s="361"/>
      <c r="H151" s="361"/>
      <c r="I151" s="361"/>
      <c r="J151" s="361"/>
      <c r="K151" s="361"/>
      <c r="L151" s="361"/>
      <c r="M151" s="361"/>
      <c r="N151" s="361"/>
      <c r="O151" s="361"/>
      <c r="P151" s="361"/>
      <c r="Q151" s="361"/>
      <c r="R151" s="361"/>
      <c r="S151" s="361"/>
      <c r="T151" s="269">
        <f t="shared" si="6"/>
        <v>0</v>
      </c>
      <c r="U151" s="269">
        <f t="shared" si="7"/>
        <v>0</v>
      </c>
    </row>
    <row r="152" spans="1:21">
      <c r="A152" s="361"/>
      <c r="B152" s="361" t="s">
        <v>278</v>
      </c>
      <c r="C152" s="361"/>
      <c r="D152" s="361"/>
      <c r="E152" s="361">
        <v>1</v>
      </c>
      <c r="F152" s="361" t="s">
        <v>278</v>
      </c>
      <c r="G152" s="361"/>
      <c r="H152" s="361"/>
      <c r="I152" s="361"/>
      <c r="J152" s="361"/>
      <c r="K152" s="361"/>
      <c r="L152" s="361"/>
      <c r="M152" s="361"/>
      <c r="N152" s="361"/>
      <c r="O152" s="361"/>
      <c r="P152" s="361"/>
      <c r="Q152" s="361"/>
      <c r="R152" s="361"/>
      <c r="S152" s="361"/>
      <c r="T152" s="269">
        <f t="shared" si="6"/>
        <v>0</v>
      </c>
      <c r="U152" s="269">
        <f t="shared" si="7"/>
        <v>0</v>
      </c>
    </row>
    <row r="153" spans="1:21">
      <c r="A153" s="361"/>
      <c r="B153" s="361" t="s">
        <v>454</v>
      </c>
      <c r="C153" s="433">
        <v>339742</v>
      </c>
      <c r="D153" s="433">
        <v>55626</v>
      </c>
      <c r="E153" s="433">
        <v>395368</v>
      </c>
      <c r="F153" s="361">
        <v>0</v>
      </c>
      <c r="G153" s="361"/>
      <c r="H153" s="361"/>
      <c r="I153" s="361"/>
      <c r="J153" s="361"/>
      <c r="K153" s="361"/>
      <c r="L153" s="361"/>
      <c r="M153" s="361"/>
      <c r="N153" s="361"/>
      <c r="O153" s="361"/>
      <c r="P153" s="361"/>
      <c r="Q153" s="361"/>
      <c r="R153" s="361"/>
      <c r="S153" s="361"/>
      <c r="T153" s="269">
        <f t="shared" si="6"/>
        <v>0</v>
      </c>
      <c r="U153" s="269">
        <f t="shared" si="7"/>
        <v>0</v>
      </c>
    </row>
    <row r="154" spans="1:21">
      <c r="A154" s="361"/>
      <c r="B154" s="361" t="s">
        <v>455</v>
      </c>
      <c r="C154" s="433">
        <v>325840</v>
      </c>
      <c r="D154" s="433">
        <v>67856</v>
      </c>
      <c r="E154" s="433">
        <v>393696</v>
      </c>
      <c r="F154" s="361">
        <v>0</v>
      </c>
      <c r="G154" s="361"/>
      <c r="H154" s="361"/>
      <c r="I154" s="361"/>
      <c r="J154" s="361"/>
      <c r="K154" s="361"/>
      <c r="L154" s="361"/>
      <c r="M154" s="361"/>
      <c r="N154" s="361"/>
      <c r="O154" s="361"/>
      <c r="P154" s="361"/>
      <c r="Q154" s="361"/>
      <c r="R154" s="361"/>
      <c r="S154" s="361"/>
      <c r="T154" s="269">
        <f t="shared" si="6"/>
        <v>0</v>
      </c>
      <c r="U154" s="269">
        <f t="shared" si="7"/>
        <v>0</v>
      </c>
    </row>
    <row r="155" spans="1:21">
      <c r="A155" s="361"/>
      <c r="B155" s="361" t="s">
        <v>456</v>
      </c>
      <c r="C155" s="433">
        <v>244790</v>
      </c>
      <c r="D155" s="433">
        <v>61943</v>
      </c>
      <c r="E155" s="433">
        <v>306734</v>
      </c>
      <c r="F155" s="361">
        <v>1</v>
      </c>
      <c r="G155" s="361" t="s">
        <v>456</v>
      </c>
      <c r="H155" s="433">
        <v>244790</v>
      </c>
      <c r="I155" s="433">
        <v>61943</v>
      </c>
      <c r="J155" s="433">
        <v>306734</v>
      </c>
      <c r="K155" s="361">
        <v>0.14000000000000001</v>
      </c>
      <c r="L155" s="433">
        <v>43819</v>
      </c>
      <c r="M155" s="433">
        <v>34970</v>
      </c>
      <c r="N155" s="433">
        <v>8849</v>
      </c>
      <c r="O155" s="361">
        <v>70</v>
      </c>
      <c r="P155" s="434">
        <v>2.0000000000000001E-4</v>
      </c>
      <c r="Q155" s="434">
        <v>2E-3</v>
      </c>
      <c r="R155" s="361" t="s">
        <v>115</v>
      </c>
      <c r="S155" s="361" t="s">
        <v>629</v>
      </c>
      <c r="T155" s="269">
        <f t="shared" si="6"/>
        <v>0</v>
      </c>
      <c r="U155" s="269">
        <f t="shared" si="7"/>
        <v>0</v>
      </c>
    </row>
    <row r="156" spans="1:21">
      <c r="A156" s="361"/>
      <c r="B156" s="361" t="s">
        <v>457</v>
      </c>
      <c r="C156" s="433">
        <v>317053</v>
      </c>
      <c r="D156" s="433">
        <v>74590</v>
      </c>
      <c r="E156" s="433">
        <v>391644</v>
      </c>
      <c r="F156" s="361">
        <v>0</v>
      </c>
      <c r="G156" s="361"/>
      <c r="H156" s="361"/>
      <c r="I156" s="361"/>
      <c r="J156" s="361"/>
      <c r="K156" s="361"/>
      <c r="L156" s="361"/>
      <c r="M156" s="361"/>
      <c r="N156" s="361"/>
      <c r="O156" s="361"/>
      <c r="P156" s="361"/>
      <c r="Q156" s="361"/>
      <c r="R156" s="361"/>
      <c r="S156" s="361"/>
      <c r="T156" s="269">
        <f t="shared" si="6"/>
        <v>0</v>
      </c>
      <c r="U156" s="269">
        <f t="shared" si="7"/>
        <v>0</v>
      </c>
    </row>
    <row r="157" spans="1:21">
      <c r="A157" s="361"/>
      <c r="B157" s="361" t="s">
        <v>458</v>
      </c>
      <c r="C157" s="433">
        <v>351333</v>
      </c>
      <c r="D157" s="433">
        <v>7887</v>
      </c>
      <c r="E157" s="433">
        <v>359220</v>
      </c>
      <c r="F157" s="361">
        <v>1</v>
      </c>
      <c r="G157" s="361" t="s">
        <v>458</v>
      </c>
      <c r="H157" s="433">
        <v>351333</v>
      </c>
      <c r="I157" s="433">
        <v>7887</v>
      </c>
      <c r="J157" s="433">
        <v>359220</v>
      </c>
      <c r="K157" s="361">
        <v>0.17</v>
      </c>
      <c r="L157" s="433">
        <v>51317</v>
      </c>
      <c r="M157" s="433">
        <v>50190</v>
      </c>
      <c r="N157" s="433">
        <v>1127</v>
      </c>
      <c r="O157" s="361">
        <v>82</v>
      </c>
      <c r="P157" s="434">
        <v>2.9999999999999997E-4</v>
      </c>
      <c r="Q157" s="434">
        <v>1.6000000000000001E-3</v>
      </c>
      <c r="R157" s="361" t="s">
        <v>115</v>
      </c>
      <c r="S157" s="361" t="s">
        <v>629</v>
      </c>
      <c r="T157" s="269">
        <f t="shared" si="6"/>
        <v>0</v>
      </c>
      <c r="U157" s="269">
        <f t="shared" si="7"/>
        <v>0</v>
      </c>
    </row>
    <row r="158" spans="1:21">
      <c r="A158" s="361"/>
      <c r="B158" s="361" t="s">
        <v>459</v>
      </c>
      <c r="C158" s="433">
        <v>332147</v>
      </c>
      <c r="D158" s="361" t="s">
        <v>629</v>
      </c>
      <c r="E158" s="433">
        <v>332147</v>
      </c>
      <c r="F158" s="361">
        <v>1</v>
      </c>
      <c r="G158" s="361" t="s">
        <v>459</v>
      </c>
      <c r="H158" s="433">
        <v>332147</v>
      </c>
      <c r="I158" s="361" t="s">
        <v>629</v>
      </c>
      <c r="J158" s="433">
        <v>332147</v>
      </c>
      <c r="K158" s="361">
        <v>0.16</v>
      </c>
      <c r="L158" s="433">
        <v>47450</v>
      </c>
      <c r="M158" s="433">
        <v>47450</v>
      </c>
      <c r="N158" s="361" t="s">
        <v>629</v>
      </c>
      <c r="O158" s="361">
        <v>75</v>
      </c>
      <c r="P158" s="434">
        <v>2.0000000000000001E-4</v>
      </c>
      <c r="Q158" s="434">
        <v>1.6000000000000001E-3</v>
      </c>
      <c r="R158" s="361" t="s">
        <v>115</v>
      </c>
      <c r="S158" s="361" t="s">
        <v>629</v>
      </c>
      <c r="T158" s="269">
        <f t="shared" si="6"/>
        <v>0</v>
      </c>
      <c r="U158" s="269">
        <f t="shared" si="7"/>
        <v>0</v>
      </c>
    </row>
    <row r="159" spans="1:21">
      <c r="A159" s="361"/>
      <c r="B159" s="361" t="s">
        <v>460</v>
      </c>
      <c r="C159" s="433">
        <v>323716</v>
      </c>
      <c r="D159" s="433">
        <v>66266</v>
      </c>
      <c r="E159" s="433">
        <v>389982</v>
      </c>
      <c r="F159" s="361">
        <v>0</v>
      </c>
      <c r="G159" s="361"/>
      <c r="H159" s="361"/>
      <c r="I159" s="361"/>
      <c r="J159" s="361"/>
      <c r="K159" s="361"/>
      <c r="L159" s="361"/>
      <c r="M159" s="361"/>
      <c r="N159" s="361"/>
      <c r="O159" s="361"/>
      <c r="P159" s="361"/>
      <c r="Q159" s="361"/>
      <c r="R159" s="361"/>
      <c r="S159" s="361"/>
      <c r="T159" s="269">
        <f t="shared" si="6"/>
        <v>0</v>
      </c>
      <c r="U159" s="269">
        <f t="shared" si="7"/>
        <v>0</v>
      </c>
    </row>
    <row r="160" spans="1:21">
      <c r="A160" s="361"/>
      <c r="B160" s="361" t="s">
        <v>461</v>
      </c>
      <c r="C160" s="433">
        <v>371486</v>
      </c>
      <c r="D160" s="361">
        <v>61</v>
      </c>
      <c r="E160" s="433">
        <v>371547</v>
      </c>
      <c r="F160" s="361">
        <v>0</v>
      </c>
      <c r="G160" s="361"/>
      <c r="H160" s="361"/>
      <c r="I160" s="361"/>
      <c r="J160" s="361"/>
      <c r="K160" s="361"/>
      <c r="L160" s="361"/>
      <c r="M160" s="361"/>
      <c r="N160" s="361"/>
      <c r="O160" s="361"/>
      <c r="P160" s="361"/>
      <c r="Q160" s="361"/>
      <c r="R160" s="361"/>
      <c r="S160" s="361"/>
      <c r="T160" s="269">
        <f t="shared" si="6"/>
        <v>0</v>
      </c>
      <c r="U160" s="269">
        <f t="shared" si="7"/>
        <v>0</v>
      </c>
    </row>
    <row r="161" spans="1:21">
      <c r="A161" s="361"/>
      <c r="B161" s="361" t="s">
        <v>462</v>
      </c>
      <c r="C161" s="433">
        <v>114226</v>
      </c>
      <c r="D161" s="433">
        <v>174190</v>
      </c>
      <c r="E161" s="433">
        <v>288416</v>
      </c>
      <c r="F161" s="361">
        <v>0</v>
      </c>
      <c r="G161" s="361"/>
      <c r="H161" s="361"/>
      <c r="I161" s="361"/>
      <c r="J161" s="361"/>
      <c r="K161" s="361"/>
      <c r="L161" s="361"/>
      <c r="M161" s="361"/>
      <c r="N161" s="361"/>
      <c r="O161" s="361"/>
      <c r="P161" s="361"/>
      <c r="Q161" s="361"/>
      <c r="R161" s="361"/>
      <c r="S161" s="361"/>
      <c r="T161" s="269">
        <f t="shared" si="6"/>
        <v>0</v>
      </c>
      <c r="U161" s="269">
        <f t="shared" si="7"/>
        <v>0</v>
      </c>
    </row>
    <row r="162" spans="1:21">
      <c r="A162" s="361"/>
      <c r="B162" s="361" t="s">
        <v>463</v>
      </c>
      <c r="C162" s="433">
        <v>409347</v>
      </c>
      <c r="D162" s="433">
        <v>5918</v>
      </c>
      <c r="E162" s="433">
        <v>415265</v>
      </c>
      <c r="F162" s="361">
        <v>1</v>
      </c>
      <c r="G162" s="361" t="s">
        <v>463</v>
      </c>
      <c r="H162" s="433">
        <v>409347</v>
      </c>
      <c r="I162" s="433">
        <v>5918</v>
      </c>
      <c r="J162" s="433">
        <v>415265</v>
      </c>
      <c r="K162" s="361">
        <v>0.2</v>
      </c>
      <c r="L162" s="433">
        <v>59324</v>
      </c>
      <c r="M162" s="433">
        <v>58478</v>
      </c>
      <c r="N162" s="361">
        <v>845</v>
      </c>
      <c r="O162" s="361">
        <v>94</v>
      </c>
      <c r="P162" s="434">
        <v>2.9999999999999997E-4</v>
      </c>
      <c r="Q162" s="434">
        <v>1.6000000000000001E-3</v>
      </c>
      <c r="R162" s="361" t="s">
        <v>115</v>
      </c>
      <c r="S162" s="361" t="s">
        <v>629</v>
      </c>
      <c r="T162" s="269">
        <f t="shared" si="6"/>
        <v>0</v>
      </c>
      <c r="U162" s="269">
        <f t="shared" si="7"/>
        <v>0</v>
      </c>
    </row>
    <row r="163" spans="1:21">
      <c r="A163" s="361"/>
      <c r="B163" s="361" t="s">
        <v>464</v>
      </c>
      <c r="C163" s="433">
        <v>386506</v>
      </c>
      <c r="D163" s="361">
        <v>648</v>
      </c>
      <c r="E163" s="433">
        <v>387154</v>
      </c>
      <c r="F163" s="361">
        <v>1</v>
      </c>
      <c r="G163" s="361" t="s">
        <v>464</v>
      </c>
      <c r="H163" s="433">
        <v>386506</v>
      </c>
      <c r="I163" s="361">
        <v>648</v>
      </c>
      <c r="J163" s="433">
        <v>387154</v>
      </c>
      <c r="K163" s="361">
        <v>0.18</v>
      </c>
      <c r="L163" s="433">
        <v>55308</v>
      </c>
      <c r="M163" s="433">
        <v>55215</v>
      </c>
      <c r="N163" s="361">
        <v>93</v>
      </c>
      <c r="O163" s="361">
        <v>88</v>
      </c>
      <c r="P163" s="434">
        <v>2.9999999999999997E-4</v>
      </c>
      <c r="Q163" s="434">
        <v>1.6000000000000001E-3</v>
      </c>
      <c r="R163" s="361" t="s">
        <v>115</v>
      </c>
      <c r="S163" s="361" t="s">
        <v>629</v>
      </c>
      <c r="T163" s="269">
        <f t="shared" si="6"/>
        <v>0</v>
      </c>
      <c r="U163" s="269">
        <f t="shared" si="7"/>
        <v>0</v>
      </c>
    </row>
    <row r="164" spans="1:21">
      <c r="A164" s="361"/>
      <c r="B164" s="361" t="s">
        <v>465</v>
      </c>
      <c r="C164" s="433">
        <v>161974</v>
      </c>
      <c r="D164" s="433">
        <v>150132</v>
      </c>
      <c r="E164" s="433">
        <v>312106</v>
      </c>
      <c r="F164" s="361">
        <v>0</v>
      </c>
      <c r="G164" s="361"/>
      <c r="H164" s="361"/>
      <c r="I164" s="361"/>
      <c r="J164" s="361"/>
      <c r="K164" s="361"/>
      <c r="L164" s="361"/>
      <c r="M164" s="361"/>
      <c r="N164" s="361"/>
      <c r="O164" s="361"/>
      <c r="P164" s="361"/>
      <c r="Q164" s="361"/>
      <c r="R164" s="361"/>
      <c r="S164" s="361"/>
      <c r="T164" s="269">
        <f t="shared" si="6"/>
        <v>0</v>
      </c>
      <c r="U164" s="269">
        <f t="shared" si="7"/>
        <v>0</v>
      </c>
    </row>
    <row r="165" spans="1:21">
      <c r="A165" s="361"/>
      <c r="B165" s="361" t="s">
        <v>466</v>
      </c>
      <c r="C165" s="433">
        <v>208837</v>
      </c>
      <c r="D165" s="433">
        <v>117291</v>
      </c>
      <c r="E165" s="433">
        <v>326128</v>
      </c>
      <c r="F165" s="361">
        <v>1</v>
      </c>
      <c r="G165" s="361" t="s">
        <v>466</v>
      </c>
      <c r="H165" s="433">
        <v>208837</v>
      </c>
      <c r="I165" s="433">
        <v>117291</v>
      </c>
      <c r="J165" s="433">
        <v>326128</v>
      </c>
      <c r="K165" s="361">
        <v>0.15</v>
      </c>
      <c r="L165" s="433">
        <v>46590</v>
      </c>
      <c r="M165" s="433">
        <v>29834</v>
      </c>
      <c r="N165" s="433">
        <v>16756</v>
      </c>
      <c r="O165" s="361">
        <v>74</v>
      </c>
      <c r="P165" s="434">
        <v>2.0000000000000001E-4</v>
      </c>
      <c r="Q165" s="434">
        <v>2.5000000000000001E-3</v>
      </c>
      <c r="R165" s="361" t="s">
        <v>115</v>
      </c>
      <c r="S165" s="361" t="s">
        <v>629</v>
      </c>
      <c r="T165" s="269">
        <f t="shared" si="6"/>
        <v>0</v>
      </c>
      <c r="U165" s="269">
        <f t="shared" si="7"/>
        <v>0</v>
      </c>
    </row>
    <row r="166" spans="1:21">
      <c r="A166" s="361"/>
      <c r="B166" s="361" t="s">
        <v>467</v>
      </c>
      <c r="C166" s="433">
        <v>108749</v>
      </c>
      <c r="D166" s="433">
        <v>201483</v>
      </c>
      <c r="E166" s="433">
        <v>310232</v>
      </c>
      <c r="F166" s="361">
        <v>0</v>
      </c>
      <c r="G166" s="361"/>
      <c r="H166" s="361"/>
      <c r="I166" s="361"/>
      <c r="J166" s="361"/>
      <c r="K166" s="361"/>
      <c r="L166" s="361"/>
      <c r="M166" s="361"/>
      <c r="N166" s="361"/>
      <c r="O166" s="361"/>
      <c r="P166" s="361"/>
      <c r="Q166" s="361"/>
      <c r="R166" s="361"/>
      <c r="S166" s="361"/>
      <c r="T166" s="269">
        <f t="shared" si="6"/>
        <v>0</v>
      </c>
      <c r="U166" s="269">
        <f t="shared" si="7"/>
        <v>0</v>
      </c>
    </row>
    <row r="167" spans="1:21">
      <c r="A167" s="361"/>
      <c r="B167" s="361" t="s">
        <v>468</v>
      </c>
      <c r="C167" s="433">
        <v>195956</v>
      </c>
      <c r="D167" s="433">
        <v>128527</v>
      </c>
      <c r="E167" s="433">
        <v>324483</v>
      </c>
      <c r="F167" s="361">
        <v>1</v>
      </c>
      <c r="G167" s="361" t="s">
        <v>138</v>
      </c>
      <c r="H167" s="433">
        <v>1932960</v>
      </c>
      <c r="I167" s="433">
        <v>193688</v>
      </c>
      <c r="J167" s="433">
        <v>2126648</v>
      </c>
      <c r="K167" s="361"/>
      <c r="L167" s="433">
        <v>303807</v>
      </c>
      <c r="M167" s="433">
        <v>276137</v>
      </c>
      <c r="N167" s="433">
        <v>27670</v>
      </c>
      <c r="O167" s="361">
        <v>483</v>
      </c>
      <c r="P167" s="361"/>
      <c r="Q167" s="361"/>
      <c r="R167" s="361"/>
      <c r="S167" s="361"/>
      <c r="T167" s="269">
        <f t="shared" si="6"/>
        <v>0</v>
      </c>
      <c r="U167" s="269">
        <f t="shared" si="7"/>
        <v>0</v>
      </c>
    </row>
    <row r="168" spans="1:21">
      <c r="A168" s="361"/>
      <c r="B168" s="361" t="s">
        <v>469</v>
      </c>
      <c r="C168" s="433">
        <v>173321</v>
      </c>
      <c r="D168" s="433">
        <v>138035</v>
      </c>
      <c r="E168" s="433">
        <v>311356</v>
      </c>
      <c r="F168" s="361">
        <v>0</v>
      </c>
      <c r="G168" s="361"/>
      <c r="H168" s="361"/>
      <c r="I168" s="361"/>
      <c r="J168" s="361"/>
      <c r="K168" s="361"/>
      <c r="L168" s="361"/>
      <c r="M168" s="361"/>
      <c r="N168" s="361"/>
      <c r="O168" s="361"/>
      <c r="P168" s="361"/>
      <c r="Q168" s="361"/>
      <c r="R168" s="361"/>
      <c r="S168" s="361"/>
      <c r="T168" s="269">
        <f t="shared" si="6"/>
        <v>0</v>
      </c>
      <c r="U168" s="269">
        <f t="shared" si="7"/>
        <v>0</v>
      </c>
    </row>
    <row r="169" spans="1:21">
      <c r="A169" s="361"/>
      <c r="B169" s="361" t="s">
        <v>470</v>
      </c>
      <c r="C169" s="433">
        <v>138417</v>
      </c>
      <c r="D169" s="433">
        <v>143289</v>
      </c>
      <c r="E169" s="433">
        <v>281706</v>
      </c>
      <c r="F169" s="361">
        <v>0</v>
      </c>
      <c r="G169" s="361"/>
      <c r="H169" s="361"/>
      <c r="I169" s="361"/>
      <c r="J169" s="361"/>
      <c r="K169" s="361"/>
      <c r="L169" s="361"/>
      <c r="M169" s="361"/>
      <c r="N169" s="361"/>
      <c r="O169" s="361"/>
      <c r="P169" s="361"/>
      <c r="Q169" s="361"/>
      <c r="R169" s="361"/>
      <c r="S169" s="361"/>
      <c r="T169" s="269">
        <f t="shared" si="6"/>
        <v>0</v>
      </c>
      <c r="U169" s="269">
        <f t="shared" si="7"/>
        <v>0</v>
      </c>
    </row>
    <row r="170" spans="1:21">
      <c r="A170" s="361"/>
      <c r="B170" s="361"/>
      <c r="C170" s="361"/>
      <c r="D170" s="361"/>
      <c r="E170" s="361"/>
      <c r="F170" s="361">
        <v>0</v>
      </c>
      <c r="G170" s="361"/>
      <c r="H170" s="361"/>
      <c r="I170" s="361"/>
      <c r="J170" s="361"/>
      <c r="K170" s="361"/>
      <c r="L170" s="361"/>
      <c r="M170" s="361"/>
      <c r="N170" s="361"/>
      <c r="O170" s="361"/>
      <c r="P170" s="361"/>
      <c r="Q170" s="361"/>
      <c r="R170" s="361"/>
      <c r="S170" s="361"/>
      <c r="T170" s="269">
        <f t="shared" si="6"/>
        <v>0</v>
      </c>
      <c r="U170" s="269">
        <f t="shared" si="7"/>
        <v>0</v>
      </c>
    </row>
    <row r="171" spans="1:21">
      <c r="A171" s="361"/>
      <c r="B171" s="361" t="s">
        <v>280</v>
      </c>
      <c r="C171" s="361">
        <v>1</v>
      </c>
      <c r="D171" s="361" t="s">
        <v>280</v>
      </c>
      <c r="E171" s="361"/>
      <c r="F171" s="361"/>
      <c r="G171" s="361"/>
      <c r="H171" s="361"/>
      <c r="I171" s="361"/>
      <c r="J171" s="361"/>
      <c r="K171" s="361"/>
      <c r="L171" s="361"/>
      <c r="M171" s="361">
        <v>242</v>
      </c>
      <c r="N171" s="361" t="s">
        <v>629</v>
      </c>
      <c r="O171" s="361" t="s">
        <v>629</v>
      </c>
      <c r="P171" s="429"/>
      <c r="Q171" s="429"/>
      <c r="R171" s="429"/>
      <c r="S171" s="429"/>
      <c r="T171" s="269">
        <f t="shared" si="6"/>
        <v>0</v>
      </c>
      <c r="U171" s="269">
        <f t="shared" si="7"/>
        <v>0</v>
      </c>
    </row>
    <row r="172" spans="1:21">
      <c r="A172" s="361"/>
      <c r="B172" s="361" t="s">
        <v>471</v>
      </c>
      <c r="C172" s="433">
        <v>273895</v>
      </c>
      <c r="D172" s="433">
        <v>115185</v>
      </c>
      <c r="E172" s="433">
        <v>389080</v>
      </c>
      <c r="F172" s="361">
        <v>1</v>
      </c>
      <c r="G172" s="361" t="s">
        <v>471</v>
      </c>
      <c r="H172" s="433">
        <v>273895</v>
      </c>
      <c r="I172" s="433">
        <v>115185</v>
      </c>
      <c r="J172" s="433">
        <v>389080</v>
      </c>
      <c r="K172" s="361">
        <v>0.21</v>
      </c>
      <c r="L172" s="433">
        <v>55583</v>
      </c>
      <c r="M172" s="433">
        <v>39128</v>
      </c>
      <c r="N172" s="433">
        <v>16455</v>
      </c>
      <c r="O172" s="361">
        <v>50</v>
      </c>
      <c r="P172" s="434">
        <v>2.0000000000000001E-4</v>
      </c>
      <c r="Q172" s="434">
        <v>1.2999999999999999E-3</v>
      </c>
      <c r="R172" s="361" t="s">
        <v>75</v>
      </c>
      <c r="S172" s="361" t="s">
        <v>629</v>
      </c>
      <c r="T172" s="269">
        <f t="shared" si="6"/>
        <v>0</v>
      </c>
      <c r="U172" s="269">
        <f t="shared" si="7"/>
        <v>0</v>
      </c>
    </row>
    <row r="173" spans="1:21">
      <c r="A173" s="361"/>
      <c r="B173" s="361" t="s">
        <v>472</v>
      </c>
      <c r="C173" s="433">
        <v>210938</v>
      </c>
      <c r="D173" s="433">
        <v>156404</v>
      </c>
      <c r="E173" s="433">
        <v>367342</v>
      </c>
      <c r="F173" s="361">
        <v>1</v>
      </c>
      <c r="G173" s="361" t="s">
        <v>472</v>
      </c>
      <c r="H173" s="361"/>
      <c r="I173" s="361"/>
      <c r="J173" s="361"/>
      <c r="K173" s="361"/>
      <c r="L173" s="361"/>
      <c r="M173" s="361"/>
      <c r="N173" s="361"/>
      <c r="O173" s="361"/>
      <c r="P173" s="361"/>
      <c r="Q173" s="361"/>
      <c r="R173" s="361"/>
      <c r="S173" s="361" t="s">
        <v>629</v>
      </c>
      <c r="T173" s="269">
        <f t="shared" si="6"/>
        <v>0</v>
      </c>
      <c r="U173" s="269">
        <f t="shared" si="7"/>
        <v>0</v>
      </c>
    </row>
    <row r="174" spans="1:21">
      <c r="A174" s="361"/>
      <c r="B174" s="361" t="s">
        <v>473</v>
      </c>
      <c r="C174" s="433">
        <v>316544</v>
      </c>
      <c r="D174" s="433">
        <v>76164</v>
      </c>
      <c r="E174" s="433">
        <v>392707</v>
      </c>
      <c r="F174" s="361">
        <v>1</v>
      </c>
      <c r="G174" s="361" t="s">
        <v>473</v>
      </c>
      <c r="H174" s="361"/>
      <c r="I174" s="361"/>
      <c r="J174" s="361"/>
      <c r="K174" s="361"/>
      <c r="L174" s="361"/>
      <c r="M174" s="361"/>
      <c r="N174" s="361"/>
      <c r="O174" s="361"/>
      <c r="P174" s="361"/>
      <c r="Q174" s="361"/>
      <c r="R174" s="361"/>
      <c r="S174" s="361" t="s">
        <v>629</v>
      </c>
      <c r="T174" s="269">
        <f t="shared" si="6"/>
        <v>0</v>
      </c>
      <c r="U174" s="269">
        <f t="shared" si="7"/>
        <v>0</v>
      </c>
    </row>
    <row r="175" spans="1:21">
      <c r="A175" s="361"/>
      <c r="B175" s="361" t="s">
        <v>474</v>
      </c>
      <c r="C175" s="433">
        <v>275516</v>
      </c>
      <c r="D175" s="433">
        <v>100733</v>
      </c>
      <c r="E175" s="433">
        <v>376249</v>
      </c>
      <c r="F175" s="361">
        <v>1</v>
      </c>
      <c r="G175" s="361" t="s">
        <v>474</v>
      </c>
      <c r="H175" s="433">
        <v>275516</v>
      </c>
      <c r="I175" s="433">
        <v>100733</v>
      </c>
      <c r="J175" s="433">
        <v>376249</v>
      </c>
      <c r="K175" s="361">
        <v>0.2</v>
      </c>
      <c r="L175" s="433">
        <v>53750</v>
      </c>
      <c r="M175" s="433">
        <v>39359</v>
      </c>
      <c r="N175" s="433">
        <v>14390</v>
      </c>
      <c r="O175" s="361">
        <v>48</v>
      </c>
      <c r="P175" s="434">
        <v>2.0000000000000001E-4</v>
      </c>
      <c r="Q175" s="434">
        <v>1.1999999999999999E-3</v>
      </c>
      <c r="R175" s="361" t="s">
        <v>75</v>
      </c>
      <c r="S175" s="361" t="s">
        <v>629</v>
      </c>
      <c r="T175" s="269">
        <f t="shared" si="6"/>
        <v>0</v>
      </c>
      <c r="U175" s="269">
        <f t="shared" si="7"/>
        <v>0</v>
      </c>
    </row>
    <row r="176" spans="1:21">
      <c r="A176" s="361"/>
      <c r="B176" s="361" t="s">
        <v>475</v>
      </c>
      <c r="C176" s="433">
        <v>318206</v>
      </c>
      <c r="D176" s="433">
        <v>68186</v>
      </c>
      <c r="E176" s="433">
        <v>386392</v>
      </c>
      <c r="F176" s="361">
        <v>1</v>
      </c>
      <c r="G176" s="361" t="s">
        <v>475</v>
      </c>
      <c r="H176" s="433">
        <v>318206</v>
      </c>
      <c r="I176" s="433">
        <v>68186</v>
      </c>
      <c r="J176" s="433">
        <v>386392</v>
      </c>
      <c r="K176" s="361">
        <v>0.2</v>
      </c>
      <c r="L176" s="433">
        <v>55199</v>
      </c>
      <c r="M176" s="433">
        <v>45458</v>
      </c>
      <c r="N176" s="433">
        <v>9741</v>
      </c>
      <c r="O176" s="361">
        <v>50</v>
      </c>
      <c r="P176" s="434">
        <v>2.0000000000000001E-4</v>
      </c>
      <c r="Q176" s="434">
        <v>1.1000000000000001E-3</v>
      </c>
      <c r="R176" s="361" t="s">
        <v>75</v>
      </c>
      <c r="S176" s="361" t="s">
        <v>629</v>
      </c>
      <c r="T176" s="269">
        <f t="shared" si="6"/>
        <v>0</v>
      </c>
      <c r="U176" s="269">
        <f t="shared" si="7"/>
        <v>0</v>
      </c>
    </row>
    <row r="177" spans="1:21">
      <c r="A177" s="361"/>
      <c r="B177" s="361" t="s">
        <v>476</v>
      </c>
      <c r="C177" s="433">
        <v>329571</v>
      </c>
      <c r="D177" s="433">
        <v>58200</v>
      </c>
      <c r="E177" s="433">
        <v>387771</v>
      </c>
      <c r="F177" s="361">
        <v>1</v>
      </c>
      <c r="G177" s="361" t="s">
        <v>476</v>
      </c>
      <c r="H177" s="433">
        <v>329571</v>
      </c>
      <c r="I177" s="433">
        <v>58200</v>
      </c>
      <c r="J177" s="433">
        <v>387771</v>
      </c>
      <c r="K177" s="361">
        <v>0.21</v>
      </c>
      <c r="L177" s="433">
        <v>55396</v>
      </c>
      <c r="M177" s="433">
        <v>47082</v>
      </c>
      <c r="N177" s="433">
        <v>8314</v>
      </c>
      <c r="O177" s="361">
        <v>50</v>
      </c>
      <c r="P177" s="434">
        <v>2.0000000000000001E-4</v>
      </c>
      <c r="Q177" s="434">
        <v>1.1000000000000001E-3</v>
      </c>
      <c r="R177" s="361" t="s">
        <v>75</v>
      </c>
      <c r="S177" s="361" t="s">
        <v>629</v>
      </c>
      <c r="T177" s="269">
        <f t="shared" si="6"/>
        <v>0</v>
      </c>
      <c r="U177" s="269">
        <f t="shared" si="7"/>
        <v>0</v>
      </c>
    </row>
    <row r="178" spans="1:21">
      <c r="A178" s="361"/>
      <c r="B178" s="361" t="s">
        <v>477</v>
      </c>
      <c r="C178" s="433">
        <v>238850</v>
      </c>
      <c r="D178" s="433">
        <v>108140</v>
      </c>
      <c r="E178" s="433">
        <v>346990</v>
      </c>
      <c r="F178" s="361">
        <v>1</v>
      </c>
      <c r="G178" s="361" t="s">
        <v>477</v>
      </c>
      <c r="H178" s="433">
        <v>238850</v>
      </c>
      <c r="I178" s="433">
        <v>108140</v>
      </c>
      <c r="J178" s="433">
        <v>346990</v>
      </c>
      <c r="K178" s="361">
        <v>0.18</v>
      </c>
      <c r="L178" s="433">
        <v>49570</v>
      </c>
      <c r="M178" s="433">
        <v>34121</v>
      </c>
      <c r="N178" s="433">
        <v>15449</v>
      </c>
      <c r="O178" s="361">
        <v>45</v>
      </c>
      <c r="P178" s="434">
        <v>2.0000000000000001E-4</v>
      </c>
      <c r="Q178" s="434">
        <v>1.2999999999999999E-3</v>
      </c>
      <c r="R178" s="361" t="s">
        <v>75</v>
      </c>
      <c r="S178" s="361" t="s">
        <v>629</v>
      </c>
      <c r="T178" s="269">
        <f t="shared" si="6"/>
        <v>0</v>
      </c>
      <c r="U178" s="269">
        <f t="shared" si="7"/>
        <v>0</v>
      </c>
    </row>
    <row r="179" spans="1:21">
      <c r="A179" s="361"/>
      <c r="B179" s="361"/>
      <c r="C179" s="361"/>
      <c r="D179" s="361"/>
      <c r="E179" s="361"/>
      <c r="F179" s="361">
        <v>1</v>
      </c>
      <c r="G179" s="361" t="s">
        <v>138</v>
      </c>
      <c r="H179" s="433">
        <v>1436038</v>
      </c>
      <c r="I179" s="433">
        <v>450445</v>
      </c>
      <c r="J179" s="433">
        <v>1886482</v>
      </c>
      <c r="K179" s="361"/>
      <c r="L179" s="361"/>
      <c r="M179" s="361"/>
      <c r="N179" s="361"/>
      <c r="O179" s="361">
        <v>242</v>
      </c>
      <c r="P179" s="361"/>
      <c r="Q179" s="361"/>
      <c r="R179" s="361"/>
      <c r="S179" s="361"/>
      <c r="T179" s="269">
        <f t="shared" si="6"/>
        <v>0</v>
      </c>
      <c r="U179" s="269">
        <f t="shared" si="7"/>
        <v>0</v>
      </c>
    </row>
    <row r="180" spans="1:21">
      <c r="A180" s="361"/>
      <c r="B180" s="361" t="s">
        <v>277</v>
      </c>
      <c r="C180" s="361"/>
      <c r="D180" s="361"/>
      <c r="E180" s="361">
        <v>0</v>
      </c>
      <c r="F180" s="361"/>
      <c r="G180" s="361"/>
      <c r="H180" s="361"/>
      <c r="I180" s="361"/>
      <c r="J180" s="361"/>
      <c r="K180" s="361"/>
      <c r="L180" s="361"/>
      <c r="M180" s="361"/>
      <c r="N180" s="361"/>
      <c r="O180" s="361"/>
      <c r="P180" s="361"/>
      <c r="Q180" s="361"/>
      <c r="R180" s="361"/>
      <c r="S180" s="361" t="s">
        <v>629</v>
      </c>
      <c r="T180" s="269">
        <f t="shared" si="6"/>
        <v>0</v>
      </c>
      <c r="U180" s="269">
        <f t="shared" si="7"/>
        <v>0</v>
      </c>
    </row>
    <row r="181" spans="1:21">
      <c r="A181" s="361"/>
      <c r="B181" s="361" t="s">
        <v>478</v>
      </c>
      <c r="C181" s="433">
        <v>153857</v>
      </c>
      <c r="D181" s="433">
        <v>222593</v>
      </c>
      <c r="E181" s="433">
        <v>376449</v>
      </c>
      <c r="F181" s="361">
        <v>0</v>
      </c>
      <c r="G181" s="361"/>
      <c r="H181" s="361"/>
      <c r="I181" s="361"/>
      <c r="J181" s="361"/>
      <c r="K181" s="361"/>
      <c r="L181" s="361"/>
      <c r="M181" s="361"/>
      <c r="N181" s="361"/>
      <c r="O181" s="361"/>
      <c r="P181" s="361"/>
      <c r="Q181" s="361"/>
      <c r="R181" s="361"/>
      <c r="S181" s="361"/>
      <c r="T181" s="269">
        <f t="shared" si="6"/>
        <v>0</v>
      </c>
      <c r="U181" s="269">
        <f t="shared" si="7"/>
        <v>0</v>
      </c>
    </row>
    <row r="182" spans="1:21">
      <c r="A182" s="361"/>
      <c r="B182" s="361" t="s">
        <v>479</v>
      </c>
      <c r="C182" s="433">
        <v>183463</v>
      </c>
      <c r="D182" s="433">
        <v>152282</v>
      </c>
      <c r="E182" s="433">
        <v>335745</v>
      </c>
      <c r="F182" s="361">
        <v>0</v>
      </c>
      <c r="G182" s="361"/>
      <c r="H182" s="361"/>
      <c r="I182" s="361"/>
      <c r="J182" s="361"/>
      <c r="K182" s="361"/>
      <c r="L182" s="361"/>
      <c r="M182" s="361"/>
      <c r="N182" s="361"/>
      <c r="O182" s="361"/>
      <c r="P182" s="361"/>
      <c r="Q182" s="361"/>
      <c r="R182" s="361"/>
      <c r="S182" s="361"/>
      <c r="T182" s="269">
        <f t="shared" si="6"/>
        <v>0</v>
      </c>
      <c r="U182" s="269">
        <f t="shared" si="7"/>
        <v>0</v>
      </c>
    </row>
    <row r="183" spans="1:21">
      <c r="A183" s="361"/>
      <c r="B183" s="361" t="s">
        <v>480</v>
      </c>
      <c r="C183" s="433">
        <v>129613</v>
      </c>
      <c r="D183" s="433">
        <v>260323</v>
      </c>
      <c r="E183" s="433">
        <v>389936</v>
      </c>
      <c r="F183" s="361">
        <v>0</v>
      </c>
      <c r="G183" s="361"/>
      <c r="H183" s="361"/>
      <c r="I183" s="361"/>
      <c r="J183" s="361"/>
      <c r="K183" s="361"/>
      <c r="L183" s="361"/>
      <c r="M183" s="361"/>
      <c r="N183" s="361"/>
      <c r="O183" s="361"/>
      <c r="P183" s="361"/>
      <c r="Q183" s="361"/>
      <c r="R183" s="361"/>
      <c r="S183" s="361"/>
      <c r="T183" s="269">
        <f t="shared" si="6"/>
        <v>0</v>
      </c>
      <c r="U183" s="269">
        <f t="shared" si="7"/>
        <v>0</v>
      </c>
    </row>
    <row r="184" spans="1:21">
      <c r="A184" s="361"/>
      <c r="B184" s="361" t="s">
        <v>481</v>
      </c>
      <c r="C184" s="433">
        <v>246398</v>
      </c>
      <c r="D184" s="433">
        <v>178427</v>
      </c>
      <c r="E184" s="433">
        <v>424825</v>
      </c>
      <c r="F184" s="361">
        <v>0</v>
      </c>
      <c r="G184" s="361"/>
      <c r="H184" s="361"/>
      <c r="I184" s="361"/>
      <c r="J184" s="361"/>
      <c r="K184" s="361"/>
      <c r="L184" s="361"/>
      <c r="M184" s="361"/>
      <c r="N184" s="361"/>
      <c r="O184" s="361"/>
      <c r="P184" s="361"/>
      <c r="Q184" s="361"/>
      <c r="R184" s="361"/>
      <c r="S184" s="361"/>
      <c r="T184" s="269">
        <f t="shared" si="6"/>
        <v>0</v>
      </c>
      <c r="U184" s="269">
        <f t="shared" si="7"/>
        <v>0</v>
      </c>
    </row>
    <row r="185" spans="1:21">
      <c r="A185" s="361"/>
      <c r="B185" s="361"/>
      <c r="C185" s="361"/>
      <c r="D185" s="361"/>
      <c r="E185" s="361"/>
      <c r="F185" s="361">
        <v>0</v>
      </c>
      <c r="G185" s="361"/>
      <c r="H185" s="361"/>
      <c r="I185" s="361"/>
      <c r="J185" s="361"/>
      <c r="K185" s="361"/>
      <c r="L185" s="361"/>
      <c r="M185" s="361"/>
      <c r="N185" s="361"/>
      <c r="O185" s="361"/>
      <c r="P185" s="361"/>
      <c r="Q185" s="361"/>
      <c r="R185" s="361"/>
      <c r="S185" s="361"/>
      <c r="T185" s="269">
        <f t="shared" si="6"/>
        <v>0</v>
      </c>
      <c r="U185" s="269">
        <f t="shared" si="7"/>
        <v>0</v>
      </c>
    </row>
    <row r="186" spans="1:21">
      <c r="A186" s="361"/>
      <c r="B186" s="361" t="s">
        <v>282</v>
      </c>
      <c r="C186" s="361">
        <v>0</v>
      </c>
      <c r="D186" s="361"/>
      <c r="E186" s="361"/>
      <c r="F186" s="361"/>
      <c r="G186" s="361"/>
      <c r="H186" s="361"/>
      <c r="I186" s="361"/>
      <c r="J186" s="361"/>
      <c r="K186" s="361"/>
      <c r="L186" s="361"/>
      <c r="M186" s="361"/>
      <c r="N186" s="361"/>
      <c r="O186" s="361"/>
      <c r="P186" s="361"/>
      <c r="Q186" s="361"/>
      <c r="R186" s="361"/>
      <c r="S186" s="429"/>
      <c r="T186" s="269">
        <f t="shared" si="6"/>
        <v>0</v>
      </c>
      <c r="U186" s="269">
        <f t="shared" si="7"/>
        <v>0</v>
      </c>
    </row>
    <row r="187" spans="1:21">
      <c r="A187" s="361"/>
      <c r="B187" s="361" t="s">
        <v>482</v>
      </c>
      <c r="C187" s="433">
        <v>255520</v>
      </c>
      <c r="D187" s="433">
        <v>190399</v>
      </c>
      <c r="E187" s="433">
        <v>445919</v>
      </c>
      <c r="F187" s="361">
        <v>0</v>
      </c>
      <c r="G187" s="361"/>
      <c r="H187" s="361"/>
      <c r="I187" s="361"/>
      <c r="J187" s="361"/>
      <c r="K187" s="361"/>
      <c r="L187" s="361"/>
      <c r="M187" s="361"/>
      <c r="N187" s="361"/>
      <c r="O187" s="361"/>
      <c r="P187" s="361"/>
      <c r="Q187" s="361"/>
      <c r="R187" s="361"/>
      <c r="S187" s="361"/>
      <c r="T187" s="269">
        <f t="shared" si="6"/>
        <v>0</v>
      </c>
      <c r="U187" s="269">
        <f t="shared" si="7"/>
        <v>0</v>
      </c>
    </row>
    <row r="188" spans="1:21">
      <c r="A188" s="361"/>
      <c r="B188" s="361" t="s">
        <v>483</v>
      </c>
      <c r="C188" s="433">
        <v>244115</v>
      </c>
      <c r="D188" s="433">
        <v>184778</v>
      </c>
      <c r="E188" s="433">
        <v>428893</v>
      </c>
      <c r="F188" s="361">
        <v>0</v>
      </c>
      <c r="G188" s="361"/>
      <c r="H188" s="361"/>
      <c r="I188" s="361"/>
      <c r="J188" s="361"/>
      <c r="K188" s="361"/>
      <c r="L188" s="361"/>
      <c r="M188" s="361"/>
      <c r="N188" s="361"/>
      <c r="O188" s="361"/>
      <c r="P188" s="361"/>
      <c r="Q188" s="361"/>
      <c r="R188" s="361"/>
      <c r="S188" s="361"/>
      <c r="T188" s="269">
        <f t="shared" si="6"/>
        <v>0</v>
      </c>
      <c r="U188" s="269">
        <f t="shared" si="7"/>
        <v>0</v>
      </c>
    </row>
    <row r="189" spans="1:21">
      <c r="A189" s="361"/>
      <c r="B189" s="361" t="s">
        <v>484</v>
      </c>
      <c r="C189" s="433">
        <v>361385</v>
      </c>
      <c r="D189" s="433">
        <v>26159</v>
      </c>
      <c r="E189" s="433">
        <v>387544</v>
      </c>
      <c r="F189" s="361">
        <v>0</v>
      </c>
      <c r="G189" s="361"/>
      <c r="H189" s="361"/>
      <c r="I189" s="361"/>
      <c r="J189" s="361"/>
      <c r="K189" s="361"/>
      <c r="L189" s="361"/>
      <c r="M189" s="361"/>
      <c r="N189" s="361"/>
      <c r="O189" s="361"/>
      <c r="P189" s="361"/>
      <c r="Q189" s="361"/>
      <c r="R189" s="361"/>
      <c r="S189" s="361"/>
      <c r="T189" s="269">
        <f t="shared" si="6"/>
        <v>0</v>
      </c>
      <c r="U189" s="269">
        <f t="shared" si="7"/>
        <v>0</v>
      </c>
    </row>
    <row r="190" spans="1:21">
      <c r="A190" s="361"/>
      <c r="B190" s="361" t="s">
        <v>485</v>
      </c>
      <c r="C190" s="433">
        <v>361484</v>
      </c>
      <c r="D190" s="433">
        <v>19363</v>
      </c>
      <c r="E190" s="433">
        <v>380846</v>
      </c>
      <c r="F190" s="361">
        <v>0</v>
      </c>
      <c r="G190" s="361"/>
      <c r="H190" s="361"/>
      <c r="I190" s="361"/>
      <c r="J190" s="361"/>
      <c r="K190" s="361"/>
      <c r="L190" s="361"/>
      <c r="M190" s="361"/>
      <c r="N190" s="361"/>
      <c r="O190" s="361"/>
      <c r="P190" s="361"/>
      <c r="Q190" s="361"/>
      <c r="R190" s="361"/>
      <c r="S190" s="361"/>
      <c r="T190" s="269">
        <f t="shared" si="6"/>
        <v>0</v>
      </c>
      <c r="U190" s="269">
        <f t="shared" si="7"/>
        <v>0</v>
      </c>
    </row>
    <row r="191" spans="1:21">
      <c r="A191" s="361"/>
      <c r="B191" s="361" t="s">
        <v>486</v>
      </c>
      <c r="C191" s="433">
        <v>293286</v>
      </c>
      <c r="D191" s="433">
        <v>148690</v>
      </c>
      <c r="E191" s="433">
        <v>441976</v>
      </c>
      <c r="F191" s="361">
        <v>0</v>
      </c>
      <c r="G191" s="361"/>
      <c r="H191" s="361"/>
      <c r="I191" s="361"/>
      <c r="J191" s="361"/>
      <c r="K191" s="361"/>
      <c r="L191" s="361"/>
      <c r="M191" s="361"/>
      <c r="N191" s="361"/>
      <c r="O191" s="361"/>
      <c r="P191" s="361"/>
      <c r="Q191" s="361"/>
      <c r="R191" s="361"/>
      <c r="S191" s="361"/>
      <c r="T191" s="269">
        <f t="shared" si="6"/>
        <v>0</v>
      </c>
      <c r="U191" s="269">
        <f t="shared" si="7"/>
        <v>0</v>
      </c>
    </row>
    <row r="192" spans="1:21">
      <c r="A192" s="361"/>
      <c r="B192" s="361" t="s">
        <v>487</v>
      </c>
      <c r="C192" s="433">
        <v>390024</v>
      </c>
      <c r="D192" s="433">
        <v>7132</v>
      </c>
      <c r="E192" s="433">
        <v>397157</v>
      </c>
      <c r="F192" s="361">
        <v>0</v>
      </c>
      <c r="G192" s="361"/>
      <c r="H192" s="361"/>
      <c r="I192" s="361"/>
      <c r="J192" s="361"/>
      <c r="K192" s="361"/>
      <c r="L192" s="361"/>
      <c r="M192" s="361"/>
      <c r="N192" s="361"/>
      <c r="O192" s="361"/>
      <c r="P192" s="361"/>
      <c r="Q192" s="361"/>
      <c r="R192" s="361"/>
      <c r="S192" s="361"/>
      <c r="T192" s="269">
        <f t="shared" si="6"/>
        <v>0</v>
      </c>
      <c r="U192" s="269">
        <f t="shared" si="7"/>
        <v>0</v>
      </c>
    </row>
    <row r="193" spans="1:21">
      <c r="A193" s="361"/>
      <c r="B193" s="361" t="s">
        <v>488</v>
      </c>
      <c r="C193" s="433">
        <v>221461</v>
      </c>
      <c r="D193" s="433">
        <v>144010</v>
      </c>
      <c r="E193" s="433">
        <v>365471</v>
      </c>
      <c r="F193" s="361">
        <v>0</v>
      </c>
      <c r="G193" s="361"/>
      <c r="H193" s="361"/>
      <c r="I193" s="361"/>
      <c r="J193" s="361"/>
      <c r="K193" s="361"/>
      <c r="L193" s="361"/>
      <c r="M193" s="361"/>
      <c r="N193" s="361"/>
      <c r="O193" s="361"/>
      <c r="P193" s="361"/>
      <c r="Q193" s="361"/>
      <c r="R193" s="361"/>
      <c r="S193" s="361"/>
      <c r="T193" s="269">
        <f t="shared" si="6"/>
        <v>0</v>
      </c>
      <c r="U193" s="269">
        <f t="shared" si="7"/>
        <v>0</v>
      </c>
    </row>
    <row r="194" spans="1:21">
      <c r="A194" s="361"/>
      <c r="B194" s="361"/>
      <c r="C194" s="361"/>
      <c r="D194" s="361"/>
      <c r="E194" s="361"/>
      <c r="F194" s="361">
        <v>0</v>
      </c>
      <c r="G194" s="361"/>
      <c r="H194" s="361"/>
      <c r="I194" s="361"/>
      <c r="J194" s="361"/>
      <c r="K194" s="361"/>
      <c r="L194" s="361"/>
      <c r="M194" s="361"/>
      <c r="N194" s="361"/>
      <c r="O194" s="361"/>
      <c r="P194" s="361"/>
      <c r="Q194" s="361"/>
      <c r="R194" s="361"/>
      <c r="S194" s="361"/>
      <c r="T194" s="269">
        <f t="shared" si="6"/>
        <v>0</v>
      </c>
      <c r="U194" s="269">
        <f t="shared" si="7"/>
        <v>0</v>
      </c>
    </row>
    <row r="195" spans="1:21">
      <c r="A195" s="361"/>
      <c r="B195" s="361" t="s">
        <v>207</v>
      </c>
      <c r="C195" s="361"/>
      <c r="D195" s="361"/>
      <c r="E195" s="361">
        <v>1</v>
      </c>
      <c r="F195" s="361" t="s">
        <v>207</v>
      </c>
      <c r="G195" s="361"/>
      <c r="H195" s="361"/>
      <c r="I195" s="361"/>
      <c r="J195" s="361"/>
      <c r="K195" s="361"/>
      <c r="L195" s="361"/>
      <c r="M195" s="361"/>
      <c r="N195" s="361"/>
      <c r="O195" s="361"/>
      <c r="P195" s="361"/>
      <c r="Q195" s="433"/>
      <c r="R195" s="361"/>
      <c r="S195" s="361"/>
      <c r="T195" s="269">
        <f t="shared" si="6"/>
        <v>0</v>
      </c>
      <c r="U195" s="269">
        <f t="shared" si="7"/>
        <v>0</v>
      </c>
    </row>
    <row r="196" spans="1:21">
      <c r="A196" s="361"/>
      <c r="B196" s="361" t="s">
        <v>489</v>
      </c>
      <c r="C196" s="433">
        <v>283495</v>
      </c>
      <c r="D196" s="433">
        <v>91598</v>
      </c>
      <c r="E196" s="433">
        <v>375092</v>
      </c>
      <c r="F196" s="361">
        <v>1</v>
      </c>
      <c r="G196" s="361" t="s">
        <v>489</v>
      </c>
      <c r="H196" s="433">
        <v>283495</v>
      </c>
      <c r="I196" s="433">
        <v>91598</v>
      </c>
      <c r="J196" s="433">
        <v>375092</v>
      </c>
      <c r="K196" s="361">
        <v>0.26</v>
      </c>
      <c r="L196" s="433">
        <v>53585</v>
      </c>
      <c r="M196" s="433">
        <v>40499</v>
      </c>
      <c r="N196" s="433">
        <v>13085</v>
      </c>
      <c r="O196" s="433">
        <v>1092</v>
      </c>
      <c r="P196" s="434">
        <v>5.3E-3</v>
      </c>
      <c r="Q196" s="434">
        <v>2.7E-2</v>
      </c>
      <c r="R196" s="361" t="s">
        <v>107</v>
      </c>
      <c r="S196" s="361" t="s">
        <v>629</v>
      </c>
      <c r="T196" s="269">
        <f t="shared" si="6"/>
        <v>0</v>
      </c>
      <c r="U196" s="269">
        <f t="shared" si="7"/>
        <v>0</v>
      </c>
    </row>
    <row r="197" spans="1:21">
      <c r="A197" s="361"/>
      <c r="B197" s="361" t="s">
        <v>490</v>
      </c>
      <c r="C197" s="433">
        <v>187469</v>
      </c>
      <c r="D197" s="433">
        <v>131236</v>
      </c>
      <c r="E197" s="433">
        <v>318705</v>
      </c>
      <c r="F197" s="361">
        <v>1</v>
      </c>
      <c r="G197" s="361" t="s">
        <v>490</v>
      </c>
      <c r="H197" s="361"/>
      <c r="I197" s="361"/>
      <c r="J197" s="361"/>
      <c r="K197" s="361"/>
      <c r="L197" s="361"/>
      <c r="M197" s="361"/>
      <c r="N197" s="361"/>
      <c r="O197" s="361"/>
      <c r="P197" s="361"/>
      <c r="Q197" s="361"/>
      <c r="R197" s="361"/>
      <c r="S197" s="361"/>
      <c r="T197" s="269">
        <f t="shared" si="6"/>
        <v>0</v>
      </c>
      <c r="U197" s="269">
        <f t="shared" si="7"/>
        <v>0</v>
      </c>
    </row>
    <row r="198" spans="1:21">
      <c r="A198" s="361"/>
      <c r="B198" s="361" t="s">
        <v>491</v>
      </c>
      <c r="C198" s="433">
        <v>51085</v>
      </c>
      <c r="D198" s="433">
        <v>172594</v>
      </c>
      <c r="E198" s="433">
        <v>223678</v>
      </c>
      <c r="F198" s="361">
        <v>1</v>
      </c>
      <c r="G198" s="361" t="s">
        <v>491</v>
      </c>
      <c r="H198" s="361"/>
      <c r="I198" s="361"/>
      <c r="J198" s="361"/>
      <c r="K198" s="361"/>
      <c r="L198" s="361"/>
      <c r="M198" s="361"/>
      <c r="N198" s="361"/>
      <c r="O198" s="361"/>
      <c r="P198" s="361"/>
      <c r="Q198" s="361"/>
      <c r="R198" s="361"/>
      <c r="S198" s="361"/>
      <c r="T198" s="269">
        <f t="shared" si="6"/>
        <v>0</v>
      </c>
      <c r="U198" s="269">
        <f t="shared" si="7"/>
        <v>0</v>
      </c>
    </row>
    <row r="199" spans="1:21">
      <c r="A199" s="361"/>
      <c r="B199" s="361" t="s">
        <v>492</v>
      </c>
      <c r="C199" s="433">
        <v>177593</v>
      </c>
      <c r="D199" s="433">
        <v>122671</v>
      </c>
      <c r="E199" s="433">
        <v>300264</v>
      </c>
      <c r="F199" s="361">
        <v>1</v>
      </c>
      <c r="G199" s="361" t="s">
        <v>492</v>
      </c>
      <c r="H199" s="361"/>
      <c r="I199" s="361"/>
      <c r="J199" s="361"/>
      <c r="K199" s="361"/>
      <c r="L199" s="361"/>
      <c r="M199" s="361"/>
      <c r="N199" s="361"/>
      <c r="O199" s="361"/>
      <c r="P199" s="361"/>
      <c r="Q199" s="361"/>
      <c r="R199" s="361"/>
      <c r="S199" s="361"/>
      <c r="T199" s="269">
        <f t="shared" ref="T199:T258" si="8">IF(P199&gt;$B$2,1,0)</f>
        <v>0</v>
      </c>
      <c r="U199" s="269">
        <f t="shared" ref="U199:U258" si="9">IF(Q199&gt;$B$2,1,0)</f>
        <v>0</v>
      </c>
    </row>
    <row r="200" spans="1:21">
      <c r="A200" s="361"/>
      <c r="B200" s="361" t="s">
        <v>493</v>
      </c>
      <c r="C200" s="433">
        <v>219898</v>
      </c>
      <c r="D200" s="433">
        <v>123483</v>
      </c>
      <c r="E200" s="433">
        <v>343381</v>
      </c>
      <c r="F200" s="361">
        <v>1</v>
      </c>
      <c r="G200" s="361" t="s">
        <v>493</v>
      </c>
      <c r="H200" s="361"/>
      <c r="I200" s="361"/>
      <c r="J200" s="361"/>
      <c r="K200" s="361"/>
      <c r="L200" s="361"/>
      <c r="M200" s="361"/>
      <c r="N200" s="361"/>
      <c r="O200" s="361" t="s">
        <v>629</v>
      </c>
      <c r="P200" s="361"/>
      <c r="Q200" s="361"/>
      <c r="R200" s="361"/>
      <c r="S200" s="361"/>
      <c r="T200" s="269">
        <f t="shared" si="8"/>
        <v>0</v>
      </c>
      <c r="U200" s="269">
        <f t="shared" si="9"/>
        <v>0</v>
      </c>
    </row>
    <row r="201" spans="1:21">
      <c r="A201" s="361"/>
      <c r="B201" s="361" t="s">
        <v>401</v>
      </c>
      <c r="C201" s="433">
        <v>449207</v>
      </c>
      <c r="D201" s="433">
        <v>549785</v>
      </c>
      <c r="E201" s="433">
        <v>998991</v>
      </c>
      <c r="F201" s="361">
        <v>1</v>
      </c>
      <c r="G201" s="361" t="s">
        <v>401</v>
      </c>
      <c r="H201" s="361"/>
      <c r="I201" s="361"/>
      <c r="J201" s="361"/>
      <c r="K201" s="361"/>
      <c r="L201" s="361"/>
      <c r="M201" s="361"/>
      <c r="N201" s="361"/>
      <c r="O201" s="361"/>
      <c r="P201" s="361"/>
      <c r="Q201" s="361"/>
      <c r="R201" s="361"/>
      <c r="S201" s="361"/>
      <c r="T201" s="269">
        <f t="shared" si="8"/>
        <v>0</v>
      </c>
      <c r="U201" s="269">
        <f t="shared" si="9"/>
        <v>0</v>
      </c>
    </row>
    <row r="202" spans="1:21">
      <c r="A202" s="361"/>
      <c r="B202" s="361" t="s">
        <v>494</v>
      </c>
      <c r="C202" s="433">
        <v>103541</v>
      </c>
      <c r="D202" s="433">
        <v>134265</v>
      </c>
      <c r="E202" s="433">
        <v>237806</v>
      </c>
      <c r="F202" s="361">
        <v>1</v>
      </c>
      <c r="G202" s="361" t="s">
        <v>494</v>
      </c>
      <c r="H202" s="361"/>
      <c r="I202" s="361"/>
      <c r="J202" s="361"/>
      <c r="K202" s="361"/>
      <c r="L202" s="361"/>
      <c r="M202" s="361"/>
      <c r="N202" s="361"/>
      <c r="O202" s="361"/>
      <c r="P202" s="361"/>
      <c r="Q202" s="361"/>
      <c r="R202" s="361"/>
      <c r="S202" s="361"/>
      <c r="T202" s="269">
        <f t="shared" si="8"/>
        <v>0</v>
      </c>
      <c r="U202" s="269">
        <f t="shared" si="9"/>
        <v>0</v>
      </c>
    </row>
    <row r="203" spans="1:21">
      <c r="A203" s="361"/>
      <c r="B203" s="361" t="s">
        <v>495</v>
      </c>
      <c r="C203" s="433">
        <v>161231</v>
      </c>
      <c r="D203" s="433">
        <v>175860</v>
      </c>
      <c r="E203" s="433">
        <v>337091</v>
      </c>
      <c r="F203" s="361">
        <v>1</v>
      </c>
      <c r="G203" s="361" t="s">
        <v>495</v>
      </c>
      <c r="H203" s="433">
        <v>161231</v>
      </c>
      <c r="I203" s="433">
        <v>175860</v>
      </c>
      <c r="J203" s="433">
        <v>337091</v>
      </c>
      <c r="K203" s="361">
        <v>0.23</v>
      </c>
      <c r="L203" s="433">
        <v>48156</v>
      </c>
      <c r="M203" s="433">
        <v>23033</v>
      </c>
      <c r="N203" s="433">
        <v>25123</v>
      </c>
      <c r="O203" s="361">
        <v>981</v>
      </c>
      <c r="P203" s="434">
        <v>4.7999999999999996E-3</v>
      </c>
      <c r="Q203" s="434">
        <v>4.2599999999999999E-2</v>
      </c>
      <c r="R203" s="361" t="s">
        <v>107</v>
      </c>
      <c r="S203" s="361" t="s">
        <v>629</v>
      </c>
      <c r="T203" s="269">
        <f t="shared" si="8"/>
        <v>0</v>
      </c>
      <c r="U203" s="269">
        <f t="shared" si="9"/>
        <v>0</v>
      </c>
    </row>
    <row r="204" spans="1:21">
      <c r="A204" s="361"/>
      <c r="B204" s="361" t="s">
        <v>496</v>
      </c>
      <c r="C204" s="433">
        <v>104149</v>
      </c>
      <c r="D204" s="433">
        <v>130389</v>
      </c>
      <c r="E204" s="433">
        <v>234538</v>
      </c>
      <c r="F204" s="361">
        <v>1</v>
      </c>
      <c r="G204" s="361" t="s">
        <v>496</v>
      </c>
      <c r="H204" s="361"/>
      <c r="I204" s="361"/>
      <c r="J204" s="361"/>
      <c r="K204" s="361"/>
      <c r="L204" s="361"/>
      <c r="M204" s="361"/>
      <c r="N204" s="361"/>
      <c r="O204" s="361"/>
      <c r="P204" s="361"/>
      <c r="Q204" s="361"/>
      <c r="R204" s="361"/>
      <c r="S204" s="361"/>
      <c r="T204" s="269">
        <f t="shared" si="8"/>
        <v>0</v>
      </c>
      <c r="U204" s="269">
        <f t="shared" si="9"/>
        <v>0</v>
      </c>
    </row>
    <row r="205" spans="1:21">
      <c r="A205" s="361"/>
      <c r="B205" s="361" t="s">
        <v>497</v>
      </c>
      <c r="C205" s="433">
        <v>42559</v>
      </c>
      <c r="D205" s="433">
        <v>138617</v>
      </c>
      <c r="E205" s="433">
        <v>181177</v>
      </c>
      <c r="F205" s="361">
        <v>1</v>
      </c>
      <c r="G205" s="361" t="s">
        <v>497</v>
      </c>
      <c r="H205" s="361"/>
      <c r="I205" s="361"/>
      <c r="J205" s="361"/>
      <c r="K205" s="361"/>
      <c r="L205" s="361"/>
      <c r="M205" s="361"/>
      <c r="N205" s="361"/>
      <c r="O205" s="361" t="s">
        <v>629</v>
      </c>
      <c r="P205" s="361"/>
      <c r="Q205" s="361"/>
      <c r="R205" s="361"/>
      <c r="S205" s="361"/>
      <c r="T205" s="269">
        <f t="shared" si="8"/>
        <v>0</v>
      </c>
      <c r="U205" s="269">
        <f t="shared" si="9"/>
        <v>0</v>
      </c>
    </row>
    <row r="206" spans="1:21">
      <c r="A206" s="361"/>
      <c r="B206" s="361" t="s">
        <v>498</v>
      </c>
      <c r="C206" s="433">
        <v>184409</v>
      </c>
      <c r="D206" s="433">
        <v>117262</v>
      </c>
      <c r="E206" s="433">
        <v>301671</v>
      </c>
      <c r="F206" s="361">
        <v>1</v>
      </c>
      <c r="G206" s="361" t="s">
        <v>498</v>
      </c>
      <c r="H206" s="361"/>
      <c r="I206" s="361"/>
      <c r="J206" s="361"/>
      <c r="K206" s="361"/>
      <c r="L206" s="361"/>
      <c r="M206" s="361"/>
      <c r="N206" s="361"/>
      <c r="O206" s="361"/>
      <c r="P206" s="361"/>
      <c r="Q206" s="361"/>
      <c r="R206" s="361"/>
      <c r="S206" s="361"/>
      <c r="T206" s="269">
        <f t="shared" si="8"/>
        <v>0</v>
      </c>
      <c r="U206" s="269">
        <f t="shared" si="9"/>
        <v>0</v>
      </c>
    </row>
    <row r="207" spans="1:21">
      <c r="A207" s="361"/>
      <c r="B207" s="361" t="s">
        <v>499</v>
      </c>
      <c r="C207" s="433">
        <v>33576</v>
      </c>
      <c r="D207" s="433">
        <v>158596</v>
      </c>
      <c r="E207" s="433">
        <v>192172</v>
      </c>
      <c r="F207" s="361">
        <v>1</v>
      </c>
      <c r="G207" s="361" t="s">
        <v>499</v>
      </c>
      <c r="H207" s="361"/>
      <c r="I207" s="361"/>
      <c r="J207" s="361"/>
      <c r="K207" s="361"/>
      <c r="L207" s="361"/>
      <c r="M207" s="361"/>
      <c r="N207" s="361"/>
      <c r="O207" s="361"/>
      <c r="P207" s="361"/>
      <c r="Q207" s="361"/>
      <c r="R207" s="361"/>
      <c r="S207" s="361"/>
      <c r="T207" s="269">
        <f t="shared" si="8"/>
        <v>0</v>
      </c>
      <c r="U207" s="269">
        <f t="shared" si="9"/>
        <v>0</v>
      </c>
    </row>
    <row r="208" spans="1:21">
      <c r="A208" s="361"/>
      <c r="B208" s="361" t="s">
        <v>500</v>
      </c>
      <c r="C208" s="433">
        <v>219617</v>
      </c>
      <c r="D208" s="433">
        <v>124770</v>
      </c>
      <c r="E208" s="433">
        <v>344387</v>
      </c>
      <c r="F208" s="361">
        <v>1</v>
      </c>
      <c r="G208" s="361" t="s">
        <v>500</v>
      </c>
      <c r="H208" s="361"/>
      <c r="I208" s="361"/>
      <c r="J208" s="361"/>
      <c r="K208" s="361"/>
      <c r="L208" s="361"/>
      <c r="M208" s="361"/>
      <c r="N208" s="361"/>
      <c r="O208" s="361" t="s">
        <v>629</v>
      </c>
      <c r="P208" s="361"/>
      <c r="Q208" s="361"/>
      <c r="R208" s="361"/>
      <c r="S208" s="361"/>
      <c r="T208" s="269">
        <f t="shared" si="8"/>
        <v>0</v>
      </c>
      <c r="U208" s="269">
        <f t="shared" si="9"/>
        <v>0</v>
      </c>
    </row>
    <row r="209" spans="1:21">
      <c r="A209" s="361"/>
      <c r="B209" s="361" t="s">
        <v>501</v>
      </c>
      <c r="C209" s="433">
        <v>242519</v>
      </c>
      <c r="D209" s="433">
        <v>141802</v>
      </c>
      <c r="E209" s="433">
        <v>384321</v>
      </c>
      <c r="F209" s="361">
        <v>1</v>
      </c>
      <c r="G209" s="361" t="s">
        <v>501</v>
      </c>
      <c r="H209" s="433">
        <v>242519</v>
      </c>
      <c r="I209" s="433">
        <v>141802</v>
      </c>
      <c r="J209" s="433">
        <v>384321</v>
      </c>
      <c r="K209" s="361">
        <v>0.27</v>
      </c>
      <c r="L209" s="433">
        <v>54903</v>
      </c>
      <c r="M209" s="433">
        <v>34646</v>
      </c>
      <c r="N209" s="433">
        <v>20257</v>
      </c>
      <c r="O209" s="433">
        <v>1119</v>
      </c>
      <c r="P209" s="434">
        <v>5.4000000000000003E-3</v>
      </c>
      <c r="Q209" s="434">
        <v>3.2300000000000002E-2</v>
      </c>
      <c r="R209" s="361" t="s">
        <v>107</v>
      </c>
      <c r="S209" s="361" t="s">
        <v>629</v>
      </c>
      <c r="T209" s="269">
        <f t="shared" si="8"/>
        <v>0</v>
      </c>
      <c r="U209" s="269">
        <f t="shared" si="9"/>
        <v>0</v>
      </c>
    </row>
    <row r="210" spans="1:21">
      <c r="A210" s="361"/>
      <c r="B210" s="361" t="s">
        <v>502</v>
      </c>
      <c r="C210" s="433">
        <v>224940</v>
      </c>
      <c r="D210" s="433">
        <v>119400</v>
      </c>
      <c r="E210" s="433">
        <v>344340</v>
      </c>
      <c r="F210" s="361">
        <v>1</v>
      </c>
      <c r="G210" s="361" t="s">
        <v>502</v>
      </c>
      <c r="H210" s="361"/>
      <c r="I210" s="361"/>
      <c r="J210" s="361"/>
      <c r="K210" s="361"/>
      <c r="L210" s="361"/>
      <c r="M210" s="361"/>
      <c r="N210" s="361"/>
      <c r="O210" s="361" t="s">
        <v>629</v>
      </c>
      <c r="P210" s="361"/>
      <c r="Q210" s="361"/>
      <c r="R210" s="361"/>
      <c r="S210" s="361" t="s">
        <v>629</v>
      </c>
      <c r="T210" s="269">
        <f t="shared" si="8"/>
        <v>0</v>
      </c>
      <c r="U210" s="269">
        <f t="shared" si="9"/>
        <v>0</v>
      </c>
    </row>
    <row r="211" spans="1:21">
      <c r="A211" s="361"/>
      <c r="B211" s="361" t="s">
        <v>503</v>
      </c>
      <c r="C211" s="433">
        <v>224364</v>
      </c>
      <c r="D211" s="433">
        <v>122565</v>
      </c>
      <c r="E211" s="433">
        <v>346929</v>
      </c>
      <c r="F211" s="361">
        <v>1</v>
      </c>
      <c r="G211" s="361" t="s">
        <v>503</v>
      </c>
      <c r="H211" s="433">
        <v>224364</v>
      </c>
      <c r="I211" s="433">
        <v>122565</v>
      </c>
      <c r="J211" s="433">
        <v>346929</v>
      </c>
      <c r="K211" s="361">
        <v>0.24</v>
      </c>
      <c r="L211" s="433">
        <v>49561</v>
      </c>
      <c r="M211" s="433">
        <v>32052</v>
      </c>
      <c r="N211" s="433">
        <v>17509</v>
      </c>
      <c r="O211" s="433">
        <v>1010</v>
      </c>
      <c r="P211" s="434">
        <v>4.8999999999999998E-3</v>
      </c>
      <c r="Q211" s="434">
        <v>3.15E-2</v>
      </c>
      <c r="R211" s="361" t="s">
        <v>107</v>
      </c>
      <c r="S211" s="361" t="s">
        <v>629</v>
      </c>
      <c r="T211" s="269">
        <f t="shared" si="8"/>
        <v>0</v>
      </c>
      <c r="U211" s="269">
        <f t="shared" si="9"/>
        <v>0</v>
      </c>
    </row>
    <row r="212" spans="1:21">
      <c r="A212" s="361"/>
      <c r="B212" s="361"/>
      <c r="C212" s="361"/>
      <c r="D212" s="361"/>
      <c r="E212" s="361"/>
      <c r="F212" s="361">
        <v>1</v>
      </c>
      <c r="G212" s="361" t="s">
        <v>138</v>
      </c>
      <c r="H212" s="433">
        <v>911607</v>
      </c>
      <c r="I212" s="433">
        <v>531825</v>
      </c>
      <c r="J212" s="433">
        <v>1443433</v>
      </c>
      <c r="K212" s="361"/>
      <c r="L212" s="361"/>
      <c r="M212" s="361"/>
      <c r="N212" s="361"/>
      <c r="O212" s="433">
        <v>4202</v>
      </c>
      <c r="P212" s="361"/>
      <c r="Q212" s="361"/>
      <c r="R212" s="361"/>
      <c r="S212" s="433">
        <v>5872</v>
      </c>
      <c r="T212" s="269">
        <f t="shared" si="8"/>
        <v>0</v>
      </c>
      <c r="U212" s="269">
        <f t="shared" si="9"/>
        <v>0</v>
      </c>
    </row>
    <row r="213" spans="1:21">
      <c r="A213" s="361"/>
      <c r="B213" s="361" t="s">
        <v>301</v>
      </c>
      <c r="C213" s="361">
        <v>0</v>
      </c>
      <c r="D213" s="361"/>
      <c r="E213" s="361"/>
      <c r="F213" s="361"/>
      <c r="G213" s="361"/>
      <c r="H213" s="361"/>
      <c r="I213" s="361"/>
      <c r="J213" s="361"/>
      <c r="K213" s="361"/>
      <c r="L213" s="361"/>
      <c r="M213" s="361"/>
      <c r="N213" s="361"/>
      <c r="O213" s="361"/>
      <c r="P213" s="361"/>
      <c r="Q213" s="361"/>
      <c r="R213" s="361"/>
      <c r="S213" s="429"/>
      <c r="T213" s="269">
        <f t="shared" si="8"/>
        <v>0</v>
      </c>
      <c r="U213" s="269">
        <f t="shared" si="9"/>
        <v>0</v>
      </c>
    </row>
    <row r="214" spans="1:21">
      <c r="A214" s="361"/>
      <c r="B214" s="361" t="s">
        <v>504</v>
      </c>
      <c r="C214" s="361" t="s">
        <v>629</v>
      </c>
      <c r="D214" s="361" t="s">
        <v>629</v>
      </c>
      <c r="E214" s="361" t="s">
        <v>629</v>
      </c>
      <c r="F214" s="361">
        <v>1</v>
      </c>
      <c r="G214" s="361" t="s">
        <v>103</v>
      </c>
      <c r="H214" s="361"/>
      <c r="I214" s="361"/>
      <c r="J214" s="361"/>
      <c r="K214" s="361"/>
      <c r="L214" s="361"/>
      <c r="M214" s="361"/>
      <c r="N214" s="361"/>
      <c r="O214" s="361"/>
      <c r="P214" s="361"/>
      <c r="Q214" s="361"/>
      <c r="R214" s="361"/>
      <c r="S214" s="361"/>
      <c r="T214" s="269">
        <f t="shared" si="8"/>
        <v>0</v>
      </c>
      <c r="U214" s="269">
        <f t="shared" si="9"/>
        <v>0</v>
      </c>
    </row>
    <row r="215" spans="1:21">
      <c r="A215" s="361"/>
      <c r="B215" s="361" t="s">
        <v>505</v>
      </c>
      <c r="C215" s="361" t="s">
        <v>629</v>
      </c>
      <c r="D215" s="361" t="s">
        <v>629</v>
      </c>
      <c r="E215" s="361" t="s">
        <v>629</v>
      </c>
      <c r="F215" s="361">
        <v>1</v>
      </c>
      <c r="G215" s="361" t="s">
        <v>506</v>
      </c>
      <c r="H215" s="361"/>
      <c r="I215" s="433">
        <v>155787</v>
      </c>
      <c r="J215" s="361">
        <v>0.61</v>
      </c>
      <c r="K215" s="433">
        <v>22255</v>
      </c>
      <c r="L215" s="361"/>
      <c r="M215" s="361"/>
      <c r="N215" s="429"/>
      <c r="O215" s="361">
        <v>427</v>
      </c>
      <c r="P215" s="434">
        <v>1.9199999999999998E-2</v>
      </c>
      <c r="Q215" s="361"/>
      <c r="R215" s="361" t="s">
        <v>103</v>
      </c>
      <c r="S215" s="361"/>
      <c r="T215" s="269">
        <f t="shared" si="8"/>
        <v>0</v>
      </c>
      <c r="U215" s="269">
        <f t="shared" ref="U215:U221" si="10">IF(Q215&gt;$B$2,1,0)</f>
        <v>0</v>
      </c>
    </row>
    <row r="216" spans="1:21">
      <c r="A216" s="361"/>
      <c r="B216" s="361" t="s">
        <v>507</v>
      </c>
      <c r="C216" s="361" t="s">
        <v>629</v>
      </c>
      <c r="D216" s="361" t="s">
        <v>629</v>
      </c>
      <c r="E216" s="361" t="s">
        <v>629</v>
      </c>
      <c r="F216" s="361">
        <v>1</v>
      </c>
      <c r="G216" s="361" t="s">
        <v>508</v>
      </c>
      <c r="H216" s="361"/>
      <c r="I216" s="433">
        <v>42719</v>
      </c>
      <c r="J216" s="361">
        <v>0.17</v>
      </c>
      <c r="K216" s="433">
        <v>6103</v>
      </c>
      <c r="L216" s="361"/>
      <c r="M216" s="361"/>
      <c r="N216" s="429"/>
      <c r="O216" s="361">
        <v>119</v>
      </c>
      <c r="P216" s="434">
        <v>1.95E-2</v>
      </c>
      <c r="Q216" s="361"/>
      <c r="R216" s="361" t="s">
        <v>103</v>
      </c>
      <c r="S216" s="361"/>
      <c r="T216" s="269">
        <f t="shared" si="8"/>
        <v>0</v>
      </c>
      <c r="U216" s="269">
        <f t="shared" si="10"/>
        <v>0</v>
      </c>
    </row>
    <row r="217" spans="1:21">
      <c r="A217" s="361"/>
      <c r="B217" s="361" t="s">
        <v>509</v>
      </c>
      <c r="C217" s="433">
        <v>105111</v>
      </c>
      <c r="D217" s="433">
        <v>55297</v>
      </c>
      <c r="E217" s="433">
        <v>160408</v>
      </c>
      <c r="F217" s="361">
        <v>1</v>
      </c>
      <c r="G217" s="361" t="s">
        <v>510</v>
      </c>
      <c r="H217" s="361"/>
      <c r="I217" s="433">
        <v>54904</v>
      </c>
      <c r="J217" s="361">
        <v>0.22</v>
      </c>
      <c r="K217" s="433">
        <v>7843</v>
      </c>
      <c r="L217" s="361"/>
      <c r="M217" s="361"/>
      <c r="N217" s="429"/>
      <c r="O217" s="361">
        <v>154</v>
      </c>
      <c r="P217" s="434">
        <v>1.9599999999999999E-2</v>
      </c>
      <c r="Q217" s="361"/>
      <c r="R217" s="361" t="s">
        <v>103</v>
      </c>
      <c r="S217" s="361"/>
      <c r="T217" s="269">
        <f t="shared" si="8"/>
        <v>0</v>
      </c>
      <c r="U217" s="269">
        <f t="shared" si="10"/>
        <v>0</v>
      </c>
    </row>
    <row r="218" spans="1:21">
      <c r="A218" s="361"/>
      <c r="B218" s="361" t="s">
        <v>511</v>
      </c>
      <c r="C218" s="361">
        <v>835</v>
      </c>
      <c r="D218" s="361" t="s">
        <v>629</v>
      </c>
      <c r="E218" s="361">
        <v>835</v>
      </c>
      <c r="F218" s="361">
        <v>1</v>
      </c>
      <c r="G218" s="437" t="s">
        <v>512</v>
      </c>
      <c r="H218" s="361"/>
      <c r="I218" s="433">
        <v>42263</v>
      </c>
      <c r="J218" s="361">
        <v>1</v>
      </c>
      <c r="K218" s="433">
        <v>6038</v>
      </c>
      <c r="L218" s="361"/>
      <c r="M218" s="361"/>
      <c r="N218" s="429"/>
      <c r="O218" s="361">
        <v>410</v>
      </c>
      <c r="P218" s="434">
        <v>6.7900000000000002E-2</v>
      </c>
      <c r="Q218" s="361"/>
      <c r="R218" s="361" t="s">
        <v>79</v>
      </c>
      <c r="S218" s="361"/>
      <c r="T218" s="269">
        <f t="shared" si="8"/>
        <v>0</v>
      </c>
      <c r="U218" s="269">
        <f t="shared" si="10"/>
        <v>0</v>
      </c>
    </row>
    <row r="219" spans="1:21">
      <c r="A219" s="361"/>
      <c r="B219" s="361" t="s">
        <v>513</v>
      </c>
      <c r="C219" s="361" t="s">
        <v>629</v>
      </c>
      <c r="D219" s="361" t="s">
        <v>629</v>
      </c>
      <c r="E219" s="361" t="s">
        <v>629</v>
      </c>
      <c r="F219" s="361">
        <v>0</v>
      </c>
      <c r="G219" s="361"/>
      <c r="H219" s="361"/>
      <c r="I219" s="361"/>
      <c r="J219" s="361"/>
      <c r="K219" s="361"/>
      <c r="L219" s="361"/>
      <c r="M219" s="361"/>
      <c r="N219" s="429"/>
      <c r="O219" s="361"/>
      <c r="P219" s="361"/>
      <c r="Q219" s="361"/>
      <c r="R219" s="361"/>
      <c r="S219" s="361"/>
      <c r="T219" s="269">
        <f t="shared" si="8"/>
        <v>0</v>
      </c>
      <c r="U219" s="269">
        <f t="shared" si="10"/>
        <v>0</v>
      </c>
    </row>
    <row r="220" spans="1:21">
      <c r="A220" s="361"/>
      <c r="B220" s="361" t="s">
        <v>514</v>
      </c>
      <c r="C220" s="361" t="s">
        <v>629</v>
      </c>
      <c r="D220" s="361" t="s">
        <v>629</v>
      </c>
      <c r="E220" s="361" t="s">
        <v>629</v>
      </c>
      <c r="F220" s="361">
        <v>1</v>
      </c>
      <c r="G220" s="361" t="s">
        <v>94</v>
      </c>
      <c r="H220" s="361"/>
      <c r="I220" s="361"/>
      <c r="J220" s="361"/>
      <c r="K220" s="361"/>
      <c r="L220" s="361"/>
      <c r="M220" s="361"/>
      <c r="N220" s="429"/>
      <c r="O220" s="361"/>
      <c r="P220" s="361"/>
      <c r="Q220" s="361"/>
      <c r="R220" s="361"/>
      <c r="S220" s="361" t="s">
        <v>629</v>
      </c>
      <c r="T220" s="269">
        <f t="shared" si="8"/>
        <v>0</v>
      </c>
      <c r="U220" s="269">
        <f t="shared" si="10"/>
        <v>0</v>
      </c>
    </row>
    <row r="221" spans="1:21">
      <c r="A221" s="361"/>
      <c r="B221" s="361" t="s">
        <v>515</v>
      </c>
      <c r="C221" s="361">
        <v>90</v>
      </c>
      <c r="D221" s="433">
        <v>20648</v>
      </c>
      <c r="E221" s="433">
        <v>20738</v>
      </c>
      <c r="F221" s="361">
        <v>1</v>
      </c>
      <c r="G221" s="361" t="s">
        <v>516</v>
      </c>
      <c r="H221" s="361"/>
      <c r="I221" s="433">
        <v>28764</v>
      </c>
      <c r="J221" s="361">
        <v>1</v>
      </c>
      <c r="K221" s="433">
        <v>4109</v>
      </c>
      <c r="L221" s="361"/>
      <c r="M221" s="361"/>
      <c r="N221" s="429"/>
      <c r="O221" s="361">
        <v>330</v>
      </c>
      <c r="P221" s="434">
        <v>8.0299999999999996E-2</v>
      </c>
      <c r="Q221" s="361"/>
      <c r="R221" s="361" t="s">
        <v>94</v>
      </c>
      <c r="S221" s="361" t="s">
        <v>629</v>
      </c>
      <c r="T221" s="269">
        <f t="shared" si="8"/>
        <v>0</v>
      </c>
      <c r="U221" s="269">
        <f t="shared" si="10"/>
        <v>0</v>
      </c>
    </row>
    <row r="222" spans="1:21">
      <c r="A222" s="361"/>
      <c r="B222" s="361" t="s">
        <v>517</v>
      </c>
      <c r="C222" s="361" t="s">
        <v>629</v>
      </c>
      <c r="D222" s="361" t="s">
        <v>629</v>
      </c>
      <c r="E222" s="361" t="s">
        <v>629</v>
      </c>
      <c r="F222" s="361">
        <v>0</v>
      </c>
      <c r="G222" s="361"/>
      <c r="H222" s="361"/>
      <c r="I222" s="361"/>
      <c r="J222" s="361"/>
      <c r="K222" s="361"/>
      <c r="L222" s="361"/>
      <c r="M222" s="361"/>
      <c r="N222" s="361"/>
      <c r="O222" s="361"/>
      <c r="P222" s="361"/>
      <c r="Q222" s="361"/>
      <c r="R222" s="361"/>
      <c r="S222" s="361"/>
      <c r="T222" s="269">
        <f t="shared" si="8"/>
        <v>0</v>
      </c>
      <c r="U222" s="269">
        <f t="shared" si="9"/>
        <v>0</v>
      </c>
    </row>
    <row r="223" spans="1:21">
      <c r="A223" s="361"/>
      <c r="B223" s="361" t="s">
        <v>518</v>
      </c>
      <c r="C223" s="361" t="s">
        <v>629</v>
      </c>
      <c r="D223" s="361">
        <v>3</v>
      </c>
      <c r="E223" s="361">
        <v>3</v>
      </c>
      <c r="F223" s="361">
        <v>0</v>
      </c>
      <c r="G223" s="361"/>
      <c r="H223" s="361"/>
      <c r="I223" s="361"/>
      <c r="J223" s="361"/>
      <c r="K223" s="361"/>
      <c r="L223" s="361"/>
      <c r="M223" s="361"/>
      <c r="N223" s="361"/>
      <c r="O223" s="361"/>
      <c r="P223" s="361"/>
      <c r="Q223" s="361"/>
      <c r="R223" s="361"/>
      <c r="S223" s="361"/>
      <c r="T223" s="269">
        <f t="shared" si="8"/>
        <v>0</v>
      </c>
      <c r="U223" s="269">
        <f t="shared" si="9"/>
        <v>0</v>
      </c>
    </row>
    <row r="224" spans="1:21">
      <c r="A224" s="361"/>
      <c r="B224" s="361" t="s">
        <v>519</v>
      </c>
      <c r="C224" s="361" t="s">
        <v>629</v>
      </c>
      <c r="D224" s="361" t="s">
        <v>629</v>
      </c>
      <c r="E224" s="361" t="s">
        <v>629</v>
      </c>
      <c r="F224" s="361">
        <v>0</v>
      </c>
      <c r="G224" s="361"/>
      <c r="H224" s="361"/>
      <c r="I224" s="361"/>
      <c r="J224" s="361"/>
      <c r="K224" s="361"/>
      <c r="L224" s="361"/>
      <c r="M224" s="361"/>
      <c r="N224" s="361"/>
      <c r="O224" s="361"/>
      <c r="P224" s="361"/>
      <c r="Q224" s="361"/>
      <c r="R224" s="361"/>
      <c r="S224" s="361"/>
      <c r="T224" s="269">
        <f t="shared" si="8"/>
        <v>0</v>
      </c>
      <c r="U224" s="269">
        <f t="shared" si="9"/>
        <v>0</v>
      </c>
    </row>
    <row r="225" spans="1:21">
      <c r="A225" s="361"/>
      <c r="B225" s="361" t="s">
        <v>520</v>
      </c>
      <c r="C225" s="361">
        <v>90</v>
      </c>
      <c r="D225" s="433">
        <v>23212</v>
      </c>
      <c r="E225" s="433">
        <v>23303</v>
      </c>
      <c r="F225" s="361">
        <v>0</v>
      </c>
      <c r="G225" s="361"/>
      <c r="H225" s="361"/>
      <c r="I225" s="361"/>
      <c r="J225" s="361"/>
      <c r="K225" s="361"/>
      <c r="L225" s="361"/>
      <c r="M225" s="361"/>
      <c r="N225" s="361"/>
      <c r="O225" s="361"/>
      <c r="P225" s="361"/>
      <c r="Q225" s="361"/>
      <c r="R225" s="361"/>
      <c r="S225" s="361"/>
      <c r="T225" s="269">
        <f t="shared" si="8"/>
        <v>0</v>
      </c>
      <c r="U225" s="269">
        <f t="shared" si="9"/>
        <v>0</v>
      </c>
    </row>
    <row r="226" spans="1:21">
      <c r="A226" s="361"/>
      <c r="B226" s="361" t="s">
        <v>521</v>
      </c>
      <c r="C226" s="433">
        <v>3647</v>
      </c>
      <c r="D226" s="433">
        <v>48488</v>
      </c>
      <c r="E226" s="433">
        <v>52135</v>
      </c>
      <c r="F226" s="361">
        <v>0</v>
      </c>
      <c r="G226" s="361"/>
      <c r="H226" s="361"/>
      <c r="I226" s="361"/>
      <c r="J226" s="361"/>
      <c r="K226" s="361"/>
      <c r="L226" s="361"/>
      <c r="M226" s="361"/>
      <c r="N226" s="361"/>
      <c r="O226" s="361"/>
      <c r="P226" s="361"/>
      <c r="Q226" s="361"/>
      <c r="R226" s="361"/>
      <c r="S226" s="361"/>
      <c r="T226" s="269">
        <f t="shared" si="8"/>
        <v>0</v>
      </c>
      <c r="U226" s="269">
        <f t="shared" si="9"/>
        <v>0</v>
      </c>
    </row>
    <row r="227" spans="1:21">
      <c r="A227" s="361"/>
      <c r="B227" s="361" t="s">
        <v>522</v>
      </c>
      <c r="C227" s="361" t="s">
        <v>629</v>
      </c>
      <c r="D227" s="361" t="s">
        <v>629</v>
      </c>
      <c r="E227" s="361" t="s">
        <v>629</v>
      </c>
      <c r="F227" s="361">
        <v>0</v>
      </c>
      <c r="G227" s="361"/>
      <c r="H227" s="361"/>
      <c r="I227" s="361"/>
      <c r="J227" s="361"/>
      <c r="K227" s="361"/>
      <c r="L227" s="361"/>
      <c r="M227" s="361"/>
      <c r="N227" s="361"/>
      <c r="O227" s="361"/>
      <c r="P227" s="361"/>
      <c r="Q227" s="361"/>
      <c r="R227" s="361"/>
      <c r="S227" s="361"/>
      <c r="T227" s="269">
        <f t="shared" si="8"/>
        <v>0</v>
      </c>
      <c r="U227" s="269">
        <f t="shared" si="9"/>
        <v>0</v>
      </c>
    </row>
    <row r="228" spans="1:21">
      <c r="A228" s="361"/>
      <c r="B228" s="361" t="s">
        <v>523</v>
      </c>
      <c r="C228" s="361" t="s">
        <v>629</v>
      </c>
      <c r="D228" s="361" t="s">
        <v>629</v>
      </c>
      <c r="E228" s="361" t="s">
        <v>629</v>
      </c>
      <c r="F228" s="361">
        <v>0</v>
      </c>
      <c r="G228" s="361"/>
      <c r="H228" s="361"/>
      <c r="I228" s="361"/>
      <c r="J228" s="361"/>
      <c r="K228" s="361"/>
      <c r="L228" s="361"/>
      <c r="M228" s="361"/>
      <c r="N228" s="361"/>
      <c r="O228" s="361"/>
      <c r="P228" s="361"/>
      <c r="Q228" s="361"/>
      <c r="R228" s="361"/>
      <c r="S228" s="361"/>
      <c r="T228" s="269">
        <f t="shared" si="8"/>
        <v>0</v>
      </c>
      <c r="U228" s="269">
        <f t="shared" si="9"/>
        <v>0</v>
      </c>
    </row>
    <row r="229" spans="1:21">
      <c r="A229" s="361"/>
      <c r="B229" s="361" t="s">
        <v>524</v>
      </c>
      <c r="C229" s="361" t="s">
        <v>629</v>
      </c>
      <c r="D229" s="361" t="s">
        <v>629</v>
      </c>
      <c r="E229" s="361" t="s">
        <v>629</v>
      </c>
      <c r="F229" s="361">
        <v>0</v>
      </c>
      <c r="G229" s="361"/>
      <c r="H229" s="361"/>
      <c r="I229" s="361"/>
      <c r="J229" s="361"/>
      <c r="K229" s="361"/>
      <c r="L229" s="361"/>
      <c r="M229" s="361"/>
      <c r="N229" s="361"/>
      <c r="O229" s="361"/>
      <c r="P229" s="361"/>
      <c r="Q229" s="361"/>
      <c r="R229" s="361"/>
      <c r="S229" s="361"/>
      <c r="T229" s="269">
        <f t="shared" si="8"/>
        <v>0</v>
      </c>
      <c r="U229" s="269">
        <f t="shared" si="9"/>
        <v>0</v>
      </c>
    </row>
    <row r="230" spans="1:21">
      <c r="A230" s="361"/>
      <c r="B230" s="361" t="s">
        <v>525</v>
      </c>
      <c r="C230" s="361">
        <v>60</v>
      </c>
      <c r="D230" s="361">
        <v>3</v>
      </c>
      <c r="E230" s="361">
        <v>64</v>
      </c>
      <c r="F230" s="361">
        <v>0</v>
      </c>
      <c r="G230" s="361"/>
      <c r="H230" s="361"/>
      <c r="I230" s="361"/>
      <c r="J230" s="361"/>
      <c r="K230" s="361"/>
      <c r="L230" s="361"/>
      <c r="M230" s="361"/>
      <c r="N230" s="361"/>
      <c r="O230" s="361"/>
      <c r="P230" s="361"/>
      <c r="Q230" s="361"/>
      <c r="R230" s="361"/>
      <c r="S230" s="361"/>
      <c r="T230" s="269">
        <f t="shared" si="8"/>
        <v>0</v>
      </c>
      <c r="U230" s="269">
        <f t="shared" si="9"/>
        <v>0</v>
      </c>
    </row>
    <row r="231" spans="1:21">
      <c r="A231" s="361"/>
      <c r="B231" s="361" t="s">
        <v>526</v>
      </c>
      <c r="C231" s="361" t="s">
        <v>629</v>
      </c>
      <c r="D231" s="361" t="s">
        <v>629</v>
      </c>
      <c r="E231" s="361" t="s">
        <v>629</v>
      </c>
      <c r="F231" s="361">
        <v>0</v>
      </c>
      <c r="G231" s="361"/>
      <c r="H231" s="361"/>
      <c r="I231" s="361"/>
      <c r="J231" s="361"/>
      <c r="K231" s="361"/>
      <c r="L231" s="361"/>
      <c r="M231" s="361"/>
      <c r="N231" s="361"/>
      <c r="O231" s="361"/>
      <c r="P231" s="361"/>
      <c r="Q231" s="361"/>
      <c r="R231" s="361"/>
      <c r="S231" s="361"/>
      <c r="T231" s="269">
        <f t="shared" si="8"/>
        <v>0</v>
      </c>
      <c r="U231" s="269">
        <f t="shared" si="9"/>
        <v>0</v>
      </c>
    </row>
    <row r="232" spans="1:21">
      <c r="A232" s="361"/>
      <c r="B232" s="361" t="s">
        <v>527</v>
      </c>
      <c r="C232" s="361" t="s">
        <v>629</v>
      </c>
      <c r="D232" s="361" t="s">
        <v>629</v>
      </c>
      <c r="E232" s="361" t="s">
        <v>629</v>
      </c>
      <c r="F232" s="361">
        <v>0</v>
      </c>
      <c r="G232" s="361"/>
      <c r="H232" s="361"/>
      <c r="I232" s="361"/>
      <c r="J232" s="361"/>
      <c r="K232" s="361"/>
      <c r="L232" s="361"/>
      <c r="M232" s="361"/>
      <c r="N232" s="361"/>
      <c r="O232" s="361"/>
      <c r="P232" s="361"/>
      <c r="Q232" s="361"/>
      <c r="R232" s="361"/>
      <c r="S232" s="361"/>
      <c r="T232" s="269">
        <f t="shared" si="8"/>
        <v>0</v>
      </c>
      <c r="U232" s="269">
        <f t="shared" si="9"/>
        <v>0</v>
      </c>
    </row>
    <row r="233" spans="1:21">
      <c r="A233" s="361"/>
      <c r="B233" s="361" t="s">
        <v>528</v>
      </c>
      <c r="C233" s="361" t="s">
        <v>629</v>
      </c>
      <c r="D233" s="361" t="s">
        <v>629</v>
      </c>
      <c r="E233" s="361" t="s">
        <v>629</v>
      </c>
      <c r="F233" s="361">
        <v>0</v>
      </c>
      <c r="G233" s="361"/>
      <c r="H233" s="361"/>
      <c r="I233" s="361"/>
      <c r="J233" s="361"/>
      <c r="K233" s="361"/>
      <c r="L233" s="361"/>
      <c r="M233" s="361"/>
      <c r="N233" s="361"/>
      <c r="O233" s="361"/>
      <c r="P233" s="361"/>
      <c r="Q233" s="361"/>
      <c r="R233" s="361"/>
      <c r="S233" s="361"/>
      <c r="T233" s="269">
        <f t="shared" si="8"/>
        <v>0</v>
      </c>
      <c r="U233" s="269">
        <f t="shared" si="9"/>
        <v>0</v>
      </c>
    </row>
    <row r="234" spans="1:21">
      <c r="A234" s="361"/>
      <c r="B234" s="361" t="s">
        <v>529</v>
      </c>
      <c r="C234" s="361" t="s">
        <v>629</v>
      </c>
      <c r="D234" s="361" t="s">
        <v>629</v>
      </c>
      <c r="E234" s="361" t="s">
        <v>629</v>
      </c>
      <c r="F234" s="361">
        <v>0</v>
      </c>
      <c r="G234" s="361"/>
      <c r="H234" s="361"/>
      <c r="I234" s="361"/>
      <c r="J234" s="361"/>
      <c r="K234" s="361"/>
      <c r="L234" s="361"/>
      <c r="M234" s="361"/>
      <c r="N234" s="361"/>
      <c r="O234" s="361"/>
      <c r="P234" s="361"/>
      <c r="Q234" s="361"/>
      <c r="R234" s="361"/>
      <c r="S234" s="361"/>
      <c r="T234" s="269">
        <f t="shared" si="8"/>
        <v>0</v>
      </c>
      <c r="U234" s="269">
        <f t="shared" si="9"/>
        <v>0</v>
      </c>
    </row>
    <row r="235" spans="1:21">
      <c r="A235" s="361"/>
      <c r="B235" s="361" t="s">
        <v>530</v>
      </c>
      <c r="C235" s="433">
        <v>121908</v>
      </c>
      <c r="D235" s="433">
        <v>24739</v>
      </c>
      <c r="E235" s="433">
        <v>146647</v>
      </c>
      <c r="F235" s="361">
        <v>0</v>
      </c>
      <c r="G235" s="361"/>
      <c r="H235" s="361"/>
      <c r="I235" s="361"/>
      <c r="J235" s="361"/>
      <c r="K235" s="361"/>
      <c r="L235" s="361"/>
      <c r="M235" s="361"/>
      <c r="N235" s="361"/>
      <c r="O235" s="361"/>
      <c r="P235" s="361"/>
      <c r="Q235" s="361"/>
      <c r="R235" s="361"/>
      <c r="S235" s="361"/>
      <c r="T235" s="269">
        <f t="shared" si="8"/>
        <v>0</v>
      </c>
      <c r="U235" s="269">
        <f t="shared" si="9"/>
        <v>0</v>
      </c>
    </row>
    <row r="236" spans="1:21">
      <c r="A236" s="361"/>
      <c r="B236" s="361" t="s">
        <v>479</v>
      </c>
      <c r="C236" s="433">
        <v>183463</v>
      </c>
      <c r="D236" s="433">
        <v>152282</v>
      </c>
      <c r="E236" s="433">
        <v>335745</v>
      </c>
      <c r="F236" s="361">
        <v>0</v>
      </c>
      <c r="G236" s="361"/>
      <c r="H236" s="361"/>
      <c r="I236" s="361"/>
      <c r="J236" s="361"/>
      <c r="K236" s="361"/>
      <c r="L236" s="361"/>
      <c r="M236" s="361"/>
      <c r="N236" s="361"/>
      <c r="O236" s="361"/>
      <c r="P236" s="361"/>
      <c r="Q236" s="361"/>
      <c r="R236" s="361"/>
      <c r="S236" s="361"/>
      <c r="T236" s="269">
        <f t="shared" si="8"/>
        <v>0</v>
      </c>
      <c r="U236" s="269">
        <f t="shared" si="9"/>
        <v>0</v>
      </c>
    </row>
    <row r="237" spans="1:21">
      <c r="A237" s="361"/>
      <c r="B237" s="361" t="s">
        <v>531</v>
      </c>
      <c r="C237" s="433">
        <v>175850</v>
      </c>
      <c r="D237" s="433">
        <v>76092</v>
      </c>
      <c r="E237" s="433">
        <v>251941</v>
      </c>
      <c r="F237" s="361">
        <v>0</v>
      </c>
      <c r="G237" s="361"/>
      <c r="H237" s="361"/>
      <c r="I237" s="361"/>
      <c r="J237" s="361"/>
      <c r="K237" s="361"/>
      <c r="L237" s="361"/>
      <c r="M237" s="361"/>
      <c r="N237" s="361"/>
      <c r="O237" s="361"/>
      <c r="P237" s="361"/>
      <c r="Q237" s="361"/>
      <c r="R237" s="361"/>
      <c r="S237" s="361"/>
      <c r="T237" s="269">
        <f t="shared" si="8"/>
        <v>0</v>
      </c>
      <c r="U237" s="269">
        <f t="shared" si="9"/>
        <v>0</v>
      </c>
    </row>
    <row r="238" spans="1:21">
      <c r="A238" s="361"/>
      <c r="B238" s="361" t="s">
        <v>401</v>
      </c>
      <c r="C238" s="433">
        <v>449207</v>
      </c>
      <c r="D238" s="433">
        <v>549785</v>
      </c>
      <c r="E238" s="433">
        <v>998991</v>
      </c>
      <c r="F238" s="361">
        <v>0</v>
      </c>
      <c r="G238" s="361"/>
      <c r="H238" s="361"/>
      <c r="I238" s="361"/>
      <c r="J238" s="361"/>
      <c r="K238" s="361"/>
      <c r="L238" s="361"/>
      <c r="M238" s="361"/>
      <c r="N238" s="361"/>
      <c r="O238" s="361"/>
      <c r="P238" s="361"/>
      <c r="Q238" s="361"/>
      <c r="R238" s="361"/>
      <c r="S238" s="361"/>
      <c r="T238" s="269">
        <f t="shared" si="8"/>
        <v>0</v>
      </c>
      <c r="U238" s="269">
        <f t="shared" si="9"/>
        <v>0</v>
      </c>
    </row>
    <row r="239" spans="1:21">
      <c r="A239" s="361"/>
      <c r="B239" s="361" t="s">
        <v>532</v>
      </c>
      <c r="C239" s="433">
        <v>28973</v>
      </c>
      <c r="D239" s="433">
        <v>12098</v>
      </c>
      <c r="E239" s="433">
        <v>41071</v>
      </c>
      <c r="F239" s="361">
        <v>0</v>
      </c>
      <c r="G239" s="361"/>
      <c r="H239" s="361"/>
      <c r="I239" s="361"/>
      <c r="J239" s="361"/>
      <c r="K239" s="361"/>
      <c r="L239" s="361"/>
      <c r="M239" s="361"/>
      <c r="N239" s="361"/>
      <c r="O239" s="361"/>
      <c r="P239" s="361"/>
      <c r="Q239" s="361"/>
      <c r="R239" s="361"/>
      <c r="S239" s="361"/>
      <c r="T239" s="269">
        <f t="shared" si="8"/>
        <v>0</v>
      </c>
      <c r="U239" s="269">
        <f t="shared" si="9"/>
        <v>0</v>
      </c>
    </row>
    <row r="240" spans="1:21">
      <c r="A240" s="361"/>
      <c r="B240" s="361" t="s">
        <v>533</v>
      </c>
      <c r="C240" s="433">
        <v>110407</v>
      </c>
      <c r="D240" s="433">
        <v>14885</v>
      </c>
      <c r="E240" s="433">
        <v>125292</v>
      </c>
      <c r="F240" s="361">
        <v>0</v>
      </c>
      <c r="G240" s="361"/>
      <c r="H240" s="361"/>
      <c r="I240" s="361"/>
      <c r="J240" s="361"/>
      <c r="K240" s="361"/>
      <c r="L240" s="361"/>
      <c r="M240" s="361"/>
      <c r="N240" s="361"/>
      <c r="O240" s="361"/>
      <c r="P240" s="361"/>
      <c r="Q240" s="361"/>
      <c r="R240" s="361"/>
      <c r="S240" s="361"/>
      <c r="T240" s="269">
        <f t="shared" si="8"/>
        <v>0</v>
      </c>
      <c r="U240" s="269">
        <f t="shared" si="9"/>
        <v>0</v>
      </c>
    </row>
    <row r="241" spans="1:21">
      <c r="A241" s="361"/>
      <c r="B241" s="361" t="s">
        <v>534</v>
      </c>
      <c r="C241" s="361" t="s">
        <v>629</v>
      </c>
      <c r="D241" s="361" t="s">
        <v>629</v>
      </c>
      <c r="E241" s="361" t="s">
        <v>629</v>
      </c>
      <c r="F241" s="361">
        <v>0</v>
      </c>
      <c r="G241" s="361"/>
      <c r="H241" s="361"/>
      <c r="I241" s="361"/>
      <c r="J241" s="361"/>
      <c r="K241" s="361"/>
      <c r="L241" s="361"/>
      <c r="M241" s="361"/>
      <c r="N241" s="361"/>
      <c r="O241" s="361"/>
      <c r="P241" s="361"/>
      <c r="Q241" s="361"/>
      <c r="R241" s="361"/>
      <c r="S241" s="361"/>
      <c r="T241" s="269">
        <f t="shared" si="8"/>
        <v>0</v>
      </c>
      <c r="U241" s="269">
        <f t="shared" si="9"/>
        <v>0</v>
      </c>
    </row>
    <row r="242" spans="1:21">
      <c r="A242" s="361"/>
      <c r="B242" s="361" t="s">
        <v>535</v>
      </c>
      <c r="C242" s="361" t="s">
        <v>629</v>
      </c>
      <c r="D242" s="361" t="s">
        <v>629</v>
      </c>
      <c r="E242" s="361" t="s">
        <v>629</v>
      </c>
      <c r="F242" s="361">
        <v>0</v>
      </c>
      <c r="G242" s="361"/>
      <c r="H242" s="361"/>
      <c r="I242" s="361"/>
      <c r="J242" s="361"/>
      <c r="K242" s="361"/>
      <c r="L242" s="361"/>
      <c r="M242" s="361"/>
      <c r="N242" s="361"/>
      <c r="O242" s="361"/>
      <c r="P242" s="361"/>
      <c r="Q242" s="361"/>
      <c r="R242" s="361"/>
      <c r="S242" s="361"/>
      <c r="T242" s="269">
        <f t="shared" si="8"/>
        <v>0</v>
      </c>
      <c r="U242" s="269">
        <f t="shared" si="9"/>
        <v>0</v>
      </c>
    </row>
    <row r="243" spans="1:21">
      <c r="A243" s="361"/>
      <c r="B243" s="361" t="s">
        <v>536</v>
      </c>
      <c r="C243" s="433">
        <v>18154</v>
      </c>
      <c r="D243" s="433">
        <v>19395</v>
      </c>
      <c r="E243" s="433">
        <v>37550</v>
      </c>
      <c r="F243" s="361">
        <v>0</v>
      </c>
      <c r="G243" s="361"/>
      <c r="H243" s="361"/>
      <c r="I243" s="361"/>
      <c r="J243" s="361"/>
      <c r="K243" s="361"/>
      <c r="L243" s="361"/>
      <c r="M243" s="361"/>
      <c r="N243" s="361"/>
      <c r="O243" s="361"/>
      <c r="P243" s="361"/>
      <c r="Q243" s="361"/>
      <c r="R243" s="361"/>
      <c r="S243" s="361"/>
      <c r="T243" s="269">
        <f t="shared" si="8"/>
        <v>0</v>
      </c>
      <c r="U243" s="269">
        <f t="shared" si="9"/>
        <v>0</v>
      </c>
    </row>
    <row r="244" spans="1:21">
      <c r="A244" s="361"/>
      <c r="B244" s="361" t="s">
        <v>537</v>
      </c>
      <c r="C244" s="361" t="s">
        <v>629</v>
      </c>
      <c r="D244" s="361" t="s">
        <v>629</v>
      </c>
      <c r="E244" s="361" t="s">
        <v>629</v>
      </c>
      <c r="F244" s="361">
        <v>0</v>
      </c>
      <c r="G244" s="361"/>
      <c r="H244" s="361"/>
      <c r="I244" s="361"/>
      <c r="J244" s="361"/>
      <c r="K244" s="361"/>
      <c r="L244" s="361"/>
      <c r="M244" s="361"/>
      <c r="N244" s="361"/>
      <c r="O244" s="361"/>
      <c r="P244" s="361"/>
      <c r="Q244" s="361"/>
      <c r="R244" s="361"/>
      <c r="S244" s="361"/>
      <c r="T244" s="269">
        <f t="shared" si="8"/>
        <v>0</v>
      </c>
      <c r="U244" s="269">
        <f t="shared" si="9"/>
        <v>0</v>
      </c>
    </row>
    <row r="245" spans="1:21">
      <c r="A245" s="361"/>
      <c r="B245" s="361" t="s">
        <v>538</v>
      </c>
      <c r="C245" s="433">
        <v>176305</v>
      </c>
      <c r="D245" s="433">
        <v>44572</v>
      </c>
      <c r="E245" s="433">
        <v>220877</v>
      </c>
      <c r="F245" s="361">
        <v>0</v>
      </c>
      <c r="G245" s="361"/>
      <c r="H245" s="361"/>
      <c r="I245" s="361"/>
      <c r="J245" s="361"/>
      <c r="K245" s="361"/>
      <c r="L245" s="361"/>
      <c r="M245" s="361"/>
      <c r="N245" s="361"/>
      <c r="O245" s="361"/>
      <c r="P245" s="361"/>
      <c r="Q245" s="361"/>
      <c r="R245" s="361"/>
      <c r="S245" s="361"/>
      <c r="T245" s="269">
        <f t="shared" si="8"/>
        <v>0</v>
      </c>
      <c r="U245" s="269">
        <f t="shared" si="9"/>
        <v>0</v>
      </c>
    </row>
    <row r="246" spans="1:21">
      <c r="A246" s="361"/>
      <c r="B246" s="361" t="s">
        <v>539</v>
      </c>
      <c r="C246" s="361" t="s">
        <v>629</v>
      </c>
      <c r="D246" s="361" t="s">
        <v>629</v>
      </c>
      <c r="E246" s="361" t="s">
        <v>629</v>
      </c>
      <c r="F246" s="361">
        <v>0</v>
      </c>
      <c r="G246" s="361"/>
      <c r="H246" s="361"/>
      <c r="I246" s="361"/>
      <c r="J246" s="361"/>
      <c r="K246" s="361"/>
      <c r="L246" s="361"/>
      <c r="M246" s="361"/>
      <c r="N246" s="361"/>
      <c r="O246" s="361"/>
      <c r="P246" s="361"/>
      <c r="Q246" s="361"/>
      <c r="R246" s="361"/>
      <c r="S246" s="361"/>
      <c r="T246" s="269">
        <f t="shared" si="8"/>
        <v>0</v>
      </c>
      <c r="U246" s="269">
        <f t="shared" si="9"/>
        <v>0</v>
      </c>
    </row>
    <row r="247" spans="1:21">
      <c r="A247" s="361"/>
      <c r="B247" s="361" t="s">
        <v>540</v>
      </c>
      <c r="C247" s="361" t="s">
        <v>629</v>
      </c>
      <c r="D247" s="361" t="s">
        <v>629</v>
      </c>
      <c r="E247" s="361" t="s">
        <v>629</v>
      </c>
      <c r="F247" s="361">
        <v>0</v>
      </c>
      <c r="G247" s="361"/>
      <c r="H247" s="361"/>
      <c r="I247" s="361"/>
      <c r="J247" s="361"/>
      <c r="K247" s="361"/>
      <c r="L247" s="361"/>
      <c r="M247" s="361"/>
      <c r="N247" s="361"/>
      <c r="O247" s="361"/>
      <c r="P247" s="361"/>
      <c r="Q247" s="361"/>
      <c r="R247" s="361"/>
      <c r="S247" s="361"/>
      <c r="T247" s="269">
        <f t="shared" si="8"/>
        <v>0</v>
      </c>
      <c r="U247" s="269">
        <f t="shared" si="9"/>
        <v>0</v>
      </c>
    </row>
    <row r="248" spans="1:21">
      <c r="A248" s="361"/>
      <c r="B248" s="361" t="s">
        <v>541</v>
      </c>
      <c r="C248" s="361">
        <v>60</v>
      </c>
      <c r="D248" s="361">
        <v>13</v>
      </c>
      <c r="E248" s="361">
        <v>74</v>
      </c>
      <c r="F248" s="361">
        <v>0</v>
      </c>
      <c r="G248" s="361"/>
      <c r="H248" s="361"/>
      <c r="I248" s="361"/>
      <c r="J248" s="361"/>
      <c r="K248" s="361"/>
      <c r="L248" s="361"/>
      <c r="M248" s="361"/>
      <c r="N248" s="361"/>
      <c r="O248" s="361"/>
      <c r="P248" s="361"/>
      <c r="Q248" s="361"/>
      <c r="R248" s="361"/>
      <c r="S248" s="361"/>
      <c r="T248" s="269">
        <f t="shared" si="8"/>
        <v>0</v>
      </c>
      <c r="U248" s="269">
        <f t="shared" si="9"/>
        <v>0</v>
      </c>
    </row>
    <row r="249" spans="1:21">
      <c r="A249" s="361"/>
      <c r="B249" s="361" t="s">
        <v>542</v>
      </c>
      <c r="C249" s="361">
        <v>60</v>
      </c>
      <c r="D249" s="361">
        <v>8</v>
      </c>
      <c r="E249" s="361">
        <v>69</v>
      </c>
      <c r="F249" s="361">
        <v>0</v>
      </c>
      <c r="G249" s="361"/>
      <c r="H249" s="361"/>
      <c r="I249" s="361"/>
      <c r="J249" s="361"/>
      <c r="K249" s="361"/>
      <c r="L249" s="361"/>
      <c r="M249" s="361"/>
      <c r="N249" s="361"/>
      <c r="O249" s="361"/>
      <c r="P249" s="361"/>
      <c r="Q249" s="361"/>
      <c r="R249" s="361"/>
      <c r="S249" s="361"/>
      <c r="T249" s="269">
        <f t="shared" si="8"/>
        <v>0</v>
      </c>
      <c r="U249" s="269">
        <f t="shared" si="9"/>
        <v>0</v>
      </c>
    </row>
    <row r="250" spans="1:21">
      <c r="A250" s="361"/>
      <c r="B250" s="361" t="s">
        <v>543</v>
      </c>
      <c r="C250" s="433">
        <v>26759</v>
      </c>
      <c r="D250" s="433">
        <v>8356</v>
      </c>
      <c r="E250" s="433">
        <v>35115</v>
      </c>
      <c r="F250" s="361">
        <v>0</v>
      </c>
      <c r="G250" s="361"/>
      <c r="H250" s="361"/>
      <c r="I250" s="361"/>
      <c r="J250" s="361"/>
      <c r="K250" s="361"/>
      <c r="L250" s="361"/>
      <c r="M250" s="361"/>
      <c r="N250" s="361"/>
      <c r="O250" s="361"/>
      <c r="P250" s="361"/>
      <c r="Q250" s="361"/>
      <c r="R250" s="361"/>
      <c r="S250" s="361"/>
      <c r="T250" s="269">
        <f t="shared" si="8"/>
        <v>0</v>
      </c>
      <c r="U250" s="269">
        <f t="shared" si="9"/>
        <v>0</v>
      </c>
    </row>
    <row r="251" spans="1:21">
      <c r="A251" s="361"/>
      <c r="B251" s="361" t="s">
        <v>544</v>
      </c>
      <c r="C251" s="361" t="s">
        <v>629</v>
      </c>
      <c r="D251" s="361" t="s">
        <v>629</v>
      </c>
      <c r="E251" s="361" t="s">
        <v>629</v>
      </c>
      <c r="F251" s="361">
        <v>0</v>
      </c>
      <c r="G251" s="361"/>
      <c r="H251" s="361"/>
      <c r="I251" s="361"/>
      <c r="J251" s="361"/>
      <c r="K251" s="361"/>
      <c r="L251" s="361"/>
      <c r="M251" s="361"/>
      <c r="N251" s="361"/>
      <c r="O251" s="361"/>
      <c r="P251" s="361"/>
      <c r="Q251" s="361"/>
      <c r="R251" s="361"/>
      <c r="S251" s="361"/>
      <c r="T251" s="269">
        <f t="shared" si="8"/>
        <v>0</v>
      </c>
      <c r="U251" s="269">
        <f t="shared" si="9"/>
        <v>0</v>
      </c>
    </row>
    <row r="252" spans="1:21">
      <c r="A252" s="361"/>
      <c r="B252" s="361"/>
      <c r="C252" s="361"/>
      <c r="D252" s="361"/>
      <c r="E252" s="361"/>
      <c r="F252" s="361">
        <v>0</v>
      </c>
      <c r="G252" s="361"/>
      <c r="H252" s="361"/>
      <c r="I252" s="361"/>
      <c r="J252" s="361"/>
      <c r="K252" s="361"/>
      <c r="L252" s="361"/>
      <c r="M252" s="361"/>
      <c r="N252" s="361"/>
      <c r="O252" s="361"/>
      <c r="P252" s="361"/>
      <c r="Q252" s="361"/>
      <c r="R252" s="361"/>
      <c r="S252" s="361"/>
      <c r="T252" s="269">
        <f t="shared" si="8"/>
        <v>0</v>
      </c>
      <c r="U252" s="269">
        <f t="shared" si="9"/>
        <v>0</v>
      </c>
    </row>
    <row r="253" spans="1:21">
      <c r="A253" s="361"/>
      <c r="B253" s="361" t="s">
        <v>302</v>
      </c>
      <c r="C253" s="361">
        <v>0</v>
      </c>
      <c r="D253" s="361"/>
      <c r="E253" s="361"/>
      <c r="F253" s="361"/>
      <c r="G253" s="361"/>
      <c r="H253" s="361"/>
      <c r="I253" s="361"/>
      <c r="J253" s="361"/>
      <c r="K253" s="361"/>
      <c r="L253" s="361"/>
      <c r="M253" s="361"/>
      <c r="N253" s="361"/>
      <c r="O253" s="361"/>
      <c r="P253" s="361"/>
      <c r="Q253" s="361"/>
      <c r="R253" s="361"/>
      <c r="S253" s="429"/>
      <c r="T253" s="269">
        <f t="shared" si="8"/>
        <v>0</v>
      </c>
      <c r="U253" s="269">
        <f t="shared" si="9"/>
        <v>0</v>
      </c>
    </row>
    <row r="254" spans="1:21">
      <c r="A254" s="361"/>
      <c r="B254" s="361" t="s">
        <v>545</v>
      </c>
      <c r="C254" s="433">
        <v>162721</v>
      </c>
      <c r="D254" s="433">
        <v>218557</v>
      </c>
      <c r="E254" s="433">
        <v>381278</v>
      </c>
      <c r="F254" s="361">
        <v>0</v>
      </c>
      <c r="G254" s="361"/>
      <c r="H254" s="361"/>
      <c r="I254" s="361"/>
      <c r="J254" s="361"/>
      <c r="K254" s="361"/>
      <c r="L254" s="361"/>
      <c r="M254" s="361"/>
      <c r="N254" s="361"/>
      <c r="O254" s="361"/>
      <c r="P254" s="361"/>
      <c r="Q254" s="361"/>
      <c r="R254" s="361"/>
      <c r="S254" s="361"/>
      <c r="T254" s="269">
        <f t="shared" si="8"/>
        <v>0</v>
      </c>
      <c r="U254" s="269">
        <f t="shared" si="9"/>
        <v>0</v>
      </c>
    </row>
    <row r="255" spans="1:21">
      <c r="A255" s="361"/>
      <c r="B255" s="361" t="s">
        <v>546</v>
      </c>
      <c r="C255" s="433">
        <v>52516</v>
      </c>
      <c r="D255" s="433">
        <v>78415</v>
      </c>
      <c r="E255" s="433">
        <v>130931</v>
      </c>
      <c r="F255" s="361">
        <v>0</v>
      </c>
      <c r="G255" s="361"/>
      <c r="H255" s="361"/>
      <c r="I255" s="361"/>
      <c r="J255" s="361"/>
      <c r="K255" s="361"/>
      <c r="L255" s="361"/>
      <c r="M255" s="361"/>
      <c r="N255" s="361"/>
      <c r="O255" s="361"/>
      <c r="P255" s="361"/>
      <c r="Q255" s="361"/>
      <c r="R255" s="361"/>
      <c r="S255" s="361"/>
      <c r="T255" s="269">
        <f t="shared" si="8"/>
        <v>0</v>
      </c>
      <c r="U255" s="269">
        <f t="shared" si="9"/>
        <v>0</v>
      </c>
    </row>
    <row r="256" spans="1:21">
      <c r="A256" s="361"/>
      <c r="B256" s="361" t="s">
        <v>547</v>
      </c>
      <c r="C256" s="433">
        <v>50794</v>
      </c>
      <c r="D256" s="433">
        <v>53729</v>
      </c>
      <c r="E256" s="433">
        <v>104523</v>
      </c>
      <c r="F256" s="361">
        <v>0</v>
      </c>
      <c r="G256" s="361"/>
      <c r="H256" s="361"/>
      <c r="I256" s="361"/>
      <c r="J256" s="361"/>
      <c r="K256" s="361"/>
      <c r="L256" s="361"/>
      <c r="M256" s="361"/>
      <c r="N256" s="361"/>
      <c r="O256" s="361"/>
      <c r="P256" s="361"/>
      <c r="Q256" s="361"/>
      <c r="R256" s="361"/>
      <c r="S256" s="361"/>
      <c r="T256" s="269">
        <f t="shared" si="8"/>
        <v>0</v>
      </c>
      <c r="U256" s="269">
        <f t="shared" si="9"/>
        <v>0</v>
      </c>
    </row>
    <row r="257" spans="1:21">
      <c r="A257" s="361"/>
      <c r="B257" s="361"/>
      <c r="C257" s="361"/>
      <c r="D257" s="361"/>
      <c r="E257" s="361"/>
      <c r="F257" s="361">
        <v>0</v>
      </c>
      <c r="G257" s="361"/>
      <c r="H257" s="361"/>
      <c r="I257" s="361"/>
      <c r="J257" s="361"/>
      <c r="K257" s="361"/>
      <c r="L257" s="361"/>
      <c r="M257" s="361"/>
      <c r="N257" s="361"/>
      <c r="O257" s="361"/>
      <c r="P257" s="361"/>
      <c r="Q257" s="361"/>
      <c r="R257" s="361"/>
      <c r="S257" s="361"/>
      <c r="T257" s="269">
        <f t="shared" si="8"/>
        <v>0</v>
      </c>
      <c r="U257" s="269">
        <f t="shared" si="9"/>
        <v>0</v>
      </c>
    </row>
    <row r="258" spans="1:21">
      <c r="A258" s="361"/>
      <c r="B258" s="361" t="s">
        <v>212</v>
      </c>
      <c r="C258" s="361" t="s">
        <v>630</v>
      </c>
      <c r="D258" s="361" t="s">
        <v>630</v>
      </c>
      <c r="E258" s="361" t="s">
        <v>630</v>
      </c>
      <c r="F258" s="361">
        <v>0</v>
      </c>
      <c r="G258" s="361"/>
      <c r="H258" s="361"/>
      <c r="I258" s="361"/>
      <c r="J258" s="361"/>
      <c r="K258" s="361"/>
      <c r="L258" s="361"/>
      <c r="M258" s="361"/>
      <c r="N258" s="361"/>
      <c r="O258" s="361"/>
      <c r="P258" s="361"/>
      <c r="Q258" s="361"/>
      <c r="R258" s="361"/>
      <c r="S258" s="361"/>
      <c r="T258" s="269">
        <f t="shared" si="8"/>
        <v>0</v>
      </c>
      <c r="U258" s="269">
        <f t="shared" si="9"/>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9F05C-4295-436D-8233-EDCD6BF64751}">
  <sheetPr>
    <tabColor rgb="FF0070C0"/>
  </sheetPr>
  <dimension ref="A1:U89"/>
  <sheetViews>
    <sheetView zoomScale="60" zoomScaleNormal="60" workbookViewId="0"/>
  </sheetViews>
  <sheetFormatPr defaultColWidth="11" defaultRowHeight="14.25"/>
  <cols>
    <col min="1" max="1" width="11" style="405" customWidth="1"/>
    <col min="2" max="2" width="4.3984375" style="340" customWidth="1"/>
    <col min="3" max="3" width="36.73046875" style="340" customWidth="1"/>
    <col min="4" max="4" width="11.265625" style="340" bestFit="1" customWidth="1"/>
    <col min="5" max="5" width="10.73046875" style="340" bestFit="1" customWidth="1"/>
    <col min="6" max="6" width="11.1328125" style="340" bestFit="1" customWidth="1"/>
    <col min="7" max="7" width="11.86328125" style="340" bestFit="1" customWidth="1"/>
    <col min="8" max="8" width="12" style="340" bestFit="1" customWidth="1"/>
    <col min="9" max="9" width="12.86328125" style="340" bestFit="1" customWidth="1"/>
    <col min="10" max="10" width="18.265625" style="340" bestFit="1" customWidth="1"/>
    <col min="11" max="11" width="13.265625" style="340" bestFit="1" customWidth="1"/>
    <col min="12" max="12" width="18.73046875" style="340" bestFit="1" customWidth="1"/>
    <col min="13" max="13" width="11" style="340"/>
    <col min="14" max="15" width="11" style="405"/>
    <col min="16" max="16" width="35.3984375" style="405" bestFit="1" customWidth="1"/>
    <col min="17" max="17" width="11" style="340"/>
    <col min="18" max="18" width="34.86328125" style="405" customWidth="1"/>
    <col min="19" max="21" width="11" style="405"/>
    <col min="22" max="16384" width="11" style="340"/>
  </cols>
  <sheetData>
    <row r="1" spans="1:21">
      <c r="A1" s="429" t="s">
        <v>232</v>
      </c>
      <c r="B1" s="429"/>
      <c r="C1" s="429"/>
      <c r="D1" s="309" t="s">
        <v>186</v>
      </c>
      <c r="E1" s="429"/>
      <c r="F1" s="429"/>
      <c r="G1" s="429"/>
      <c r="H1" s="429"/>
      <c r="I1" s="429"/>
      <c r="J1" s="429"/>
      <c r="K1" s="429"/>
      <c r="L1" s="429"/>
      <c r="M1" s="429"/>
      <c r="N1" s="429"/>
      <c r="O1" s="429"/>
      <c r="P1" s="429"/>
      <c r="Q1" s="429"/>
      <c r="R1" s="429"/>
      <c r="S1" s="429"/>
      <c r="T1" s="429"/>
      <c r="U1" s="429"/>
    </row>
    <row r="2" spans="1:21">
      <c r="A2" s="429" t="s">
        <v>234</v>
      </c>
      <c r="B2" s="429"/>
      <c r="C2" s="429"/>
      <c r="D2" s="309">
        <v>0.2</v>
      </c>
      <c r="E2" s="269" t="s">
        <v>310</v>
      </c>
      <c r="F2" s="429"/>
      <c r="G2" s="429"/>
      <c r="H2" s="429"/>
      <c r="I2" s="429"/>
      <c r="J2" s="429"/>
      <c r="K2" s="429"/>
      <c r="L2" s="429"/>
      <c r="M2" s="429"/>
      <c r="N2" s="429"/>
      <c r="O2" s="429"/>
      <c r="P2" s="429"/>
      <c r="Q2" s="429"/>
      <c r="R2" s="429"/>
      <c r="S2" s="429"/>
      <c r="T2" s="429"/>
      <c r="U2" s="429"/>
    </row>
    <row r="3" spans="1:21">
      <c r="A3" s="429" t="s">
        <v>235</v>
      </c>
      <c r="B3" s="429"/>
      <c r="C3" s="429"/>
      <c r="D3" s="269" t="s">
        <v>236</v>
      </c>
      <c r="E3" s="429"/>
      <c r="F3" s="429"/>
      <c r="G3" s="429"/>
      <c r="H3" s="429"/>
      <c r="I3" s="429"/>
      <c r="J3" s="429"/>
      <c r="K3" s="429"/>
      <c r="L3" s="429"/>
      <c r="M3" s="429"/>
      <c r="N3" s="429"/>
      <c r="O3" s="429"/>
      <c r="P3" s="429"/>
      <c r="Q3" s="429"/>
      <c r="R3" s="429"/>
      <c r="S3" s="429"/>
      <c r="T3" s="429"/>
      <c r="U3" s="429"/>
    </row>
    <row r="4" spans="1:21" ht="52.9">
      <c r="A4" s="429"/>
      <c r="B4" s="429"/>
      <c r="C4" s="429"/>
      <c r="D4" s="300" t="s">
        <v>548</v>
      </c>
      <c r="E4" s="300" t="s">
        <v>549</v>
      </c>
      <c r="F4" s="300" t="s">
        <v>550</v>
      </c>
      <c r="G4" s="300" t="s">
        <v>551</v>
      </c>
      <c r="H4" s="327" t="s">
        <v>317</v>
      </c>
      <c r="I4" s="327" t="s">
        <v>320</v>
      </c>
      <c r="J4" s="300" t="s">
        <v>350</v>
      </c>
      <c r="K4" s="300" t="s">
        <v>552</v>
      </c>
      <c r="L4" s="300" t="s">
        <v>553</v>
      </c>
      <c r="M4" s="429"/>
      <c r="N4" s="333" t="str">
        <f>"Criteria Threshold: Exceeds "&amp;$D$2*100&amp;"% (Total)?"</f>
        <v>Criteria Threshold: Exceeds 20% (Total)?</v>
      </c>
      <c r="O4" s="333" t="str">
        <f>"Criteria Threshold: Exceeds "&amp;$D$2*100&amp;"% (Low)?"</f>
        <v>Criteria Threshold: Exceeds 20% (Low)?</v>
      </c>
      <c r="P4" s="333" t="s">
        <v>177</v>
      </c>
      <c r="Q4" s="429"/>
      <c r="R4" s="333" t="s">
        <v>324</v>
      </c>
      <c r="S4" s="333" t="str">
        <f>"Criteria Threshold: Exceeds "&amp;$D$2*100&amp;"% (Total)?"</f>
        <v>Criteria Threshold: Exceeds 20% (Total)?</v>
      </c>
      <c r="T4" s="333" t="str">
        <f>"Criteria Threshold: Exceeds "&amp;$D$2*100&amp;"% (Low)?"</f>
        <v>Criteria Threshold: Exceeds 20% (Low)?</v>
      </c>
      <c r="U4" s="429"/>
    </row>
    <row r="5" spans="1:21">
      <c r="A5" s="429" t="s">
        <v>554</v>
      </c>
      <c r="B5" s="429" t="s">
        <v>554</v>
      </c>
      <c r="C5" s="429"/>
      <c r="D5" s="429"/>
      <c r="E5" s="429"/>
      <c r="F5" s="429"/>
      <c r="G5" s="429"/>
      <c r="H5" s="429"/>
      <c r="I5" s="269">
        <v>287</v>
      </c>
      <c r="J5" s="429"/>
      <c r="K5" s="429"/>
      <c r="L5" s="429"/>
      <c r="M5" s="429"/>
      <c r="N5" s="276"/>
      <c r="O5" s="276">
        <f t="shared" ref="O5:O36" si="0">IF(L5&gt;$D$2,1,0)</f>
        <v>0</v>
      </c>
      <c r="P5" s="82" t="s">
        <v>60</v>
      </c>
      <c r="Q5" s="429"/>
      <c r="R5" s="82" t="s">
        <v>60</v>
      </c>
      <c r="S5" s="276">
        <f>IF(SUMIF($P:$P,R5,$N:$N)=0,1,2)</f>
        <v>2</v>
      </c>
      <c r="T5" s="276">
        <f>IF(SUMIF($P:$P,R5,$O:$O)=0,1,2)</f>
        <v>2</v>
      </c>
      <c r="U5" s="429"/>
    </row>
    <row r="6" spans="1:21">
      <c r="A6" s="429" t="s">
        <v>554</v>
      </c>
      <c r="B6" s="429"/>
      <c r="C6" s="429" t="s">
        <v>481</v>
      </c>
      <c r="D6" s="270" t="s">
        <v>555</v>
      </c>
      <c r="E6" s="269">
        <v>6729.9533843216032</v>
      </c>
      <c r="F6" s="269">
        <v>24299.829816110032</v>
      </c>
      <c r="G6" s="269">
        <v>31029.783200431637</v>
      </c>
      <c r="H6" s="269">
        <v>288</v>
      </c>
      <c r="I6" s="269"/>
      <c r="J6" s="309">
        <f>+I5/H6</f>
        <v>0.99652777777777779</v>
      </c>
      <c r="K6" s="269">
        <f>+I5*40</f>
        <v>11480</v>
      </c>
      <c r="L6" s="309">
        <f>+K6/+E6</f>
        <v>1.7058067633491065</v>
      </c>
      <c r="M6" s="429"/>
      <c r="N6" s="276">
        <f t="shared" ref="N6:N37" si="1">IF(J6&gt;$D$2,1,0)</f>
        <v>1</v>
      </c>
      <c r="O6" s="276">
        <f t="shared" si="0"/>
        <v>1</v>
      </c>
      <c r="P6" s="82" t="s">
        <v>60</v>
      </c>
      <c r="Q6" s="429"/>
      <c r="R6" s="82" t="s">
        <v>63</v>
      </c>
      <c r="S6" s="276">
        <f t="shared" ref="S6:S11" si="2">IF(SUMIF($P:$P,R6,$N:$N)=0,1,2)</f>
        <v>2</v>
      </c>
      <c r="T6" s="276">
        <f t="shared" ref="T6:T11" si="3">IF(SUMIF($P:$P,R6,$O:$O)=0,1,2)</f>
        <v>2</v>
      </c>
      <c r="U6" s="429"/>
    </row>
    <row r="7" spans="1:21">
      <c r="A7" s="429"/>
      <c r="B7" s="429"/>
      <c r="C7" s="429"/>
      <c r="D7" s="429"/>
      <c r="E7" s="429"/>
      <c r="F7" s="429"/>
      <c r="G7" s="429"/>
      <c r="H7" s="429"/>
      <c r="I7" s="429"/>
      <c r="J7" s="309"/>
      <c r="K7" s="429"/>
      <c r="L7" s="429"/>
      <c r="M7" s="429"/>
      <c r="N7" s="276">
        <f t="shared" si="1"/>
        <v>0</v>
      </c>
      <c r="O7" s="276">
        <f t="shared" si="0"/>
        <v>0</v>
      </c>
      <c r="P7" s="276">
        <f t="shared" ref="P7:P53" si="4">A7</f>
        <v>0</v>
      </c>
      <c r="Q7" s="429"/>
      <c r="R7" s="335" t="s">
        <v>72</v>
      </c>
      <c r="S7" s="276">
        <f t="shared" si="2"/>
        <v>2</v>
      </c>
      <c r="T7" s="276">
        <v>2</v>
      </c>
      <c r="U7" s="429" t="s">
        <v>556</v>
      </c>
    </row>
    <row r="8" spans="1:21">
      <c r="A8" s="429" t="s">
        <v>557</v>
      </c>
      <c r="B8" s="429" t="s">
        <v>557</v>
      </c>
      <c r="C8" s="429"/>
      <c r="D8" s="429"/>
      <c r="E8" s="429"/>
      <c r="F8" s="429"/>
      <c r="G8" s="429"/>
      <c r="H8" s="429"/>
      <c r="I8" s="269">
        <v>173</v>
      </c>
      <c r="J8" s="309"/>
      <c r="K8" s="429"/>
      <c r="L8" s="429"/>
      <c r="M8" s="429"/>
      <c r="N8" s="276">
        <f t="shared" si="1"/>
        <v>0</v>
      </c>
      <c r="O8" s="276">
        <f t="shared" si="0"/>
        <v>0</v>
      </c>
      <c r="P8" s="82" t="s">
        <v>63</v>
      </c>
      <c r="Q8" s="429"/>
      <c r="R8" s="335" t="s">
        <v>76</v>
      </c>
      <c r="S8" s="276">
        <f t="shared" si="2"/>
        <v>1</v>
      </c>
      <c r="T8" s="276">
        <f t="shared" si="3"/>
        <v>1</v>
      </c>
      <c r="U8" s="429"/>
    </row>
    <row r="9" spans="1:21">
      <c r="A9" s="429" t="s">
        <v>557</v>
      </c>
      <c r="B9" s="429"/>
      <c r="C9" s="429" t="s">
        <v>462</v>
      </c>
      <c r="D9" s="270" t="s">
        <v>558</v>
      </c>
      <c r="E9" s="269">
        <v>16166.129039144009</v>
      </c>
      <c r="F9" s="269">
        <v>23407.34292605818</v>
      </c>
      <c r="G9" s="269">
        <v>39573.471965202189</v>
      </c>
      <c r="H9" s="269">
        <v>170</v>
      </c>
      <c r="I9" s="269"/>
      <c r="J9" s="309">
        <f>+I8/H9</f>
        <v>1.0176470588235293</v>
      </c>
      <c r="K9" s="269">
        <f>+I8*40</f>
        <v>6920</v>
      </c>
      <c r="L9" s="309">
        <f>+K9/+E9</f>
        <v>0.42805547223111934</v>
      </c>
      <c r="M9" s="429"/>
      <c r="N9" s="276">
        <f t="shared" si="1"/>
        <v>1</v>
      </c>
      <c r="O9" s="276">
        <f t="shared" si="0"/>
        <v>1</v>
      </c>
      <c r="P9" s="82" t="s">
        <v>63</v>
      </c>
      <c r="Q9" s="429"/>
      <c r="R9" s="5" t="s">
        <v>83</v>
      </c>
      <c r="S9" s="276">
        <f t="shared" si="2"/>
        <v>2</v>
      </c>
      <c r="T9" s="276">
        <f t="shared" si="3"/>
        <v>1</v>
      </c>
      <c r="U9" s="429"/>
    </row>
    <row r="10" spans="1:21">
      <c r="A10" s="429"/>
      <c r="B10" s="429"/>
      <c r="C10" s="429"/>
      <c r="D10" s="429"/>
      <c r="E10" s="429"/>
      <c r="F10" s="429"/>
      <c r="G10" s="429"/>
      <c r="H10" s="429"/>
      <c r="I10" s="429"/>
      <c r="J10" s="309"/>
      <c r="K10" s="429"/>
      <c r="L10" s="429"/>
      <c r="M10" s="429"/>
      <c r="N10" s="276">
        <f t="shared" si="1"/>
        <v>0</v>
      </c>
      <c r="O10" s="276">
        <f t="shared" si="0"/>
        <v>0</v>
      </c>
      <c r="P10" s="276">
        <f t="shared" si="4"/>
        <v>0</v>
      </c>
      <c r="Q10" s="429"/>
      <c r="R10" s="335" t="s">
        <v>99</v>
      </c>
      <c r="S10" s="276">
        <f t="shared" si="2"/>
        <v>2</v>
      </c>
      <c r="T10" s="276">
        <f t="shared" si="3"/>
        <v>2</v>
      </c>
      <c r="U10" s="429"/>
    </row>
    <row r="11" spans="1:21">
      <c r="A11" s="429" t="s">
        <v>559</v>
      </c>
      <c r="B11" s="429" t="s">
        <v>559</v>
      </c>
      <c r="C11" s="429"/>
      <c r="D11" s="429"/>
      <c r="E11" s="429"/>
      <c r="F11" s="429"/>
      <c r="G11" s="429"/>
      <c r="H11" s="429"/>
      <c r="I11" s="269">
        <v>34</v>
      </c>
      <c r="J11" s="309"/>
      <c r="K11" s="429"/>
      <c r="L11" s="429"/>
      <c r="M11" s="429"/>
      <c r="N11" s="276">
        <f t="shared" si="1"/>
        <v>0</v>
      </c>
      <c r="O11" s="276">
        <f t="shared" si="0"/>
        <v>0</v>
      </c>
      <c r="P11" s="335" t="s">
        <v>72</v>
      </c>
      <c r="Q11" s="429"/>
      <c r="R11" s="335" t="s">
        <v>110</v>
      </c>
      <c r="S11" s="276">
        <f t="shared" si="2"/>
        <v>2</v>
      </c>
      <c r="T11" s="276">
        <f t="shared" si="3"/>
        <v>1</v>
      </c>
      <c r="U11" s="429"/>
    </row>
    <row r="12" spans="1:21">
      <c r="A12" s="429" t="s">
        <v>559</v>
      </c>
      <c r="B12" s="429"/>
      <c r="C12" s="429" t="s">
        <v>560</v>
      </c>
      <c r="D12" s="270" t="s">
        <v>561</v>
      </c>
      <c r="E12" s="269">
        <v>0</v>
      </c>
      <c r="F12" s="269">
        <v>11414.633136143297</v>
      </c>
      <c r="G12" s="269">
        <v>11414.633136143297</v>
      </c>
      <c r="H12" s="269">
        <v>34</v>
      </c>
      <c r="I12" s="269"/>
      <c r="J12" s="309">
        <f>+H12/H14</f>
        <v>0.5074626865671642</v>
      </c>
      <c r="K12" s="269">
        <v>5022.2</v>
      </c>
      <c r="L12" s="309"/>
      <c r="M12" s="429"/>
      <c r="N12" s="276">
        <f t="shared" si="1"/>
        <v>1</v>
      </c>
      <c r="O12" s="276">
        <f t="shared" si="0"/>
        <v>0</v>
      </c>
      <c r="P12" s="335" t="s">
        <v>72</v>
      </c>
      <c r="Q12" s="429"/>
      <c r="R12" s="276"/>
      <c r="S12" s="276"/>
      <c r="T12" s="276"/>
      <c r="U12" s="429"/>
    </row>
    <row r="13" spans="1:21">
      <c r="A13" s="429" t="s">
        <v>559</v>
      </c>
      <c r="B13" s="429"/>
      <c r="C13" s="429"/>
      <c r="D13" s="270" t="s">
        <v>562</v>
      </c>
      <c r="E13" s="269">
        <v>0</v>
      </c>
      <c r="F13" s="269">
        <v>11355.855734668881</v>
      </c>
      <c r="G13" s="269">
        <v>11356.300524355522</v>
      </c>
      <c r="H13" s="269">
        <v>33</v>
      </c>
      <c r="I13" s="429"/>
      <c r="J13" s="309">
        <f>+H13/H14</f>
        <v>0.4925373134328358</v>
      </c>
      <c r="K13" s="269">
        <v>4837.3</v>
      </c>
      <c r="L13" s="429"/>
      <c r="M13" s="429"/>
      <c r="N13" s="276">
        <f t="shared" si="1"/>
        <v>1</v>
      </c>
      <c r="O13" s="276">
        <f t="shared" si="0"/>
        <v>0</v>
      </c>
      <c r="P13" s="335" t="s">
        <v>72</v>
      </c>
      <c r="Q13" s="429"/>
      <c r="R13" s="276"/>
      <c r="S13" s="276"/>
      <c r="T13" s="276"/>
      <c r="U13" s="429"/>
    </row>
    <row r="14" spans="1:21">
      <c r="A14" s="429" t="s">
        <v>559</v>
      </c>
      <c r="B14" s="429"/>
      <c r="C14" s="429"/>
      <c r="D14" s="270"/>
      <c r="E14" s="269">
        <f>SUM(E12:E13)</f>
        <v>0</v>
      </c>
      <c r="F14" s="269">
        <f>SUM(F12:F13)</f>
        <v>22770.48887081218</v>
      </c>
      <c r="G14" s="269">
        <f>SUM(G12:G13)</f>
        <v>22770.93366049882</v>
      </c>
      <c r="H14" s="269">
        <f>SUM(H12:H13)</f>
        <v>67</v>
      </c>
      <c r="I14" s="429"/>
      <c r="J14" s="309"/>
      <c r="K14" s="269">
        <f>+I11*40</f>
        <v>1360</v>
      </c>
      <c r="L14" s="309" t="e">
        <f>+K14/+E14</f>
        <v>#DIV/0!</v>
      </c>
      <c r="M14" s="429" t="s">
        <v>563</v>
      </c>
      <c r="N14" s="276">
        <f t="shared" si="1"/>
        <v>0</v>
      </c>
      <c r="O14" s="276" t="e">
        <f t="shared" si="0"/>
        <v>#DIV/0!</v>
      </c>
      <c r="P14" s="335" t="s">
        <v>72</v>
      </c>
      <c r="Q14" s="429"/>
      <c r="R14" s="276"/>
      <c r="S14" s="276"/>
      <c r="T14" s="276"/>
      <c r="U14" s="429"/>
    </row>
    <row r="15" spans="1:21">
      <c r="A15" s="429"/>
      <c r="B15" s="429"/>
      <c r="C15" s="429"/>
      <c r="D15" s="429"/>
      <c r="E15" s="429"/>
      <c r="F15" s="429"/>
      <c r="G15" s="429"/>
      <c r="H15" s="429"/>
      <c r="I15" s="429"/>
      <c r="J15" s="309"/>
      <c r="K15" s="429"/>
      <c r="L15" s="429"/>
      <c r="M15" s="429"/>
      <c r="N15" s="276">
        <f t="shared" si="1"/>
        <v>0</v>
      </c>
      <c r="O15" s="276">
        <f t="shared" si="0"/>
        <v>0</v>
      </c>
      <c r="P15" s="276">
        <f t="shared" si="4"/>
        <v>0</v>
      </c>
      <c r="Q15" s="429"/>
      <c r="R15" s="276"/>
      <c r="S15" s="276"/>
      <c r="T15" s="276"/>
      <c r="U15" s="429"/>
    </row>
    <row r="16" spans="1:21">
      <c r="A16" s="429" t="s">
        <v>564</v>
      </c>
      <c r="B16" s="429" t="s">
        <v>564</v>
      </c>
      <c r="C16" s="429"/>
      <c r="D16" s="429"/>
      <c r="E16" s="429"/>
      <c r="F16" s="429"/>
      <c r="G16" s="429"/>
      <c r="H16" s="429"/>
      <c r="I16" s="269">
        <v>60</v>
      </c>
      <c r="J16" s="309"/>
      <c r="K16" s="429"/>
      <c r="L16" s="429"/>
      <c r="M16" s="429"/>
      <c r="N16" s="276">
        <f t="shared" si="1"/>
        <v>0</v>
      </c>
      <c r="O16" s="276">
        <f t="shared" si="0"/>
        <v>0</v>
      </c>
      <c r="P16" s="276" t="str">
        <f t="shared" si="4"/>
        <v>Kern Greater Carrizo Wind</v>
      </c>
      <c r="Q16" s="429"/>
      <c r="R16" s="276"/>
      <c r="S16" s="276"/>
      <c r="T16" s="276"/>
      <c r="U16" s="429"/>
    </row>
    <row r="17" spans="1:20">
      <c r="A17" s="429" t="s">
        <v>564</v>
      </c>
      <c r="B17" s="429"/>
      <c r="C17" s="429" t="s">
        <v>565</v>
      </c>
      <c r="D17" s="270" t="s">
        <v>566</v>
      </c>
      <c r="E17" s="269">
        <v>11176.175471877643</v>
      </c>
      <c r="F17" s="269">
        <v>9449.3402594321124</v>
      </c>
      <c r="G17" s="269">
        <v>20625.515731309755</v>
      </c>
      <c r="H17" s="269">
        <v>69</v>
      </c>
      <c r="I17" s="269"/>
      <c r="J17" s="309">
        <f>+I16/H17</f>
        <v>0.86956521739130432</v>
      </c>
      <c r="K17" s="269">
        <f>+I16*40</f>
        <v>2400</v>
      </c>
      <c r="L17" s="309">
        <f>+K17/+E17</f>
        <v>0.21474251241304018</v>
      </c>
      <c r="M17" s="429"/>
      <c r="N17" s="276">
        <f t="shared" si="1"/>
        <v>1</v>
      </c>
      <c r="O17" s="276">
        <f t="shared" si="0"/>
        <v>1</v>
      </c>
      <c r="P17" s="276" t="str">
        <f t="shared" si="4"/>
        <v>Kern Greater Carrizo Wind</v>
      </c>
      <c r="Q17" s="429"/>
      <c r="R17" s="276"/>
      <c r="S17" s="276"/>
      <c r="T17" s="276"/>
    </row>
    <row r="18" spans="1:20">
      <c r="A18" s="429"/>
      <c r="B18" s="429"/>
      <c r="C18" s="429"/>
      <c r="D18" s="429"/>
      <c r="E18" s="429"/>
      <c r="F18" s="429"/>
      <c r="G18" s="429"/>
      <c r="H18" s="429"/>
      <c r="I18" s="429"/>
      <c r="J18" s="309"/>
      <c r="K18" s="429"/>
      <c r="L18" s="429"/>
      <c r="M18" s="429"/>
      <c r="N18" s="276">
        <f t="shared" si="1"/>
        <v>0</v>
      </c>
      <c r="O18" s="276">
        <f t="shared" si="0"/>
        <v>0</v>
      </c>
      <c r="P18" s="276">
        <f t="shared" si="4"/>
        <v>0</v>
      </c>
      <c r="Q18" s="429"/>
      <c r="R18" s="429"/>
      <c r="S18" s="429"/>
      <c r="T18" s="429"/>
    </row>
    <row r="19" spans="1:20">
      <c r="A19" s="429" t="s">
        <v>567</v>
      </c>
      <c r="B19" s="429" t="s">
        <v>567</v>
      </c>
      <c r="C19" s="429"/>
      <c r="D19" s="429"/>
      <c r="E19" s="429"/>
      <c r="F19" s="429"/>
      <c r="G19" s="429"/>
      <c r="H19" s="429"/>
      <c r="I19" s="269">
        <v>866</v>
      </c>
      <c r="J19" s="309"/>
      <c r="K19" s="429"/>
      <c r="L19" s="429"/>
      <c r="M19" s="429"/>
      <c r="N19" s="276">
        <f t="shared" si="1"/>
        <v>0</v>
      </c>
      <c r="O19" s="276">
        <f t="shared" si="0"/>
        <v>0</v>
      </c>
      <c r="P19" s="5" t="s">
        <v>83</v>
      </c>
      <c r="Q19" s="429"/>
      <c r="R19" s="429"/>
      <c r="S19" s="429"/>
      <c r="T19" s="429"/>
    </row>
    <row r="20" spans="1:20">
      <c r="A20" s="429" t="s">
        <v>567</v>
      </c>
      <c r="B20" s="429"/>
      <c r="C20" s="429" t="s">
        <v>374</v>
      </c>
      <c r="D20" s="270" t="s">
        <v>568</v>
      </c>
      <c r="E20" s="269">
        <v>21839.435141431539</v>
      </c>
      <c r="F20" s="269">
        <v>0</v>
      </c>
      <c r="G20" s="269">
        <v>21839.435141431539</v>
      </c>
      <c r="H20" s="269">
        <v>120</v>
      </c>
      <c r="I20" s="429"/>
      <c r="J20" s="309"/>
      <c r="K20" s="269"/>
      <c r="L20" s="429"/>
      <c r="M20" s="429"/>
      <c r="N20" s="276">
        <f t="shared" si="1"/>
        <v>0</v>
      </c>
      <c r="O20" s="276">
        <f t="shared" si="0"/>
        <v>0</v>
      </c>
      <c r="P20" s="5" t="s">
        <v>83</v>
      </c>
      <c r="Q20" s="429"/>
      <c r="R20" s="429"/>
      <c r="S20" s="429"/>
      <c r="T20" s="429"/>
    </row>
    <row r="21" spans="1:20">
      <c r="A21" s="429" t="s">
        <v>567</v>
      </c>
      <c r="B21" s="429"/>
      <c r="C21" s="429"/>
      <c r="D21" s="270" t="s">
        <v>569</v>
      </c>
      <c r="E21" s="269">
        <v>32087.194227326061</v>
      </c>
      <c r="F21" s="269">
        <v>0</v>
      </c>
      <c r="G21" s="269">
        <v>32087.194227326061</v>
      </c>
      <c r="H21" s="269">
        <v>166</v>
      </c>
      <c r="I21" s="429"/>
      <c r="J21" s="309"/>
      <c r="K21" s="269"/>
      <c r="L21" s="429"/>
      <c r="M21" s="429"/>
      <c r="N21" s="276">
        <f t="shared" si="1"/>
        <v>0</v>
      </c>
      <c r="O21" s="276">
        <f t="shared" si="0"/>
        <v>0</v>
      </c>
      <c r="P21" s="5" t="s">
        <v>83</v>
      </c>
      <c r="Q21" s="429"/>
      <c r="R21" s="429"/>
      <c r="S21" s="429"/>
      <c r="T21" s="429"/>
    </row>
    <row r="22" spans="1:20">
      <c r="A22" s="429" t="s">
        <v>567</v>
      </c>
      <c r="B22" s="429"/>
      <c r="C22" s="429"/>
      <c r="D22" s="270" t="s">
        <v>570</v>
      </c>
      <c r="E22" s="269">
        <v>27505.304551804995</v>
      </c>
      <c r="F22" s="269">
        <v>1796.0502630254914</v>
      </c>
      <c r="G22" s="269">
        <v>29301.354814830487</v>
      </c>
      <c r="H22" s="269">
        <v>149</v>
      </c>
      <c r="I22" s="429"/>
      <c r="J22" s="309"/>
      <c r="K22" s="269"/>
      <c r="L22" s="429"/>
      <c r="M22" s="429"/>
      <c r="N22" s="276">
        <f t="shared" si="1"/>
        <v>0</v>
      </c>
      <c r="O22" s="276">
        <f t="shared" si="0"/>
        <v>0</v>
      </c>
      <c r="P22" s="5" t="s">
        <v>83</v>
      </c>
      <c r="Q22" s="429"/>
      <c r="R22" s="429"/>
      <c r="S22" s="429"/>
      <c r="T22" s="429"/>
    </row>
    <row r="23" spans="1:20">
      <c r="A23" s="429" t="s">
        <v>567</v>
      </c>
      <c r="B23" s="429"/>
      <c r="C23" s="429"/>
      <c r="D23" s="270" t="s">
        <v>571</v>
      </c>
      <c r="E23" s="269">
        <v>25021.998849932603</v>
      </c>
      <c r="F23" s="269">
        <v>3740.2999319597325</v>
      </c>
      <c r="G23" s="269">
        <v>28762.298781892336</v>
      </c>
      <c r="H23" s="269">
        <v>168</v>
      </c>
      <c r="I23" s="429"/>
      <c r="J23" s="309"/>
      <c r="K23" s="269"/>
      <c r="L23" s="429"/>
      <c r="M23" s="429"/>
      <c r="N23" s="276">
        <f t="shared" si="1"/>
        <v>0</v>
      </c>
      <c r="O23" s="276">
        <f t="shared" si="0"/>
        <v>0</v>
      </c>
      <c r="P23" s="5" t="s">
        <v>83</v>
      </c>
      <c r="Q23" s="429"/>
      <c r="R23" s="429"/>
      <c r="S23" s="429"/>
      <c r="T23" s="429"/>
    </row>
    <row r="24" spans="1:20">
      <c r="A24" s="429" t="s">
        <v>567</v>
      </c>
      <c r="B24" s="429"/>
      <c r="C24" s="429"/>
      <c r="D24" s="270" t="s">
        <v>572</v>
      </c>
      <c r="E24" s="269">
        <v>13114.374645785463</v>
      </c>
      <c r="F24" s="269">
        <v>16735.776448410739</v>
      </c>
      <c r="G24" s="269">
        <v>29850.151094196204</v>
      </c>
      <c r="H24" s="269">
        <v>157</v>
      </c>
      <c r="I24" s="429"/>
      <c r="J24" s="309"/>
      <c r="K24" s="269"/>
      <c r="L24" s="429"/>
      <c r="M24" s="429"/>
      <c r="N24" s="276">
        <f t="shared" si="1"/>
        <v>0</v>
      </c>
      <c r="O24" s="276">
        <f t="shared" si="0"/>
        <v>0</v>
      </c>
      <c r="P24" s="5" t="s">
        <v>83</v>
      </c>
      <c r="Q24" s="429"/>
      <c r="R24" s="429"/>
      <c r="S24" s="429"/>
      <c r="T24" s="429"/>
    </row>
    <row r="25" spans="1:20">
      <c r="A25" s="429" t="s">
        <v>567</v>
      </c>
      <c r="B25" s="429"/>
      <c r="C25" s="429"/>
      <c r="D25" s="270" t="s">
        <v>573</v>
      </c>
      <c r="E25" s="269">
        <v>25914.242781438414</v>
      </c>
      <c r="F25" s="269">
        <v>7966.2533509675104</v>
      </c>
      <c r="G25" s="269">
        <v>33880.496132405926</v>
      </c>
      <c r="H25" s="269">
        <v>166</v>
      </c>
      <c r="I25" s="429"/>
      <c r="J25" s="309"/>
      <c r="K25" s="269"/>
      <c r="L25" s="429"/>
      <c r="M25" s="429"/>
      <c r="N25" s="276">
        <f t="shared" si="1"/>
        <v>0</v>
      </c>
      <c r="O25" s="276">
        <f t="shared" si="0"/>
        <v>0</v>
      </c>
      <c r="P25" s="5" t="s">
        <v>83</v>
      </c>
      <c r="Q25" s="429"/>
      <c r="R25" s="429"/>
      <c r="S25" s="429"/>
      <c r="T25" s="429"/>
    </row>
    <row r="26" spans="1:20">
      <c r="A26" s="429" t="s">
        <v>567</v>
      </c>
      <c r="B26" s="429"/>
      <c r="C26" s="429"/>
      <c r="D26" s="270" t="s">
        <v>574</v>
      </c>
      <c r="E26" s="269">
        <v>20908.704639336305</v>
      </c>
      <c r="F26" s="269">
        <v>8987.8426589735354</v>
      </c>
      <c r="G26" s="269">
        <v>29896.547298309841</v>
      </c>
      <c r="H26" s="269">
        <v>166</v>
      </c>
      <c r="I26" s="429"/>
      <c r="J26" s="309"/>
      <c r="K26" s="269"/>
      <c r="L26" s="429"/>
      <c r="M26" s="429"/>
      <c r="N26" s="276">
        <f t="shared" si="1"/>
        <v>0</v>
      </c>
      <c r="O26" s="276">
        <f t="shared" si="0"/>
        <v>0</v>
      </c>
      <c r="P26" s="5" t="s">
        <v>83</v>
      </c>
      <c r="Q26" s="429"/>
      <c r="R26" s="429"/>
      <c r="S26" s="429"/>
      <c r="T26" s="429"/>
    </row>
    <row r="27" spans="1:20">
      <c r="A27" s="429" t="s">
        <v>567</v>
      </c>
      <c r="B27" s="429"/>
      <c r="C27" s="429"/>
      <c r="D27" s="270" t="s">
        <v>575</v>
      </c>
      <c r="E27" s="269">
        <v>31674.545861914241</v>
      </c>
      <c r="F27" s="269">
        <v>1332.0413438829564</v>
      </c>
      <c r="G27" s="269">
        <v>33006.587205797201</v>
      </c>
      <c r="H27" s="269">
        <v>183</v>
      </c>
      <c r="I27" s="429"/>
      <c r="J27" s="309"/>
      <c r="K27" s="269"/>
      <c r="L27" s="429"/>
      <c r="M27" s="429"/>
      <c r="N27" s="276">
        <f t="shared" si="1"/>
        <v>0</v>
      </c>
      <c r="O27" s="276">
        <f t="shared" si="0"/>
        <v>0</v>
      </c>
      <c r="P27" s="5" t="s">
        <v>83</v>
      </c>
      <c r="Q27" s="429"/>
      <c r="R27" s="429"/>
      <c r="S27" s="429"/>
      <c r="T27" s="429"/>
    </row>
    <row r="28" spans="1:20">
      <c r="A28" s="429" t="s">
        <v>567</v>
      </c>
      <c r="B28" s="429"/>
      <c r="C28" s="429"/>
      <c r="D28" s="270" t="s">
        <v>576</v>
      </c>
      <c r="E28" s="269">
        <v>21329.231324669228</v>
      </c>
      <c r="F28" s="269">
        <v>11015.703764841153</v>
      </c>
      <c r="G28" s="269">
        <v>32344.935089510382</v>
      </c>
      <c r="H28" s="269">
        <v>183</v>
      </c>
      <c r="I28" s="429"/>
      <c r="J28" s="309"/>
      <c r="K28" s="269"/>
      <c r="L28" s="429"/>
      <c r="M28" s="429"/>
      <c r="N28" s="276">
        <f t="shared" si="1"/>
        <v>0</v>
      </c>
      <c r="O28" s="276">
        <f t="shared" si="0"/>
        <v>0</v>
      </c>
      <c r="P28" s="5" t="s">
        <v>83</v>
      </c>
      <c r="Q28" s="429"/>
      <c r="R28" s="429"/>
      <c r="S28" s="429"/>
      <c r="T28" s="429"/>
    </row>
    <row r="29" spans="1:20">
      <c r="A29" s="429" t="s">
        <v>567</v>
      </c>
      <c r="B29" s="429"/>
      <c r="C29" s="429"/>
      <c r="D29" s="270" t="s">
        <v>577</v>
      </c>
      <c r="E29" s="269">
        <v>17028.330638893563</v>
      </c>
      <c r="F29" s="269">
        <v>12467.31634278666</v>
      </c>
      <c r="G29" s="269">
        <v>29495.646981680224</v>
      </c>
      <c r="H29" s="269">
        <v>166</v>
      </c>
      <c r="I29" s="429"/>
      <c r="J29" s="309"/>
      <c r="K29" s="269"/>
      <c r="L29" s="429"/>
      <c r="M29" s="429"/>
      <c r="N29" s="276">
        <f t="shared" si="1"/>
        <v>0</v>
      </c>
      <c r="O29" s="276">
        <f t="shared" si="0"/>
        <v>0</v>
      </c>
      <c r="P29" s="5" t="s">
        <v>83</v>
      </c>
      <c r="Q29" s="429"/>
      <c r="R29" s="429"/>
      <c r="S29" s="429"/>
      <c r="T29" s="429"/>
    </row>
    <row r="30" spans="1:20">
      <c r="A30" s="429" t="s">
        <v>567</v>
      </c>
      <c r="B30" s="429"/>
      <c r="C30" s="429"/>
      <c r="D30" s="270" t="s">
        <v>578</v>
      </c>
      <c r="E30" s="269">
        <v>33870.133921273271</v>
      </c>
      <c r="F30" s="269">
        <v>247.10538146716533</v>
      </c>
      <c r="G30" s="269">
        <v>34117.23930274044</v>
      </c>
      <c r="H30" s="269">
        <v>163</v>
      </c>
      <c r="I30" s="429"/>
      <c r="J30" s="309"/>
      <c r="K30" s="269"/>
      <c r="L30" s="429"/>
      <c r="M30" s="429"/>
      <c r="N30" s="276">
        <f t="shared" si="1"/>
        <v>0</v>
      </c>
      <c r="O30" s="276">
        <f t="shared" si="0"/>
        <v>0</v>
      </c>
      <c r="P30" s="5" t="s">
        <v>83</v>
      </c>
      <c r="Q30" s="429"/>
      <c r="R30" s="429"/>
      <c r="S30" s="429"/>
      <c r="T30" s="429"/>
    </row>
    <row r="31" spans="1:20">
      <c r="A31" s="429" t="s">
        <v>567</v>
      </c>
      <c r="B31" s="429"/>
      <c r="C31" s="429"/>
      <c r="D31" s="270" t="s">
        <v>579</v>
      </c>
      <c r="E31" s="269">
        <v>13663.468927414297</v>
      </c>
      <c r="F31" s="269">
        <v>0</v>
      </c>
      <c r="G31" s="269">
        <v>13663.468927414297</v>
      </c>
      <c r="H31" s="269">
        <v>69</v>
      </c>
      <c r="I31" s="429"/>
      <c r="J31" s="309"/>
      <c r="K31" s="269"/>
      <c r="L31" s="429"/>
      <c r="M31" s="429"/>
      <c r="N31" s="276">
        <f t="shared" si="1"/>
        <v>0</v>
      </c>
      <c r="O31" s="276">
        <f t="shared" si="0"/>
        <v>0</v>
      </c>
      <c r="P31" s="5" t="s">
        <v>83</v>
      </c>
      <c r="Q31" s="429"/>
      <c r="R31" s="429"/>
      <c r="S31" s="429"/>
      <c r="T31" s="429"/>
    </row>
    <row r="32" spans="1:20">
      <c r="A32" s="429" t="s">
        <v>567</v>
      </c>
      <c r="B32" s="429"/>
      <c r="C32" s="429"/>
      <c r="D32" s="270"/>
      <c r="E32" s="269">
        <f>SUM(E20:E31)</f>
        <v>283956.96551121993</v>
      </c>
      <c r="F32" s="269">
        <f>SUM(F20:F31)</f>
        <v>64288.389486314947</v>
      </c>
      <c r="G32" s="269">
        <f>SUM(G20:G31)</f>
        <v>348245.35499753489</v>
      </c>
      <c r="H32" s="269">
        <f>SUM(H20:H31)</f>
        <v>1856</v>
      </c>
      <c r="I32" s="429">
        <v>400</v>
      </c>
      <c r="J32" s="309">
        <f>+I32/H32</f>
        <v>0.21551724137931033</v>
      </c>
      <c r="K32" s="269">
        <f>+I32*40</f>
        <v>16000</v>
      </c>
      <c r="L32" s="309">
        <f>+K32/+E32</f>
        <v>5.6346566358020177E-2</v>
      </c>
      <c r="M32" s="429"/>
      <c r="N32" s="276">
        <f t="shared" si="1"/>
        <v>1</v>
      </c>
      <c r="O32" s="276">
        <f t="shared" si="0"/>
        <v>0</v>
      </c>
      <c r="P32" s="5" t="s">
        <v>83</v>
      </c>
      <c r="Q32" s="429"/>
      <c r="R32" s="429"/>
      <c r="S32" s="429"/>
      <c r="T32" s="429"/>
    </row>
    <row r="33" spans="1:16">
      <c r="A33" s="429" t="s">
        <v>567</v>
      </c>
      <c r="B33" s="429"/>
      <c r="C33" s="429" t="s">
        <v>373</v>
      </c>
      <c r="D33" s="429"/>
      <c r="E33" s="429"/>
      <c r="F33" s="429"/>
      <c r="G33" s="429"/>
      <c r="H33" s="429"/>
      <c r="I33" s="429"/>
      <c r="J33" s="309"/>
      <c r="K33" s="429"/>
      <c r="L33" s="429"/>
      <c r="M33" s="429"/>
      <c r="N33" s="276">
        <f t="shared" si="1"/>
        <v>0</v>
      </c>
      <c r="O33" s="276">
        <f t="shared" si="0"/>
        <v>0</v>
      </c>
      <c r="P33" s="5" t="s">
        <v>83</v>
      </c>
    </row>
    <row r="34" spans="1:16">
      <c r="A34" s="429" t="s">
        <v>567</v>
      </c>
      <c r="B34" s="429"/>
      <c r="C34" s="429"/>
      <c r="D34" s="270" t="s">
        <v>580</v>
      </c>
      <c r="E34" s="269">
        <v>6084.8094302061818</v>
      </c>
      <c r="F34" s="269">
        <v>1282.7612221364973</v>
      </c>
      <c r="G34" s="269">
        <v>7367.5706523426788</v>
      </c>
      <c r="H34" s="269">
        <v>38</v>
      </c>
      <c r="I34" s="429"/>
      <c r="J34" s="309"/>
      <c r="K34" s="269"/>
      <c r="L34" s="429"/>
      <c r="M34" s="429"/>
      <c r="N34" s="276">
        <f t="shared" si="1"/>
        <v>0</v>
      </c>
      <c r="O34" s="276">
        <f t="shared" si="0"/>
        <v>0</v>
      </c>
      <c r="P34" s="5" t="s">
        <v>83</v>
      </c>
    </row>
    <row r="35" spans="1:16">
      <c r="A35" s="429" t="s">
        <v>567</v>
      </c>
      <c r="B35" s="429"/>
      <c r="C35" s="429"/>
      <c r="D35" s="270" t="s">
        <v>581</v>
      </c>
      <c r="E35" s="269">
        <v>31202.931672264211</v>
      </c>
      <c r="F35" s="269">
        <v>2641.3580084796949</v>
      </c>
      <c r="G35" s="269">
        <v>33844.289680743903</v>
      </c>
      <c r="H35" s="269">
        <v>175</v>
      </c>
      <c r="I35" s="429"/>
      <c r="J35" s="309"/>
      <c r="K35" s="269"/>
      <c r="L35" s="429"/>
      <c r="M35" s="429"/>
      <c r="N35" s="276">
        <f t="shared" si="1"/>
        <v>0</v>
      </c>
      <c r="O35" s="276">
        <f t="shared" si="0"/>
        <v>0</v>
      </c>
      <c r="P35" s="5" t="s">
        <v>83</v>
      </c>
    </row>
    <row r="36" spans="1:16">
      <c r="A36" s="429" t="s">
        <v>567</v>
      </c>
      <c r="B36" s="429"/>
      <c r="C36" s="429"/>
      <c r="D36" s="270" t="s">
        <v>582</v>
      </c>
      <c r="E36" s="269">
        <v>29015.876767363541</v>
      </c>
      <c r="F36" s="269">
        <v>0</v>
      </c>
      <c r="G36" s="269">
        <v>29015.876767363541</v>
      </c>
      <c r="H36" s="269">
        <v>222</v>
      </c>
      <c r="I36" s="429"/>
      <c r="J36" s="309"/>
      <c r="K36" s="269"/>
      <c r="L36" s="429"/>
      <c r="M36" s="429"/>
      <c r="N36" s="276">
        <f t="shared" si="1"/>
        <v>0</v>
      </c>
      <c r="O36" s="276">
        <f t="shared" si="0"/>
        <v>0</v>
      </c>
      <c r="P36" s="5" t="s">
        <v>83</v>
      </c>
    </row>
    <row r="37" spans="1:16">
      <c r="A37" s="429" t="s">
        <v>567</v>
      </c>
      <c r="B37" s="429"/>
      <c r="C37" s="429"/>
      <c r="D37" s="270"/>
      <c r="E37" s="269">
        <f>SUM(E34:E36)</f>
        <v>66303.617869833935</v>
      </c>
      <c r="F37" s="269">
        <f>SUM(F34:F36)</f>
        <v>3924.119230616192</v>
      </c>
      <c r="G37" s="269">
        <f>SUM(G34:G36)</f>
        <v>70227.737100450118</v>
      </c>
      <c r="H37" s="269">
        <f>SUM(H34:H36)</f>
        <v>435</v>
      </c>
      <c r="I37" s="429">
        <v>94</v>
      </c>
      <c r="J37" s="309">
        <f>+I37/H37</f>
        <v>0.2160919540229885</v>
      </c>
      <c r="K37" s="269">
        <f>+I37*40</f>
        <v>3760</v>
      </c>
      <c r="L37" s="309">
        <f>+K37/+E37</f>
        <v>5.6708821038718639E-2</v>
      </c>
      <c r="M37" s="429"/>
      <c r="N37" s="276">
        <f t="shared" si="1"/>
        <v>1</v>
      </c>
      <c r="O37" s="276">
        <f t="shared" ref="O37:O68" si="5">IF(L37&gt;$D$2,1,0)</f>
        <v>0</v>
      </c>
      <c r="P37" s="5" t="s">
        <v>83</v>
      </c>
    </row>
    <row r="38" spans="1:16">
      <c r="A38" s="429" t="s">
        <v>567</v>
      </c>
      <c r="B38" s="429"/>
      <c r="C38" s="429" t="s">
        <v>381</v>
      </c>
      <c r="D38" s="429"/>
      <c r="E38" s="429"/>
      <c r="F38" s="429"/>
      <c r="G38" s="429"/>
      <c r="H38" s="269"/>
      <c r="I38" s="429"/>
      <c r="J38" s="309"/>
      <c r="K38" s="429"/>
      <c r="L38" s="429"/>
      <c r="M38" s="429"/>
      <c r="N38" s="276">
        <f t="shared" ref="N38:N69" si="6">IF(J38&gt;$D$2,1,0)</f>
        <v>0</v>
      </c>
      <c r="O38" s="276">
        <f t="shared" si="5"/>
        <v>0</v>
      </c>
      <c r="P38" s="5" t="s">
        <v>83</v>
      </c>
    </row>
    <row r="39" spans="1:16">
      <c r="A39" s="429" t="s">
        <v>567</v>
      </c>
      <c r="B39" s="429"/>
      <c r="C39" s="429"/>
      <c r="D39" s="270" t="s">
        <v>583</v>
      </c>
      <c r="E39" s="269">
        <v>32608.752896109567</v>
      </c>
      <c r="F39" s="269">
        <v>0</v>
      </c>
      <c r="G39" s="269">
        <v>32608.752896109567</v>
      </c>
      <c r="H39" s="269">
        <v>182</v>
      </c>
      <c r="I39" s="429"/>
      <c r="J39" s="309"/>
      <c r="K39" s="269"/>
      <c r="L39" s="429"/>
      <c r="M39" s="429"/>
      <c r="N39" s="276">
        <f t="shared" si="6"/>
        <v>0</v>
      </c>
      <c r="O39" s="276">
        <f t="shared" si="5"/>
        <v>0</v>
      </c>
      <c r="P39" s="5" t="s">
        <v>83</v>
      </c>
    </row>
    <row r="40" spans="1:16">
      <c r="A40" s="429" t="s">
        <v>567</v>
      </c>
      <c r="B40" s="429"/>
      <c r="C40" s="429"/>
      <c r="D40" s="270" t="s">
        <v>584</v>
      </c>
      <c r="E40" s="269">
        <v>29609.261655793736</v>
      </c>
      <c r="F40" s="269">
        <v>0</v>
      </c>
      <c r="G40" s="269">
        <v>29609.261655793736</v>
      </c>
      <c r="H40" s="269">
        <v>172</v>
      </c>
      <c r="I40" s="429"/>
      <c r="J40" s="309"/>
      <c r="K40" s="269"/>
      <c r="L40" s="429"/>
      <c r="M40" s="429"/>
      <c r="N40" s="276">
        <f t="shared" si="6"/>
        <v>0</v>
      </c>
      <c r="O40" s="276">
        <f t="shared" si="5"/>
        <v>0</v>
      </c>
      <c r="P40" s="5" t="s">
        <v>83</v>
      </c>
    </row>
    <row r="41" spans="1:16">
      <c r="A41" s="429" t="s">
        <v>567</v>
      </c>
      <c r="B41" s="429"/>
      <c r="C41" s="429"/>
      <c r="D41" s="270" t="s">
        <v>585</v>
      </c>
      <c r="E41" s="269">
        <v>30953.456099171446</v>
      </c>
      <c r="F41" s="269">
        <v>377.02512918250022</v>
      </c>
      <c r="G41" s="269">
        <v>31330.481228353947</v>
      </c>
      <c r="H41" s="269">
        <v>174</v>
      </c>
      <c r="I41" s="429"/>
      <c r="J41" s="309"/>
      <c r="K41" s="269"/>
      <c r="L41" s="429"/>
      <c r="M41" s="429"/>
      <c r="N41" s="276">
        <f t="shared" si="6"/>
        <v>0</v>
      </c>
      <c r="O41" s="276">
        <f t="shared" si="5"/>
        <v>0</v>
      </c>
      <c r="P41" s="5" t="s">
        <v>83</v>
      </c>
    </row>
    <row r="42" spans="1:16">
      <c r="A42" s="429" t="s">
        <v>567</v>
      </c>
      <c r="B42" s="429"/>
      <c r="C42" s="429"/>
      <c r="D42" s="270" t="s">
        <v>586</v>
      </c>
      <c r="E42" s="269">
        <v>23422.030474452276</v>
      </c>
      <c r="F42" s="269">
        <v>0</v>
      </c>
      <c r="G42" s="269">
        <v>23422.030474452276</v>
      </c>
      <c r="H42" s="269">
        <v>138</v>
      </c>
      <c r="I42" s="429"/>
      <c r="J42" s="309"/>
      <c r="K42" s="269"/>
      <c r="L42" s="429"/>
      <c r="M42" s="429"/>
      <c r="N42" s="276">
        <f t="shared" si="6"/>
        <v>0</v>
      </c>
      <c r="O42" s="276">
        <f t="shared" si="5"/>
        <v>0</v>
      </c>
      <c r="P42" s="5" t="s">
        <v>83</v>
      </c>
    </row>
    <row r="43" spans="1:16">
      <c r="A43" s="429" t="s">
        <v>567</v>
      </c>
      <c r="B43" s="429"/>
      <c r="C43" s="429"/>
      <c r="D43" s="270" t="s">
        <v>587</v>
      </c>
      <c r="E43" s="269">
        <v>31228.978344504452</v>
      </c>
      <c r="F43" s="269">
        <v>633.89198344747638</v>
      </c>
      <c r="G43" s="269">
        <v>31862.870327951929</v>
      </c>
      <c r="H43" s="269">
        <v>172</v>
      </c>
      <c r="I43" s="429"/>
      <c r="J43" s="309"/>
      <c r="K43" s="269"/>
      <c r="L43" s="429"/>
      <c r="M43" s="429"/>
      <c r="N43" s="276">
        <f t="shared" si="6"/>
        <v>0</v>
      </c>
      <c r="O43" s="276">
        <f t="shared" si="5"/>
        <v>0</v>
      </c>
      <c r="P43" s="5" t="s">
        <v>83</v>
      </c>
    </row>
    <row r="44" spans="1:16">
      <c r="A44" s="429" t="s">
        <v>567</v>
      </c>
      <c r="B44" s="429"/>
      <c r="C44" s="429"/>
      <c r="D44" s="270" t="s">
        <v>588</v>
      </c>
      <c r="E44" s="269">
        <v>16889.058319684718</v>
      </c>
      <c r="F44" s="269">
        <v>0</v>
      </c>
      <c r="G44" s="269">
        <v>16889.058319684718</v>
      </c>
      <c r="H44" s="269">
        <v>96</v>
      </c>
      <c r="I44" s="429"/>
      <c r="J44" s="309"/>
      <c r="K44" s="269"/>
      <c r="L44" s="429"/>
      <c r="M44" s="429"/>
      <c r="N44" s="276">
        <f t="shared" si="6"/>
        <v>0</v>
      </c>
      <c r="O44" s="276">
        <f t="shared" si="5"/>
        <v>0</v>
      </c>
      <c r="P44" s="5" t="s">
        <v>83</v>
      </c>
    </row>
    <row r="45" spans="1:16">
      <c r="A45" s="429" t="s">
        <v>567</v>
      </c>
      <c r="B45" s="429"/>
      <c r="C45" s="429"/>
      <c r="D45" s="270"/>
      <c r="E45" s="269">
        <f>SUM(E39:E44)</f>
        <v>164711.53778971621</v>
      </c>
      <c r="F45" s="269">
        <f>SUM(F39:F44)</f>
        <v>1010.9171126299766</v>
      </c>
      <c r="G45" s="269">
        <f>SUM(G39:G44)</f>
        <v>165722.45490234619</v>
      </c>
      <c r="H45" s="271">
        <f>SUM(H39:H44)</f>
        <v>934</v>
      </c>
      <c r="I45" s="429">
        <v>201</v>
      </c>
      <c r="J45" s="309">
        <f>+I45/H45</f>
        <v>0.21520342612419699</v>
      </c>
      <c r="K45" s="269">
        <f>+I45*40</f>
        <v>8040</v>
      </c>
      <c r="L45" s="309">
        <f>+K45/+E45</f>
        <v>4.8812609656188749E-2</v>
      </c>
      <c r="M45" s="429"/>
      <c r="N45" s="276">
        <f t="shared" si="6"/>
        <v>1</v>
      </c>
      <c r="O45" s="276">
        <f t="shared" si="5"/>
        <v>0</v>
      </c>
      <c r="P45" s="5" t="s">
        <v>83</v>
      </c>
    </row>
    <row r="46" spans="1:16">
      <c r="A46" s="429" t="s">
        <v>567</v>
      </c>
      <c r="B46" s="429"/>
      <c r="C46" s="429" t="s">
        <v>379</v>
      </c>
      <c r="D46" s="429"/>
      <c r="E46" s="429"/>
      <c r="F46" s="429"/>
      <c r="G46" s="429"/>
      <c r="H46" s="429"/>
      <c r="I46" s="429"/>
      <c r="J46" s="309"/>
      <c r="K46" s="429"/>
      <c r="L46" s="429"/>
      <c r="M46" s="429"/>
      <c r="N46" s="276">
        <f t="shared" si="6"/>
        <v>0</v>
      </c>
      <c r="O46" s="276">
        <f t="shared" si="5"/>
        <v>0</v>
      </c>
      <c r="P46" s="5" t="s">
        <v>83</v>
      </c>
    </row>
    <row r="47" spans="1:16">
      <c r="A47" s="429" t="s">
        <v>567</v>
      </c>
      <c r="B47" s="429"/>
      <c r="C47" s="429"/>
      <c r="D47" s="270" t="s">
        <v>589</v>
      </c>
      <c r="E47" s="269">
        <v>30714.344080807627</v>
      </c>
      <c r="F47" s="269">
        <v>0</v>
      </c>
      <c r="G47" s="269">
        <v>30714.344080807627</v>
      </c>
      <c r="H47" s="271">
        <v>176</v>
      </c>
      <c r="I47" s="429"/>
      <c r="J47" s="309"/>
      <c r="K47" s="269"/>
      <c r="L47" s="429"/>
      <c r="M47" s="429"/>
      <c r="N47" s="276">
        <f t="shared" si="6"/>
        <v>0</v>
      </c>
      <c r="O47" s="276">
        <f t="shared" si="5"/>
        <v>0</v>
      </c>
      <c r="P47" s="5" t="s">
        <v>83</v>
      </c>
    </row>
    <row r="48" spans="1:16">
      <c r="A48" s="429" t="s">
        <v>567</v>
      </c>
      <c r="B48" s="429"/>
      <c r="C48" s="429"/>
      <c r="D48" s="270" t="s">
        <v>590</v>
      </c>
      <c r="E48" s="269">
        <v>29002.073237094231</v>
      </c>
      <c r="F48" s="269">
        <v>0</v>
      </c>
      <c r="G48" s="269">
        <v>29002.073237094231</v>
      </c>
      <c r="H48" s="271">
        <v>172</v>
      </c>
      <c r="I48" s="429"/>
      <c r="J48" s="309"/>
      <c r="K48" s="269"/>
      <c r="L48" s="429"/>
      <c r="M48" s="429"/>
      <c r="N48" s="276">
        <f t="shared" si="6"/>
        <v>0</v>
      </c>
      <c r="O48" s="276">
        <f t="shared" si="5"/>
        <v>0</v>
      </c>
      <c r="P48" s="5" t="s">
        <v>83</v>
      </c>
    </row>
    <row r="49" spans="1:16">
      <c r="A49" s="429" t="s">
        <v>567</v>
      </c>
      <c r="B49" s="429"/>
      <c r="C49" s="429"/>
      <c r="D49" s="270" t="s">
        <v>591</v>
      </c>
      <c r="E49" s="269">
        <v>35294.390417414863</v>
      </c>
      <c r="F49" s="269">
        <v>0</v>
      </c>
      <c r="G49" s="269">
        <v>35294.390417414863</v>
      </c>
      <c r="H49" s="271">
        <v>181</v>
      </c>
      <c r="I49" s="429"/>
      <c r="J49" s="309"/>
      <c r="K49" s="269"/>
      <c r="L49" s="429"/>
      <c r="M49" s="429"/>
      <c r="N49" s="276">
        <f t="shared" si="6"/>
        <v>0</v>
      </c>
      <c r="O49" s="276">
        <f t="shared" si="5"/>
        <v>0</v>
      </c>
      <c r="P49" s="5" t="s">
        <v>83</v>
      </c>
    </row>
    <row r="50" spans="1:16">
      <c r="A50" s="429" t="s">
        <v>567</v>
      </c>
      <c r="B50" s="429"/>
      <c r="C50" s="429"/>
      <c r="D50" s="270" t="s">
        <v>592</v>
      </c>
      <c r="E50" s="269">
        <v>30267.312715389304</v>
      </c>
      <c r="F50" s="269">
        <v>0</v>
      </c>
      <c r="G50" s="269">
        <v>30267.312715389304</v>
      </c>
      <c r="H50" s="271">
        <v>160</v>
      </c>
      <c r="I50" s="429"/>
      <c r="J50" s="309"/>
      <c r="K50" s="269"/>
      <c r="L50" s="429"/>
      <c r="M50" s="429"/>
      <c r="N50" s="276">
        <f t="shared" si="6"/>
        <v>0</v>
      </c>
      <c r="O50" s="276">
        <f t="shared" si="5"/>
        <v>0</v>
      </c>
      <c r="P50" s="5" t="s">
        <v>83</v>
      </c>
    </row>
    <row r="51" spans="1:16">
      <c r="A51" s="429" t="s">
        <v>567</v>
      </c>
      <c r="B51" s="429"/>
      <c r="C51" s="429"/>
      <c r="D51" s="270" t="s">
        <v>593</v>
      </c>
      <c r="E51" s="269">
        <v>20227.93461006241</v>
      </c>
      <c r="F51" s="269">
        <v>0</v>
      </c>
      <c r="G51" s="269">
        <v>20227.93461006241</v>
      </c>
      <c r="H51" s="271">
        <v>107</v>
      </c>
      <c r="I51" s="429"/>
      <c r="J51" s="309"/>
      <c r="K51" s="269"/>
      <c r="L51" s="429"/>
      <c r="M51" s="429"/>
      <c r="N51" s="276">
        <f t="shared" si="6"/>
        <v>0</v>
      </c>
      <c r="O51" s="276">
        <f t="shared" si="5"/>
        <v>0</v>
      </c>
      <c r="P51" s="5" t="s">
        <v>83</v>
      </c>
    </row>
    <row r="52" spans="1:16">
      <c r="A52" s="429" t="s">
        <v>567</v>
      </c>
      <c r="B52" s="429"/>
      <c r="C52" s="429"/>
      <c r="D52" s="429"/>
      <c r="E52" s="271">
        <f>SUM(E47:E51)</f>
        <v>145506.05506076844</v>
      </c>
      <c r="F52" s="271">
        <f>SUM(F47:F51)</f>
        <v>0</v>
      </c>
      <c r="G52" s="271">
        <f>SUM(G47:G51)</f>
        <v>145506.05506076844</v>
      </c>
      <c r="H52" s="271">
        <f>SUM(H47:H51)</f>
        <v>796</v>
      </c>
      <c r="I52" s="429">
        <v>171</v>
      </c>
      <c r="J52" s="309">
        <f>+I52/H52</f>
        <v>0.21482412060301506</v>
      </c>
      <c r="K52" s="269">
        <f>+I52*40</f>
        <v>6840</v>
      </c>
      <c r="L52" s="309">
        <f>+K52/+E52</f>
        <v>4.7008353000453321E-2</v>
      </c>
      <c r="M52" s="429"/>
      <c r="N52" s="276">
        <f t="shared" si="6"/>
        <v>1</v>
      </c>
      <c r="O52" s="276">
        <f t="shared" si="5"/>
        <v>0</v>
      </c>
      <c r="P52" s="5" t="s">
        <v>83</v>
      </c>
    </row>
    <row r="53" spans="1:16">
      <c r="A53" s="429"/>
      <c r="B53" s="429"/>
      <c r="C53" s="429"/>
      <c r="D53" s="429"/>
      <c r="E53" s="429"/>
      <c r="F53" s="429"/>
      <c r="G53" s="429"/>
      <c r="H53" s="271"/>
      <c r="I53" s="429"/>
      <c r="J53" s="309"/>
      <c r="K53" s="429"/>
      <c r="L53" s="429"/>
      <c r="M53" s="429"/>
      <c r="N53" s="276">
        <f t="shared" si="6"/>
        <v>0</v>
      </c>
      <c r="O53" s="276">
        <f t="shared" si="5"/>
        <v>0</v>
      </c>
      <c r="P53" s="276">
        <f t="shared" si="4"/>
        <v>0</v>
      </c>
    </row>
    <row r="54" spans="1:16">
      <c r="A54" s="429" t="s">
        <v>594</v>
      </c>
      <c r="B54" s="429" t="s">
        <v>594</v>
      </c>
      <c r="C54" s="429"/>
      <c r="D54" s="429"/>
      <c r="E54" s="429"/>
      <c r="F54" s="429"/>
      <c r="G54" s="429"/>
      <c r="H54" s="429"/>
      <c r="I54" s="429"/>
      <c r="J54" s="309"/>
      <c r="K54" s="429"/>
      <c r="L54" s="429"/>
      <c r="M54" s="429"/>
      <c r="N54" s="276">
        <f t="shared" si="6"/>
        <v>0</v>
      </c>
      <c r="O54" s="276">
        <f t="shared" si="5"/>
        <v>0</v>
      </c>
      <c r="P54" s="335" t="s">
        <v>99</v>
      </c>
    </row>
    <row r="55" spans="1:16">
      <c r="A55" s="429" t="s">
        <v>594</v>
      </c>
      <c r="B55" s="429"/>
      <c r="C55" s="429" t="s">
        <v>397</v>
      </c>
      <c r="D55" s="270" t="s">
        <v>595</v>
      </c>
      <c r="E55" s="269">
        <v>2361.3655511324555</v>
      </c>
      <c r="F55" s="269">
        <v>15002.799132090946</v>
      </c>
      <c r="G55" s="269">
        <v>17364.1646832234</v>
      </c>
      <c r="H55" s="269">
        <v>71</v>
      </c>
      <c r="I55" s="429"/>
      <c r="J55" s="309"/>
      <c r="K55" s="269"/>
      <c r="L55" s="429"/>
      <c r="M55" s="429"/>
      <c r="N55" s="276">
        <f t="shared" si="6"/>
        <v>0</v>
      </c>
      <c r="O55" s="276">
        <f t="shared" si="5"/>
        <v>0</v>
      </c>
      <c r="P55" s="335" t="s">
        <v>99</v>
      </c>
    </row>
    <row r="56" spans="1:16">
      <c r="A56" s="429" t="s">
        <v>594</v>
      </c>
      <c r="B56" s="429"/>
      <c r="C56" s="429"/>
      <c r="D56" s="270" t="s">
        <v>596</v>
      </c>
      <c r="E56" s="269">
        <v>2393.1548432306558</v>
      </c>
      <c r="F56" s="269">
        <v>29048.76353801712</v>
      </c>
      <c r="G56" s="269">
        <v>31441.918381247775</v>
      </c>
      <c r="H56" s="269">
        <v>166</v>
      </c>
      <c r="I56" s="429"/>
      <c r="J56" s="309"/>
      <c r="K56" s="269"/>
      <c r="L56" s="429"/>
      <c r="M56" s="429"/>
      <c r="N56" s="276">
        <f t="shared" si="6"/>
        <v>0</v>
      </c>
      <c r="O56" s="276">
        <f t="shared" si="5"/>
        <v>0</v>
      </c>
      <c r="P56" s="335" t="s">
        <v>99</v>
      </c>
    </row>
    <row r="57" spans="1:16">
      <c r="A57" s="429" t="s">
        <v>594</v>
      </c>
      <c r="B57" s="429"/>
      <c r="C57" s="429"/>
      <c r="D57" s="270" t="s">
        <v>597</v>
      </c>
      <c r="E57" s="269">
        <v>7207.3104234363564</v>
      </c>
      <c r="F57" s="269">
        <v>8590.8880830288563</v>
      </c>
      <c r="G57" s="269">
        <v>15798.198506465213</v>
      </c>
      <c r="H57" s="269">
        <v>70</v>
      </c>
      <c r="I57" s="429"/>
      <c r="J57" s="309"/>
      <c r="K57" s="269"/>
      <c r="L57" s="429"/>
      <c r="M57" s="429"/>
      <c r="N57" s="276">
        <f t="shared" si="6"/>
        <v>0</v>
      </c>
      <c r="O57" s="276">
        <f t="shared" si="5"/>
        <v>0</v>
      </c>
      <c r="P57" s="335" t="s">
        <v>99</v>
      </c>
    </row>
    <row r="58" spans="1:16">
      <c r="A58" s="429" t="s">
        <v>594</v>
      </c>
      <c r="B58" s="429"/>
      <c r="C58" s="429"/>
      <c r="D58" s="270" t="s">
        <v>598</v>
      </c>
      <c r="E58" s="269">
        <v>2948.0119096309327</v>
      </c>
      <c r="F58" s="269">
        <v>31570.523344888647</v>
      </c>
      <c r="G58" s="269">
        <v>34518.535254519578</v>
      </c>
      <c r="H58" s="269">
        <v>146</v>
      </c>
      <c r="I58" s="429"/>
      <c r="J58" s="309"/>
      <c r="K58" s="269"/>
      <c r="L58" s="429"/>
      <c r="M58" s="429"/>
      <c r="N58" s="276">
        <f t="shared" si="6"/>
        <v>0</v>
      </c>
      <c r="O58" s="276">
        <f t="shared" si="5"/>
        <v>0</v>
      </c>
      <c r="P58" s="335" t="s">
        <v>99</v>
      </c>
    </row>
    <row r="59" spans="1:16">
      <c r="A59" s="429" t="s">
        <v>594</v>
      </c>
      <c r="B59" s="429"/>
      <c r="C59" s="429"/>
      <c r="D59" s="270" t="s">
        <v>599</v>
      </c>
      <c r="E59" s="269">
        <v>4625.9770632600048</v>
      </c>
      <c r="F59" s="269">
        <v>26007.499424845402</v>
      </c>
      <c r="G59" s="269">
        <v>30633.476488105407</v>
      </c>
      <c r="H59" s="269">
        <v>117</v>
      </c>
      <c r="I59" s="429"/>
      <c r="J59" s="309"/>
      <c r="K59" s="269"/>
      <c r="L59" s="429"/>
      <c r="M59" s="429"/>
      <c r="N59" s="276">
        <f t="shared" si="6"/>
        <v>0</v>
      </c>
      <c r="O59" s="276">
        <f t="shared" si="5"/>
        <v>0</v>
      </c>
      <c r="P59" s="335" t="s">
        <v>99</v>
      </c>
    </row>
    <row r="60" spans="1:16">
      <c r="A60" s="429" t="s">
        <v>594</v>
      </c>
      <c r="B60" s="429"/>
      <c r="C60" s="429"/>
      <c r="D60" s="270" t="s">
        <v>600</v>
      </c>
      <c r="E60" s="269">
        <v>4046.7783208535038</v>
      </c>
      <c r="F60" s="269">
        <v>26316.155600783837</v>
      </c>
      <c r="G60" s="269">
        <v>30362.933921637341</v>
      </c>
      <c r="H60" s="269">
        <v>136</v>
      </c>
      <c r="I60" s="429"/>
      <c r="J60" s="309"/>
      <c r="K60" s="269"/>
      <c r="L60" s="429"/>
      <c r="M60" s="429"/>
      <c r="N60" s="276">
        <f t="shared" si="6"/>
        <v>0</v>
      </c>
      <c r="O60" s="276">
        <f t="shared" si="5"/>
        <v>0</v>
      </c>
      <c r="P60" s="335" t="s">
        <v>99</v>
      </c>
    </row>
    <row r="61" spans="1:16">
      <c r="A61" s="429" t="s">
        <v>594</v>
      </c>
      <c r="B61" s="429"/>
      <c r="C61" s="429"/>
      <c r="D61" s="270"/>
      <c r="E61" s="269">
        <f>SUM(E55:E60)</f>
        <v>23582.59811154391</v>
      </c>
      <c r="F61" s="269">
        <f>SUM(F55:F60)</f>
        <v>136536.6291236548</v>
      </c>
      <c r="G61" s="269">
        <f>SUM(G55:G60)</f>
        <v>160119.22723519869</v>
      </c>
      <c r="H61" s="271">
        <f>SUM(H55:H60)</f>
        <v>706</v>
      </c>
      <c r="I61" s="429">
        <v>227</v>
      </c>
      <c r="J61" s="309">
        <f>+I61/H61</f>
        <v>0.32152974504249293</v>
      </c>
      <c r="K61" s="269">
        <f>+I61*40</f>
        <v>9080</v>
      </c>
      <c r="L61" s="309">
        <f>+K61/+E61</f>
        <v>0.38502967133020227</v>
      </c>
      <c r="M61" s="429"/>
      <c r="N61" s="276">
        <f t="shared" si="6"/>
        <v>1</v>
      </c>
      <c r="O61" s="276">
        <f t="shared" si="5"/>
        <v>1</v>
      </c>
      <c r="P61" s="335" t="s">
        <v>99</v>
      </c>
    </row>
    <row r="62" spans="1:16">
      <c r="A62" s="429" t="s">
        <v>594</v>
      </c>
      <c r="B62" s="429"/>
      <c r="C62" s="429" t="s">
        <v>418</v>
      </c>
      <c r="D62" s="429"/>
      <c r="E62" s="429"/>
      <c r="F62" s="429"/>
      <c r="G62" s="429"/>
      <c r="H62" s="429"/>
      <c r="I62" s="429"/>
      <c r="J62" s="309"/>
      <c r="K62" s="429"/>
      <c r="L62" s="429"/>
      <c r="M62" s="429"/>
      <c r="N62" s="276">
        <f t="shared" si="6"/>
        <v>0</v>
      </c>
      <c r="O62" s="276">
        <f t="shared" si="5"/>
        <v>0</v>
      </c>
      <c r="P62" s="335" t="s">
        <v>99</v>
      </c>
    </row>
    <row r="63" spans="1:16">
      <c r="A63" s="429" t="s">
        <v>594</v>
      </c>
      <c r="B63" s="429"/>
      <c r="C63" s="429"/>
      <c r="D63" s="270" t="s">
        <v>601</v>
      </c>
      <c r="E63" s="269">
        <v>3479.210561586171</v>
      </c>
      <c r="F63" s="269">
        <v>13204.937158866182</v>
      </c>
      <c r="G63" s="269">
        <v>16684.147720452354</v>
      </c>
      <c r="H63" s="271">
        <v>22</v>
      </c>
      <c r="I63" s="429"/>
      <c r="J63" s="309"/>
      <c r="K63" s="269"/>
      <c r="L63" s="429"/>
      <c r="M63" s="429"/>
      <c r="N63" s="276">
        <f t="shared" si="6"/>
        <v>0</v>
      </c>
      <c r="O63" s="276">
        <f t="shared" si="5"/>
        <v>0</v>
      </c>
      <c r="P63" s="335" t="s">
        <v>99</v>
      </c>
    </row>
    <row r="64" spans="1:16">
      <c r="A64" s="429" t="s">
        <v>594</v>
      </c>
      <c r="B64" s="429"/>
      <c r="C64" s="429"/>
      <c r="D64" s="270" t="s">
        <v>602</v>
      </c>
      <c r="E64" s="269">
        <v>5958.7605912175286</v>
      </c>
      <c r="F64" s="269">
        <v>19351.327427002358</v>
      </c>
      <c r="G64" s="269">
        <v>25310.088018219885</v>
      </c>
      <c r="H64" s="271">
        <v>50</v>
      </c>
      <c r="I64" s="429"/>
      <c r="J64" s="309"/>
      <c r="K64" s="269"/>
      <c r="L64" s="429"/>
      <c r="M64" s="429"/>
      <c r="N64" s="276">
        <f t="shared" si="6"/>
        <v>0</v>
      </c>
      <c r="O64" s="276">
        <f t="shared" si="5"/>
        <v>0</v>
      </c>
      <c r="P64" s="335" t="s">
        <v>99</v>
      </c>
    </row>
    <row r="65" spans="1:16">
      <c r="A65" s="429" t="s">
        <v>594</v>
      </c>
      <c r="B65" s="429"/>
      <c r="C65" s="429"/>
      <c r="D65" s="270"/>
      <c r="E65" s="269">
        <f>SUM(E63:E64)</f>
        <v>9437.9711528037005</v>
      </c>
      <c r="F65" s="269">
        <f>SUM(F63:F64)</f>
        <v>32556.264585868539</v>
      </c>
      <c r="G65" s="269">
        <f>SUM(G63:G64)</f>
        <v>41994.235738672243</v>
      </c>
      <c r="H65" s="271">
        <f>SUM(H63:H64)</f>
        <v>72</v>
      </c>
      <c r="I65" s="429">
        <v>23</v>
      </c>
      <c r="J65" s="309">
        <f>+I65/H65</f>
        <v>0.31944444444444442</v>
      </c>
      <c r="K65" s="269">
        <f>+I65*40</f>
        <v>920</v>
      </c>
      <c r="L65" s="309">
        <f>+K65/+E65</f>
        <v>9.7478577239208802E-2</v>
      </c>
      <c r="M65" s="429"/>
      <c r="N65" s="276">
        <f t="shared" si="6"/>
        <v>1</v>
      </c>
      <c r="O65" s="276">
        <f t="shared" si="5"/>
        <v>0</v>
      </c>
      <c r="P65" s="335" t="s">
        <v>99</v>
      </c>
    </row>
    <row r="66" spans="1:16">
      <c r="A66" s="429" t="s">
        <v>594</v>
      </c>
      <c r="B66" s="429"/>
      <c r="C66" s="429" t="s">
        <v>603</v>
      </c>
      <c r="D66" s="429"/>
      <c r="E66" s="429"/>
      <c r="F66" s="429"/>
      <c r="G66" s="429"/>
      <c r="H66" s="429"/>
      <c r="I66" s="429"/>
      <c r="J66" s="309"/>
      <c r="K66" s="429"/>
      <c r="L66" s="429"/>
      <c r="M66" s="429"/>
      <c r="N66" s="276">
        <f t="shared" si="6"/>
        <v>0</v>
      </c>
      <c r="O66" s="276">
        <f t="shared" si="5"/>
        <v>0</v>
      </c>
      <c r="P66" s="335" t="s">
        <v>99</v>
      </c>
    </row>
    <row r="67" spans="1:16">
      <c r="A67" s="429" t="s">
        <v>594</v>
      </c>
      <c r="B67" s="429"/>
      <c r="C67" s="429"/>
      <c r="D67" s="270" t="s">
        <v>604</v>
      </c>
      <c r="E67" s="269">
        <v>11733.265097532023</v>
      </c>
      <c r="F67" s="269">
        <v>20668.716763797514</v>
      </c>
      <c r="G67" s="269">
        <v>32401.981861329536</v>
      </c>
      <c r="H67" s="269">
        <v>86</v>
      </c>
      <c r="I67" s="429"/>
      <c r="J67" s="309"/>
      <c r="K67" s="269"/>
      <c r="L67" s="429"/>
      <c r="M67" s="429"/>
      <c r="N67" s="276">
        <f t="shared" si="6"/>
        <v>0</v>
      </c>
      <c r="O67" s="276">
        <f t="shared" si="5"/>
        <v>0</v>
      </c>
      <c r="P67" s="335" t="s">
        <v>99</v>
      </c>
    </row>
    <row r="68" spans="1:16">
      <c r="A68" s="429" t="s">
        <v>594</v>
      </c>
      <c r="B68" s="429"/>
      <c r="C68" s="429"/>
      <c r="D68" s="270" t="s">
        <v>605</v>
      </c>
      <c r="E68" s="269">
        <v>23098.390159047009</v>
      </c>
      <c r="F68" s="269">
        <v>11485.509005062142</v>
      </c>
      <c r="G68" s="269">
        <v>34583.899164109149</v>
      </c>
      <c r="H68" s="269">
        <v>114</v>
      </c>
      <c r="I68" s="429"/>
      <c r="J68" s="309"/>
      <c r="K68" s="269"/>
      <c r="L68" s="429"/>
      <c r="M68" s="429"/>
      <c r="N68" s="276">
        <f t="shared" si="6"/>
        <v>0</v>
      </c>
      <c r="O68" s="276">
        <f t="shared" si="5"/>
        <v>0</v>
      </c>
      <c r="P68" s="335" t="s">
        <v>99</v>
      </c>
    </row>
    <row r="69" spans="1:16">
      <c r="A69" s="429" t="s">
        <v>594</v>
      </c>
      <c r="B69" s="429"/>
      <c r="C69" s="429"/>
      <c r="D69" s="270" t="s">
        <v>606</v>
      </c>
      <c r="E69" s="269">
        <v>30872.384933196121</v>
      </c>
      <c r="F69" s="269">
        <v>0</v>
      </c>
      <c r="G69" s="269">
        <v>30872.384933196121</v>
      </c>
      <c r="H69" s="269">
        <v>77</v>
      </c>
      <c r="I69" s="429"/>
      <c r="J69" s="309"/>
      <c r="K69" s="269"/>
      <c r="L69" s="429"/>
      <c r="M69" s="429"/>
      <c r="N69" s="276">
        <f t="shared" si="6"/>
        <v>0</v>
      </c>
      <c r="O69" s="276">
        <f t="shared" ref="O69:O89" si="7">IF(L69&gt;$D$2,1,0)</f>
        <v>0</v>
      </c>
      <c r="P69" s="335" t="s">
        <v>99</v>
      </c>
    </row>
    <row r="70" spans="1:16">
      <c r="A70" s="429" t="s">
        <v>594</v>
      </c>
      <c r="B70" s="429"/>
      <c r="C70" s="429"/>
      <c r="D70" s="270" t="s">
        <v>607</v>
      </c>
      <c r="E70" s="269">
        <v>34973.082645059374</v>
      </c>
      <c r="F70" s="269">
        <v>573.80619169914576</v>
      </c>
      <c r="G70" s="269">
        <v>35546.888836758517</v>
      </c>
      <c r="H70" s="269">
        <v>80</v>
      </c>
      <c r="I70" s="429"/>
      <c r="J70" s="309"/>
      <c r="K70" s="269"/>
      <c r="L70" s="429"/>
      <c r="M70" s="429"/>
      <c r="N70" s="276">
        <f t="shared" ref="N70:N89" si="8">IF(J70&gt;$D$2,1,0)</f>
        <v>0</v>
      </c>
      <c r="O70" s="276">
        <f t="shared" si="7"/>
        <v>0</v>
      </c>
      <c r="P70" s="335" t="s">
        <v>99</v>
      </c>
    </row>
    <row r="71" spans="1:16">
      <c r="A71" s="429" t="s">
        <v>594</v>
      </c>
      <c r="B71" s="429"/>
      <c r="C71" s="429"/>
      <c r="D71" s="270" t="s">
        <v>608</v>
      </c>
      <c r="E71" s="269">
        <v>32773.45537188126</v>
      </c>
      <c r="F71" s="269">
        <v>3679.0070111753271</v>
      </c>
      <c r="G71" s="269">
        <v>36452.462383056591</v>
      </c>
      <c r="H71" s="269">
        <v>89</v>
      </c>
      <c r="I71" s="429"/>
      <c r="J71" s="309"/>
      <c r="K71" s="269"/>
      <c r="L71" s="429"/>
      <c r="M71" s="429"/>
      <c r="N71" s="276">
        <f t="shared" si="8"/>
        <v>0</v>
      </c>
      <c r="O71" s="276">
        <f t="shared" si="7"/>
        <v>0</v>
      </c>
      <c r="P71" s="335" t="s">
        <v>99</v>
      </c>
    </row>
    <row r="72" spans="1:16">
      <c r="A72" s="429" t="s">
        <v>594</v>
      </c>
      <c r="B72" s="429"/>
      <c r="C72" s="429"/>
      <c r="D72" s="270" t="s">
        <v>609</v>
      </c>
      <c r="E72" s="269">
        <v>29812.553209965838</v>
      </c>
      <c r="F72" s="269">
        <v>6243.4008648009794</v>
      </c>
      <c r="G72" s="269">
        <v>36055.954074766814</v>
      </c>
      <c r="H72" s="269">
        <v>85</v>
      </c>
      <c r="I72" s="429"/>
      <c r="J72" s="309"/>
      <c r="K72" s="269"/>
      <c r="L72" s="429"/>
      <c r="M72" s="429"/>
      <c r="N72" s="276">
        <f t="shared" si="8"/>
        <v>0</v>
      </c>
      <c r="O72" s="276">
        <f t="shared" si="7"/>
        <v>0</v>
      </c>
      <c r="P72" s="335" t="s">
        <v>99</v>
      </c>
    </row>
    <row r="73" spans="1:16">
      <c r="A73" s="429" t="s">
        <v>594</v>
      </c>
      <c r="B73" s="429"/>
      <c r="C73" s="429"/>
      <c r="D73" s="270"/>
      <c r="E73" s="269">
        <f>SUM(E67:E72)</f>
        <v>163263.13141668163</v>
      </c>
      <c r="F73" s="269">
        <f>SUM(F67:F72)</f>
        <v>42650.439836535108</v>
      </c>
      <c r="G73" s="269">
        <f>SUM(G67:G72)</f>
        <v>205913.57125321674</v>
      </c>
      <c r="H73" s="271">
        <f>SUM(H67:H72)</f>
        <v>531</v>
      </c>
      <c r="I73" s="429">
        <v>171</v>
      </c>
      <c r="J73" s="309">
        <f>+I73/H73</f>
        <v>0.32203389830508472</v>
      </c>
      <c r="K73" s="269">
        <f>+I73*40</f>
        <v>6840</v>
      </c>
      <c r="L73" s="309">
        <f>+K73/+E73</f>
        <v>4.1895558051884295E-2</v>
      </c>
      <c r="M73" s="429"/>
      <c r="N73" s="276">
        <f t="shared" si="8"/>
        <v>1</v>
      </c>
      <c r="O73" s="276">
        <f t="shared" si="7"/>
        <v>0</v>
      </c>
      <c r="P73" s="335" t="s">
        <v>99</v>
      </c>
    </row>
    <row r="74" spans="1:16">
      <c r="A74" s="429" t="s">
        <v>594</v>
      </c>
      <c r="B74" s="429"/>
      <c r="C74" s="429" t="s">
        <v>610</v>
      </c>
      <c r="D74" s="429"/>
      <c r="E74" s="429"/>
      <c r="F74" s="429"/>
      <c r="G74" s="429"/>
      <c r="H74" s="429"/>
      <c r="I74" s="429"/>
      <c r="J74" s="309"/>
      <c r="K74" s="429"/>
      <c r="L74" s="429"/>
      <c r="M74" s="429"/>
      <c r="N74" s="276">
        <f t="shared" si="8"/>
        <v>0</v>
      </c>
      <c r="O74" s="276">
        <f t="shared" si="7"/>
        <v>0</v>
      </c>
      <c r="P74" s="335" t="s">
        <v>99</v>
      </c>
    </row>
    <row r="75" spans="1:16">
      <c r="A75" s="429" t="s">
        <v>594</v>
      </c>
      <c r="B75" s="429"/>
      <c r="C75" s="429"/>
      <c r="D75" s="270" t="s">
        <v>611</v>
      </c>
      <c r="E75" s="269">
        <v>28653.815557446909</v>
      </c>
      <c r="F75" s="269">
        <v>5619.5353785039206</v>
      </c>
      <c r="G75" s="269">
        <v>34273.350935950832</v>
      </c>
      <c r="H75" s="271">
        <v>82</v>
      </c>
      <c r="I75" s="429"/>
      <c r="J75" s="309"/>
      <c r="K75" s="269"/>
      <c r="L75" s="429"/>
      <c r="M75" s="429"/>
      <c r="N75" s="276">
        <f t="shared" si="8"/>
        <v>0</v>
      </c>
      <c r="O75" s="276">
        <f t="shared" si="7"/>
        <v>0</v>
      </c>
      <c r="P75" s="335" t="s">
        <v>99</v>
      </c>
    </row>
    <row r="76" spans="1:16">
      <c r="A76" s="429" t="s">
        <v>594</v>
      </c>
      <c r="B76" s="429"/>
      <c r="C76" s="429"/>
      <c r="D76" s="270" t="s">
        <v>612</v>
      </c>
      <c r="E76" s="269">
        <v>10020.746960566852</v>
      </c>
      <c r="F76" s="269">
        <v>4704.632622121243</v>
      </c>
      <c r="G76" s="269">
        <v>14725.379582688096</v>
      </c>
      <c r="H76" s="271">
        <v>34</v>
      </c>
      <c r="I76" s="429"/>
      <c r="J76" s="309"/>
      <c r="K76" s="269"/>
      <c r="L76" s="429"/>
      <c r="M76" s="429"/>
      <c r="N76" s="276">
        <f t="shared" si="8"/>
        <v>0</v>
      </c>
      <c r="O76" s="276">
        <f t="shared" si="7"/>
        <v>0</v>
      </c>
      <c r="P76" s="335" t="s">
        <v>99</v>
      </c>
    </row>
    <row r="77" spans="1:16">
      <c r="A77" s="429" t="s">
        <v>594</v>
      </c>
      <c r="B77" s="429"/>
      <c r="C77" s="429"/>
      <c r="D77" s="270" t="s">
        <v>613</v>
      </c>
      <c r="E77" s="269">
        <v>38048.726031212202</v>
      </c>
      <c r="F77" s="269">
        <v>3368.0093280847896</v>
      </c>
      <c r="G77" s="269">
        <v>41416.735359296988</v>
      </c>
      <c r="H77" s="271">
        <v>88</v>
      </c>
      <c r="I77" s="429"/>
      <c r="J77" s="309"/>
      <c r="K77" s="269"/>
      <c r="L77" s="429"/>
      <c r="M77" s="429"/>
      <c r="N77" s="276">
        <f t="shared" si="8"/>
        <v>0</v>
      </c>
      <c r="O77" s="276">
        <f t="shared" si="7"/>
        <v>0</v>
      </c>
      <c r="P77" s="335" t="s">
        <v>99</v>
      </c>
    </row>
    <row r="78" spans="1:16">
      <c r="A78" s="429" t="s">
        <v>594</v>
      </c>
      <c r="B78" s="429"/>
      <c r="C78" s="429"/>
      <c r="D78" s="270" t="s">
        <v>614</v>
      </c>
      <c r="E78" s="269">
        <v>22115.523806502446</v>
      </c>
      <c r="F78" s="269">
        <v>689.47691957262612</v>
      </c>
      <c r="G78" s="269">
        <v>22805.000726075072</v>
      </c>
      <c r="H78" s="271">
        <v>57</v>
      </c>
      <c r="I78" s="429"/>
      <c r="J78" s="309"/>
      <c r="K78" s="269"/>
      <c r="L78" s="429"/>
      <c r="M78" s="429"/>
      <c r="N78" s="276">
        <f t="shared" si="8"/>
        <v>0</v>
      </c>
      <c r="O78" s="276">
        <f t="shared" si="7"/>
        <v>0</v>
      </c>
      <c r="P78" s="335" t="s">
        <v>99</v>
      </c>
    </row>
    <row r="79" spans="1:16">
      <c r="A79" s="429" t="s">
        <v>594</v>
      </c>
      <c r="B79" s="429"/>
      <c r="C79" s="429"/>
      <c r="D79" s="270"/>
      <c r="E79" s="269">
        <f>SUM(E75:E78)</f>
        <v>98838.812355728398</v>
      </c>
      <c r="F79" s="269">
        <f>SUM(F75:F78)</f>
        <v>14381.654248282579</v>
      </c>
      <c r="G79" s="269">
        <f>SUM(G75:G78)</f>
        <v>113220.46660401099</v>
      </c>
      <c r="H79" s="271">
        <f>SUM(H75:H78)</f>
        <v>261</v>
      </c>
      <c r="I79" s="429">
        <v>84</v>
      </c>
      <c r="J79" s="309">
        <f>+I79/H79</f>
        <v>0.32183908045977011</v>
      </c>
      <c r="K79" s="269">
        <f>+I79*40</f>
        <v>3360</v>
      </c>
      <c r="L79" s="309">
        <f>+K79/+E79</f>
        <v>3.3994742752544466E-2</v>
      </c>
      <c r="M79" s="429"/>
      <c r="N79" s="276">
        <f t="shared" si="8"/>
        <v>1</v>
      </c>
      <c r="O79" s="276">
        <f t="shared" si="7"/>
        <v>0</v>
      </c>
      <c r="P79" s="335" t="s">
        <v>99</v>
      </c>
    </row>
    <row r="80" spans="1:16">
      <c r="A80" s="429" t="s">
        <v>594</v>
      </c>
      <c r="B80" s="429"/>
      <c r="C80" s="429" t="s">
        <v>399</v>
      </c>
      <c r="D80" s="429"/>
      <c r="E80" s="429"/>
      <c r="F80" s="429"/>
      <c r="G80" s="429"/>
      <c r="H80" s="429"/>
      <c r="I80" s="429"/>
      <c r="J80" s="309"/>
      <c r="K80" s="429"/>
      <c r="L80" s="429"/>
      <c r="M80" s="429"/>
      <c r="N80" s="276">
        <f t="shared" si="8"/>
        <v>0</v>
      </c>
      <c r="O80" s="276">
        <f t="shared" si="7"/>
        <v>0</v>
      </c>
      <c r="P80" s="335" t="s">
        <v>99</v>
      </c>
    </row>
    <row r="81" spans="1:16">
      <c r="A81" s="429" t="s">
        <v>594</v>
      </c>
      <c r="B81" s="429"/>
      <c r="C81" s="429"/>
      <c r="D81" s="270" t="s">
        <v>615</v>
      </c>
      <c r="E81" s="269">
        <v>5792.3906355823447</v>
      </c>
      <c r="F81" s="269">
        <v>16974.662138195152</v>
      </c>
      <c r="G81" s="269">
        <v>22767.052773777497</v>
      </c>
      <c r="H81" s="271">
        <v>35</v>
      </c>
      <c r="I81" s="429"/>
      <c r="J81" s="309"/>
      <c r="K81" s="269"/>
      <c r="L81" s="429"/>
      <c r="M81" s="429"/>
      <c r="N81" s="276">
        <f t="shared" si="8"/>
        <v>0</v>
      </c>
      <c r="O81" s="276">
        <f t="shared" si="7"/>
        <v>0</v>
      </c>
      <c r="P81" s="335" t="s">
        <v>99</v>
      </c>
    </row>
    <row r="82" spans="1:16">
      <c r="A82" s="429" t="s">
        <v>594</v>
      </c>
      <c r="B82" s="429"/>
      <c r="C82" s="429"/>
      <c r="D82" s="270" t="s">
        <v>616</v>
      </c>
      <c r="E82" s="269">
        <v>15567.898321851108</v>
      </c>
      <c r="F82" s="269">
        <v>23209.473068498992</v>
      </c>
      <c r="G82" s="269">
        <v>38777.371390350097</v>
      </c>
      <c r="H82" s="271">
        <v>79</v>
      </c>
      <c r="I82" s="429"/>
      <c r="J82" s="309"/>
      <c r="K82" s="269"/>
      <c r="L82" s="429"/>
      <c r="M82" s="429"/>
      <c r="N82" s="276">
        <f t="shared" si="8"/>
        <v>0</v>
      </c>
      <c r="O82" s="276">
        <f t="shared" si="7"/>
        <v>0</v>
      </c>
      <c r="P82" s="335" t="s">
        <v>99</v>
      </c>
    </row>
    <row r="83" spans="1:16">
      <c r="A83" s="429" t="s">
        <v>594</v>
      </c>
      <c r="B83" s="429"/>
      <c r="C83" s="429"/>
      <c r="D83" s="270"/>
      <c r="E83" s="269">
        <f>SUM(E81:E82)</f>
        <v>21360.288957433451</v>
      </c>
      <c r="F83" s="269">
        <f>SUM(F81:F82)</f>
        <v>40184.135206694147</v>
      </c>
      <c r="G83" s="269">
        <f>SUM(G81:G82)</f>
        <v>61544.424164127595</v>
      </c>
      <c r="H83" s="271">
        <f>SUM(H81:H82)</f>
        <v>114</v>
      </c>
      <c r="I83" s="429">
        <v>37</v>
      </c>
      <c r="J83" s="310">
        <f>+I83/H83</f>
        <v>0.32456140350877194</v>
      </c>
      <c r="K83" s="269">
        <f>+I83*40</f>
        <v>1480</v>
      </c>
      <c r="L83" s="309">
        <f>+K83/+E83</f>
        <v>6.9287452194552596E-2</v>
      </c>
      <c r="M83" s="429"/>
      <c r="N83" s="276">
        <f t="shared" si="8"/>
        <v>1</v>
      </c>
      <c r="O83" s="276">
        <f t="shared" si="7"/>
        <v>0</v>
      </c>
      <c r="P83" s="335" t="s">
        <v>99</v>
      </c>
    </row>
    <row r="84" spans="1:16">
      <c r="A84" s="429"/>
      <c r="B84" s="429"/>
      <c r="C84" s="429"/>
      <c r="D84" s="270"/>
      <c r="E84" s="269"/>
      <c r="F84" s="269"/>
      <c r="G84" s="269"/>
      <c r="H84" s="429"/>
      <c r="I84" s="429"/>
      <c r="J84" s="309"/>
      <c r="K84" s="429"/>
      <c r="L84" s="429"/>
      <c r="M84" s="429"/>
      <c r="N84" s="276">
        <f t="shared" si="8"/>
        <v>0</v>
      </c>
      <c r="O84" s="276">
        <f t="shared" si="7"/>
        <v>0</v>
      </c>
      <c r="P84" s="276">
        <f t="shared" ref="P84" si="9">A84</f>
        <v>0</v>
      </c>
    </row>
    <row r="85" spans="1:16">
      <c r="A85" s="429" t="s">
        <v>617</v>
      </c>
      <c r="B85" s="429" t="s">
        <v>617</v>
      </c>
      <c r="C85" s="429"/>
      <c r="D85" s="429"/>
      <c r="E85" s="429"/>
      <c r="F85" s="429"/>
      <c r="G85" s="429"/>
      <c r="H85" s="429"/>
      <c r="I85" s="429"/>
      <c r="J85" s="309"/>
      <c r="K85" s="429"/>
      <c r="L85" s="429"/>
      <c r="M85" s="429"/>
      <c r="N85" s="276">
        <f t="shared" si="8"/>
        <v>0</v>
      </c>
      <c r="O85" s="276">
        <f t="shared" si="7"/>
        <v>0</v>
      </c>
      <c r="P85" s="335" t="s">
        <v>110</v>
      </c>
    </row>
    <row r="86" spans="1:16">
      <c r="A86" s="429" t="s">
        <v>617</v>
      </c>
      <c r="B86" s="429"/>
      <c r="C86" s="429" t="s">
        <v>503</v>
      </c>
      <c r="D86" s="270" t="s">
        <v>618</v>
      </c>
      <c r="E86" s="269">
        <v>13670.799781397584</v>
      </c>
      <c r="F86" s="269">
        <v>16116.601484760806</v>
      </c>
      <c r="G86" s="269">
        <v>29787.401266158391</v>
      </c>
      <c r="H86" s="269">
        <v>128</v>
      </c>
      <c r="I86" s="429"/>
      <c r="J86" s="309"/>
      <c r="K86" s="269"/>
      <c r="L86" s="429"/>
      <c r="M86" s="429"/>
      <c r="N86" s="276">
        <f t="shared" si="8"/>
        <v>0</v>
      </c>
      <c r="O86" s="276">
        <f t="shared" si="7"/>
        <v>0</v>
      </c>
      <c r="P86" s="335" t="s">
        <v>110</v>
      </c>
    </row>
    <row r="87" spans="1:16">
      <c r="A87" s="429" t="s">
        <v>617</v>
      </c>
      <c r="B87" s="429"/>
      <c r="C87" s="429"/>
      <c r="D87" s="270" t="s">
        <v>619</v>
      </c>
      <c r="E87" s="269">
        <v>12435.830012118753</v>
      </c>
      <c r="F87" s="269">
        <v>922.29792498386655</v>
      </c>
      <c r="G87" s="269">
        <v>13358.127937102619</v>
      </c>
      <c r="H87" s="269">
        <v>86</v>
      </c>
      <c r="I87" s="429"/>
      <c r="J87" s="309"/>
      <c r="K87" s="269"/>
      <c r="L87" s="429"/>
      <c r="M87" s="429"/>
      <c r="N87" s="276">
        <f t="shared" si="8"/>
        <v>0</v>
      </c>
      <c r="O87" s="276">
        <f t="shared" si="7"/>
        <v>0</v>
      </c>
      <c r="P87" s="335" t="s">
        <v>110</v>
      </c>
    </row>
    <row r="88" spans="1:16">
      <c r="A88" s="429" t="s">
        <v>617</v>
      </c>
      <c r="B88" s="429"/>
      <c r="C88" s="429"/>
      <c r="D88" s="270" t="s">
        <v>620</v>
      </c>
      <c r="E88" s="269">
        <v>30641.678194337284</v>
      </c>
      <c r="F88" s="269">
        <v>1300.9199076165623</v>
      </c>
      <c r="G88" s="269">
        <v>31942.598101953845</v>
      </c>
      <c r="H88" s="269">
        <v>138</v>
      </c>
      <c r="I88" s="429"/>
      <c r="J88" s="309"/>
      <c r="K88" s="269"/>
      <c r="L88" s="429"/>
      <c r="M88" s="429"/>
      <c r="N88" s="276">
        <f t="shared" si="8"/>
        <v>0</v>
      </c>
      <c r="O88" s="276">
        <f t="shared" si="7"/>
        <v>0</v>
      </c>
      <c r="P88" s="335" t="s">
        <v>110</v>
      </c>
    </row>
    <row r="89" spans="1:16">
      <c r="A89" s="429" t="s">
        <v>617</v>
      </c>
      <c r="B89" s="429"/>
      <c r="C89" s="429"/>
      <c r="D89" s="429"/>
      <c r="E89" s="271">
        <f>SUM(E86:E88)</f>
        <v>56748.307987853623</v>
      </c>
      <c r="F89" s="271">
        <f>SUM(F86:F88)</f>
        <v>18339.819317361238</v>
      </c>
      <c r="G89" s="271">
        <f>SUM(G86:G88)</f>
        <v>75088.127305214846</v>
      </c>
      <c r="H89" s="271">
        <f>SUM(H86:H88)</f>
        <v>352</v>
      </c>
      <c r="I89" s="429">
        <v>275</v>
      </c>
      <c r="J89" s="310">
        <f>+I89/H89</f>
        <v>0.78125</v>
      </c>
      <c r="K89" s="269">
        <f>+I89*40</f>
        <v>11000</v>
      </c>
      <c r="L89" s="309">
        <f>+K89/+E89</f>
        <v>0.19383837844741439</v>
      </c>
      <c r="M89" s="429"/>
      <c r="N89" s="276">
        <f t="shared" si="8"/>
        <v>1</v>
      </c>
      <c r="O89" s="276">
        <f t="shared" si="7"/>
        <v>0</v>
      </c>
      <c r="P89" s="335" t="s">
        <v>110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V93"/>
  <sheetViews>
    <sheetView zoomScale="70" zoomScaleNormal="70" workbookViewId="0"/>
  </sheetViews>
  <sheetFormatPr defaultRowHeight="14.25"/>
  <cols>
    <col min="2" max="3" width="33.1328125" style="38" bestFit="1" customWidth="1"/>
    <col min="4" max="4" width="11.86328125" style="39" bestFit="1" customWidth="1"/>
    <col min="5" max="5" width="16.1328125" customWidth="1"/>
    <col min="6" max="6" width="34.59765625" style="38" customWidth="1"/>
    <col min="7" max="7" width="8.3984375" style="38" customWidth="1"/>
    <col min="8" max="8" width="8.3984375" style="210" customWidth="1"/>
    <col min="9" max="9" width="23.3984375" style="38" customWidth="1"/>
    <col min="10" max="10" width="12.1328125" style="38" customWidth="1"/>
    <col min="12" max="12" width="32" style="2" customWidth="1"/>
    <col min="13" max="13" width="10.265625" customWidth="1"/>
    <col min="14" max="15" width="12" customWidth="1"/>
    <col min="16" max="16" width="11.265625" style="38" customWidth="1"/>
    <col min="17" max="17" width="8.73046875" style="233"/>
    <col min="18" max="18" width="14" style="235" customWidth="1"/>
    <col min="19" max="19" width="12.265625" style="210" customWidth="1"/>
    <col min="20" max="20" width="8.73046875" style="210"/>
    <col min="21" max="21" width="11" style="210" customWidth="1"/>
    <col min="22" max="22" width="13" style="210" customWidth="1"/>
  </cols>
  <sheetData>
    <row r="1" spans="1:22">
      <c r="A1" s="429" t="s">
        <v>232</v>
      </c>
      <c r="B1" s="429"/>
      <c r="C1" s="429">
        <v>300</v>
      </c>
      <c r="D1" s="429" t="s">
        <v>631</v>
      </c>
      <c r="E1" s="429" t="s">
        <v>632</v>
      </c>
      <c r="F1" s="406"/>
      <c r="G1" s="406"/>
      <c r="I1" s="406"/>
      <c r="J1" s="406"/>
      <c r="K1" s="429"/>
      <c r="L1" s="269"/>
      <c r="M1" s="429"/>
      <c r="N1" s="429"/>
      <c r="O1" s="429"/>
      <c r="P1" s="406"/>
    </row>
    <row r="2" spans="1:22" s="117" customFormat="1">
      <c r="A2" s="429"/>
      <c r="B2" s="429"/>
      <c r="C2" s="429">
        <v>3000</v>
      </c>
      <c r="D2" s="429" t="s">
        <v>631</v>
      </c>
      <c r="E2" s="429" t="s">
        <v>633</v>
      </c>
      <c r="F2" s="406"/>
      <c r="G2" s="406"/>
      <c r="H2" s="210"/>
      <c r="I2" s="406"/>
      <c r="J2" s="406"/>
      <c r="K2" s="429"/>
      <c r="L2" s="269"/>
      <c r="M2" s="429"/>
      <c r="N2" s="429"/>
      <c r="O2" s="429"/>
      <c r="P2" s="406"/>
      <c r="Q2" s="233"/>
      <c r="R2" s="235"/>
      <c r="S2" s="210"/>
      <c r="T2" s="210"/>
      <c r="U2" s="210"/>
      <c r="V2" s="210"/>
    </row>
    <row r="3" spans="1:22">
      <c r="A3" s="429" t="s">
        <v>234</v>
      </c>
      <c r="B3" s="429"/>
      <c r="C3" s="429">
        <v>2000</v>
      </c>
      <c r="D3" s="429" t="s">
        <v>634</v>
      </c>
      <c r="E3" s="429" t="s">
        <v>633</v>
      </c>
      <c r="F3" s="406"/>
      <c r="G3" s="406"/>
      <c r="I3" s="406"/>
      <c r="J3" s="406"/>
      <c r="K3" s="429"/>
      <c r="L3" s="269"/>
      <c r="M3" s="429"/>
      <c r="N3" s="429"/>
      <c r="O3" s="429"/>
      <c r="P3" s="406"/>
    </row>
    <row r="4" spans="1:22">
      <c r="A4" s="429" t="s">
        <v>235</v>
      </c>
      <c r="B4" s="429"/>
      <c r="C4" s="429" t="s">
        <v>236</v>
      </c>
      <c r="D4" s="429"/>
      <c r="E4" s="429"/>
      <c r="F4" s="406"/>
      <c r="G4" s="406"/>
      <c r="I4" s="406"/>
      <c r="J4" s="406"/>
      <c r="K4" s="429"/>
      <c r="L4" s="269"/>
      <c r="M4" s="429"/>
      <c r="N4" s="429"/>
      <c r="O4" s="429"/>
      <c r="P4" s="406"/>
    </row>
    <row r="5" spans="1:22" ht="14.65" thickBot="1">
      <c r="A5" s="429"/>
      <c r="B5" s="429"/>
      <c r="C5" s="429"/>
      <c r="D5" s="429"/>
      <c r="E5" s="429"/>
      <c r="F5" s="406"/>
      <c r="G5" s="406"/>
      <c r="I5" s="406"/>
      <c r="J5" s="406"/>
      <c r="K5" s="429"/>
      <c r="L5" s="269"/>
      <c r="M5" s="429"/>
      <c r="N5" s="429"/>
      <c r="O5" s="429"/>
      <c r="P5" s="406"/>
      <c r="R5" s="235" t="s">
        <v>635</v>
      </c>
    </row>
    <row r="6" spans="1:22" s="13" customFormat="1" ht="99.75">
      <c r="B6" s="25" t="s">
        <v>636</v>
      </c>
      <c r="C6" s="26"/>
      <c r="D6" s="27"/>
      <c r="F6" s="41" t="s">
        <v>637</v>
      </c>
      <c r="G6" s="42" t="s">
        <v>767</v>
      </c>
      <c r="H6" s="232" t="s">
        <v>768</v>
      </c>
      <c r="I6" s="26" t="s">
        <v>242</v>
      </c>
      <c r="J6" s="43" t="s">
        <v>638</v>
      </c>
      <c r="L6" s="54" t="s">
        <v>639</v>
      </c>
      <c r="M6" s="42" t="s">
        <v>640</v>
      </c>
      <c r="N6" s="42" t="s">
        <v>641</v>
      </c>
      <c r="O6" s="77" t="s">
        <v>642</v>
      </c>
      <c r="P6" s="413" t="s">
        <v>643</v>
      </c>
      <c r="Q6" s="234"/>
      <c r="R6" s="236" t="s">
        <v>639</v>
      </c>
      <c r="S6" s="232" t="s">
        <v>640</v>
      </c>
      <c r="T6" s="232" t="s">
        <v>641</v>
      </c>
      <c r="U6" s="237" t="s">
        <v>642</v>
      </c>
      <c r="V6" s="416" t="s">
        <v>643</v>
      </c>
    </row>
    <row r="7" spans="1:22">
      <c r="A7" s="429"/>
      <c r="B7" s="28"/>
      <c r="C7" s="29" t="s">
        <v>644</v>
      </c>
      <c r="D7" s="130" t="s">
        <v>645</v>
      </c>
      <c r="E7" s="137"/>
      <c r="F7" s="131" t="s">
        <v>47</v>
      </c>
      <c r="G7" s="40">
        <f>SUMIF(SelectedPortfolio_2019RSP!B:B,F7,SelectedPortfolio_2019RSP!N:N)</f>
        <v>0</v>
      </c>
      <c r="H7" s="220">
        <f>SUMIF(SelectedPortfolio_2019RSP!B:B,F7,SelectedPortfolio_2019RSP!O:O)</f>
        <v>0</v>
      </c>
      <c r="I7" s="132"/>
      <c r="J7" s="133"/>
      <c r="K7" s="1"/>
      <c r="L7" s="55" t="str">
        <f>IF(I7="","",SUMIFS(D:D,B:B,I7,C:C,J7))</f>
        <v/>
      </c>
      <c r="M7" s="40" t="str">
        <f t="shared" ref="M7:M38" si="0">IFERROR(G7-L7,"")</f>
        <v/>
      </c>
      <c r="N7" s="48" t="str">
        <f t="shared" ref="N7:N38" si="1">IFERROR(G7/L7,"No commercial interest; "&amp;G7&amp;" MW selected")</f>
        <v>No commercial interest; 0 MW selected</v>
      </c>
      <c r="O7" s="78">
        <f t="shared" ref="O7:O38" si="2">IF(AND(L7=0,M7&gt;$C$1),1,0)</f>
        <v>0</v>
      </c>
      <c r="P7" s="414" t="str">
        <f t="shared" ref="P7" si="3">IFERROR(IF(OR(ABS(M7)&gt;$C$2,O7=1),3,IF(ABS(M7)&gt;$C$3,2,1)),"")</f>
        <v/>
      </c>
      <c r="R7" s="417" t="str">
        <f t="shared" ref="R7:R38" si="4">IF(I7="","",SUMIFS(D:D,B:B,I7,C:C,J7))</f>
        <v/>
      </c>
      <c r="S7" s="216"/>
      <c r="T7" s="216"/>
      <c r="U7" s="216"/>
      <c r="V7" s="418"/>
    </row>
    <row r="8" spans="1:22">
      <c r="A8" s="429"/>
      <c r="B8" s="31">
        <v>0</v>
      </c>
      <c r="C8" s="32">
        <v>0</v>
      </c>
      <c r="D8" s="30">
        <v>3204.7329999999997</v>
      </c>
      <c r="E8" s="137"/>
      <c r="F8" s="44" t="s">
        <v>49</v>
      </c>
      <c r="G8" s="40">
        <f>SUMIF(SelectedPortfolio_2019RSP!B:B,F8,SelectedPortfolio_2019RSP!N:N)</f>
        <v>0</v>
      </c>
      <c r="H8" s="220">
        <f>SUMIF(SelectedPortfolio_2019RSP!B:B,F8,SelectedPortfolio_2019RSP!O:O)</f>
        <v>0</v>
      </c>
      <c r="I8" s="33" t="s">
        <v>263</v>
      </c>
      <c r="J8" s="45" t="s">
        <v>646</v>
      </c>
      <c r="K8" s="429"/>
      <c r="L8" s="55">
        <v>100</v>
      </c>
      <c r="M8" s="40">
        <f t="shared" si="0"/>
        <v>-100</v>
      </c>
      <c r="N8" s="48">
        <f t="shared" si="1"/>
        <v>0</v>
      </c>
      <c r="O8" s="78">
        <f t="shared" si="2"/>
        <v>0</v>
      </c>
      <c r="P8" s="414">
        <f t="shared" ref="P8:P10" si="5">IFERROR(IF(OR(ABS(M8)&gt;$C$2,O8=1),3,IF(ABS(M8)&gt;$C$3,2,1)),"")</f>
        <v>1</v>
      </c>
      <c r="R8" s="417">
        <f t="shared" si="4"/>
        <v>0</v>
      </c>
      <c r="S8" s="220">
        <f>IFERROR(L8-H8,"")</f>
        <v>100</v>
      </c>
      <c r="T8" s="238" t="str">
        <f>IFERROR(H8/R8,"No commercial interest; "&amp;H8&amp;" MW selected")</f>
        <v>No commercial interest; 0 MW selected</v>
      </c>
      <c r="U8" s="239">
        <f>IF(AND(R8=0,S8&gt;$C$1),1,0)</f>
        <v>0</v>
      </c>
      <c r="V8" s="414">
        <f t="shared" ref="V8:V71" si="6">IFERROR(IF(OR(ABS(S8)&gt;$C$2,U8=1),3,IF(ABS(S8)&gt;$C$3,2,1)),"")</f>
        <v>1</v>
      </c>
    </row>
    <row r="9" spans="1:22">
      <c r="A9" s="429"/>
      <c r="B9" s="31">
        <v>0</v>
      </c>
      <c r="C9" s="32" t="s">
        <v>647</v>
      </c>
      <c r="D9" s="30">
        <v>1102.2649999999999</v>
      </c>
      <c r="E9" s="137"/>
      <c r="F9" s="44" t="s">
        <v>53</v>
      </c>
      <c r="G9" s="40">
        <f>SUMIF(SelectedPortfolio_2019RSP!B:B,F9,SelectedPortfolio_2019RSP!N:N)</f>
        <v>0</v>
      </c>
      <c r="H9" s="220">
        <f>SUMIF(SelectedPortfolio_2019RSP!B:B,F9,SelectedPortfolio_2019RSP!O:O)</f>
        <v>0</v>
      </c>
      <c r="I9" s="32" t="s">
        <v>265</v>
      </c>
      <c r="J9" s="46"/>
      <c r="K9" s="429"/>
      <c r="L9" s="55">
        <f t="shared" ref="L9:L34" si="7">IF(I9="","",SUMIFS(D:D,B:B,I9,C:C,J9))</f>
        <v>0</v>
      </c>
      <c r="M9" s="40">
        <f t="shared" si="0"/>
        <v>0</v>
      </c>
      <c r="N9" s="48" t="str">
        <f t="shared" si="1"/>
        <v>No commercial interest; 0 MW selected</v>
      </c>
      <c r="O9" s="78">
        <f t="shared" si="2"/>
        <v>0</v>
      </c>
      <c r="P9" s="414">
        <f t="shared" ref="P9" si="8">IFERROR(IF(OR(ABS(M9)&gt;$C$2,O9=1),3,IF(ABS(M9)&gt;$C$3,2,1)),"")</f>
        <v>1</v>
      </c>
      <c r="R9" s="417">
        <f t="shared" si="4"/>
        <v>0</v>
      </c>
      <c r="S9" s="220">
        <f t="shared" ref="S9:S72" si="9">IFERROR(L9-H9,"")</f>
        <v>0</v>
      </c>
      <c r="T9" s="238" t="str">
        <f t="shared" ref="T9:T72" si="10">IFERROR(H9/R9,"No commercial interest; "&amp;H9&amp;" MW selected")</f>
        <v>No commercial interest; 0 MW selected</v>
      </c>
      <c r="U9" s="239">
        <f t="shared" ref="U9:U72" si="11">IF(AND(R9=0,S9&gt;$C$1),1,0)</f>
        <v>0</v>
      </c>
      <c r="V9" s="414">
        <f t="shared" si="6"/>
        <v>1</v>
      </c>
    </row>
    <row r="10" spans="1:22">
      <c r="A10" s="429"/>
      <c r="B10" s="31">
        <v>0</v>
      </c>
      <c r="C10" s="32" t="s">
        <v>648</v>
      </c>
      <c r="D10" s="30">
        <v>1571.848</v>
      </c>
      <c r="E10" s="137"/>
      <c r="F10" s="44" t="s">
        <v>189</v>
      </c>
      <c r="G10" s="40">
        <f>SUMIF(SelectedPortfolio_2019RSP!B:B,F10,SelectedPortfolio_2019RSP!N:N)</f>
        <v>0</v>
      </c>
      <c r="H10" s="220">
        <f>SUMIF(SelectedPortfolio_2019RSP!B:B,F10,SelectedPortfolio_2019RSP!O:O)</f>
        <v>0</v>
      </c>
      <c r="I10" s="40" t="s">
        <v>298</v>
      </c>
      <c r="J10" s="45" t="s">
        <v>646</v>
      </c>
      <c r="K10" s="429"/>
      <c r="L10" s="55">
        <f t="shared" si="7"/>
        <v>0</v>
      </c>
      <c r="M10" s="40">
        <f t="shared" si="0"/>
        <v>0</v>
      </c>
      <c r="N10" s="48" t="str">
        <f t="shared" si="1"/>
        <v>No commercial interest; 0 MW selected</v>
      </c>
      <c r="O10" s="78">
        <f t="shared" si="2"/>
        <v>0</v>
      </c>
      <c r="P10" s="414">
        <f t="shared" si="5"/>
        <v>1</v>
      </c>
      <c r="R10" s="417">
        <f t="shared" si="4"/>
        <v>0</v>
      </c>
      <c r="S10" s="220">
        <f t="shared" si="9"/>
        <v>0</v>
      </c>
      <c r="T10" s="238" t="str">
        <f t="shared" si="10"/>
        <v>No commercial interest; 0 MW selected</v>
      </c>
      <c r="U10" s="239">
        <f t="shared" si="11"/>
        <v>0</v>
      </c>
      <c r="V10" s="414">
        <f t="shared" si="6"/>
        <v>1</v>
      </c>
    </row>
    <row r="11" spans="1:22">
      <c r="A11" s="429"/>
      <c r="B11" s="31">
        <v>0</v>
      </c>
      <c r="C11" s="32" t="s">
        <v>649</v>
      </c>
      <c r="D11" s="30">
        <v>530.62</v>
      </c>
      <c r="E11" s="137"/>
      <c r="F11" s="44" t="s">
        <v>55</v>
      </c>
      <c r="G11" s="40">
        <f>SUMIF(SelectedPortfolio_2019RSP!B:B,F11,SelectedPortfolio_2019RSP!N:N)</f>
        <v>0</v>
      </c>
      <c r="H11" s="220">
        <f>SUMIF(SelectedPortfolio_2019RSP!B:B,F11,SelectedPortfolio_2019RSP!O:O)</f>
        <v>0</v>
      </c>
      <c r="I11" s="33"/>
      <c r="J11" s="47"/>
      <c r="K11" s="429"/>
      <c r="L11" s="55" t="str">
        <f t="shared" si="7"/>
        <v/>
      </c>
      <c r="M11" s="40" t="str">
        <f t="shared" si="0"/>
        <v/>
      </c>
      <c r="N11" s="48" t="str">
        <f t="shared" si="1"/>
        <v>No commercial interest; 0 MW selected</v>
      </c>
      <c r="O11" s="78">
        <f t="shared" si="2"/>
        <v>0</v>
      </c>
      <c r="P11" s="414" t="str">
        <f>IFERROR(IF(OR(ABS(M11)&gt;$C$2,O11=1),3,IF(ABS(M11)&gt;$C$3,2,1)),"")</f>
        <v/>
      </c>
      <c r="R11" s="417" t="str">
        <f t="shared" si="4"/>
        <v/>
      </c>
      <c r="S11" s="220" t="str">
        <f t="shared" si="9"/>
        <v/>
      </c>
      <c r="T11" s="238" t="str">
        <f t="shared" si="10"/>
        <v>No commercial interest; 0 MW selected</v>
      </c>
      <c r="U11" s="239">
        <f t="shared" si="11"/>
        <v>0</v>
      </c>
      <c r="V11" s="414" t="str">
        <f t="shared" si="6"/>
        <v/>
      </c>
    </row>
    <row r="12" spans="1:22">
      <c r="A12" s="429"/>
      <c r="B12" s="31" t="s">
        <v>265</v>
      </c>
      <c r="C12" s="32" t="s">
        <v>265</v>
      </c>
      <c r="D12" s="30">
        <v>1300.5</v>
      </c>
      <c r="E12" s="137"/>
      <c r="F12" s="44" t="s">
        <v>56</v>
      </c>
      <c r="G12" s="40">
        <f>SUMIF(SelectedPortfolio_2019RSP!B:B,F12,SelectedPortfolio_2019RSP!N:N)</f>
        <v>0</v>
      </c>
      <c r="H12" s="220">
        <f>SUMIF(SelectedPortfolio_2019RSP!B:B,F12,SelectedPortfolio_2019RSP!O:O)</f>
        <v>0</v>
      </c>
      <c r="I12" s="33" t="s">
        <v>271</v>
      </c>
      <c r="J12" s="45" t="s">
        <v>646</v>
      </c>
      <c r="K12" s="429"/>
      <c r="L12" s="55">
        <f t="shared" si="7"/>
        <v>0</v>
      </c>
      <c r="M12" s="40">
        <f t="shared" si="0"/>
        <v>0</v>
      </c>
      <c r="N12" s="48" t="str">
        <f t="shared" si="1"/>
        <v>No commercial interest; 0 MW selected</v>
      </c>
      <c r="O12" s="78">
        <f t="shared" si="2"/>
        <v>0</v>
      </c>
      <c r="P12" s="414">
        <f t="shared" ref="P12:P16" si="12">IFERROR(IF(OR(ABS(M12)&gt;$C$2,O12=1),3,IF(ABS(M12)&gt;$C$3,2,1)),"")</f>
        <v>1</v>
      </c>
      <c r="R12" s="417">
        <f t="shared" si="4"/>
        <v>0</v>
      </c>
      <c r="S12" s="220">
        <f t="shared" si="9"/>
        <v>0</v>
      </c>
      <c r="T12" s="238" t="str">
        <f t="shared" si="10"/>
        <v>No commercial interest; 0 MW selected</v>
      </c>
      <c r="U12" s="239">
        <f t="shared" si="11"/>
        <v>0</v>
      </c>
      <c r="V12" s="414">
        <f t="shared" si="6"/>
        <v>1</v>
      </c>
    </row>
    <row r="13" spans="1:22">
      <c r="A13" s="429"/>
      <c r="B13" s="31" t="s">
        <v>265</v>
      </c>
      <c r="C13" s="32" t="s">
        <v>647</v>
      </c>
      <c r="D13" s="30">
        <v>824.26</v>
      </c>
      <c r="E13" s="137"/>
      <c r="F13" s="44" t="s">
        <v>57</v>
      </c>
      <c r="G13" s="40">
        <f>SUMIF(SelectedPortfolio_2019RSP!B:B,F13,SelectedPortfolio_2019RSP!N:N)</f>
        <v>0</v>
      </c>
      <c r="H13" s="220">
        <f>SUMIF(SelectedPortfolio_2019RSP!B:B,F13,SelectedPortfolio_2019RSP!O:O)</f>
        <v>0</v>
      </c>
      <c r="I13" s="32" t="s">
        <v>272</v>
      </c>
      <c r="J13" s="45" t="s">
        <v>646</v>
      </c>
      <c r="K13" s="429"/>
      <c r="L13" s="55">
        <f t="shared" si="7"/>
        <v>0</v>
      </c>
      <c r="M13" s="40">
        <f t="shared" si="0"/>
        <v>0</v>
      </c>
      <c r="N13" s="48" t="str">
        <f t="shared" si="1"/>
        <v>No commercial interest; 0 MW selected</v>
      </c>
      <c r="O13" s="78">
        <f t="shared" si="2"/>
        <v>0</v>
      </c>
      <c r="P13" s="414">
        <f t="shared" si="12"/>
        <v>1</v>
      </c>
      <c r="R13" s="417">
        <f t="shared" si="4"/>
        <v>0</v>
      </c>
      <c r="S13" s="220">
        <f t="shared" si="9"/>
        <v>0</v>
      </c>
      <c r="T13" s="238" t="str">
        <f t="shared" si="10"/>
        <v>No commercial interest; 0 MW selected</v>
      </c>
      <c r="U13" s="239">
        <f t="shared" si="11"/>
        <v>0</v>
      </c>
      <c r="V13" s="414">
        <f t="shared" si="6"/>
        <v>1</v>
      </c>
    </row>
    <row r="14" spans="1:22">
      <c r="A14" s="429"/>
      <c r="B14" s="31" t="s">
        <v>265</v>
      </c>
      <c r="C14" s="32" t="s">
        <v>648</v>
      </c>
      <c r="D14" s="30">
        <v>476.24</v>
      </c>
      <c r="E14" s="137"/>
      <c r="F14" s="44" t="s">
        <v>58</v>
      </c>
      <c r="G14" s="40">
        <f>SUMIF(SelectedPortfolio_2019RSP!B:B,F14,SelectedPortfolio_2019RSP!N:N)</f>
        <v>0</v>
      </c>
      <c r="H14" s="220">
        <f>SUMIF(SelectedPortfolio_2019RSP!B:B,F14,SelectedPortfolio_2019RSP!O:O)</f>
        <v>0</v>
      </c>
      <c r="I14" s="40"/>
      <c r="J14" s="46"/>
      <c r="K14" s="429"/>
      <c r="L14" s="55" t="str">
        <f t="shared" si="7"/>
        <v/>
      </c>
      <c r="M14" s="40" t="str">
        <f t="shared" si="0"/>
        <v/>
      </c>
      <c r="N14" s="48" t="str">
        <f t="shared" si="1"/>
        <v>No commercial interest; 0 MW selected</v>
      </c>
      <c r="O14" s="78">
        <f t="shared" si="2"/>
        <v>0</v>
      </c>
      <c r="P14" s="414" t="str">
        <f t="shared" si="12"/>
        <v/>
      </c>
      <c r="R14" s="417" t="str">
        <f t="shared" si="4"/>
        <v/>
      </c>
      <c r="S14" s="220" t="str">
        <f t="shared" si="9"/>
        <v/>
      </c>
      <c r="T14" s="238" t="str">
        <f t="shared" si="10"/>
        <v>No commercial interest; 0 MW selected</v>
      </c>
      <c r="U14" s="239">
        <f t="shared" si="11"/>
        <v>0</v>
      </c>
      <c r="V14" s="414" t="str">
        <f t="shared" si="6"/>
        <v/>
      </c>
    </row>
    <row r="15" spans="1:22">
      <c r="A15" s="429"/>
      <c r="B15" s="31" t="s">
        <v>287</v>
      </c>
      <c r="C15" s="32" t="s">
        <v>287</v>
      </c>
      <c r="D15" s="30">
        <v>320.92</v>
      </c>
      <c r="E15" s="137"/>
      <c r="F15" s="44" t="s">
        <v>59</v>
      </c>
      <c r="G15" s="40">
        <f>SUMIF(SelectedPortfolio_2019RSP!B:B,F15,SelectedPortfolio_2019RSP!N:N)</f>
        <v>0</v>
      </c>
      <c r="H15" s="220">
        <f>SUMIF(SelectedPortfolio_2019RSP!B:B,F15,SelectedPortfolio_2019RSP!O:O)</f>
        <v>0</v>
      </c>
      <c r="I15" s="33" t="s">
        <v>277</v>
      </c>
      <c r="J15" s="47" t="s">
        <v>647</v>
      </c>
      <c r="K15" s="429"/>
      <c r="L15" s="55">
        <f t="shared" si="7"/>
        <v>0</v>
      </c>
      <c r="M15" s="40">
        <f t="shared" si="0"/>
        <v>0</v>
      </c>
      <c r="N15" s="48" t="str">
        <f t="shared" si="1"/>
        <v>No commercial interest; 0 MW selected</v>
      </c>
      <c r="O15" s="78">
        <f t="shared" si="2"/>
        <v>0</v>
      </c>
      <c r="P15" s="414">
        <f t="shared" si="12"/>
        <v>1</v>
      </c>
      <c r="R15" s="417">
        <f t="shared" si="4"/>
        <v>0</v>
      </c>
      <c r="S15" s="220">
        <f t="shared" si="9"/>
        <v>0</v>
      </c>
      <c r="T15" s="238" t="str">
        <f t="shared" si="10"/>
        <v>No commercial interest; 0 MW selected</v>
      </c>
      <c r="U15" s="239">
        <f t="shared" si="11"/>
        <v>0</v>
      </c>
      <c r="V15" s="414">
        <f t="shared" si="6"/>
        <v>1</v>
      </c>
    </row>
    <row r="16" spans="1:22">
      <c r="A16" s="429"/>
      <c r="B16" s="31" t="s">
        <v>287</v>
      </c>
      <c r="C16" s="32" t="s">
        <v>647</v>
      </c>
      <c r="D16" s="30">
        <v>210.88</v>
      </c>
      <c r="E16" s="137"/>
      <c r="F16" s="44" t="s">
        <v>60</v>
      </c>
      <c r="G16" s="40">
        <f>SUMIF(SelectedPortfolio_2019RSP!B:B,F16,SelectedPortfolio_2019RSP!N:N)</f>
        <v>287</v>
      </c>
      <c r="H16" s="220">
        <f>SUMIF(SelectedPortfolio_2019RSP!B:B,F16,SelectedPortfolio_2019RSP!O:O)</f>
        <v>287</v>
      </c>
      <c r="I16" s="40" t="s">
        <v>277</v>
      </c>
      <c r="J16" s="46" t="s">
        <v>649</v>
      </c>
      <c r="K16" s="429"/>
      <c r="L16" s="55">
        <f t="shared" si="7"/>
        <v>0</v>
      </c>
      <c r="M16" s="40">
        <f t="shared" si="0"/>
        <v>287</v>
      </c>
      <c r="N16" s="48" t="str">
        <f t="shared" si="1"/>
        <v>No commercial interest; 287 MW selected</v>
      </c>
      <c r="O16" s="78">
        <f t="shared" si="2"/>
        <v>0</v>
      </c>
      <c r="P16" s="414">
        <f t="shared" si="12"/>
        <v>1</v>
      </c>
      <c r="R16" s="417">
        <f t="shared" si="4"/>
        <v>0</v>
      </c>
      <c r="S16" s="220">
        <f t="shared" si="9"/>
        <v>-287</v>
      </c>
      <c r="T16" s="238" t="str">
        <f t="shared" si="10"/>
        <v>No commercial interest; 287 MW selected</v>
      </c>
      <c r="U16" s="239">
        <f t="shared" si="11"/>
        <v>0</v>
      </c>
      <c r="V16" s="414">
        <f t="shared" si="6"/>
        <v>1</v>
      </c>
    </row>
    <row r="17" spans="2:22">
      <c r="B17" s="31" t="s">
        <v>287</v>
      </c>
      <c r="C17" s="32" t="s">
        <v>648</v>
      </c>
      <c r="D17" s="30">
        <v>110.04</v>
      </c>
      <c r="E17" s="137"/>
      <c r="F17" s="44" t="s">
        <v>62</v>
      </c>
      <c r="G17" s="40">
        <f>SUMIF(SelectedPortfolio_2019RSP!B:B,F17,SelectedPortfolio_2019RSP!N:N)</f>
        <v>0</v>
      </c>
      <c r="H17" s="220">
        <f>SUMIF(SelectedPortfolio_2019RSP!B:B,F17,SelectedPortfolio_2019RSP!O:O)</f>
        <v>0</v>
      </c>
      <c r="I17" s="40" t="s">
        <v>282</v>
      </c>
      <c r="J17" s="47" t="s">
        <v>647</v>
      </c>
      <c r="K17" s="429"/>
      <c r="L17" s="55">
        <f t="shared" si="7"/>
        <v>298.35000000000002</v>
      </c>
      <c r="M17" s="40">
        <f t="shared" si="0"/>
        <v>-298.35000000000002</v>
      </c>
      <c r="N17" s="48">
        <f t="shared" si="1"/>
        <v>0</v>
      </c>
      <c r="O17" s="78">
        <f t="shared" si="2"/>
        <v>0</v>
      </c>
      <c r="P17" s="414">
        <f t="shared" ref="P17:P18" si="13">IFERROR(IF(OR(ABS(M17)&gt;$C$2,O17=1),3,IF(ABS(M17)&gt;$C$3,2,1)),"")</f>
        <v>1</v>
      </c>
      <c r="R17" s="417">
        <f t="shared" si="4"/>
        <v>298.35000000000002</v>
      </c>
      <c r="S17" s="220">
        <f t="shared" si="9"/>
        <v>298.35000000000002</v>
      </c>
      <c r="T17" s="238">
        <f t="shared" si="10"/>
        <v>0</v>
      </c>
      <c r="U17" s="239">
        <f t="shared" si="11"/>
        <v>0</v>
      </c>
      <c r="V17" s="414">
        <f t="shared" si="6"/>
        <v>1</v>
      </c>
    </row>
    <row r="18" spans="2:22">
      <c r="B18" s="31" t="s">
        <v>214</v>
      </c>
      <c r="C18" s="32" t="s">
        <v>214</v>
      </c>
      <c r="D18" s="30">
        <v>1319.1</v>
      </c>
      <c r="E18" s="137"/>
      <c r="F18" s="44" t="s">
        <v>63</v>
      </c>
      <c r="G18" s="40">
        <f>SUMIF(SelectedPortfolio_2019RSP!B:B,F18,SelectedPortfolio_2019RSP!N:N)</f>
        <v>173</v>
      </c>
      <c r="H18" s="220">
        <f>SUMIF(SelectedPortfolio_2019RSP!B:B,F18,SelectedPortfolio_2019RSP!O:O)</f>
        <v>173</v>
      </c>
      <c r="I18" s="40" t="s">
        <v>282</v>
      </c>
      <c r="J18" s="46" t="s">
        <v>649</v>
      </c>
      <c r="K18" s="429"/>
      <c r="L18" s="55">
        <f t="shared" si="7"/>
        <v>0</v>
      </c>
      <c r="M18" s="40">
        <f t="shared" si="0"/>
        <v>173</v>
      </c>
      <c r="N18" s="48" t="str">
        <f t="shared" si="1"/>
        <v>No commercial interest; 173 MW selected</v>
      </c>
      <c r="O18" s="78">
        <f t="shared" si="2"/>
        <v>0</v>
      </c>
      <c r="P18" s="414">
        <f t="shared" si="13"/>
        <v>1</v>
      </c>
      <c r="R18" s="417">
        <f t="shared" si="4"/>
        <v>0</v>
      </c>
      <c r="S18" s="220">
        <f t="shared" si="9"/>
        <v>-173</v>
      </c>
      <c r="T18" s="238" t="str">
        <f t="shared" si="10"/>
        <v>No commercial interest; 173 MW selected</v>
      </c>
      <c r="U18" s="239">
        <f t="shared" si="11"/>
        <v>0</v>
      </c>
      <c r="V18" s="414">
        <f t="shared" si="6"/>
        <v>1</v>
      </c>
    </row>
    <row r="19" spans="2:22">
      <c r="B19" s="31" t="s">
        <v>214</v>
      </c>
      <c r="C19" s="32" t="s">
        <v>648</v>
      </c>
      <c r="D19" s="30">
        <v>1319.1</v>
      </c>
      <c r="E19" s="137"/>
      <c r="F19" s="44" t="s">
        <v>65</v>
      </c>
      <c r="G19" s="40">
        <f>SUMIF(SelectedPortfolio_2019RSP!B:B,F19,SelectedPortfolio_2019RSP!N:N)</f>
        <v>0</v>
      </c>
      <c r="H19" s="220">
        <f>SUMIF(SelectedPortfolio_2019RSP!B:B,F19,SelectedPortfolio_2019RSP!O:O)</f>
        <v>0</v>
      </c>
      <c r="I19" s="40"/>
      <c r="J19" s="47"/>
      <c r="K19" s="429"/>
      <c r="L19" s="55" t="str">
        <f t="shared" si="7"/>
        <v/>
      </c>
      <c r="M19" s="40" t="str">
        <f t="shared" si="0"/>
        <v/>
      </c>
      <c r="N19" s="48" t="str">
        <f t="shared" si="1"/>
        <v>No commercial interest; 0 MW selected</v>
      </c>
      <c r="O19" s="78">
        <f t="shared" si="2"/>
        <v>0</v>
      </c>
      <c r="P19" s="414" t="str">
        <f t="shared" ref="P19:P24" si="14">IFERROR(IF(OR(ABS(M19)&gt;$C$2,O19=1),3,IF(ABS(M19)&gt;$C$3,2,1)),"")</f>
        <v/>
      </c>
      <c r="R19" s="417" t="str">
        <f t="shared" si="4"/>
        <v/>
      </c>
      <c r="S19" s="220" t="str">
        <f t="shared" si="9"/>
        <v/>
      </c>
      <c r="T19" s="238" t="str">
        <f t="shared" si="10"/>
        <v>No commercial interest; 0 MW selected</v>
      </c>
      <c r="U19" s="239">
        <f t="shared" si="11"/>
        <v>0</v>
      </c>
      <c r="V19" s="414" t="str">
        <f t="shared" si="6"/>
        <v/>
      </c>
    </row>
    <row r="20" spans="2:22">
      <c r="B20" s="31" t="s">
        <v>300</v>
      </c>
      <c r="C20" s="32" t="s">
        <v>300</v>
      </c>
      <c r="D20" s="30">
        <v>511.18</v>
      </c>
      <c r="E20" s="137"/>
      <c r="F20" s="44" t="s">
        <v>66</v>
      </c>
      <c r="G20" s="40">
        <f>SUMIF(SelectedPortfolio_2019RSP!B:B,F20,SelectedPortfolio_2019RSP!N:N)</f>
        <v>0</v>
      </c>
      <c r="H20" s="220">
        <f>SUMIF(SelectedPortfolio_2019RSP!B:B,F20,SelectedPortfolio_2019RSP!O:O)</f>
        <v>0</v>
      </c>
      <c r="I20" s="40"/>
      <c r="J20" s="46"/>
      <c r="K20" s="429"/>
      <c r="L20" s="55" t="str">
        <f t="shared" si="7"/>
        <v/>
      </c>
      <c r="M20" s="40" t="str">
        <f t="shared" si="0"/>
        <v/>
      </c>
      <c r="N20" s="48" t="str">
        <f t="shared" si="1"/>
        <v>No commercial interest; 0 MW selected</v>
      </c>
      <c r="O20" s="78">
        <f t="shared" si="2"/>
        <v>0</v>
      </c>
      <c r="P20" s="414" t="str">
        <f t="shared" si="14"/>
        <v/>
      </c>
      <c r="R20" s="417" t="str">
        <f t="shared" si="4"/>
        <v/>
      </c>
      <c r="S20" s="220" t="str">
        <f t="shared" si="9"/>
        <v/>
      </c>
      <c r="T20" s="238" t="str">
        <f t="shared" si="10"/>
        <v>No commercial interest; 0 MW selected</v>
      </c>
      <c r="U20" s="239">
        <f t="shared" si="11"/>
        <v>0</v>
      </c>
      <c r="V20" s="414" t="str">
        <f t="shared" si="6"/>
        <v/>
      </c>
    </row>
    <row r="21" spans="2:22">
      <c r="B21" s="31" t="s">
        <v>300</v>
      </c>
      <c r="C21" s="32" t="s">
        <v>648</v>
      </c>
      <c r="D21" s="30">
        <v>511.18</v>
      </c>
      <c r="E21" s="137"/>
      <c r="F21" s="44" t="s">
        <v>67</v>
      </c>
      <c r="G21" s="40">
        <f>SUMIF(SelectedPortfolio_2019RSP!B:B,F21,SelectedPortfolio_2019RSP!N:N)</f>
        <v>547.9</v>
      </c>
      <c r="H21" s="220">
        <f>SUMIF(SelectedPortfolio_2019RSP!B:B,F21,SelectedPortfolio_2019RSP!O:O)</f>
        <v>547.9</v>
      </c>
      <c r="I21" s="33" t="s">
        <v>263</v>
      </c>
      <c r="J21" s="47" t="s">
        <v>647</v>
      </c>
      <c r="K21" s="429"/>
      <c r="L21" s="55">
        <f t="shared" si="7"/>
        <v>3050.58</v>
      </c>
      <c r="M21" s="40">
        <f t="shared" si="0"/>
        <v>-2502.6799999999998</v>
      </c>
      <c r="N21" s="48">
        <f t="shared" si="1"/>
        <v>0.17960518983275311</v>
      </c>
      <c r="O21" s="78">
        <f t="shared" si="2"/>
        <v>0</v>
      </c>
      <c r="P21" s="414">
        <f t="shared" si="14"/>
        <v>2</v>
      </c>
      <c r="R21" s="417">
        <f t="shared" si="4"/>
        <v>3050.58</v>
      </c>
      <c r="S21" s="220">
        <f t="shared" si="9"/>
        <v>2502.6799999999998</v>
      </c>
      <c r="T21" s="238">
        <f t="shared" si="10"/>
        <v>0.17960518983275311</v>
      </c>
      <c r="U21" s="239">
        <f t="shared" si="11"/>
        <v>0</v>
      </c>
      <c r="V21" s="414">
        <f t="shared" si="6"/>
        <v>2</v>
      </c>
    </row>
    <row r="22" spans="2:22">
      <c r="B22" s="31" t="s">
        <v>268</v>
      </c>
      <c r="C22" s="32" t="s">
        <v>268</v>
      </c>
      <c r="D22" s="30">
        <v>348.1</v>
      </c>
      <c r="E22" s="137"/>
      <c r="F22" s="44" t="s">
        <v>70</v>
      </c>
      <c r="G22" s="40">
        <f>SUMIF(SelectedPortfolio_2019RSP!B:B,F22,SelectedPortfolio_2019RSP!N:N)</f>
        <v>0</v>
      </c>
      <c r="H22" s="220">
        <f>SUMIF(SelectedPortfolio_2019RSP!B:B,F22,SelectedPortfolio_2019RSP!O:O)</f>
        <v>0</v>
      </c>
      <c r="I22" s="33" t="s">
        <v>263</v>
      </c>
      <c r="J22" s="46" t="s">
        <v>649</v>
      </c>
      <c r="K22" s="429"/>
      <c r="L22" s="55">
        <f t="shared" si="7"/>
        <v>1715.3</v>
      </c>
      <c r="M22" s="40">
        <f t="shared" si="0"/>
        <v>-1715.3</v>
      </c>
      <c r="N22" s="48">
        <f t="shared" si="1"/>
        <v>0</v>
      </c>
      <c r="O22" s="78">
        <f t="shared" si="2"/>
        <v>0</v>
      </c>
      <c r="P22" s="414">
        <f t="shared" si="14"/>
        <v>1</v>
      </c>
      <c r="R22" s="417">
        <f t="shared" si="4"/>
        <v>1715.3</v>
      </c>
      <c r="S22" s="220">
        <f t="shared" si="9"/>
        <v>1715.3</v>
      </c>
      <c r="T22" s="238">
        <f t="shared" si="10"/>
        <v>0</v>
      </c>
      <c r="U22" s="239">
        <f t="shared" si="11"/>
        <v>0</v>
      </c>
      <c r="V22" s="414">
        <f t="shared" si="6"/>
        <v>1</v>
      </c>
    </row>
    <row r="23" spans="2:22">
      <c r="B23" s="31" t="s">
        <v>268</v>
      </c>
      <c r="C23" s="32" t="s">
        <v>648</v>
      </c>
      <c r="D23" s="30">
        <v>50.875</v>
      </c>
      <c r="E23" s="137"/>
      <c r="F23" s="44" t="s">
        <v>71</v>
      </c>
      <c r="G23" s="40">
        <f>SUMIF(SelectedPortfolio_2019RSP!B:B,F23,SelectedPortfolio_2019RSP!N:N)</f>
        <v>0</v>
      </c>
      <c r="H23" s="220">
        <f>SUMIF(SelectedPortfolio_2019RSP!B:B,F23,SelectedPortfolio_2019RSP!O:O)</f>
        <v>0</v>
      </c>
      <c r="I23" s="135" t="s">
        <v>285</v>
      </c>
      <c r="J23" s="46" t="s">
        <v>649</v>
      </c>
      <c r="K23" s="429"/>
      <c r="L23" s="55">
        <f t="shared" si="7"/>
        <v>0</v>
      </c>
      <c r="M23" s="40">
        <f t="shared" si="0"/>
        <v>0</v>
      </c>
      <c r="N23" s="48" t="str">
        <f t="shared" si="1"/>
        <v>No commercial interest; 0 MW selected</v>
      </c>
      <c r="O23" s="78">
        <f t="shared" si="2"/>
        <v>0</v>
      </c>
      <c r="P23" s="414">
        <f t="shared" si="14"/>
        <v>1</v>
      </c>
      <c r="R23" s="417">
        <f t="shared" si="4"/>
        <v>0</v>
      </c>
      <c r="S23" s="220">
        <f t="shared" si="9"/>
        <v>0</v>
      </c>
      <c r="T23" s="238" t="str">
        <f t="shared" si="10"/>
        <v>No commercial interest; 0 MW selected</v>
      </c>
      <c r="U23" s="239">
        <f t="shared" si="11"/>
        <v>0</v>
      </c>
      <c r="V23" s="414">
        <f t="shared" si="6"/>
        <v>1</v>
      </c>
    </row>
    <row r="24" spans="2:22">
      <c r="B24" s="31" t="s">
        <v>268</v>
      </c>
      <c r="C24" s="32" t="s">
        <v>649</v>
      </c>
      <c r="D24" s="30">
        <v>297.22500000000002</v>
      </c>
      <c r="E24" s="137"/>
      <c r="F24" s="44" t="s">
        <v>72</v>
      </c>
      <c r="G24" s="40">
        <f>SUMIF(SelectedPortfolio_2019RSP!B:B,F24,SelectedPortfolio_2019RSP!N:N)</f>
        <v>34</v>
      </c>
      <c r="H24" s="220">
        <f>SUMIF(SelectedPortfolio_2019RSP!B:B,F24,SelectedPortfolio_2019RSP!O:O)</f>
        <v>34</v>
      </c>
      <c r="I24" s="40"/>
      <c r="J24" s="47"/>
      <c r="K24" s="429"/>
      <c r="L24" s="55" t="str">
        <f t="shared" si="7"/>
        <v/>
      </c>
      <c r="M24" s="40" t="str">
        <f t="shared" si="0"/>
        <v/>
      </c>
      <c r="N24" s="48" t="str">
        <f t="shared" si="1"/>
        <v>No commercial interest; 34 MW selected</v>
      </c>
      <c r="O24" s="78">
        <f t="shared" si="2"/>
        <v>0</v>
      </c>
      <c r="P24" s="414" t="str">
        <f t="shared" si="14"/>
        <v/>
      </c>
      <c r="R24" s="417" t="str">
        <f t="shared" si="4"/>
        <v/>
      </c>
      <c r="S24" s="220" t="str">
        <f t="shared" si="9"/>
        <v/>
      </c>
      <c r="T24" s="238" t="str">
        <f t="shared" si="10"/>
        <v>No commercial interest; 34 MW selected</v>
      </c>
      <c r="U24" s="239">
        <f t="shared" si="11"/>
        <v>0</v>
      </c>
      <c r="V24" s="414" t="str">
        <f t="shared" si="6"/>
        <v/>
      </c>
    </row>
    <row r="25" spans="2:22">
      <c r="B25" s="31" t="s">
        <v>267</v>
      </c>
      <c r="C25" s="32" t="s">
        <v>267</v>
      </c>
      <c r="D25" s="30">
        <v>522</v>
      </c>
      <c r="E25" s="137"/>
      <c r="F25" s="44" t="s">
        <v>73</v>
      </c>
      <c r="G25" s="40">
        <f>SUMIF(SelectedPortfolio_2019RSP!B:B,F25,SelectedPortfolio_2019RSP!N:N)</f>
        <v>97</v>
      </c>
      <c r="H25" s="220">
        <f>SUMIF(SelectedPortfolio_2019RSP!B:B,F25,SelectedPortfolio_2019RSP!O:O)</f>
        <v>97</v>
      </c>
      <c r="I25" s="40" t="s">
        <v>265</v>
      </c>
      <c r="J25" s="47" t="s">
        <v>647</v>
      </c>
      <c r="K25" s="429"/>
      <c r="L25" s="55">
        <f t="shared" si="7"/>
        <v>824.26</v>
      </c>
      <c r="M25" s="40">
        <f t="shared" si="0"/>
        <v>-727.26</v>
      </c>
      <c r="N25" s="48">
        <f t="shared" si="1"/>
        <v>0.1176813141484483</v>
      </c>
      <c r="O25" s="78">
        <f t="shared" si="2"/>
        <v>0</v>
      </c>
      <c r="P25" s="414">
        <f t="shared" ref="P25:P26" si="15">IFERROR(IF(OR(ABS(M25)&gt;$C$2,O25=1),3,IF(ABS(M25)&gt;$C$3,2,1)),"")</f>
        <v>1</v>
      </c>
      <c r="R25" s="417">
        <f t="shared" si="4"/>
        <v>824.26</v>
      </c>
      <c r="S25" s="220">
        <f t="shared" si="9"/>
        <v>727.26</v>
      </c>
      <c r="T25" s="238">
        <f t="shared" si="10"/>
        <v>0.1176813141484483</v>
      </c>
      <c r="U25" s="239">
        <f t="shared" si="11"/>
        <v>0</v>
      </c>
      <c r="V25" s="414">
        <f t="shared" si="6"/>
        <v>1</v>
      </c>
    </row>
    <row r="26" spans="2:22">
      <c r="B26" s="31" t="s">
        <v>267</v>
      </c>
      <c r="C26" s="32" t="s">
        <v>647</v>
      </c>
      <c r="D26" s="30">
        <v>12</v>
      </c>
      <c r="E26" s="137"/>
      <c r="F26" s="44" t="s">
        <v>75</v>
      </c>
      <c r="G26" s="40">
        <f>SUMIF(SelectedPortfolio_2019RSP!B:B,F26,SelectedPortfolio_2019RSP!N:N)</f>
        <v>241.66000000000003</v>
      </c>
      <c r="H26" s="220">
        <f>SUMIF(SelectedPortfolio_2019RSP!B:B,F26,SelectedPortfolio_2019RSP!O:O)</f>
        <v>241.66000000000003</v>
      </c>
      <c r="I26" s="33" t="s">
        <v>280</v>
      </c>
      <c r="J26" s="47" t="s">
        <v>647</v>
      </c>
      <c r="K26" s="429"/>
      <c r="L26" s="55">
        <f t="shared" si="7"/>
        <v>1898.1960000000001</v>
      </c>
      <c r="M26" s="40">
        <f t="shared" si="0"/>
        <v>-1656.5360000000001</v>
      </c>
      <c r="N26" s="48">
        <f t="shared" si="1"/>
        <v>0.12731035151269943</v>
      </c>
      <c r="O26" s="78">
        <f t="shared" si="2"/>
        <v>0</v>
      </c>
      <c r="P26" s="414">
        <f t="shared" si="15"/>
        <v>1</v>
      </c>
      <c r="R26" s="417">
        <f t="shared" si="4"/>
        <v>1898.1960000000001</v>
      </c>
      <c r="S26" s="220">
        <f t="shared" si="9"/>
        <v>1656.5360000000001</v>
      </c>
      <c r="T26" s="238">
        <f t="shared" si="10"/>
        <v>0.12731035151269943</v>
      </c>
      <c r="U26" s="239">
        <f t="shared" si="11"/>
        <v>0</v>
      </c>
      <c r="V26" s="414">
        <f t="shared" si="6"/>
        <v>1</v>
      </c>
    </row>
    <row r="27" spans="2:22">
      <c r="B27" s="31" t="s">
        <v>267</v>
      </c>
      <c r="C27" s="32" t="s">
        <v>648</v>
      </c>
      <c r="D27" s="30">
        <v>510</v>
      </c>
      <c r="E27" s="137"/>
      <c r="F27" s="44" t="s">
        <v>76</v>
      </c>
      <c r="G27" s="40">
        <f>SUMIF(SelectedPortfolio_2019RSP!B:B,F27,SelectedPortfolio_2019RSP!N:N)</f>
        <v>60</v>
      </c>
      <c r="H27" s="220">
        <f>SUMIF(SelectedPortfolio_2019RSP!B:B,F27,SelectedPortfolio_2019RSP!O:O)</f>
        <v>60</v>
      </c>
      <c r="I27" s="33" t="s">
        <v>280</v>
      </c>
      <c r="J27" s="46" t="s">
        <v>649</v>
      </c>
      <c r="K27" s="429"/>
      <c r="L27" s="55">
        <f t="shared" si="7"/>
        <v>1030.2</v>
      </c>
      <c r="M27" s="40">
        <f t="shared" si="0"/>
        <v>-970.2</v>
      </c>
      <c r="N27" s="48">
        <f t="shared" si="1"/>
        <v>5.824111822947E-2</v>
      </c>
      <c r="O27" s="78">
        <f t="shared" si="2"/>
        <v>0</v>
      </c>
      <c r="P27" s="414">
        <f t="shared" ref="P27:P37" si="16">IFERROR(IF(OR(ABS(M27)&gt;$C$2,O27=1),3,IF(ABS(M27)&gt;$C$3,2,1)),"")</f>
        <v>1</v>
      </c>
      <c r="R27" s="417">
        <f t="shared" si="4"/>
        <v>1030.2</v>
      </c>
      <c r="S27" s="220">
        <f t="shared" si="9"/>
        <v>970.2</v>
      </c>
      <c r="T27" s="238">
        <f t="shared" si="10"/>
        <v>5.824111822947E-2</v>
      </c>
      <c r="U27" s="239">
        <f t="shared" si="11"/>
        <v>0</v>
      </c>
      <c r="V27" s="414">
        <f t="shared" si="6"/>
        <v>1</v>
      </c>
    </row>
    <row r="28" spans="2:22">
      <c r="B28" s="31" t="s">
        <v>272</v>
      </c>
      <c r="C28" s="32" t="s">
        <v>272</v>
      </c>
      <c r="D28" s="30">
        <v>1164.104</v>
      </c>
      <c r="E28" s="137"/>
      <c r="F28" s="44" t="s">
        <v>77</v>
      </c>
      <c r="G28" s="40">
        <f>SUMIF(SelectedPortfolio_2019RSP!B:B,F28,SelectedPortfolio_2019RSP!N:N)</f>
        <v>0</v>
      </c>
      <c r="H28" s="220">
        <f>SUMIF(SelectedPortfolio_2019RSP!B:B,F28,SelectedPortfolio_2019RSP!O:O)</f>
        <v>0</v>
      </c>
      <c r="I28" s="32" t="s">
        <v>300</v>
      </c>
      <c r="J28" s="47" t="s">
        <v>647</v>
      </c>
      <c r="K28" s="429"/>
      <c r="L28" s="55">
        <f t="shared" si="7"/>
        <v>0</v>
      </c>
      <c r="M28" s="40">
        <f t="shared" si="0"/>
        <v>0</v>
      </c>
      <c r="N28" s="48" t="str">
        <f t="shared" si="1"/>
        <v>No commercial interest; 0 MW selected</v>
      </c>
      <c r="O28" s="78">
        <f t="shared" si="2"/>
        <v>0</v>
      </c>
      <c r="P28" s="414">
        <f t="shared" si="16"/>
        <v>1</v>
      </c>
      <c r="R28" s="417">
        <f t="shared" si="4"/>
        <v>0</v>
      </c>
      <c r="S28" s="220">
        <f t="shared" si="9"/>
        <v>0</v>
      </c>
      <c r="T28" s="238" t="str">
        <f t="shared" si="10"/>
        <v>No commercial interest; 0 MW selected</v>
      </c>
      <c r="U28" s="239">
        <f t="shared" si="11"/>
        <v>0</v>
      </c>
      <c r="V28" s="414">
        <f t="shared" si="6"/>
        <v>1</v>
      </c>
    </row>
    <row r="29" spans="2:22">
      <c r="B29" s="31" t="s">
        <v>272</v>
      </c>
      <c r="C29" s="32" t="s">
        <v>647</v>
      </c>
      <c r="D29" s="30">
        <v>431.4</v>
      </c>
      <c r="E29" s="137"/>
      <c r="F29" s="44" t="s">
        <v>78</v>
      </c>
      <c r="G29" s="40">
        <f>SUMIF(SelectedPortfolio_2019RSP!B:B,F29,SelectedPortfolio_2019RSP!N:N)</f>
        <v>0</v>
      </c>
      <c r="H29" s="220">
        <f>SUMIF(SelectedPortfolio_2019RSP!B:B,F29,SelectedPortfolio_2019RSP!O:O)</f>
        <v>0</v>
      </c>
      <c r="I29" s="32" t="s">
        <v>300</v>
      </c>
      <c r="J29" s="46" t="s">
        <v>649</v>
      </c>
      <c r="K29" s="429"/>
      <c r="L29" s="55">
        <f t="shared" si="7"/>
        <v>0</v>
      </c>
      <c r="M29" s="40">
        <f t="shared" si="0"/>
        <v>0</v>
      </c>
      <c r="N29" s="48" t="str">
        <f t="shared" si="1"/>
        <v>No commercial interest; 0 MW selected</v>
      </c>
      <c r="O29" s="78">
        <f t="shared" si="2"/>
        <v>0</v>
      </c>
      <c r="P29" s="414">
        <f t="shared" si="16"/>
        <v>1</v>
      </c>
      <c r="R29" s="417">
        <f t="shared" si="4"/>
        <v>0</v>
      </c>
      <c r="S29" s="220">
        <f t="shared" si="9"/>
        <v>0</v>
      </c>
      <c r="T29" s="238" t="str">
        <f t="shared" si="10"/>
        <v>No commercial interest; 0 MW selected</v>
      </c>
      <c r="U29" s="239">
        <f t="shared" si="11"/>
        <v>0</v>
      </c>
      <c r="V29" s="414">
        <f t="shared" si="6"/>
        <v>1</v>
      </c>
    </row>
    <row r="30" spans="2:22">
      <c r="B30" s="31" t="s">
        <v>272</v>
      </c>
      <c r="C30" s="33" t="s">
        <v>648</v>
      </c>
      <c r="D30" s="34">
        <v>299</v>
      </c>
      <c r="E30" s="137"/>
      <c r="F30" s="44" t="s">
        <v>79</v>
      </c>
      <c r="G30" s="40">
        <f>SUMIF(SelectedPortfolio_2019RSP!B:B,F30,SelectedPortfolio_2019RSP!N:N)</f>
        <v>248</v>
      </c>
      <c r="H30" s="220">
        <f>SUMIF(SelectedPortfolio_2019RSP!B:B,F30,SelectedPortfolio_2019RSP!O:O)</f>
        <v>248</v>
      </c>
      <c r="I30" s="33" t="s">
        <v>293</v>
      </c>
      <c r="J30" s="47" t="s">
        <v>647</v>
      </c>
      <c r="K30" s="429"/>
      <c r="L30" s="55">
        <f t="shared" si="7"/>
        <v>300</v>
      </c>
      <c r="M30" s="40">
        <f t="shared" si="0"/>
        <v>-52</v>
      </c>
      <c r="N30" s="48">
        <f t="shared" si="1"/>
        <v>0.82666666666666666</v>
      </c>
      <c r="O30" s="78">
        <f t="shared" si="2"/>
        <v>0</v>
      </c>
      <c r="P30" s="414">
        <f t="shared" si="16"/>
        <v>1</v>
      </c>
      <c r="R30" s="417">
        <f t="shared" si="4"/>
        <v>300</v>
      </c>
      <c r="S30" s="220">
        <f t="shared" si="9"/>
        <v>52</v>
      </c>
      <c r="T30" s="238">
        <f t="shared" si="10"/>
        <v>0.82666666666666666</v>
      </c>
      <c r="U30" s="239">
        <f t="shared" si="11"/>
        <v>0</v>
      </c>
      <c r="V30" s="414">
        <f t="shared" si="6"/>
        <v>1</v>
      </c>
    </row>
    <row r="31" spans="2:22">
      <c r="B31" s="31" t="s">
        <v>272</v>
      </c>
      <c r="C31" s="33" t="s">
        <v>649</v>
      </c>
      <c r="D31" s="34">
        <v>433.70400000000001</v>
      </c>
      <c r="E31" s="137"/>
      <c r="F31" s="44" t="s">
        <v>81</v>
      </c>
      <c r="G31" s="40">
        <f>SUMIF(SelectedPortfolio_2019RSP!B:B,F31,SelectedPortfolio_2019RSP!N:N)</f>
        <v>300</v>
      </c>
      <c r="H31" s="220">
        <f>SUMIF(SelectedPortfolio_2019RSP!B:B,F31,SelectedPortfolio_2019RSP!O:O)</f>
        <v>300</v>
      </c>
      <c r="I31" s="32" t="s">
        <v>287</v>
      </c>
      <c r="J31" s="47" t="s">
        <v>647</v>
      </c>
      <c r="K31" s="429"/>
      <c r="L31" s="55">
        <f t="shared" si="7"/>
        <v>210.88</v>
      </c>
      <c r="M31" s="40">
        <f t="shared" si="0"/>
        <v>89.12</v>
      </c>
      <c r="N31" s="48">
        <f t="shared" si="1"/>
        <v>1.4226100151745069</v>
      </c>
      <c r="O31" s="78">
        <f t="shared" si="2"/>
        <v>0</v>
      </c>
      <c r="P31" s="414">
        <f t="shared" si="16"/>
        <v>1</v>
      </c>
      <c r="R31" s="417">
        <f t="shared" si="4"/>
        <v>210.88</v>
      </c>
      <c r="S31" s="220">
        <f t="shared" si="9"/>
        <v>-89.12</v>
      </c>
      <c r="T31" s="238">
        <f t="shared" si="10"/>
        <v>1.4226100151745069</v>
      </c>
      <c r="U31" s="239">
        <f t="shared" si="11"/>
        <v>0</v>
      </c>
      <c r="V31" s="414">
        <f t="shared" si="6"/>
        <v>1</v>
      </c>
    </row>
    <row r="32" spans="2:22">
      <c r="B32" s="28" t="s">
        <v>273</v>
      </c>
      <c r="C32" s="33" t="s">
        <v>273</v>
      </c>
      <c r="D32" s="34">
        <v>120.4</v>
      </c>
      <c r="E32" s="137"/>
      <c r="F32" s="44" t="s">
        <v>82</v>
      </c>
      <c r="G32" s="40">
        <f>SUMIF(SelectedPortfolio_2019RSP!B:B,F32,SelectedPortfolio_2019RSP!N:N)</f>
        <v>0</v>
      </c>
      <c r="H32" s="220">
        <f>SUMIF(SelectedPortfolio_2019RSP!B:B,F32,SelectedPortfolio_2019RSP!O:O)</f>
        <v>0</v>
      </c>
      <c r="I32" s="33" t="s">
        <v>298</v>
      </c>
      <c r="J32" s="47" t="s">
        <v>647</v>
      </c>
      <c r="K32" s="429"/>
      <c r="L32" s="55">
        <f t="shared" si="7"/>
        <v>20.6</v>
      </c>
      <c r="M32" s="40">
        <f t="shared" si="0"/>
        <v>-20.6</v>
      </c>
      <c r="N32" s="48">
        <f t="shared" si="1"/>
        <v>0</v>
      </c>
      <c r="O32" s="78">
        <f t="shared" si="2"/>
        <v>0</v>
      </c>
      <c r="P32" s="414">
        <f t="shared" si="16"/>
        <v>1</v>
      </c>
      <c r="R32" s="417">
        <f t="shared" si="4"/>
        <v>20.6</v>
      </c>
      <c r="S32" s="220">
        <f t="shared" si="9"/>
        <v>20.6</v>
      </c>
      <c r="T32" s="238">
        <f t="shared" si="10"/>
        <v>0</v>
      </c>
      <c r="U32" s="239">
        <f t="shared" si="11"/>
        <v>0</v>
      </c>
      <c r="V32" s="414">
        <f t="shared" si="6"/>
        <v>1</v>
      </c>
    </row>
    <row r="33" spans="2:22">
      <c r="B33" s="28" t="s">
        <v>273</v>
      </c>
      <c r="C33" s="33" t="s">
        <v>648</v>
      </c>
      <c r="D33" s="34">
        <v>120.4</v>
      </c>
      <c r="E33" s="137"/>
      <c r="F33" s="44" t="s">
        <v>83</v>
      </c>
      <c r="G33" s="40">
        <f>SUMIF(SelectedPortfolio_2019RSP!B:B,F33,SelectedPortfolio_2019RSP!N:N)</f>
        <v>865.9</v>
      </c>
      <c r="H33" s="220">
        <f>SUMIF(SelectedPortfolio_2019RSP!B:B,F33,SelectedPortfolio_2019RSP!O:O)</f>
        <v>865.9</v>
      </c>
      <c r="I33" s="33" t="s">
        <v>298</v>
      </c>
      <c r="J33" s="46" t="s">
        <v>649</v>
      </c>
      <c r="K33" s="429"/>
      <c r="L33" s="55">
        <f t="shared" si="7"/>
        <v>1774</v>
      </c>
      <c r="M33" s="40">
        <f t="shared" si="0"/>
        <v>-908.1</v>
      </c>
      <c r="N33" s="48">
        <f t="shared" si="1"/>
        <v>0.48810597519729426</v>
      </c>
      <c r="O33" s="78">
        <f t="shared" si="2"/>
        <v>0</v>
      </c>
      <c r="P33" s="414">
        <f t="shared" si="16"/>
        <v>1</v>
      </c>
      <c r="R33" s="417">
        <f t="shared" si="4"/>
        <v>1774</v>
      </c>
      <c r="S33" s="220">
        <f t="shared" si="9"/>
        <v>908.1</v>
      </c>
      <c r="T33" s="238">
        <f t="shared" si="10"/>
        <v>0.48810597519729426</v>
      </c>
      <c r="U33" s="239">
        <f t="shared" si="11"/>
        <v>0</v>
      </c>
      <c r="V33" s="414">
        <f t="shared" si="6"/>
        <v>1</v>
      </c>
    </row>
    <row r="34" spans="2:22">
      <c r="B34" s="28" t="s">
        <v>298</v>
      </c>
      <c r="C34" s="33" t="s">
        <v>298</v>
      </c>
      <c r="D34" s="34">
        <v>1996.155</v>
      </c>
      <c r="E34" s="137"/>
      <c r="F34" s="44" t="s">
        <v>86</v>
      </c>
      <c r="G34" s="40">
        <f>SUMIF(SelectedPortfolio_2019RSP!B:B,F34,SelectedPortfolio_2019RSP!N:N)</f>
        <v>0</v>
      </c>
      <c r="H34" s="220">
        <f>SUMIF(SelectedPortfolio_2019RSP!B:B,F34,SelectedPortfolio_2019RSP!O:O)</f>
        <v>0</v>
      </c>
      <c r="I34" s="33"/>
      <c r="J34" s="46"/>
      <c r="K34" s="429"/>
      <c r="L34" s="55" t="str">
        <f t="shared" si="7"/>
        <v/>
      </c>
      <c r="M34" s="40" t="str">
        <f t="shared" si="0"/>
        <v/>
      </c>
      <c r="N34" s="48" t="str">
        <f t="shared" si="1"/>
        <v>No commercial interest; 0 MW selected</v>
      </c>
      <c r="O34" s="78">
        <f t="shared" si="2"/>
        <v>0</v>
      </c>
      <c r="P34" s="414" t="str">
        <f t="shared" si="16"/>
        <v/>
      </c>
      <c r="R34" s="417" t="str">
        <f t="shared" si="4"/>
        <v/>
      </c>
      <c r="S34" s="220" t="str">
        <f t="shared" si="9"/>
        <v/>
      </c>
      <c r="T34" s="238" t="str">
        <f t="shared" si="10"/>
        <v>No commercial interest; 0 MW selected</v>
      </c>
      <c r="U34" s="239">
        <f t="shared" si="11"/>
        <v>0</v>
      </c>
      <c r="V34" s="414" t="str">
        <f t="shared" si="6"/>
        <v/>
      </c>
    </row>
    <row r="35" spans="2:22">
      <c r="B35" s="28" t="s">
        <v>298</v>
      </c>
      <c r="C35" s="33" t="s">
        <v>650</v>
      </c>
      <c r="D35" s="34">
        <v>5</v>
      </c>
      <c r="E35" s="137"/>
      <c r="F35" s="44" t="s">
        <v>87</v>
      </c>
      <c r="G35" s="40">
        <f>SUMIF(SelectedPortfolio_2019RSP!B:B,F35,SelectedPortfolio_2019RSP!N:N)</f>
        <v>0</v>
      </c>
      <c r="H35" s="220">
        <f>SUMIF(SelectedPortfolio_2019RSP!B:B,F35,SelectedPortfolio_2019RSP!O:O)</f>
        <v>0</v>
      </c>
      <c r="I35" s="33" t="s">
        <v>271</v>
      </c>
      <c r="J35" s="47" t="s">
        <v>647</v>
      </c>
      <c r="K35" s="429"/>
      <c r="L35" s="55">
        <f>4777-2595</f>
        <v>2182</v>
      </c>
      <c r="M35" s="40">
        <f t="shared" si="0"/>
        <v>-2182</v>
      </c>
      <c r="N35" s="48">
        <f t="shared" si="1"/>
        <v>0</v>
      </c>
      <c r="O35" s="78">
        <f t="shared" si="2"/>
        <v>0</v>
      </c>
      <c r="P35" s="414">
        <f t="shared" si="16"/>
        <v>2</v>
      </c>
      <c r="Q35" s="233" t="s">
        <v>651</v>
      </c>
      <c r="R35" s="417">
        <f t="shared" si="4"/>
        <v>4777.38</v>
      </c>
      <c r="S35" s="220">
        <f t="shared" si="9"/>
        <v>2182</v>
      </c>
      <c r="T35" s="238">
        <f t="shared" si="10"/>
        <v>0</v>
      </c>
      <c r="U35" s="239">
        <f t="shared" si="11"/>
        <v>0</v>
      </c>
      <c r="V35" s="414">
        <f t="shared" si="6"/>
        <v>2</v>
      </c>
    </row>
    <row r="36" spans="2:22">
      <c r="B36" s="28" t="s">
        <v>298</v>
      </c>
      <c r="C36" s="33" t="s">
        <v>647</v>
      </c>
      <c r="D36" s="34">
        <v>20.6</v>
      </c>
      <c r="E36" s="137"/>
      <c r="F36" s="44" t="s">
        <v>89</v>
      </c>
      <c r="G36" s="40">
        <f>SUMIF(SelectedPortfolio_2019RSP!B:B,F36,SelectedPortfolio_2019RSP!N:N)</f>
        <v>0</v>
      </c>
      <c r="H36" s="220">
        <f>SUMIF(SelectedPortfolio_2019RSP!B:B,F36,SelectedPortfolio_2019RSP!O:O)</f>
        <v>0</v>
      </c>
      <c r="I36" s="33" t="s">
        <v>271</v>
      </c>
      <c r="J36" s="46" t="s">
        <v>649</v>
      </c>
      <c r="K36" s="429"/>
      <c r="L36" s="55">
        <f t="shared" ref="L36:L62" si="17">IF(I36="","",SUMIFS(D:D,B:B,I36,C:C,J36))</f>
        <v>0</v>
      </c>
      <c r="M36" s="40">
        <f t="shared" si="0"/>
        <v>0</v>
      </c>
      <c r="N36" s="48" t="str">
        <f t="shared" si="1"/>
        <v>No commercial interest; 0 MW selected</v>
      </c>
      <c r="O36" s="78">
        <f t="shared" si="2"/>
        <v>0</v>
      </c>
      <c r="P36" s="414">
        <f t="shared" si="16"/>
        <v>1</v>
      </c>
      <c r="R36" s="417">
        <f t="shared" si="4"/>
        <v>0</v>
      </c>
      <c r="S36" s="220">
        <f t="shared" si="9"/>
        <v>0</v>
      </c>
      <c r="T36" s="238" t="str">
        <f t="shared" si="10"/>
        <v>No commercial interest; 0 MW selected</v>
      </c>
      <c r="U36" s="239">
        <f t="shared" si="11"/>
        <v>0</v>
      </c>
      <c r="V36" s="414">
        <f t="shared" si="6"/>
        <v>1</v>
      </c>
    </row>
    <row r="37" spans="2:22">
      <c r="B37" s="28" t="s">
        <v>298</v>
      </c>
      <c r="C37" s="33" t="s">
        <v>652</v>
      </c>
      <c r="D37" s="34">
        <v>5.5</v>
      </c>
      <c r="E37" s="137"/>
      <c r="F37" s="44" t="s">
        <v>92</v>
      </c>
      <c r="G37" s="40">
        <f>SUMIF(SelectedPortfolio_2019RSP!B:B,F37,SelectedPortfolio_2019RSP!N:N)</f>
        <v>0</v>
      </c>
      <c r="H37" s="220">
        <f>SUMIF(SelectedPortfolio_2019RSP!B:B,F37,SelectedPortfolio_2019RSP!O:O)</f>
        <v>0</v>
      </c>
      <c r="I37" s="32" t="s">
        <v>267</v>
      </c>
      <c r="J37" s="47" t="s">
        <v>647</v>
      </c>
      <c r="K37" s="429"/>
      <c r="L37" s="55">
        <f t="shared" si="17"/>
        <v>12</v>
      </c>
      <c r="M37" s="40">
        <f t="shared" si="0"/>
        <v>-12</v>
      </c>
      <c r="N37" s="48">
        <f t="shared" si="1"/>
        <v>0</v>
      </c>
      <c r="O37" s="78">
        <f t="shared" si="2"/>
        <v>0</v>
      </c>
      <c r="P37" s="414">
        <f t="shared" si="16"/>
        <v>1</v>
      </c>
      <c r="R37" s="417">
        <f t="shared" si="4"/>
        <v>12</v>
      </c>
      <c r="S37" s="220">
        <f t="shared" si="9"/>
        <v>12</v>
      </c>
      <c r="T37" s="238">
        <f t="shared" si="10"/>
        <v>0</v>
      </c>
      <c r="U37" s="239">
        <f t="shared" si="11"/>
        <v>0</v>
      </c>
      <c r="V37" s="414">
        <f t="shared" si="6"/>
        <v>1</v>
      </c>
    </row>
    <row r="38" spans="2:22">
      <c r="B38" s="28" t="s">
        <v>298</v>
      </c>
      <c r="C38" s="33" t="s">
        <v>648</v>
      </c>
      <c r="D38" s="34">
        <v>191.05500000000001</v>
      </c>
      <c r="E38" s="137"/>
      <c r="F38" s="44" t="s">
        <v>93</v>
      </c>
      <c r="G38" s="40">
        <f>SUMIF(SelectedPortfolio_2019RSP!B:B,F38,SelectedPortfolio_2019RSP!N:N)</f>
        <v>0</v>
      </c>
      <c r="H38" s="220">
        <f>SUMIF(SelectedPortfolio_2019RSP!B:B,F38,SelectedPortfolio_2019RSP!O:O)</f>
        <v>0</v>
      </c>
      <c r="I38" s="32" t="s">
        <v>267</v>
      </c>
      <c r="J38" s="46" t="s">
        <v>649</v>
      </c>
      <c r="K38" s="429"/>
      <c r="L38" s="55">
        <f t="shared" si="17"/>
        <v>0</v>
      </c>
      <c r="M38" s="40">
        <f t="shared" si="0"/>
        <v>0</v>
      </c>
      <c r="N38" s="48" t="str">
        <f t="shared" si="1"/>
        <v>No commercial interest; 0 MW selected</v>
      </c>
      <c r="O38" s="78">
        <f t="shared" si="2"/>
        <v>0</v>
      </c>
      <c r="P38" s="414">
        <f t="shared" ref="P38:P57" si="18">IFERROR(IF(OR(ABS(M38)&gt;$C$2,O38=1),3,IF(ABS(M38)&gt;$C$3,2,1)),"")</f>
        <v>1</v>
      </c>
      <c r="R38" s="417">
        <f t="shared" si="4"/>
        <v>0</v>
      </c>
      <c r="S38" s="220">
        <f t="shared" si="9"/>
        <v>0</v>
      </c>
      <c r="T38" s="238" t="str">
        <f t="shared" si="10"/>
        <v>No commercial interest; 0 MW selected</v>
      </c>
      <c r="U38" s="239">
        <f t="shared" si="11"/>
        <v>0</v>
      </c>
      <c r="V38" s="414">
        <f t="shared" si="6"/>
        <v>1</v>
      </c>
    </row>
    <row r="39" spans="2:22">
      <c r="B39" s="28" t="s">
        <v>298</v>
      </c>
      <c r="C39" s="33" t="s">
        <v>649</v>
      </c>
      <c r="D39" s="34">
        <v>1774</v>
      </c>
      <c r="E39" s="137"/>
      <c r="F39" s="44" t="s">
        <v>94</v>
      </c>
      <c r="G39" s="40">
        <f>SUMIF(SelectedPortfolio_2019RSP!B:B,F39,SelectedPortfolio_2019RSP!N:N)</f>
        <v>330</v>
      </c>
      <c r="H39" s="220">
        <f>SUMIF(SelectedPortfolio_2019RSP!B:B,F39,SelectedPortfolio_2019RSP!O:O)</f>
        <v>330</v>
      </c>
      <c r="I39" s="33" t="s">
        <v>275</v>
      </c>
      <c r="J39" s="47" t="s">
        <v>647</v>
      </c>
      <c r="K39" s="429"/>
      <c r="L39" s="55">
        <f t="shared" si="17"/>
        <v>2000.104</v>
      </c>
      <c r="M39" s="40">
        <f t="shared" ref="M39:M70" si="19">IFERROR(G39-L39,"")</f>
        <v>-1670.104</v>
      </c>
      <c r="N39" s="48">
        <f t="shared" ref="N39:N72" si="20">IFERROR(G39/L39,"No commercial interest; "&amp;G39&amp;" MW selected")</f>
        <v>0.16499142044613679</v>
      </c>
      <c r="O39" s="78">
        <f t="shared" ref="O39:O72" si="21">IF(AND(L39=0,M39&gt;$C$1),1,0)</f>
        <v>0</v>
      </c>
      <c r="P39" s="414">
        <f t="shared" si="18"/>
        <v>1</v>
      </c>
      <c r="R39" s="417">
        <f t="shared" ref="R39:R73" si="22">IF(I39="","",SUMIFS(D:D,B:B,I39,C:C,J39))</f>
        <v>2000.104</v>
      </c>
      <c r="S39" s="220">
        <f t="shared" si="9"/>
        <v>1670.104</v>
      </c>
      <c r="T39" s="238">
        <f t="shared" si="10"/>
        <v>0.16499142044613679</v>
      </c>
      <c r="U39" s="239">
        <f t="shared" si="11"/>
        <v>0</v>
      </c>
      <c r="V39" s="414">
        <f t="shared" si="6"/>
        <v>1</v>
      </c>
    </row>
    <row r="40" spans="2:22">
      <c r="B40" s="28" t="s">
        <v>263</v>
      </c>
      <c r="C40" s="33" t="s">
        <v>263</v>
      </c>
      <c r="D40" s="34">
        <v>7194.91</v>
      </c>
      <c r="E40" s="137"/>
      <c r="F40" s="44" t="s">
        <v>95</v>
      </c>
      <c r="G40" s="40">
        <f>SUMIF(SelectedPortfolio_2019RSP!B:B,F40,SelectedPortfolio_2019RSP!N:N)</f>
        <v>0</v>
      </c>
      <c r="H40" s="220">
        <f>SUMIF(SelectedPortfolio_2019RSP!B:B,F40,SelectedPortfolio_2019RSP!O:O)</f>
        <v>0</v>
      </c>
      <c r="I40" s="33" t="s">
        <v>275</v>
      </c>
      <c r="J40" s="46" t="s">
        <v>649</v>
      </c>
      <c r="K40" s="429"/>
      <c r="L40" s="55">
        <f t="shared" si="17"/>
        <v>310</v>
      </c>
      <c r="M40" s="40">
        <f t="shared" si="19"/>
        <v>-310</v>
      </c>
      <c r="N40" s="48">
        <f t="shared" si="20"/>
        <v>0</v>
      </c>
      <c r="O40" s="78">
        <f t="shared" si="21"/>
        <v>0</v>
      </c>
      <c r="P40" s="414">
        <f t="shared" si="18"/>
        <v>1</v>
      </c>
      <c r="R40" s="417">
        <f t="shared" si="22"/>
        <v>310</v>
      </c>
      <c r="S40" s="220">
        <f t="shared" si="9"/>
        <v>310</v>
      </c>
      <c r="T40" s="238">
        <f t="shared" si="10"/>
        <v>0</v>
      </c>
      <c r="U40" s="239">
        <f t="shared" si="11"/>
        <v>0</v>
      </c>
      <c r="V40" s="414">
        <f t="shared" si="6"/>
        <v>1</v>
      </c>
    </row>
    <row r="41" spans="2:22">
      <c r="B41" s="28" t="s">
        <v>263</v>
      </c>
      <c r="C41" s="33" t="s">
        <v>647</v>
      </c>
      <c r="D41" s="34">
        <v>3050.58</v>
      </c>
      <c r="E41" s="137"/>
      <c r="F41" s="44" t="s">
        <v>96</v>
      </c>
      <c r="G41" s="40">
        <f>SUMIF(SelectedPortfolio_2019RSP!B:B,F41,SelectedPortfolio_2019RSP!N:N)</f>
        <v>0</v>
      </c>
      <c r="H41" s="220">
        <f>SUMIF(SelectedPortfolio_2019RSP!B:B,F41,SelectedPortfolio_2019RSP!O:O)</f>
        <v>0</v>
      </c>
      <c r="I41" s="33" t="s">
        <v>272</v>
      </c>
      <c r="J41" s="47" t="s">
        <v>647</v>
      </c>
      <c r="K41" s="429"/>
      <c r="L41" s="55">
        <f t="shared" si="17"/>
        <v>431.4</v>
      </c>
      <c r="M41" s="40">
        <f t="shared" si="19"/>
        <v>-431.4</v>
      </c>
      <c r="N41" s="48">
        <f t="shared" si="20"/>
        <v>0</v>
      </c>
      <c r="O41" s="78">
        <f t="shared" si="21"/>
        <v>0</v>
      </c>
      <c r="P41" s="414">
        <f t="shared" si="18"/>
        <v>1</v>
      </c>
      <c r="R41" s="417">
        <f t="shared" si="22"/>
        <v>431.4</v>
      </c>
      <c r="S41" s="220">
        <f t="shared" si="9"/>
        <v>431.4</v>
      </c>
      <c r="T41" s="238">
        <f t="shared" si="10"/>
        <v>0</v>
      </c>
      <c r="U41" s="239">
        <f t="shared" si="11"/>
        <v>0</v>
      </c>
      <c r="V41" s="414">
        <f t="shared" si="6"/>
        <v>1</v>
      </c>
    </row>
    <row r="42" spans="2:22">
      <c r="B42" s="28" t="s">
        <v>263</v>
      </c>
      <c r="C42" s="33" t="s">
        <v>648</v>
      </c>
      <c r="D42" s="34">
        <v>2429.0299999999997</v>
      </c>
      <c r="E42" s="137"/>
      <c r="F42" s="44" t="s">
        <v>97</v>
      </c>
      <c r="G42" s="40">
        <f>SUMIF(SelectedPortfolio_2019RSP!B:B,F42,SelectedPortfolio_2019RSP!N:N)</f>
        <v>0</v>
      </c>
      <c r="H42" s="220">
        <f>SUMIF(SelectedPortfolio_2019RSP!B:B,F42,SelectedPortfolio_2019RSP!O:O)</f>
        <v>0</v>
      </c>
      <c r="I42" s="33" t="s">
        <v>273</v>
      </c>
      <c r="J42" s="47" t="s">
        <v>647</v>
      </c>
      <c r="K42" s="429"/>
      <c r="L42" s="55">
        <f t="shared" si="17"/>
        <v>0</v>
      </c>
      <c r="M42" s="40">
        <f t="shared" si="19"/>
        <v>0</v>
      </c>
      <c r="N42" s="48" t="str">
        <f t="shared" si="20"/>
        <v>No commercial interest; 0 MW selected</v>
      </c>
      <c r="O42" s="78">
        <f t="shared" si="21"/>
        <v>0</v>
      </c>
      <c r="P42" s="414">
        <f t="shared" si="18"/>
        <v>1</v>
      </c>
      <c r="R42" s="417">
        <f t="shared" si="22"/>
        <v>0</v>
      </c>
      <c r="S42" s="220">
        <f t="shared" si="9"/>
        <v>0</v>
      </c>
      <c r="T42" s="238" t="str">
        <f t="shared" si="10"/>
        <v>No commercial interest; 0 MW selected</v>
      </c>
      <c r="U42" s="239">
        <f t="shared" si="11"/>
        <v>0</v>
      </c>
      <c r="V42" s="414">
        <f t="shared" si="6"/>
        <v>1</v>
      </c>
    </row>
    <row r="43" spans="2:22">
      <c r="B43" s="28" t="s">
        <v>263</v>
      </c>
      <c r="C43" s="33" t="s">
        <v>649</v>
      </c>
      <c r="D43" s="34">
        <v>1715.3</v>
      </c>
      <c r="E43" s="137"/>
      <c r="F43" s="44" t="s">
        <v>98</v>
      </c>
      <c r="G43" s="40">
        <f>SUMIF(SelectedPortfolio_2019RSP!B:B,F43,SelectedPortfolio_2019RSP!N:N)</f>
        <v>0</v>
      </c>
      <c r="H43" s="220">
        <f>SUMIF(SelectedPortfolio_2019RSP!B:B,F43,SelectedPortfolio_2019RSP!O:O)</f>
        <v>0</v>
      </c>
      <c r="I43" s="33" t="s">
        <v>273</v>
      </c>
      <c r="J43" s="46" t="s">
        <v>649</v>
      </c>
      <c r="K43" s="429"/>
      <c r="L43" s="55">
        <f t="shared" si="17"/>
        <v>0</v>
      </c>
      <c r="M43" s="40">
        <f t="shared" si="19"/>
        <v>0</v>
      </c>
      <c r="N43" s="48" t="str">
        <f t="shared" si="20"/>
        <v>No commercial interest; 0 MW selected</v>
      </c>
      <c r="O43" s="78">
        <f t="shared" si="21"/>
        <v>0</v>
      </c>
      <c r="P43" s="414">
        <f t="shared" si="18"/>
        <v>1</v>
      </c>
      <c r="R43" s="417">
        <f t="shared" si="22"/>
        <v>0</v>
      </c>
      <c r="S43" s="220">
        <f t="shared" si="9"/>
        <v>0</v>
      </c>
      <c r="T43" s="238" t="str">
        <f t="shared" si="10"/>
        <v>No commercial interest; 0 MW selected</v>
      </c>
      <c r="U43" s="239">
        <f t="shared" si="11"/>
        <v>0</v>
      </c>
      <c r="V43" s="414">
        <f t="shared" si="6"/>
        <v>1</v>
      </c>
    </row>
    <row r="44" spans="2:22">
      <c r="B44" s="28" t="s">
        <v>271</v>
      </c>
      <c r="C44" s="33" t="s">
        <v>271</v>
      </c>
      <c r="D44" s="34">
        <v>8249.732</v>
      </c>
      <c r="E44" s="137"/>
      <c r="F44" s="44" t="s">
        <v>99</v>
      </c>
      <c r="G44" s="40">
        <f>SUMIF(SelectedPortfolio_2019RSP!B:B,F44,SelectedPortfolio_2019RSP!N:N)</f>
        <v>542</v>
      </c>
      <c r="H44" s="220">
        <f>SUMIF(SelectedPortfolio_2019RSP!B:B,F44,SelectedPortfolio_2019RSP!O:O)</f>
        <v>542</v>
      </c>
      <c r="I44" s="33" t="s">
        <v>272</v>
      </c>
      <c r="J44" s="46" t="s">
        <v>649</v>
      </c>
      <c r="K44" s="429"/>
      <c r="L44" s="55">
        <f t="shared" si="17"/>
        <v>433.70400000000001</v>
      </c>
      <c r="M44" s="40">
        <f t="shared" si="19"/>
        <v>108.29599999999999</v>
      </c>
      <c r="N44" s="48">
        <f t="shared" si="20"/>
        <v>1.2497002563960673</v>
      </c>
      <c r="O44" s="78">
        <f t="shared" si="21"/>
        <v>0</v>
      </c>
      <c r="P44" s="414">
        <f t="shared" si="18"/>
        <v>1</v>
      </c>
      <c r="R44" s="417">
        <f t="shared" si="22"/>
        <v>433.70400000000001</v>
      </c>
      <c r="S44" s="220">
        <f t="shared" si="9"/>
        <v>-108.29599999999999</v>
      </c>
      <c r="T44" s="238">
        <f t="shared" si="10"/>
        <v>1.2497002563960673</v>
      </c>
      <c r="U44" s="239">
        <f t="shared" si="11"/>
        <v>0</v>
      </c>
      <c r="V44" s="414">
        <f t="shared" si="6"/>
        <v>1</v>
      </c>
    </row>
    <row r="45" spans="2:22">
      <c r="B45" s="28" t="s">
        <v>271</v>
      </c>
      <c r="C45" s="33" t="s">
        <v>647</v>
      </c>
      <c r="D45" s="34">
        <v>4777.38</v>
      </c>
      <c r="E45" s="137"/>
      <c r="F45" s="44" t="s">
        <v>100</v>
      </c>
      <c r="G45" s="40">
        <f>SUMIF(SelectedPortfolio_2019RSP!B:B,F45,SelectedPortfolio_2019RSP!N:N)</f>
        <v>862</v>
      </c>
      <c r="H45" s="220">
        <f>SUMIF(SelectedPortfolio_2019RSP!B:B,F45,SelectedPortfolio_2019RSP!O:O)</f>
        <v>0</v>
      </c>
      <c r="I45" s="33" t="s">
        <v>303</v>
      </c>
      <c r="J45" s="47" t="s">
        <v>647</v>
      </c>
      <c r="K45" s="429"/>
      <c r="L45" s="55">
        <f t="shared" si="17"/>
        <v>0</v>
      </c>
      <c r="M45" s="40">
        <f t="shared" si="19"/>
        <v>862</v>
      </c>
      <c r="N45" s="48" t="str">
        <f t="shared" si="20"/>
        <v>No commercial interest; 862 MW selected</v>
      </c>
      <c r="O45" s="78">
        <f t="shared" si="21"/>
        <v>1</v>
      </c>
      <c r="P45" s="414">
        <f t="shared" si="18"/>
        <v>3</v>
      </c>
      <c r="R45" s="417">
        <f t="shared" si="22"/>
        <v>0</v>
      </c>
      <c r="S45" s="220">
        <f t="shared" si="9"/>
        <v>0</v>
      </c>
      <c r="T45" s="238" t="str">
        <f t="shared" si="10"/>
        <v>No commercial interest; 0 MW selected</v>
      </c>
      <c r="U45" s="239">
        <f t="shared" si="11"/>
        <v>0</v>
      </c>
      <c r="V45" s="414">
        <f t="shared" si="6"/>
        <v>1</v>
      </c>
    </row>
    <row r="46" spans="2:22">
      <c r="B46" s="28" t="s">
        <v>271</v>
      </c>
      <c r="C46" s="33" t="s">
        <v>652</v>
      </c>
      <c r="D46" s="34">
        <v>49.5</v>
      </c>
      <c r="E46" s="137"/>
      <c r="F46" s="44" t="s">
        <v>102</v>
      </c>
      <c r="G46" s="40">
        <f>SUMIF(SelectedPortfolio_2019RSP!B:B,F46,SelectedPortfolio_2019RSP!N:N)</f>
        <v>0</v>
      </c>
      <c r="H46" s="220">
        <f>SUMIF(SelectedPortfolio_2019RSP!B:B,F46,SelectedPortfolio_2019RSP!O:O)</f>
        <v>0</v>
      </c>
      <c r="I46" s="33" t="s">
        <v>303</v>
      </c>
      <c r="J46" s="46" t="s">
        <v>649</v>
      </c>
      <c r="K46" s="429"/>
      <c r="L46" s="55">
        <f t="shared" si="17"/>
        <v>0</v>
      </c>
      <c r="M46" s="40">
        <f t="shared" si="19"/>
        <v>0</v>
      </c>
      <c r="N46" s="48" t="str">
        <f t="shared" si="20"/>
        <v>No commercial interest; 0 MW selected</v>
      </c>
      <c r="O46" s="78">
        <f t="shared" si="21"/>
        <v>0</v>
      </c>
      <c r="P46" s="414">
        <f t="shared" si="18"/>
        <v>1</v>
      </c>
      <c r="R46" s="417">
        <f t="shared" si="22"/>
        <v>0</v>
      </c>
      <c r="S46" s="220">
        <f t="shared" si="9"/>
        <v>0</v>
      </c>
      <c r="T46" s="238" t="str">
        <f t="shared" si="10"/>
        <v>No commercial interest; 0 MW selected</v>
      </c>
      <c r="U46" s="239">
        <f t="shared" si="11"/>
        <v>0</v>
      </c>
      <c r="V46" s="414">
        <f t="shared" si="6"/>
        <v>1</v>
      </c>
    </row>
    <row r="47" spans="2:22">
      <c r="B47" s="28" t="s">
        <v>271</v>
      </c>
      <c r="C47" s="33" t="s">
        <v>648</v>
      </c>
      <c r="D47" s="34">
        <v>3422.8520000000003</v>
      </c>
      <c r="E47" s="137"/>
      <c r="F47" s="44" t="s">
        <v>103</v>
      </c>
      <c r="G47" s="40">
        <f>SUMIF(SelectedPortfolio_2019RSP!B:B,F47,SelectedPortfolio_2019RSP!N:N)</f>
        <v>0</v>
      </c>
      <c r="H47" s="220">
        <f>SUMIF(SelectedPortfolio_2019RSP!B:B,F47,SelectedPortfolio_2019RSP!O:O)</f>
        <v>862</v>
      </c>
      <c r="I47" s="33" t="s">
        <v>275</v>
      </c>
      <c r="J47" s="47" t="s">
        <v>647</v>
      </c>
      <c r="K47" s="429"/>
      <c r="L47" s="55">
        <f t="shared" si="17"/>
        <v>2000.104</v>
      </c>
      <c r="M47" s="40">
        <f t="shared" si="19"/>
        <v>-2000.104</v>
      </c>
      <c r="N47" s="48">
        <f t="shared" si="20"/>
        <v>0</v>
      </c>
      <c r="O47" s="78">
        <f t="shared" si="21"/>
        <v>0</v>
      </c>
      <c r="P47" s="414">
        <f t="shared" si="18"/>
        <v>2</v>
      </c>
      <c r="Q47" s="233" t="s">
        <v>653</v>
      </c>
      <c r="R47" s="417">
        <f t="shared" si="22"/>
        <v>2000.104</v>
      </c>
      <c r="S47" s="220">
        <f t="shared" si="9"/>
        <v>1138.104</v>
      </c>
      <c r="T47" s="238">
        <f t="shared" si="10"/>
        <v>0.43097758916536338</v>
      </c>
      <c r="U47" s="239">
        <f t="shared" si="11"/>
        <v>0</v>
      </c>
      <c r="V47" s="414">
        <f t="shared" si="6"/>
        <v>1</v>
      </c>
    </row>
    <row r="48" spans="2:22">
      <c r="B48" s="28" t="s">
        <v>275</v>
      </c>
      <c r="C48" s="33" t="s">
        <v>275</v>
      </c>
      <c r="D48" s="34">
        <v>3992.6639999999998</v>
      </c>
      <c r="E48" s="137"/>
      <c r="F48" s="44" t="s">
        <v>105</v>
      </c>
      <c r="G48" s="40">
        <f>SUMIF(SelectedPortfolio_2019RSP!B:B,F48,SelectedPortfolio_2019RSP!N:N)</f>
        <v>0</v>
      </c>
      <c r="H48" s="220">
        <f>SUMIF(SelectedPortfolio_2019RSP!B:B,F48,SelectedPortfolio_2019RSP!O:O)</f>
        <v>0</v>
      </c>
      <c r="I48" s="33"/>
      <c r="J48" s="46"/>
      <c r="K48" s="429"/>
      <c r="L48" s="55" t="str">
        <f t="shared" si="17"/>
        <v/>
      </c>
      <c r="M48" s="40" t="str">
        <f t="shared" si="19"/>
        <v/>
      </c>
      <c r="N48" s="48" t="str">
        <f t="shared" si="20"/>
        <v>No commercial interest; 0 MW selected</v>
      </c>
      <c r="O48" s="78">
        <f t="shared" si="21"/>
        <v>0</v>
      </c>
      <c r="P48" s="414" t="str">
        <f t="shared" si="18"/>
        <v/>
      </c>
      <c r="R48" s="417" t="str">
        <f t="shared" si="22"/>
        <v/>
      </c>
      <c r="S48" s="220" t="str">
        <f t="shared" si="9"/>
        <v/>
      </c>
      <c r="T48" s="238" t="str">
        <f t="shared" si="10"/>
        <v>No commercial interest; 0 MW selected</v>
      </c>
      <c r="U48" s="239">
        <f t="shared" si="11"/>
        <v>0</v>
      </c>
      <c r="V48" s="414" t="str">
        <f t="shared" si="6"/>
        <v/>
      </c>
    </row>
    <row r="49" spans="2:22">
      <c r="B49" s="28" t="s">
        <v>275</v>
      </c>
      <c r="C49" s="33" t="s">
        <v>647</v>
      </c>
      <c r="D49" s="34">
        <v>2000.104</v>
      </c>
      <c r="E49" s="137"/>
      <c r="F49" s="44" t="s">
        <v>106</v>
      </c>
      <c r="G49" s="40">
        <f>SUMIF(SelectedPortfolio_2019RSP!B:B,F49,SelectedPortfolio_2019RSP!N:N)</f>
        <v>0</v>
      </c>
      <c r="H49" s="220">
        <f>SUMIF(SelectedPortfolio_2019RSP!B:B,F49,SelectedPortfolio_2019RSP!O:O)</f>
        <v>0</v>
      </c>
      <c r="I49" s="33"/>
      <c r="J49" s="46"/>
      <c r="K49" s="429"/>
      <c r="L49" s="55" t="str">
        <f t="shared" si="17"/>
        <v/>
      </c>
      <c r="M49" s="40" t="str">
        <f t="shared" si="19"/>
        <v/>
      </c>
      <c r="N49" s="48" t="str">
        <f t="shared" si="20"/>
        <v>No commercial interest; 0 MW selected</v>
      </c>
      <c r="O49" s="78">
        <f t="shared" si="21"/>
        <v>0</v>
      </c>
      <c r="P49" s="414" t="str">
        <f t="shared" si="18"/>
        <v/>
      </c>
      <c r="R49" s="417" t="str">
        <f t="shared" si="22"/>
        <v/>
      </c>
      <c r="S49" s="220" t="str">
        <f t="shared" si="9"/>
        <v/>
      </c>
      <c r="T49" s="238" t="str">
        <f t="shared" si="10"/>
        <v>No commercial interest; 0 MW selected</v>
      </c>
      <c r="U49" s="239">
        <f t="shared" si="11"/>
        <v>0</v>
      </c>
      <c r="V49" s="414" t="str">
        <f t="shared" si="6"/>
        <v/>
      </c>
    </row>
    <row r="50" spans="2:22">
      <c r="B50" s="28" t="s">
        <v>275</v>
      </c>
      <c r="C50" s="33" t="s">
        <v>648</v>
      </c>
      <c r="D50" s="34">
        <v>1682.56</v>
      </c>
      <c r="E50" s="137"/>
      <c r="F50" s="44" t="s">
        <v>107</v>
      </c>
      <c r="G50" s="40">
        <f>SUMIF(SelectedPortfolio_2019RSP!B:B,F50,SelectedPortfolio_2019RSP!N:N)</f>
        <v>4202</v>
      </c>
      <c r="H50" s="220">
        <f>SUMIF(SelectedPortfolio_2019RSP!B:B,F50,SelectedPortfolio_2019RSP!O:O)</f>
        <v>4202</v>
      </c>
      <c r="I50" s="33" t="s">
        <v>207</v>
      </c>
      <c r="J50" s="47" t="s">
        <v>647</v>
      </c>
      <c r="K50" s="429"/>
      <c r="L50" s="55">
        <f t="shared" si="17"/>
        <v>4697.9115600000005</v>
      </c>
      <c r="M50" s="40">
        <f t="shared" si="19"/>
        <v>-495.91156000000046</v>
      </c>
      <c r="N50" s="48">
        <f t="shared" si="20"/>
        <v>0.89443999665246987</v>
      </c>
      <c r="O50" s="78">
        <f t="shared" si="21"/>
        <v>0</v>
      </c>
      <c r="P50" s="414">
        <f t="shared" si="18"/>
        <v>1</v>
      </c>
      <c r="R50" s="417">
        <f t="shared" si="22"/>
        <v>4697.9115600000005</v>
      </c>
      <c r="S50" s="220">
        <f t="shared" si="9"/>
        <v>495.91156000000046</v>
      </c>
      <c r="T50" s="238">
        <f t="shared" si="10"/>
        <v>0.89443999665246987</v>
      </c>
      <c r="U50" s="239">
        <f t="shared" si="11"/>
        <v>0</v>
      </c>
      <c r="V50" s="414">
        <f t="shared" si="6"/>
        <v>1</v>
      </c>
    </row>
    <row r="51" spans="2:22">
      <c r="B51" s="28" t="s">
        <v>275</v>
      </c>
      <c r="C51" s="33" t="s">
        <v>649</v>
      </c>
      <c r="D51" s="34">
        <v>310</v>
      </c>
      <c r="E51" s="137"/>
      <c r="F51" s="44" t="s">
        <v>109</v>
      </c>
      <c r="G51" s="40">
        <f>SUMIF(SelectedPortfolio_2019RSP!B:B,F51,SelectedPortfolio_2019RSP!N:N)</f>
        <v>0</v>
      </c>
      <c r="H51" s="220">
        <f>SUMIF(SelectedPortfolio_2019RSP!B:B,F51,SelectedPortfolio_2019RSP!O:O)</f>
        <v>0</v>
      </c>
      <c r="I51" s="33" t="s">
        <v>301</v>
      </c>
      <c r="J51" s="47" t="s">
        <v>647</v>
      </c>
      <c r="K51" s="429"/>
      <c r="L51" s="55">
        <f t="shared" si="17"/>
        <v>0</v>
      </c>
      <c r="M51" s="40">
        <f t="shared" si="19"/>
        <v>0</v>
      </c>
      <c r="N51" s="48" t="str">
        <f t="shared" si="20"/>
        <v>No commercial interest; 0 MW selected</v>
      </c>
      <c r="O51" s="78">
        <f t="shared" si="21"/>
        <v>0</v>
      </c>
      <c r="P51" s="414">
        <f t="shared" si="18"/>
        <v>1</v>
      </c>
      <c r="R51" s="417">
        <f t="shared" si="22"/>
        <v>0</v>
      </c>
      <c r="S51" s="220">
        <f t="shared" si="9"/>
        <v>0</v>
      </c>
      <c r="T51" s="238" t="str">
        <f t="shared" si="10"/>
        <v>No commercial interest; 0 MW selected</v>
      </c>
      <c r="U51" s="239">
        <f t="shared" si="11"/>
        <v>0</v>
      </c>
      <c r="V51" s="414">
        <f t="shared" si="6"/>
        <v>1</v>
      </c>
    </row>
    <row r="52" spans="2:22">
      <c r="B52" s="28" t="s">
        <v>278</v>
      </c>
      <c r="C52" s="33" t="s">
        <v>278</v>
      </c>
      <c r="D52" s="34">
        <v>7402.1769999999997</v>
      </c>
      <c r="E52" s="137"/>
      <c r="F52" s="44" t="s">
        <v>110</v>
      </c>
      <c r="G52" s="40">
        <f>SUMIF(SelectedPortfolio_2019RSP!B:B,F52,SelectedPortfolio_2019RSP!N:N)</f>
        <v>275</v>
      </c>
      <c r="H52" s="220">
        <f>SUMIF(SelectedPortfolio_2019RSP!B:B,F52,SelectedPortfolio_2019RSP!O:O)</f>
        <v>275</v>
      </c>
      <c r="I52" s="33" t="s">
        <v>207</v>
      </c>
      <c r="J52" s="46" t="s">
        <v>649</v>
      </c>
      <c r="K52" s="429"/>
      <c r="L52" s="55">
        <f t="shared" si="17"/>
        <v>728.66000000000008</v>
      </c>
      <c r="M52" s="40">
        <f t="shared" si="19"/>
        <v>-453.66000000000008</v>
      </c>
      <c r="N52" s="48">
        <f t="shared" si="20"/>
        <v>0.3774050997721845</v>
      </c>
      <c r="O52" s="78">
        <f t="shared" si="21"/>
        <v>0</v>
      </c>
      <c r="P52" s="414">
        <f t="shared" si="18"/>
        <v>1</v>
      </c>
      <c r="R52" s="417">
        <f t="shared" si="22"/>
        <v>728.66000000000008</v>
      </c>
      <c r="S52" s="220">
        <f t="shared" si="9"/>
        <v>453.66000000000008</v>
      </c>
      <c r="T52" s="238">
        <f t="shared" si="10"/>
        <v>0.3774050997721845</v>
      </c>
      <c r="U52" s="239">
        <f t="shared" si="11"/>
        <v>0</v>
      </c>
      <c r="V52" s="414">
        <f t="shared" si="6"/>
        <v>1</v>
      </c>
    </row>
    <row r="53" spans="2:22">
      <c r="B53" s="28" t="s">
        <v>278</v>
      </c>
      <c r="C53" s="33" t="s">
        <v>654</v>
      </c>
      <c r="D53" s="34">
        <v>60</v>
      </c>
      <c r="E53" s="137"/>
      <c r="F53" s="44" t="s">
        <v>112</v>
      </c>
      <c r="G53" s="40">
        <f>SUMIF(SelectedPortfolio_2019RSP!B:B,F53,SelectedPortfolio_2019RSP!N:N)</f>
        <v>1778.57</v>
      </c>
      <c r="H53" s="220">
        <f>SUMIF(SelectedPortfolio_2019RSP!B:B,F53,SelectedPortfolio_2019RSP!O:O)</f>
        <v>-0.43000000000006366</v>
      </c>
      <c r="I53" s="33" t="s">
        <v>302</v>
      </c>
      <c r="J53" s="47" t="s">
        <v>647</v>
      </c>
      <c r="K53" s="429"/>
      <c r="L53" s="55">
        <f t="shared" si="17"/>
        <v>604.23900000000003</v>
      </c>
      <c r="M53" s="40">
        <f t="shared" si="19"/>
        <v>1174.3309999999999</v>
      </c>
      <c r="N53" s="48">
        <f t="shared" si="20"/>
        <v>2.9434875934853588</v>
      </c>
      <c r="O53" s="78">
        <f t="shared" si="21"/>
        <v>0</v>
      </c>
      <c r="P53" s="414">
        <f t="shared" si="18"/>
        <v>1</v>
      </c>
      <c r="R53" s="417">
        <f t="shared" si="22"/>
        <v>604.23900000000003</v>
      </c>
      <c r="S53" s="220">
        <f t="shared" si="9"/>
        <v>604.6690000000001</v>
      </c>
      <c r="T53" s="238">
        <f t="shared" si="10"/>
        <v>-7.1163893757282071E-4</v>
      </c>
      <c r="U53" s="239">
        <f t="shared" si="11"/>
        <v>0</v>
      </c>
      <c r="V53" s="414">
        <f t="shared" si="6"/>
        <v>1</v>
      </c>
    </row>
    <row r="54" spans="2:22">
      <c r="B54" s="28" t="s">
        <v>278</v>
      </c>
      <c r="C54" s="33" t="s">
        <v>655</v>
      </c>
      <c r="D54" s="34">
        <v>63</v>
      </c>
      <c r="E54" s="137"/>
      <c r="F54" s="44" t="s">
        <v>114</v>
      </c>
      <c r="G54" s="40">
        <f>SUMIF(SelectedPortfolio_2019RSP!B:B,F54,SelectedPortfolio_2019RSP!N:N)</f>
        <v>0</v>
      </c>
      <c r="H54" s="220">
        <f>SUMIF(SelectedPortfolio_2019RSP!B:B,F54,SelectedPortfolio_2019RSP!O:O)</f>
        <v>0</v>
      </c>
      <c r="I54" s="33" t="s">
        <v>302</v>
      </c>
      <c r="J54" s="46" t="s">
        <v>649</v>
      </c>
      <c r="K54" s="429"/>
      <c r="L54" s="55">
        <f t="shared" si="17"/>
        <v>1568</v>
      </c>
      <c r="M54" s="40">
        <f t="shared" si="19"/>
        <v>-1568</v>
      </c>
      <c r="N54" s="48">
        <f t="shared" si="20"/>
        <v>0</v>
      </c>
      <c r="O54" s="78">
        <f t="shared" si="21"/>
        <v>0</v>
      </c>
      <c r="P54" s="414">
        <f t="shared" si="18"/>
        <v>1</v>
      </c>
      <c r="R54" s="417">
        <f t="shared" si="22"/>
        <v>1568</v>
      </c>
      <c r="S54" s="220">
        <f t="shared" si="9"/>
        <v>1568</v>
      </c>
      <c r="T54" s="238">
        <f t="shared" si="10"/>
        <v>0</v>
      </c>
      <c r="U54" s="239">
        <f t="shared" si="11"/>
        <v>0</v>
      </c>
      <c r="V54" s="414">
        <f t="shared" si="6"/>
        <v>1</v>
      </c>
    </row>
    <row r="55" spans="2:22">
      <c r="B55" s="28" t="s">
        <v>278</v>
      </c>
      <c r="C55" s="33" t="s">
        <v>647</v>
      </c>
      <c r="D55" s="34">
        <v>5245.9970000000003</v>
      </c>
      <c r="E55" s="137"/>
      <c r="F55" s="44" t="s">
        <v>115</v>
      </c>
      <c r="G55" s="40">
        <f>SUMIF(SelectedPortfolio_2019RSP!B:B,F55,SelectedPortfolio_2019RSP!N:N)</f>
        <v>58.21</v>
      </c>
      <c r="H55" s="220">
        <f>SUMIF(SelectedPortfolio_2019RSP!B:B,F55,SelectedPortfolio_2019RSP!O:O)</f>
        <v>1836.21</v>
      </c>
      <c r="I55" s="33" t="s">
        <v>278</v>
      </c>
      <c r="J55" s="47" t="s">
        <v>647</v>
      </c>
      <c r="K55" s="429"/>
      <c r="L55" s="55">
        <f t="shared" si="17"/>
        <v>5245.9970000000003</v>
      </c>
      <c r="M55" s="40">
        <f t="shared" si="19"/>
        <v>-5187.7870000000003</v>
      </c>
      <c r="N55" s="48">
        <f t="shared" si="20"/>
        <v>1.1096079544079037E-2</v>
      </c>
      <c r="O55" s="78">
        <f t="shared" si="21"/>
        <v>0</v>
      </c>
      <c r="P55" s="414">
        <f t="shared" si="18"/>
        <v>3</v>
      </c>
      <c r="R55" s="417">
        <f t="shared" si="22"/>
        <v>5245.9970000000003</v>
      </c>
      <c r="S55" s="220">
        <f t="shared" si="9"/>
        <v>3409.7870000000003</v>
      </c>
      <c r="T55" s="238">
        <f t="shared" si="10"/>
        <v>0.35002116852144594</v>
      </c>
      <c r="U55" s="239">
        <f t="shared" si="11"/>
        <v>0</v>
      </c>
      <c r="V55" s="414">
        <f t="shared" si="6"/>
        <v>3</v>
      </c>
    </row>
    <row r="56" spans="2:22">
      <c r="B56" s="28" t="s">
        <v>278</v>
      </c>
      <c r="C56" s="33" t="s">
        <v>648</v>
      </c>
      <c r="D56" s="34">
        <v>1953.1799999999998</v>
      </c>
      <c r="E56" s="137"/>
      <c r="F56" s="44" t="s">
        <v>117</v>
      </c>
      <c r="G56" s="40">
        <f>SUMIF(SelectedPortfolio_2019RSP!B:B,F56,SelectedPortfolio_2019RSP!N:N)</f>
        <v>0</v>
      </c>
      <c r="H56" s="220">
        <f>SUMIF(SelectedPortfolio_2019RSP!B:B,F56,SelectedPortfolio_2019RSP!O:O)</f>
        <v>0</v>
      </c>
      <c r="I56" s="33"/>
      <c r="J56" s="46"/>
      <c r="K56" s="429"/>
      <c r="L56" s="55" t="str">
        <f t="shared" si="17"/>
        <v/>
      </c>
      <c r="M56" s="40" t="str">
        <f t="shared" si="19"/>
        <v/>
      </c>
      <c r="N56" s="48" t="str">
        <f t="shared" si="20"/>
        <v>No commercial interest; 0 MW selected</v>
      </c>
      <c r="O56" s="78">
        <f t="shared" si="21"/>
        <v>0</v>
      </c>
      <c r="P56" s="414" t="str">
        <f t="shared" si="18"/>
        <v/>
      </c>
      <c r="R56" s="417" t="str">
        <f t="shared" si="22"/>
        <v/>
      </c>
      <c r="S56" s="220" t="str">
        <f t="shared" si="9"/>
        <v/>
      </c>
      <c r="T56" s="238" t="str">
        <f t="shared" si="10"/>
        <v>No commercial interest; 0 MW selected</v>
      </c>
      <c r="U56" s="239">
        <f t="shared" si="11"/>
        <v>0</v>
      </c>
      <c r="V56" s="414" t="str">
        <f t="shared" si="6"/>
        <v/>
      </c>
    </row>
    <row r="57" spans="2:22">
      <c r="B57" s="28" t="s">
        <v>278</v>
      </c>
      <c r="C57" s="33" t="s">
        <v>649</v>
      </c>
      <c r="D57" s="34">
        <v>80</v>
      </c>
      <c r="E57" s="137"/>
      <c r="F57" s="44" t="s">
        <v>118</v>
      </c>
      <c r="G57" s="40">
        <f>SUMIF(SelectedPortfolio_2019RSP!B:B,F57,SelectedPortfolio_2019RSP!N:N)</f>
        <v>0</v>
      </c>
      <c r="H57" s="220">
        <f>SUMIF(SelectedPortfolio_2019RSP!B:B,F57,SelectedPortfolio_2019RSP!O:O)</f>
        <v>0</v>
      </c>
      <c r="I57" s="33"/>
      <c r="J57" s="46"/>
      <c r="K57" s="429"/>
      <c r="L57" s="55" t="str">
        <f t="shared" si="17"/>
        <v/>
      </c>
      <c r="M57" s="40" t="str">
        <f t="shared" si="19"/>
        <v/>
      </c>
      <c r="N57" s="48" t="str">
        <f t="shared" si="20"/>
        <v>No commercial interest; 0 MW selected</v>
      </c>
      <c r="O57" s="78">
        <f t="shared" si="21"/>
        <v>0</v>
      </c>
      <c r="P57" s="414" t="str">
        <f t="shared" si="18"/>
        <v/>
      </c>
      <c r="R57" s="417" t="str">
        <f t="shared" si="22"/>
        <v/>
      </c>
      <c r="S57" s="220" t="str">
        <f t="shared" si="9"/>
        <v/>
      </c>
      <c r="T57" s="238" t="str">
        <f t="shared" si="10"/>
        <v>No commercial interest; 0 MW selected</v>
      </c>
      <c r="U57" s="239">
        <f t="shared" si="11"/>
        <v>0</v>
      </c>
      <c r="V57" s="414" t="str">
        <f t="shared" si="6"/>
        <v/>
      </c>
    </row>
    <row r="58" spans="2:22">
      <c r="B58" s="28" t="s">
        <v>280</v>
      </c>
      <c r="C58" s="33" t="s">
        <v>280</v>
      </c>
      <c r="D58" s="34">
        <v>4025.6660000000002</v>
      </c>
      <c r="E58" s="137"/>
      <c r="F58" s="44" t="s">
        <v>119</v>
      </c>
      <c r="G58" s="40">
        <f>SUMIF(SelectedPortfolio_2019RSP!B:B,F58,SelectedPortfolio_2019RSP!N:N)</f>
        <v>0</v>
      </c>
      <c r="H58" s="220">
        <f>SUMIF(SelectedPortfolio_2019RSP!B:B,F58,SelectedPortfolio_2019RSP!O:O)</f>
        <v>0</v>
      </c>
      <c r="I58" s="33"/>
      <c r="J58" s="46"/>
      <c r="K58" s="429"/>
      <c r="L58" s="55" t="str">
        <f t="shared" si="17"/>
        <v/>
      </c>
      <c r="M58" s="40" t="str">
        <f t="shared" si="19"/>
        <v/>
      </c>
      <c r="N58" s="48" t="str">
        <f t="shared" si="20"/>
        <v>No commercial interest; 0 MW selected</v>
      </c>
      <c r="O58" s="78">
        <f t="shared" si="21"/>
        <v>0</v>
      </c>
      <c r="P58" s="414" t="str">
        <f t="shared" ref="P58:P62" si="23">IFERROR(IF(OR(ABS(M58)&gt;$C$2,O58=1),3,IF(ABS(M58)&gt;$C$3,2,1)),"")</f>
        <v/>
      </c>
      <c r="R58" s="417" t="str">
        <f t="shared" si="22"/>
        <v/>
      </c>
      <c r="S58" s="220" t="str">
        <f t="shared" si="9"/>
        <v/>
      </c>
      <c r="T58" s="238" t="str">
        <f t="shared" si="10"/>
        <v>No commercial interest; 0 MW selected</v>
      </c>
      <c r="U58" s="239">
        <f t="shared" si="11"/>
        <v>0</v>
      </c>
      <c r="V58" s="414" t="str">
        <f t="shared" si="6"/>
        <v/>
      </c>
    </row>
    <row r="59" spans="2:22">
      <c r="B59" s="28" t="s">
        <v>280</v>
      </c>
      <c r="C59" s="33" t="s">
        <v>647</v>
      </c>
      <c r="D59" s="34">
        <v>1898.1960000000001</v>
      </c>
      <c r="E59" s="137"/>
      <c r="F59" s="44" t="s">
        <v>120</v>
      </c>
      <c r="G59" s="40">
        <f>SUMIF(SelectedPortfolio_2019RSP!B:B,F59,SelectedPortfolio_2019RSP!N:N)</f>
        <v>0</v>
      </c>
      <c r="H59" s="220">
        <f>SUMIF(SelectedPortfolio_2019RSP!B:B,F59,SelectedPortfolio_2019RSP!O:O)</f>
        <v>0</v>
      </c>
      <c r="I59" s="33"/>
      <c r="J59" s="46"/>
      <c r="K59" s="429"/>
      <c r="L59" s="55" t="str">
        <f t="shared" si="17"/>
        <v/>
      </c>
      <c r="M59" s="40" t="str">
        <f t="shared" si="19"/>
        <v/>
      </c>
      <c r="N59" s="48" t="str">
        <f t="shared" si="20"/>
        <v>No commercial interest; 0 MW selected</v>
      </c>
      <c r="O59" s="78">
        <f t="shared" si="21"/>
        <v>0</v>
      </c>
      <c r="P59" s="414" t="str">
        <f t="shared" si="23"/>
        <v/>
      </c>
      <c r="R59" s="417" t="str">
        <f t="shared" si="22"/>
        <v/>
      </c>
      <c r="S59" s="220" t="str">
        <f t="shared" si="9"/>
        <v/>
      </c>
      <c r="T59" s="238" t="str">
        <f t="shared" si="10"/>
        <v>No commercial interest; 0 MW selected</v>
      </c>
      <c r="U59" s="239">
        <f t="shared" si="11"/>
        <v>0</v>
      </c>
      <c r="V59" s="414" t="str">
        <f t="shared" si="6"/>
        <v/>
      </c>
    </row>
    <row r="60" spans="2:22">
      <c r="B60" s="28" t="s">
        <v>280</v>
      </c>
      <c r="C60" s="33" t="s">
        <v>648</v>
      </c>
      <c r="D60" s="34">
        <v>1097.27</v>
      </c>
      <c r="E60" s="137"/>
      <c r="F60" s="44" t="s">
        <v>121</v>
      </c>
      <c r="G60" s="40">
        <f>SUMIF(SelectedPortfolio_2019RSP!B:B,F60,SelectedPortfolio_2019RSP!N:N)</f>
        <v>0</v>
      </c>
      <c r="H60" s="220">
        <f>SUMIF(SelectedPortfolio_2019RSP!B:B,F60,SelectedPortfolio_2019RSP!O:O)</f>
        <v>0</v>
      </c>
      <c r="I60" s="33"/>
      <c r="J60" s="46"/>
      <c r="K60" s="429"/>
      <c r="L60" s="55" t="str">
        <f t="shared" si="17"/>
        <v/>
      </c>
      <c r="M60" s="40" t="str">
        <f t="shared" si="19"/>
        <v/>
      </c>
      <c r="N60" s="48" t="str">
        <f t="shared" si="20"/>
        <v>No commercial interest; 0 MW selected</v>
      </c>
      <c r="O60" s="78">
        <f t="shared" si="21"/>
        <v>0</v>
      </c>
      <c r="P60" s="414" t="str">
        <f t="shared" si="23"/>
        <v/>
      </c>
      <c r="R60" s="417" t="str">
        <f t="shared" si="22"/>
        <v/>
      </c>
      <c r="S60" s="220" t="str">
        <f t="shared" si="9"/>
        <v/>
      </c>
      <c r="T60" s="238" t="str">
        <f t="shared" si="10"/>
        <v>No commercial interest; 0 MW selected</v>
      </c>
      <c r="U60" s="239">
        <f t="shared" si="11"/>
        <v>0</v>
      </c>
      <c r="V60" s="414" t="str">
        <f t="shared" si="6"/>
        <v/>
      </c>
    </row>
    <row r="61" spans="2:22">
      <c r="B61" s="28" t="s">
        <v>280</v>
      </c>
      <c r="C61" s="33" t="s">
        <v>649</v>
      </c>
      <c r="D61" s="34">
        <v>1030.2</v>
      </c>
      <c r="E61" s="137"/>
      <c r="F61" s="44" t="s">
        <v>122</v>
      </c>
      <c r="G61" s="40">
        <f>SUMIF(SelectedPortfolio_2019RSP!B:B,F61,SelectedPortfolio_2019RSP!N:N)</f>
        <v>0</v>
      </c>
      <c r="H61" s="220">
        <f>SUMIF(SelectedPortfolio_2019RSP!B:B,F61,SelectedPortfolio_2019RSP!O:O)</f>
        <v>0</v>
      </c>
      <c r="I61" s="33"/>
      <c r="J61" s="46"/>
      <c r="K61" s="429"/>
      <c r="L61" s="55" t="str">
        <f t="shared" si="17"/>
        <v/>
      </c>
      <c r="M61" s="40" t="str">
        <f t="shared" si="19"/>
        <v/>
      </c>
      <c r="N61" s="48" t="str">
        <f t="shared" si="20"/>
        <v>No commercial interest; 0 MW selected</v>
      </c>
      <c r="O61" s="78">
        <f t="shared" si="21"/>
        <v>0</v>
      </c>
      <c r="P61" s="414" t="str">
        <f t="shared" si="23"/>
        <v/>
      </c>
      <c r="R61" s="417" t="str">
        <f t="shared" si="22"/>
        <v/>
      </c>
      <c r="S61" s="220" t="str">
        <f t="shared" si="9"/>
        <v/>
      </c>
      <c r="T61" s="238" t="str">
        <f t="shared" si="10"/>
        <v>No commercial interest; 0 MW selected</v>
      </c>
      <c r="U61" s="239">
        <f t="shared" si="11"/>
        <v>0</v>
      </c>
      <c r="V61" s="414" t="str">
        <f t="shared" si="6"/>
        <v/>
      </c>
    </row>
    <row r="62" spans="2:22">
      <c r="B62" s="28" t="s">
        <v>282</v>
      </c>
      <c r="C62" s="33" t="s">
        <v>282</v>
      </c>
      <c r="D62" s="34">
        <v>1114.9860000000001</v>
      </c>
      <c r="E62" s="137"/>
      <c r="F62" s="44" t="s">
        <v>123</v>
      </c>
      <c r="G62" s="40">
        <f>SUMIF(SelectedPortfolio_2019RSP!B:B,F62,SelectedPortfolio_2019RSP!N:N)</f>
        <v>0</v>
      </c>
      <c r="H62" s="220">
        <f>SUMIF(SelectedPortfolio_2019RSP!B:B,F62,SelectedPortfolio_2019RSP!O:O)</f>
        <v>0</v>
      </c>
      <c r="I62" s="33"/>
      <c r="J62" s="46"/>
      <c r="K62" s="429"/>
      <c r="L62" s="55" t="str">
        <f t="shared" si="17"/>
        <v/>
      </c>
      <c r="M62" s="40" t="str">
        <f t="shared" si="19"/>
        <v/>
      </c>
      <c r="N62" s="48" t="str">
        <f t="shared" si="20"/>
        <v>No commercial interest; 0 MW selected</v>
      </c>
      <c r="O62" s="78">
        <f t="shared" si="21"/>
        <v>0</v>
      </c>
      <c r="P62" s="414" t="str">
        <f t="shared" si="23"/>
        <v/>
      </c>
      <c r="R62" s="417" t="str">
        <f t="shared" si="22"/>
        <v/>
      </c>
      <c r="S62" s="220" t="str">
        <f t="shared" si="9"/>
        <v/>
      </c>
      <c r="T62" s="238" t="str">
        <f t="shared" si="10"/>
        <v>No commercial interest; 0 MW selected</v>
      </c>
      <c r="U62" s="239">
        <f t="shared" si="11"/>
        <v>0</v>
      </c>
      <c r="V62" s="414" t="str">
        <f t="shared" si="6"/>
        <v/>
      </c>
    </row>
    <row r="63" spans="2:22">
      <c r="B63" s="28" t="s">
        <v>282</v>
      </c>
      <c r="C63" s="33" t="s">
        <v>647</v>
      </c>
      <c r="D63" s="34">
        <v>298.35000000000002</v>
      </c>
      <c r="E63" s="137"/>
      <c r="F63" s="44" t="s">
        <v>124</v>
      </c>
      <c r="G63" s="40">
        <f>SUMIF(SelectedPortfolio_2019RSP!B:B,F63,SelectedPortfolio_2019RSP!N:N)</f>
        <v>2352.08</v>
      </c>
      <c r="H63" s="220">
        <f>SUMIF(SelectedPortfolio_2019RSP!B:B,F63,SelectedPortfolio_2019RSP!O:O)</f>
        <v>2352.08</v>
      </c>
      <c r="I63" s="33" t="s">
        <v>271</v>
      </c>
      <c r="J63" s="47" t="s">
        <v>647</v>
      </c>
      <c r="K63" s="429"/>
      <c r="L63" s="49">
        <v>2595</v>
      </c>
      <c r="M63" s="40">
        <f t="shared" si="19"/>
        <v>-242.92000000000007</v>
      </c>
      <c r="N63" s="48">
        <f t="shared" si="20"/>
        <v>0.90638921001926775</v>
      </c>
      <c r="O63" s="78">
        <f t="shared" si="21"/>
        <v>0</v>
      </c>
      <c r="P63" s="414">
        <f>IF(OR(ABS(M63)&gt;$C$2,O63=1),3,IF(ABS(M63)&gt;$C$3,2,1))</f>
        <v>1</v>
      </c>
      <c r="Q63" s="233" t="s">
        <v>656</v>
      </c>
      <c r="R63" s="417">
        <f t="shared" si="22"/>
        <v>4777.38</v>
      </c>
      <c r="S63" s="220">
        <f t="shared" si="9"/>
        <v>242.92000000000007</v>
      </c>
      <c r="T63" s="238">
        <f t="shared" si="10"/>
        <v>0.49233680385483253</v>
      </c>
      <c r="U63" s="239">
        <f t="shared" si="11"/>
        <v>0</v>
      </c>
      <c r="V63" s="414">
        <f t="shared" si="6"/>
        <v>1</v>
      </c>
    </row>
    <row r="64" spans="2:22">
      <c r="B64" s="28" t="s">
        <v>282</v>
      </c>
      <c r="C64" s="33" t="s">
        <v>648</v>
      </c>
      <c r="D64" s="34">
        <v>816.63600000000008</v>
      </c>
      <c r="E64" s="137"/>
      <c r="F64" s="44" t="s">
        <v>126</v>
      </c>
      <c r="G64" s="40">
        <f>SUMIF(SelectedPortfolio_2019RSP!B:B,F64,SelectedPortfolio_2019RSP!N:N)</f>
        <v>0</v>
      </c>
      <c r="H64" s="220">
        <f>SUMIF(SelectedPortfolio_2019RSP!B:B,F64,SelectedPortfolio_2019RSP!O:O)</f>
        <v>0</v>
      </c>
      <c r="I64" s="33"/>
      <c r="J64" s="46"/>
      <c r="K64" s="429"/>
      <c r="L64" s="55" t="str">
        <f>IF(I64="","",SUMIFS(D:D,B:B,I64,C:C,J64))</f>
        <v/>
      </c>
      <c r="M64" s="40" t="str">
        <f t="shared" si="19"/>
        <v/>
      </c>
      <c r="N64" s="48" t="str">
        <f t="shared" si="20"/>
        <v>No commercial interest; 0 MW selected</v>
      </c>
      <c r="O64" s="78">
        <f t="shared" si="21"/>
        <v>0</v>
      </c>
      <c r="P64" s="414" t="str">
        <f t="shared" ref="P64:P65" si="24">IFERROR(IF(OR(ABS(M64)&gt;$C$2,O64=1),3,IF(ABS(M64)&gt;$C$3,2,1)),"")</f>
        <v/>
      </c>
      <c r="R64" s="417" t="str">
        <f t="shared" si="22"/>
        <v/>
      </c>
      <c r="S64" s="220" t="str">
        <f t="shared" si="9"/>
        <v/>
      </c>
      <c r="T64" s="238" t="str">
        <f t="shared" si="10"/>
        <v>No commercial interest; 0 MW selected</v>
      </c>
      <c r="U64" s="239">
        <f t="shared" si="11"/>
        <v>0</v>
      </c>
      <c r="V64" s="414" t="str">
        <f t="shared" si="6"/>
        <v/>
      </c>
    </row>
    <row r="65" spans="2:22">
      <c r="B65" s="28" t="s">
        <v>207</v>
      </c>
      <c r="C65" s="33" t="s">
        <v>207</v>
      </c>
      <c r="D65" s="34">
        <v>8631.4015600000002</v>
      </c>
      <c r="E65" s="137"/>
      <c r="F65" s="44" t="s">
        <v>127</v>
      </c>
      <c r="G65" s="40">
        <f>SUMIF(SelectedPortfolio_2019RSP!B:B,F65,SelectedPortfolio_2019RSP!N:N)</f>
        <v>0</v>
      </c>
      <c r="H65" s="220">
        <f>SUMIF(SelectedPortfolio_2019RSP!B:B,F65,SelectedPortfolio_2019RSP!O:O)</f>
        <v>0</v>
      </c>
      <c r="I65" s="33"/>
      <c r="J65" s="46"/>
      <c r="K65" s="429"/>
      <c r="L65" s="55" t="str">
        <f>IF(I65="","",SUMIFS(D:D,B:B,I65,C:C,J65))</f>
        <v/>
      </c>
      <c r="M65" s="40" t="str">
        <f t="shared" si="19"/>
        <v/>
      </c>
      <c r="N65" s="48" t="str">
        <f t="shared" si="20"/>
        <v>No commercial interest; 0 MW selected</v>
      </c>
      <c r="O65" s="78">
        <f t="shared" si="21"/>
        <v>0</v>
      </c>
      <c r="P65" s="414" t="str">
        <f t="shared" si="24"/>
        <v/>
      </c>
      <c r="R65" s="417" t="str">
        <f t="shared" si="22"/>
        <v/>
      </c>
      <c r="S65" s="220" t="str">
        <f t="shared" si="9"/>
        <v/>
      </c>
      <c r="T65" s="238" t="str">
        <f t="shared" si="10"/>
        <v>No commercial interest; 0 MW selected</v>
      </c>
      <c r="U65" s="239">
        <f t="shared" si="11"/>
        <v>0</v>
      </c>
      <c r="V65" s="414" t="str">
        <f t="shared" si="6"/>
        <v/>
      </c>
    </row>
    <row r="66" spans="2:22">
      <c r="B66" s="28" t="s">
        <v>207</v>
      </c>
      <c r="C66" s="33" t="s">
        <v>647</v>
      </c>
      <c r="D66" s="34">
        <v>4697.9115600000005</v>
      </c>
      <c r="E66" s="137"/>
      <c r="F66" s="44" t="s">
        <v>128</v>
      </c>
      <c r="G66" s="40">
        <f>SUMIF(SelectedPortfolio_2019RSP!B:B,F66,SelectedPortfolio_2019RSP!N:N)</f>
        <v>600</v>
      </c>
      <c r="H66" s="220">
        <f>SUMIF(SelectedPortfolio_2019RSP!B:B,F66,SelectedPortfolio_2019RSP!O:O)</f>
        <v>600</v>
      </c>
      <c r="I66" s="33" t="s">
        <v>263</v>
      </c>
      <c r="J66" s="46" t="s">
        <v>649</v>
      </c>
      <c r="K66" s="429"/>
      <c r="L66" s="55">
        <v>556</v>
      </c>
      <c r="M66" s="40">
        <f t="shared" si="19"/>
        <v>44</v>
      </c>
      <c r="N66" s="48">
        <f t="shared" si="20"/>
        <v>1.079136690647482</v>
      </c>
      <c r="O66" s="78">
        <f t="shared" si="21"/>
        <v>0</v>
      </c>
      <c r="P66" s="414">
        <f>IF(OR(ABS(M66)&gt;$C$2,O66=1),3,IF(ABS(M66)&gt;$C$3,2,1))</f>
        <v>1</v>
      </c>
      <c r="R66" s="417">
        <f t="shared" si="22"/>
        <v>1715.3</v>
      </c>
      <c r="S66" s="220">
        <f t="shared" si="9"/>
        <v>-44</v>
      </c>
      <c r="T66" s="238">
        <f t="shared" si="10"/>
        <v>0.34979303911852155</v>
      </c>
      <c r="U66" s="239">
        <f t="shared" si="11"/>
        <v>0</v>
      </c>
      <c r="V66" s="414">
        <f t="shared" si="6"/>
        <v>1</v>
      </c>
    </row>
    <row r="67" spans="2:22">
      <c r="B67" s="28" t="s">
        <v>207</v>
      </c>
      <c r="C67" s="33" t="s">
        <v>648</v>
      </c>
      <c r="D67" s="34">
        <v>3204.83</v>
      </c>
      <c r="E67" s="137"/>
      <c r="F67" s="44" t="s">
        <v>130</v>
      </c>
      <c r="G67" s="40">
        <f>SUMIF(SelectedPortfolio_2019RSP!B:B,F67,SelectedPortfolio_2019RSP!N:N)</f>
        <v>0</v>
      </c>
      <c r="H67" s="220">
        <f>SUMIF(SelectedPortfolio_2019RSP!B:B,F67,SelectedPortfolio_2019RSP!O:O)</f>
        <v>0</v>
      </c>
      <c r="I67" s="33"/>
      <c r="J67" s="46"/>
      <c r="K67" s="429"/>
      <c r="L67" s="55" t="str">
        <f t="shared" ref="L67:L73" si="25">IF(I67="","",SUMIFS(D:D,B:B,I67,C:C,J67))</f>
        <v/>
      </c>
      <c r="M67" s="40" t="str">
        <f t="shared" si="19"/>
        <v/>
      </c>
      <c r="N67" s="48" t="str">
        <f t="shared" si="20"/>
        <v>No commercial interest; 0 MW selected</v>
      </c>
      <c r="O67" s="78">
        <f t="shared" si="21"/>
        <v>0</v>
      </c>
      <c r="P67" s="414" t="str">
        <f t="shared" ref="P67" si="26">IFERROR(IF(OR(ABS(M67)&gt;$C$2,O67=1),3,IF(ABS(M67)&gt;$C$3,2,1)),"")</f>
        <v/>
      </c>
      <c r="R67" s="417" t="str">
        <f t="shared" si="22"/>
        <v/>
      </c>
      <c r="S67" s="220" t="str">
        <f t="shared" si="9"/>
        <v/>
      </c>
      <c r="T67" s="238" t="str">
        <f t="shared" si="10"/>
        <v>No commercial interest; 0 MW selected</v>
      </c>
      <c r="U67" s="239">
        <f t="shared" si="11"/>
        <v>0</v>
      </c>
      <c r="V67" s="414" t="str">
        <f t="shared" si="6"/>
        <v/>
      </c>
    </row>
    <row r="68" spans="2:22">
      <c r="B68" s="28" t="s">
        <v>207</v>
      </c>
      <c r="C68" s="33" t="s">
        <v>649</v>
      </c>
      <c r="D68" s="34">
        <v>728.66000000000008</v>
      </c>
      <c r="E68" s="137"/>
      <c r="F68" s="44" t="s">
        <v>131</v>
      </c>
      <c r="G68" s="40">
        <f>SUMIF(SelectedPortfolio_2019RSP!B:B,F68,SelectedPortfolio_2019RSP!N:N)</f>
        <v>0</v>
      </c>
      <c r="H68" s="220">
        <f>SUMIF(SelectedPortfolio_2019RSP!B:B,F68,SelectedPortfolio_2019RSP!O:O)</f>
        <v>0</v>
      </c>
      <c r="I68" s="33"/>
      <c r="J68" s="46"/>
      <c r="K68" s="429"/>
      <c r="L68" s="55" t="str">
        <f t="shared" si="25"/>
        <v/>
      </c>
      <c r="M68" s="40" t="str">
        <f t="shared" si="19"/>
        <v/>
      </c>
      <c r="N68" s="48" t="str">
        <f t="shared" si="20"/>
        <v>No commercial interest; 0 MW selected</v>
      </c>
      <c r="O68" s="78">
        <f t="shared" si="21"/>
        <v>0</v>
      </c>
      <c r="P68" s="414" t="str">
        <f t="shared" ref="P68:P72" si="27">IFERROR(IF(OR(ABS(M68)&gt;$C$2,O68=1),3,IF(ABS(M68)&gt;$C$3,2,1)),"")</f>
        <v/>
      </c>
      <c r="R68" s="417" t="str">
        <f t="shared" si="22"/>
        <v/>
      </c>
      <c r="S68" s="220" t="str">
        <f t="shared" si="9"/>
        <v/>
      </c>
      <c r="T68" s="238" t="str">
        <f t="shared" si="10"/>
        <v>No commercial interest; 0 MW selected</v>
      </c>
      <c r="U68" s="239">
        <f t="shared" si="11"/>
        <v>0</v>
      </c>
      <c r="V68" s="414" t="str">
        <f t="shared" si="6"/>
        <v/>
      </c>
    </row>
    <row r="69" spans="2:22">
      <c r="B69" s="28" t="s">
        <v>301</v>
      </c>
      <c r="C69" s="33" t="s">
        <v>301</v>
      </c>
      <c r="D69" s="34">
        <v>2528.65</v>
      </c>
      <c r="E69" s="137"/>
      <c r="F69" s="44" t="s">
        <v>132</v>
      </c>
      <c r="G69" s="40">
        <f>SUMIF(SelectedPortfolio_2019RSP!B:B,F69,SelectedPortfolio_2019RSP!N:N)</f>
        <v>0</v>
      </c>
      <c r="H69" s="220">
        <f>SUMIF(SelectedPortfolio_2019RSP!B:B,F69,SelectedPortfolio_2019RSP!O:O)</f>
        <v>0</v>
      </c>
      <c r="I69" s="33"/>
      <c r="J69" s="46"/>
      <c r="K69" s="429"/>
      <c r="L69" s="55" t="str">
        <f t="shared" si="25"/>
        <v/>
      </c>
      <c r="M69" s="40" t="str">
        <f t="shared" si="19"/>
        <v/>
      </c>
      <c r="N69" s="48" t="str">
        <f t="shared" si="20"/>
        <v>No commercial interest; 0 MW selected</v>
      </c>
      <c r="O69" s="78">
        <f t="shared" si="21"/>
        <v>0</v>
      </c>
      <c r="P69" s="414" t="str">
        <f t="shared" si="27"/>
        <v/>
      </c>
      <c r="R69" s="417" t="str">
        <f t="shared" si="22"/>
        <v/>
      </c>
      <c r="S69" s="220" t="str">
        <f t="shared" si="9"/>
        <v/>
      </c>
      <c r="T69" s="238" t="str">
        <f t="shared" si="10"/>
        <v>No commercial interest; 0 MW selected</v>
      </c>
      <c r="U69" s="239">
        <f t="shared" si="11"/>
        <v>0</v>
      </c>
      <c r="V69" s="414" t="str">
        <f t="shared" si="6"/>
        <v/>
      </c>
    </row>
    <row r="70" spans="2:22">
      <c r="B70" s="28" t="s">
        <v>301</v>
      </c>
      <c r="C70" s="33" t="s">
        <v>648</v>
      </c>
      <c r="D70" s="34">
        <v>2528.65</v>
      </c>
      <c r="E70" s="137"/>
      <c r="F70" s="44" t="s">
        <v>133</v>
      </c>
      <c r="G70" s="40">
        <f>SUMIF(SelectedPortfolio_2019RSP!B:B,F70,SelectedPortfolio_2019RSP!N:N)</f>
        <v>0</v>
      </c>
      <c r="H70" s="220">
        <f>SUMIF(SelectedPortfolio_2019RSP!B:B,F70,SelectedPortfolio_2019RSP!O:O)</f>
        <v>0</v>
      </c>
      <c r="I70" s="33"/>
      <c r="J70" s="46"/>
      <c r="K70" s="429"/>
      <c r="L70" s="55" t="str">
        <f t="shared" si="25"/>
        <v/>
      </c>
      <c r="M70" s="40" t="str">
        <f t="shared" si="19"/>
        <v/>
      </c>
      <c r="N70" s="48" t="str">
        <f t="shared" si="20"/>
        <v>No commercial interest; 0 MW selected</v>
      </c>
      <c r="O70" s="78">
        <f t="shared" si="21"/>
        <v>0</v>
      </c>
      <c r="P70" s="414" t="str">
        <f t="shared" si="27"/>
        <v/>
      </c>
      <c r="R70" s="417" t="str">
        <f t="shared" si="22"/>
        <v/>
      </c>
      <c r="S70" s="220" t="str">
        <f t="shared" si="9"/>
        <v/>
      </c>
      <c r="T70" s="238" t="str">
        <f t="shared" si="10"/>
        <v>No commercial interest; 0 MW selected</v>
      </c>
      <c r="U70" s="239">
        <f t="shared" si="11"/>
        <v>0</v>
      </c>
      <c r="V70" s="414" t="str">
        <f t="shared" si="6"/>
        <v/>
      </c>
    </row>
    <row r="71" spans="2:22">
      <c r="B71" s="28" t="s">
        <v>302</v>
      </c>
      <c r="C71" s="33" t="s">
        <v>302</v>
      </c>
      <c r="D71" s="34">
        <v>3424.35</v>
      </c>
      <c r="E71" s="137"/>
      <c r="F71" s="44" t="s">
        <v>134</v>
      </c>
      <c r="G71" s="40">
        <f>SUMIF(SelectedPortfolio_2019RSP!B:B,F71,SelectedPortfolio_2019RSP!N:N)</f>
        <v>0</v>
      </c>
      <c r="H71" s="220">
        <f>SUMIF(SelectedPortfolio_2019RSP!B:B,F71,SelectedPortfolio_2019RSP!O:O)</f>
        <v>0</v>
      </c>
      <c r="I71" s="33"/>
      <c r="J71" s="46"/>
      <c r="K71" s="429"/>
      <c r="L71" s="55" t="str">
        <f t="shared" si="25"/>
        <v/>
      </c>
      <c r="M71" s="40" t="str">
        <f t="shared" ref="M71:M72" si="28">IFERROR(G71-L71,"")</f>
        <v/>
      </c>
      <c r="N71" s="48" t="str">
        <f t="shared" si="20"/>
        <v>No commercial interest; 0 MW selected</v>
      </c>
      <c r="O71" s="78">
        <f t="shared" si="21"/>
        <v>0</v>
      </c>
      <c r="P71" s="414" t="str">
        <f t="shared" si="27"/>
        <v/>
      </c>
      <c r="R71" s="417" t="str">
        <f t="shared" si="22"/>
        <v/>
      </c>
      <c r="S71" s="220" t="str">
        <f t="shared" si="9"/>
        <v/>
      </c>
      <c r="T71" s="238" t="str">
        <f t="shared" si="10"/>
        <v>No commercial interest; 0 MW selected</v>
      </c>
      <c r="U71" s="239">
        <f t="shared" si="11"/>
        <v>0</v>
      </c>
      <c r="V71" s="414" t="str">
        <f t="shared" si="6"/>
        <v/>
      </c>
    </row>
    <row r="72" spans="2:22">
      <c r="B72" s="28" t="s">
        <v>302</v>
      </c>
      <c r="C72" s="33" t="s">
        <v>648</v>
      </c>
      <c r="D72" s="34">
        <v>1856.35</v>
      </c>
      <c r="E72" s="137"/>
      <c r="F72" s="44" t="s">
        <v>135</v>
      </c>
      <c r="G72" s="40">
        <f>SUMIF(SelectedPortfolio_2019RSP!B:B,F72,SelectedPortfolio_2019RSP!N:N)</f>
        <v>606.16999999999996</v>
      </c>
      <c r="H72" s="220">
        <f>SUMIF(SelectedPortfolio_2019RSP!B:B,F72,SelectedPortfolio_2019RSP!O:O)</f>
        <v>606.16999999999996</v>
      </c>
      <c r="I72" s="33" t="s">
        <v>271</v>
      </c>
      <c r="J72" s="46" t="s">
        <v>649</v>
      </c>
      <c r="K72" s="429"/>
      <c r="L72" s="55">
        <f t="shared" si="25"/>
        <v>0</v>
      </c>
      <c r="M72" s="40">
        <f t="shared" si="28"/>
        <v>606.16999999999996</v>
      </c>
      <c r="N72" s="48" t="str">
        <f t="shared" si="20"/>
        <v>No commercial interest; 606.17 MW selected</v>
      </c>
      <c r="O72" s="78">
        <f t="shared" si="21"/>
        <v>1</v>
      </c>
      <c r="P72" s="414">
        <f t="shared" si="27"/>
        <v>3</v>
      </c>
      <c r="R72" s="417">
        <f t="shared" si="22"/>
        <v>0</v>
      </c>
      <c r="S72" s="220">
        <f t="shared" si="9"/>
        <v>-606.16999999999996</v>
      </c>
      <c r="T72" s="238" t="str">
        <f t="shared" si="10"/>
        <v>No commercial interest; 606.17 MW selected</v>
      </c>
      <c r="U72" s="239">
        <f t="shared" si="11"/>
        <v>0</v>
      </c>
      <c r="V72" s="414">
        <f t="shared" ref="V72" si="29">IFERROR(IF(OR(ABS(S72)&gt;$C$2,U72=1),3,IF(ABS(S72)&gt;$C$3,2,1)),"")</f>
        <v>1</v>
      </c>
    </row>
    <row r="73" spans="2:22">
      <c r="B73" s="28" t="s">
        <v>302</v>
      </c>
      <c r="C73" s="33" t="s">
        <v>649</v>
      </c>
      <c r="D73" s="34">
        <v>1568</v>
      </c>
      <c r="E73" s="137"/>
      <c r="F73" s="409" t="s">
        <v>169</v>
      </c>
      <c r="G73" s="381">
        <f>SUMIF(SelectedPortfolio_2019RSP!B:B,F73,SelectedPortfolio_2019RSP!N:N)</f>
        <v>0</v>
      </c>
      <c r="H73" s="381">
        <f>SUMIF(SelectedPortfolio_2019RSP!B:B,F73,SelectedPortfolio_2019RSP!O:O)</f>
        <v>974</v>
      </c>
      <c r="I73" s="382" t="s">
        <v>214</v>
      </c>
      <c r="J73" s="382" t="s">
        <v>648</v>
      </c>
      <c r="K73" s="429"/>
      <c r="L73" s="410">
        <f t="shared" si="25"/>
        <v>1319.1</v>
      </c>
      <c r="M73" s="381">
        <f t="shared" ref="M73" si="30">IFERROR(G73-L73,"")</f>
        <v>-1319.1</v>
      </c>
      <c r="N73" s="411">
        <f t="shared" ref="N73" si="31">IFERROR(G73/L73,"No commercial interest; "&amp;G73&amp;" MW selected")</f>
        <v>0</v>
      </c>
      <c r="O73" s="412">
        <f t="shared" ref="O73" si="32">IF(AND(L73=0,M73&gt;$C$1),1,0)</f>
        <v>0</v>
      </c>
      <c r="P73" s="415">
        <f t="shared" ref="P73" si="33">IFERROR(IF(OR(ABS(M73)&gt;$C$2,O73=1),3,IF(ABS(M73)&gt;$C$3,2,1)),"")</f>
        <v>1</v>
      </c>
      <c r="R73" s="422">
        <f t="shared" si="22"/>
        <v>1319.1</v>
      </c>
      <c r="S73" s="381">
        <f t="shared" ref="S73" si="34">IFERROR(L73-H73,"")</f>
        <v>345.09999999999991</v>
      </c>
      <c r="T73" s="411">
        <f>IFERROR(H73/R73,"No commercial interest; "&amp;H73&amp;" MW selected")</f>
        <v>0.73838223030854377</v>
      </c>
      <c r="U73" s="412">
        <f t="shared" ref="U73" si="35">IF(AND(R73=0,S73&gt;$C$1),1,0)</f>
        <v>0</v>
      </c>
      <c r="V73" s="415">
        <f t="shared" ref="V73" si="36">IFERROR(IF(OR(ABS(S73)&gt;$C$2,U73=1),3,IF(ABS(S73)&gt;$C$3,2,1)),"")</f>
        <v>1</v>
      </c>
    </row>
    <row r="74" spans="2:22" ht="14.65" thickBot="1">
      <c r="B74" s="28" t="s">
        <v>302</v>
      </c>
      <c r="C74" s="33" t="s">
        <v>657</v>
      </c>
      <c r="D74" s="34">
        <v>1379.8890000000001</v>
      </c>
      <c r="E74" s="137"/>
      <c r="F74" s="50"/>
      <c r="G74" s="51">
        <f>SUM(G7:G72)</f>
        <v>14460.489999999998</v>
      </c>
      <c r="H74" s="51">
        <f>SUM(H7:H72)</f>
        <v>14459.489999999998</v>
      </c>
      <c r="I74" s="52"/>
      <c r="J74" s="53"/>
      <c r="K74" s="429"/>
      <c r="L74" s="56"/>
      <c r="M74" s="57"/>
      <c r="N74" s="57"/>
      <c r="O74" s="57"/>
      <c r="P74" s="53"/>
      <c r="R74" s="419"/>
      <c r="S74" s="420"/>
      <c r="T74" s="420"/>
      <c r="U74" s="420"/>
      <c r="V74" s="421"/>
    </row>
    <row r="75" spans="2:22">
      <c r="B75" s="28" t="s">
        <v>302</v>
      </c>
      <c r="C75" s="33" t="s">
        <v>654</v>
      </c>
      <c r="D75" s="34">
        <v>35</v>
      </c>
      <c r="E75" s="91"/>
      <c r="F75" s="406"/>
      <c r="G75" s="406"/>
      <c r="I75" s="406"/>
      <c r="J75" s="406"/>
      <c r="K75" s="429"/>
      <c r="L75" s="269"/>
      <c r="M75" s="429"/>
      <c r="N75" s="429"/>
      <c r="O75" s="429"/>
      <c r="P75" s="406"/>
    </row>
    <row r="76" spans="2:22">
      <c r="B76" s="28" t="s">
        <v>302</v>
      </c>
      <c r="C76" s="33" t="s">
        <v>647</v>
      </c>
      <c r="D76" s="34">
        <v>604.23900000000003</v>
      </c>
      <c r="E76" s="429"/>
      <c r="F76" s="406"/>
      <c r="G76" s="406"/>
      <c r="I76" s="406"/>
      <c r="J76" s="406"/>
      <c r="K76" s="429"/>
      <c r="L76" s="269"/>
      <c r="M76" s="429"/>
      <c r="N76" s="429"/>
      <c r="O76" s="429"/>
      <c r="P76" s="406"/>
    </row>
    <row r="77" spans="2:22">
      <c r="B77" s="28" t="s">
        <v>302</v>
      </c>
      <c r="C77" s="33" t="s">
        <v>648</v>
      </c>
      <c r="D77" s="34">
        <v>740.65</v>
      </c>
      <c r="E77" s="429"/>
      <c r="F77" s="406"/>
      <c r="G77" s="406"/>
      <c r="I77" s="406"/>
      <c r="J77" s="406"/>
      <c r="K77" s="429"/>
      <c r="L77" s="269"/>
      <c r="M77" s="429"/>
      <c r="N77" s="429"/>
      <c r="O77" s="429"/>
      <c r="P77" s="406"/>
    </row>
    <row r="78" spans="2:22">
      <c r="B78" s="28" t="s">
        <v>277</v>
      </c>
      <c r="C78" s="33" t="s">
        <v>277</v>
      </c>
      <c r="D78" s="34">
        <v>606.20000000000005</v>
      </c>
      <c r="E78" s="429"/>
      <c r="F78" s="406"/>
      <c r="G78" s="406"/>
      <c r="I78" s="406"/>
      <c r="J78" s="406"/>
      <c r="K78" s="429"/>
      <c r="L78" s="269"/>
      <c r="M78" s="429"/>
      <c r="N78" s="429"/>
      <c r="O78" s="429"/>
      <c r="P78" s="406"/>
    </row>
    <row r="79" spans="2:22">
      <c r="B79" s="28" t="s">
        <v>277</v>
      </c>
      <c r="C79" s="33" t="s">
        <v>648</v>
      </c>
      <c r="D79" s="34">
        <v>606.20000000000005</v>
      </c>
      <c r="E79" s="429"/>
      <c r="F79" s="406"/>
      <c r="G79" s="406"/>
      <c r="I79" s="406"/>
      <c r="J79" s="406"/>
      <c r="K79" s="429"/>
      <c r="L79" s="269"/>
      <c r="M79" s="429"/>
      <c r="N79" s="429"/>
      <c r="O79" s="429"/>
      <c r="P79" s="406"/>
    </row>
    <row r="80" spans="2:22">
      <c r="B80" s="28" t="s">
        <v>186</v>
      </c>
      <c r="C80" s="33" t="s">
        <v>186</v>
      </c>
      <c r="D80" s="34">
        <v>4336.8499999999995</v>
      </c>
      <c r="E80" s="429"/>
      <c r="F80" s="406"/>
      <c r="G80" s="406"/>
      <c r="I80" s="406"/>
      <c r="J80" s="406"/>
      <c r="K80" s="429"/>
      <c r="L80" s="269"/>
      <c r="M80" s="429"/>
      <c r="N80" s="429"/>
      <c r="O80" s="429"/>
      <c r="P80" s="406"/>
    </row>
    <row r="81" spans="2:22">
      <c r="B81" s="28" t="s">
        <v>186</v>
      </c>
      <c r="C81" s="33" t="s">
        <v>648</v>
      </c>
      <c r="D81" s="34">
        <v>4336.8499999999995</v>
      </c>
      <c r="E81" s="429"/>
      <c r="F81" s="406"/>
      <c r="G81" s="406"/>
      <c r="I81" s="406"/>
      <c r="J81" s="406"/>
      <c r="K81" s="429"/>
      <c r="L81" s="269"/>
      <c r="M81" s="429"/>
      <c r="N81" s="429"/>
      <c r="O81" s="429"/>
      <c r="P81" s="406"/>
    </row>
    <row r="82" spans="2:22">
      <c r="B82" s="28" t="s">
        <v>658</v>
      </c>
      <c r="C82" s="33" t="s">
        <v>658</v>
      </c>
      <c r="D82" s="34">
        <v>1512.6</v>
      </c>
      <c r="E82" s="429"/>
      <c r="F82" s="406"/>
      <c r="G82" s="406"/>
      <c r="I82" s="406"/>
      <c r="J82" s="406"/>
      <c r="K82" s="429"/>
      <c r="L82" s="269"/>
      <c r="M82" s="429"/>
      <c r="N82" s="429"/>
      <c r="O82" s="429"/>
      <c r="P82" s="406"/>
    </row>
    <row r="83" spans="2:22">
      <c r="B83" s="28" t="s">
        <v>658</v>
      </c>
      <c r="C83" s="33" t="s">
        <v>648</v>
      </c>
      <c r="D83" s="34">
        <v>1512.6</v>
      </c>
      <c r="E83" s="429"/>
      <c r="F83" s="406"/>
      <c r="G83" s="406"/>
      <c r="I83" s="406"/>
      <c r="J83" s="406"/>
      <c r="K83" s="429"/>
      <c r="L83" s="269"/>
      <c r="M83" s="429"/>
      <c r="N83" s="429"/>
      <c r="O83" s="429"/>
      <c r="P83" s="406"/>
    </row>
    <row r="84" spans="2:22">
      <c r="B84" s="28" t="s">
        <v>290</v>
      </c>
      <c r="C84" s="33" t="s">
        <v>290</v>
      </c>
      <c r="D84" s="34">
        <v>302.85000000000002</v>
      </c>
      <c r="E84" s="429"/>
      <c r="F84" s="406"/>
      <c r="G84" s="406"/>
      <c r="I84" s="406"/>
      <c r="J84" s="406"/>
      <c r="K84" s="429"/>
      <c r="L84" s="269"/>
      <c r="M84" s="429"/>
      <c r="N84" s="429"/>
      <c r="O84" s="429"/>
      <c r="P84" s="406"/>
    </row>
    <row r="85" spans="2:22">
      <c r="B85" s="28" t="s">
        <v>290</v>
      </c>
      <c r="C85" s="33" t="s">
        <v>647</v>
      </c>
      <c r="D85" s="34">
        <v>302.85000000000002</v>
      </c>
      <c r="E85" s="429"/>
      <c r="F85" s="406"/>
      <c r="G85" s="406"/>
      <c r="I85" s="406"/>
      <c r="J85" s="406"/>
      <c r="K85" s="429"/>
      <c r="L85" s="269"/>
      <c r="M85" s="429"/>
      <c r="N85" s="429"/>
      <c r="O85" s="429"/>
      <c r="P85" s="406"/>
    </row>
    <row r="86" spans="2:22">
      <c r="B86" s="134" t="s">
        <v>285</v>
      </c>
      <c r="C86" s="135" t="s">
        <v>285</v>
      </c>
      <c r="D86" s="136">
        <v>156</v>
      </c>
      <c r="E86" s="429"/>
      <c r="F86" s="406"/>
      <c r="G86" s="406"/>
      <c r="I86" s="406"/>
      <c r="J86" s="406"/>
      <c r="K86" s="429"/>
      <c r="L86" s="269"/>
      <c r="M86" s="429"/>
      <c r="N86" s="429"/>
      <c r="O86" s="429"/>
      <c r="P86" s="406"/>
    </row>
    <row r="87" spans="2:22">
      <c r="B87" s="28" t="s">
        <v>285</v>
      </c>
      <c r="C87" s="33" t="s">
        <v>647</v>
      </c>
      <c r="D87" s="34">
        <v>156</v>
      </c>
      <c r="E87" s="429"/>
      <c r="F87" s="406"/>
      <c r="G87" s="406"/>
      <c r="I87" s="406"/>
      <c r="J87" s="406"/>
      <c r="K87" s="429"/>
      <c r="L87" s="269"/>
      <c r="M87" s="429"/>
      <c r="N87" s="429"/>
      <c r="O87" s="429"/>
      <c r="P87" s="406"/>
    </row>
    <row r="88" spans="2:22">
      <c r="B88" s="28" t="s">
        <v>293</v>
      </c>
      <c r="C88" s="33" t="s">
        <v>293</v>
      </c>
      <c r="D88" s="34">
        <v>900</v>
      </c>
      <c r="E88" s="429"/>
      <c r="F88" s="406"/>
      <c r="G88" s="406"/>
      <c r="I88" s="406"/>
      <c r="J88" s="406"/>
      <c r="K88" s="429"/>
      <c r="L88" s="269"/>
      <c r="M88" s="429"/>
      <c r="N88" s="429"/>
      <c r="O88" s="429"/>
      <c r="P88" s="406"/>
    </row>
    <row r="89" spans="2:22">
      <c r="B89" s="28" t="s">
        <v>293</v>
      </c>
      <c r="C89" s="33" t="s">
        <v>647</v>
      </c>
      <c r="D89" s="34">
        <v>300</v>
      </c>
      <c r="E89" s="429"/>
      <c r="F89" s="406"/>
      <c r="G89" s="406"/>
      <c r="I89" s="406"/>
      <c r="J89" s="406"/>
      <c r="K89" s="429"/>
      <c r="L89" s="269"/>
      <c r="M89" s="429"/>
      <c r="N89" s="429"/>
      <c r="O89" s="429"/>
      <c r="P89" s="406"/>
    </row>
    <row r="90" spans="2:22">
      <c r="B90" s="28" t="s">
        <v>293</v>
      </c>
      <c r="C90" s="33" t="s">
        <v>648</v>
      </c>
      <c r="D90" s="34">
        <v>600</v>
      </c>
      <c r="E90" s="429"/>
      <c r="F90" s="406"/>
      <c r="G90" s="406"/>
      <c r="I90" s="406"/>
      <c r="J90" s="406"/>
      <c r="K90" s="429"/>
      <c r="L90" s="269"/>
      <c r="M90" s="429"/>
      <c r="N90" s="429"/>
      <c r="O90" s="429"/>
      <c r="P90" s="406"/>
    </row>
    <row r="91" spans="2:22" s="405" customFormat="1">
      <c r="B91" s="134"/>
      <c r="C91" s="135"/>
      <c r="D91" s="136"/>
      <c r="E91" s="429"/>
      <c r="F91" s="406"/>
      <c r="G91" s="406"/>
      <c r="H91" s="210"/>
      <c r="I91" s="406"/>
      <c r="J91" s="406"/>
      <c r="K91" s="429"/>
      <c r="L91" s="269"/>
      <c r="M91" s="429"/>
      <c r="N91" s="429"/>
      <c r="O91" s="429"/>
      <c r="P91" s="406"/>
      <c r="Q91" s="233"/>
      <c r="R91" s="235"/>
      <c r="S91" s="210"/>
      <c r="T91" s="210"/>
      <c r="U91" s="210"/>
      <c r="V91" s="210"/>
    </row>
    <row r="92" spans="2:22" s="405" customFormat="1">
      <c r="B92" s="134"/>
      <c r="C92" s="135"/>
      <c r="D92" s="136"/>
      <c r="E92" s="429"/>
      <c r="F92" s="406"/>
      <c r="G92" s="406"/>
      <c r="H92" s="210"/>
      <c r="I92" s="406"/>
      <c r="J92" s="406"/>
      <c r="K92" s="429"/>
      <c r="L92" s="269"/>
      <c r="M92" s="429"/>
      <c r="N92" s="429"/>
      <c r="O92" s="429"/>
      <c r="P92" s="406"/>
      <c r="Q92" s="233"/>
      <c r="R92" s="235"/>
      <c r="S92" s="210"/>
      <c r="T92" s="210"/>
      <c r="U92" s="210"/>
      <c r="V92" s="210"/>
    </row>
    <row r="93" spans="2:22" ht="14.65" thickBot="1">
      <c r="B93" s="35"/>
      <c r="C93" s="36" t="s">
        <v>212</v>
      </c>
      <c r="D93" s="37">
        <v>66566.117559999999</v>
      </c>
      <c r="E93" s="429"/>
      <c r="F93" s="406"/>
      <c r="G93" s="406"/>
      <c r="I93" s="406"/>
      <c r="J93" s="406"/>
      <c r="K93" s="429"/>
      <c r="L93" s="269"/>
      <c r="M93" s="429"/>
      <c r="N93" s="429"/>
      <c r="O93" s="429"/>
      <c r="P93" s="406"/>
    </row>
  </sheetData>
  <conditionalFormatting sqref="P8 P74 P10:P63">
    <cfRule type="colorScale" priority="762">
      <colorScale>
        <cfvo type="min"/>
        <cfvo type="percentile" val="50"/>
        <cfvo type="max"/>
        <color rgb="FF63BE7B"/>
        <color rgb="FFFFEB84"/>
        <color rgb="FFF8696B"/>
      </colorScale>
    </cfRule>
  </conditionalFormatting>
  <conditionalFormatting sqref="P66">
    <cfRule type="colorScale" priority="7">
      <colorScale>
        <cfvo type="min"/>
        <cfvo type="percentile" val="50"/>
        <cfvo type="max"/>
        <color rgb="FFF8696B"/>
        <color rgb="FFFFEB84"/>
        <color rgb="FF63BE7B"/>
      </colorScale>
    </cfRule>
  </conditionalFormatting>
  <conditionalFormatting sqref="P9">
    <cfRule type="colorScale" priority="6">
      <colorScale>
        <cfvo type="min"/>
        <cfvo type="percentile" val="50"/>
        <cfvo type="max"/>
        <color rgb="FF63BE7B"/>
        <color rgb="FFFFEB84"/>
        <color rgb="FFF8696B"/>
      </colorScale>
    </cfRule>
  </conditionalFormatting>
  <conditionalFormatting sqref="P7">
    <cfRule type="colorScale" priority="5">
      <colorScale>
        <cfvo type="min"/>
        <cfvo type="percentile" val="50"/>
        <cfvo type="max"/>
        <color rgb="FF63BE7B"/>
        <color rgb="FFFFEB84"/>
        <color rgb="FFF8696B"/>
      </colorScale>
    </cfRule>
  </conditionalFormatting>
  <conditionalFormatting sqref="P64">
    <cfRule type="colorScale" priority="4">
      <colorScale>
        <cfvo type="min"/>
        <cfvo type="percentile" val="50"/>
        <cfvo type="max"/>
        <color rgb="FF63BE7B"/>
        <color rgb="FFFFEB84"/>
        <color rgb="FFF8696B"/>
      </colorScale>
    </cfRule>
  </conditionalFormatting>
  <conditionalFormatting sqref="P65">
    <cfRule type="colorScale" priority="3">
      <colorScale>
        <cfvo type="min"/>
        <cfvo type="percentile" val="50"/>
        <cfvo type="max"/>
        <color rgb="FF63BE7B"/>
        <color rgb="FFFFEB84"/>
        <color rgb="FFF8696B"/>
      </colorScale>
    </cfRule>
  </conditionalFormatting>
  <conditionalFormatting sqref="P67:P73">
    <cfRule type="colorScale" priority="2">
      <colorScale>
        <cfvo type="min"/>
        <cfvo type="percentile" val="50"/>
        <cfvo type="max"/>
        <color rgb="FF63BE7B"/>
        <color rgb="FFFFEB84"/>
        <color rgb="FFF8696B"/>
      </colorScale>
    </cfRule>
  </conditionalFormatting>
  <conditionalFormatting sqref="V8:V73">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3"/>
  <sheetViews>
    <sheetView workbookViewId="0">
      <selection activeCell="B24" sqref="B24"/>
    </sheetView>
  </sheetViews>
  <sheetFormatPr defaultRowHeight="14.25"/>
  <sheetData>
    <row r="23" spans="2:2">
      <c r="B23" s="40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B86"/>
  <sheetViews>
    <sheetView workbookViewId="0"/>
  </sheetViews>
  <sheetFormatPr defaultRowHeight="14.25"/>
  <cols>
    <col min="1" max="1" width="36.1328125" bestFit="1" customWidth="1"/>
    <col min="2" max="2" width="12.1328125" bestFit="1" customWidth="1"/>
  </cols>
  <sheetData>
    <row r="1" spans="1:2">
      <c r="A1" s="429" t="s">
        <v>659</v>
      </c>
      <c r="B1" s="429"/>
    </row>
    <row r="2" spans="1:2">
      <c r="A2" s="1" t="s">
        <v>644</v>
      </c>
      <c r="B2" s="1" t="s">
        <v>645</v>
      </c>
    </row>
    <row r="3" spans="1:2">
      <c r="A3" s="270">
        <v>0</v>
      </c>
      <c r="B3" s="429">
        <v>3204.7329999999997</v>
      </c>
    </row>
    <row r="4" spans="1:2">
      <c r="A4" s="272" t="s">
        <v>647</v>
      </c>
      <c r="B4" s="429">
        <v>1102.2649999999999</v>
      </c>
    </row>
    <row r="5" spans="1:2">
      <c r="A5" s="272" t="s">
        <v>648</v>
      </c>
      <c r="B5" s="429">
        <v>1571.848</v>
      </c>
    </row>
    <row r="6" spans="1:2">
      <c r="A6" s="272" t="s">
        <v>649</v>
      </c>
      <c r="B6" s="429">
        <v>530.62</v>
      </c>
    </row>
    <row r="7" spans="1:2">
      <c r="A7" s="270" t="s">
        <v>265</v>
      </c>
      <c r="B7" s="429">
        <v>1300.5</v>
      </c>
    </row>
    <row r="8" spans="1:2">
      <c r="A8" s="272" t="s">
        <v>647</v>
      </c>
      <c r="B8" s="429">
        <v>824.26</v>
      </c>
    </row>
    <row r="9" spans="1:2">
      <c r="A9" s="272" t="s">
        <v>648</v>
      </c>
      <c r="B9" s="429">
        <v>476.24</v>
      </c>
    </row>
    <row r="10" spans="1:2">
      <c r="A10" s="270" t="s">
        <v>287</v>
      </c>
      <c r="B10" s="429">
        <v>320.92</v>
      </c>
    </row>
    <row r="11" spans="1:2">
      <c r="A11" s="272" t="s">
        <v>647</v>
      </c>
      <c r="B11" s="429">
        <v>210.88</v>
      </c>
    </row>
    <row r="12" spans="1:2">
      <c r="A12" s="272" t="s">
        <v>648</v>
      </c>
      <c r="B12" s="429">
        <v>110.04</v>
      </c>
    </row>
    <row r="13" spans="1:2">
      <c r="A13" s="270" t="s">
        <v>214</v>
      </c>
      <c r="B13" s="429">
        <v>1319.1</v>
      </c>
    </row>
    <row r="14" spans="1:2">
      <c r="A14" s="272" t="s">
        <v>648</v>
      </c>
      <c r="B14" s="429">
        <v>1319.1</v>
      </c>
    </row>
    <row r="15" spans="1:2">
      <c r="A15" s="270" t="s">
        <v>300</v>
      </c>
      <c r="B15" s="429">
        <v>511.18</v>
      </c>
    </row>
    <row r="16" spans="1:2">
      <c r="A16" s="272" t="s">
        <v>648</v>
      </c>
      <c r="B16" s="429">
        <v>511.18</v>
      </c>
    </row>
    <row r="17" spans="1:2">
      <c r="A17" s="270" t="s">
        <v>268</v>
      </c>
      <c r="B17" s="429">
        <v>348.1</v>
      </c>
    </row>
    <row r="18" spans="1:2">
      <c r="A18" s="272" t="s">
        <v>648</v>
      </c>
      <c r="B18" s="429">
        <v>50.875</v>
      </c>
    </row>
    <row r="19" spans="1:2">
      <c r="A19" s="272" t="s">
        <v>649</v>
      </c>
      <c r="B19" s="429">
        <v>297.22500000000002</v>
      </c>
    </row>
    <row r="20" spans="1:2">
      <c r="A20" s="270" t="s">
        <v>267</v>
      </c>
      <c r="B20" s="429">
        <v>522</v>
      </c>
    </row>
    <row r="21" spans="1:2">
      <c r="A21" s="272" t="s">
        <v>647</v>
      </c>
      <c r="B21" s="429">
        <v>12</v>
      </c>
    </row>
    <row r="22" spans="1:2">
      <c r="A22" s="272" t="s">
        <v>648</v>
      </c>
      <c r="B22" s="429">
        <v>510</v>
      </c>
    </row>
    <row r="23" spans="1:2">
      <c r="A23" s="270" t="s">
        <v>272</v>
      </c>
      <c r="B23" s="429">
        <v>1164.104</v>
      </c>
    </row>
    <row r="24" spans="1:2">
      <c r="A24" s="272" t="s">
        <v>647</v>
      </c>
      <c r="B24" s="429">
        <v>431.4</v>
      </c>
    </row>
    <row r="25" spans="1:2">
      <c r="A25" s="272" t="s">
        <v>648</v>
      </c>
      <c r="B25" s="429">
        <v>299</v>
      </c>
    </row>
    <row r="26" spans="1:2">
      <c r="A26" s="272" t="s">
        <v>649</v>
      </c>
      <c r="B26" s="429">
        <v>433.70400000000001</v>
      </c>
    </row>
    <row r="27" spans="1:2">
      <c r="A27" s="270" t="s">
        <v>273</v>
      </c>
      <c r="B27" s="429">
        <v>120.4</v>
      </c>
    </row>
    <row r="28" spans="1:2">
      <c r="A28" s="272" t="s">
        <v>648</v>
      </c>
      <c r="B28" s="429">
        <v>120.4</v>
      </c>
    </row>
    <row r="29" spans="1:2">
      <c r="A29" s="270" t="s">
        <v>298</v>
      </c>
      <c r="B29" s="429">
        <v>1996.155</v>
      </c>
    </row>
    <row r="30" spans="1:2">
      <c r="A30" s="272" t="s">
        <v>650</v>
      </c>
      <c r="B30" s="429">
        <v>5</v>
      </c>
    </row>
    <row r="31" spans="1:2">
      <c r="A31" s="272" t="s">
        <v>647</v>
      </c>
      <c r="B31" s="429">
        <v>20.6</v>
      </c>
    </row>
    <row r="32" spans="1:2">
      <c r="A32" s="272" t="s">
        <v>652</v>
      </c>
      <c r="B32" s="429">
        <v>5.5</v>
      </c>
    </row>
    <row r="33" spans="1:2">
      <c r="A33" s="272" t="s">
        <v>648</v>
      </c>
      <c r="B33" s="429">
        <v>191.05500000000001</v>
      </c>
    </row>
    <row r="34" spans="1:2">
      <c r="A34" s="272" t="s">
        <v>649</v>
      </c>
      <c r="B34" s="429">
        <v>1774</v>
      </c>
    </row>
    <row r="35" spans="1:2">
      <c r="A35" s="270" t="s">
        <v>263</v>
      </c>
      <c r="B35" s="429">
        <v>7194.91</v>
      </c>
    </row>
    <row r="36" spans="1:2">
      <c r="A36" s="272" t="s">
        <v>647</v>
      </c>
      <c r="B36" s="429">
        <v>3050.58</v>
      </c>
    </row>
    <row r="37" spans="1:2">
      <c r="A37" s="272" t="s">
        <v>648</v>
      </c>
      <c r="B37" s="429">
        <v>2429.0299999999997</v>
      </c>
    </row>
    <row r="38" spans="1:2">
      <c r="A38" s="272" t="s">
        <v>649</v>
      </c>
      <c r="B38" s="429">
        <v>1715.3</v>
      </c>
    </row>
    <row r="39" spans="1:2">
      <c r="A39" s="270" t="s">
        <v>271</v>
      </c>
      <c r="B39" s="429">
        <v>8249.732</v>
      </c>
    </row>
    <row r="40" spans="1:2">
      <c r="A40" s="272" t="s">
        <v>647</v>
      </c>
      <c r="B40" s="429">
        <v>4777.38</v>
      </c>
    </row>
    <row r="41" spans="1:2">
      <c r="A41" s="272" t="s">
        <v>652</v>
      </c>
      <c r="B41" s="429">
        <v>49.5</v>
      </c>
    </row>
    <row r="42" spans="1:2">
      <c r="A42" s="272" t="s">
        <v>648</v>
      </c>
      <c r="B42" s="429">
        <v>3422.8520000000003</v>
      </c>
    </row>
    <row r="43" spans="1:2">
      <c r="A43" s="270" t="s">
        <v>275</v>
      </c>
      <c r="B43" s="429">
        <v>3992.6639999999998</v>
      </c>
    </row>
    <row r="44" spans="1:2">
      <c r="A44" s="272" t="s">
        <v>647</v>
      </c>
      <c r="B44" s="429">
        <v>2000.104</v>
      </c>
    </row>
    <row r="45" spans="1:2">
      <c r="A45" s="272" t="s">
        <v>648</v>
      </c>
      <c r="B45" s="429">
        <v>1682.56</v>
      </c>
    </row>
    <row r="46" spans="1:2">
      <c r="A46" s="272" t="s">
        <v>649</v>
      </c>
      <c r="B46" s="429">
        <v>310</v>
      </c>
    </row>
    <row r="47" spans="1:2">
      <c r="A47" s="270" t="s">
        <v>278</v>
      </c>
      <c r="B47" s="429">
        <v>7402.1769999999997</v>
      </c>
    </row>
    <row r="48" spans="1:2">
      <c r="A48" s="272" t="s">
        <v>654</v>
      </c>
      <c r="B48" s="429">
        <v>60</v>
      </c>
    </row>
    <row r="49" spans="1:2">
      <c r="A49" s="272" t="s">
        <v>655</v>
      </c>
      <c r="B49" s="429">
        <v>63</v>
      </c>
    </row>
    <row r="50" spans="1:2">
      <c r="A50" s="272" t="s">
        <v>647</v>
      </c>
      <c r="B50" s="429">
        <v>5245.9970000000003</v>
      </c>
    </row>
    <row r="51" spans="1:2">
      <c r="A51" s="272" t="s">
        <v>648</v>
      </c>
      <c r="B51" s="429">
        <v>1953.1799999999998</v>
      </c>
    </row>
    <row r="52" spans="1:2">
      <c r="A52" s="272" t="s">
        <v>649</v>
      </c>
      <c r="B52" s="429">
        <v>80</v>
      </c>
    </row>
    <row r="53" spans="1:2">
      <c r="A53" s="270" t="s">
        <v>280</v>
      </c>
      <c r="B53" s="429">
        <v>4025.6660000000002</v>
      </c>
    </row>
    <row r="54" spans="1:2">
      <c r="A54" s="272" t="s">
        <v>647</v>
      </c>
      <c r="B54" s="429">
        <v>1898.1960000000001</v>
      </c>
    </row>
    <row r="55" spans="1:2">
      <c r="A55" s="272" t="s">
        <v>648</v>
      </c>
      <c r="B55" s="429">
        <v>1097.27</v>
      </c>
    </row>
    <row r="56" spans="1:2">
      <c r="A56" s="272" t="s">
        <v>649</v>
      </c>
      <c r="B56" s="429">
        <v>1030.2</v>
      </c>
    </row>
    <row r="57" spans="1:2">
      <c r="A57" s="270" t="s">
        <v>282</v>
      </c>
      <c r="B57" s="429">
        <v>1114.9860000000001</v>
      </c>
    </row>
    <row r="58" spans="1:2">
      <c r="A58" s="272" t="s">
        <v>647</v>
      </c>
      <c r="B58" s="429">
        <v>298.35000000000002</v>
      </c>
    </row>
    <row r="59" spans="1:2">
      <c r="A59" s="272" t="s">
        <v>648</v>
      </c>
      <c r="B59" s="429">
        <v>816.63600000000008</v>
      </c>
    </row>
    <row r="60" spans="1:2">
      <c r="A60" s="270" t="s">
        <v>207</v>
      </c>
      <c r="B60" s="429">
        <v>8631.4015600000002</v>
      </c>
    </row>
    <row r="61" spans="1:2">
      <c r="A61" s="272" t="s">
        <v>647</v>
      </c>
      <c r="B61" s="429">
        <v>4697.9115600000005</v>
      </c>
    </row>
    <row r="62" spans="1:2">
      <c r="A62" s="272" t="s">
        <v>648</v>
      </c>
      <c r="B62" s="429">
        <v>3204.83</v>
      </c>
    </row>
    <row r="63" spans="1:2">
      <c r="A63" s="272" t="s">
        <v>649</v>
      </c>
      <c r="B63" s="429">
        <v>728.66000000000008</v>
      </c>
    </row>
    <row r="64" spans="1:2">
      <c r="A64" s="270" t="s">
        <v>301</v>
      </c>
      <c r="B64" s="429">
        <v>2528.65</v>
      </c>
    </row>
    <row r="65" spans="1:2">
      <c r="A65" s="272" t="s">
        <v>648</v>
      </c>
      <c r="B65" s="429">
        <v>2528.65</v>
      </c>
    </row>
    <row r="66" spans="1:2">
      <c r="A66" s="270" t="s">
        <v>302</v>
      </c>
      <c r="B66" s="429">
        <v>3424.35</v>
      </c>
    </row>
    <row r="67" spans="1:2">
      <c r="A67" s="272" t="s">
        <v>648</v>
      </c>
      <c r="B67" s="429">
        <v>1856.35</v>
      </c>
    </row>
    <row r="68" spans="1:2">
      <c r="A68" s="272" t="s">
        <v>649</v>
      </c>
      <c r="B68" s="429">
        <v>1568</v>
      </c>
    </row>
    <row r="69" spans="1:2">
      <c r="A69" s="270" t="s">
        <v>657</v>
      </c>
      <c r="B69" s="429">
        <v>1379.8890000000001</v>
      </c>
    </row>
    <row r="70" spans="1:2">
      <c r="A70" s="272" t="s">
        <v>654</v>
      </c>
      <c r="B70" s="429">
        <v>35</v>
      </c>
    </row>
    <row r="71" spans="1:2">
      <c r="A71" s="272" t="s">
        <v>647</v>
      </c>
      <c r="B71" s="429">
        <v>604.23900000000003</v>
      </c>
    </row>
    <row r="72" spans="1:2">
      <c r="A72" s="272" t="s">
        <v>648</v>
      </c>
      <c r="B72" s="429">
        <v>740.65</v>
      </c>
    </row>
    <row r="73" spans="1:2">
      <c r="A73" s="270" t="s">
        <v>277</v>
      </c>
      <c r="B73" s="429">
        <v>606.20000000000005</v>
      </c>
    </row>
    <row r="74" spans="1:2">
      <c r="A74" s="272" t="s">
        <v>648</v>
      </c>
      <c r="B74" s="429">
        <v>606.20000000000005</v>
      </c>
    </row>
    <row r="75" spans="1:2">
      <c r="A75" s="270" t="s">
        <v>186</v>
      </c>
      <c r="B75" s="429">
        <v>4336.8499999999995</v>
      </c>
    </row>
    <row r="76" spans="1:2">
      <c r="A76" s="272" t="s">
        <v>648</v>
      </c>
      <c r="B76" s="429">
        <v>4336.8499999999995</v>
      </c>
    </row>
    <row r="77" spans="1:2">
      <c r="A77" s="270" t="s">
        <v>658</v>
      </c>
      <c r="B77" s="429">
        <v>1512.6</v>
      </c>
    </row>
    <row r="78" spans="1:2">
      <c r="A78" s="272" t="s">
        <v>648</v>
      </c>
      <c r="B78" s="429">
        <v>1512.6</v>
      </c>
    </row>
    <row r="79" spans="1:2">
      <c r="A79" s="270" t="s">
        <v>290</v>
      </c>
      <c r="B79" s="429">
        <v>302.85000000000002</v>
      </c>
    </row>
    <row r="80" spans="1:2">
      <c r="A80" s="272" t="s">
        <v>647</v>
      </c>
      <c r="B80" s="429">
        <v>302.85000000000002</v>
      </c>
    </row>
    <row r="81" spans="1:2">
      <c r="A81" s="270" t="s">
        <v>285</v>
      </c>
      <c r="B81" s="429">
        <v>156</v>
      </c>
    </row>
    <row r="82" spans="1:2">
      <c r="A82" s="272" t="s">
        <v>647</v>
      </c>
      <c r="B82" s="429">
        <v>156</v>
      </c>
    </row>
    <row r="83" spans="1:2">
      <c r="A83" s="270" t="s">
        <v>293</v>
      </c>
      <c r="B83" s="429">
        <v>900</v>
      </c>
    </row>
    <row r="84" spans="1:2">
      <c r="A84" s="272" t="s">
        <v>647</v>
      </c>
      <c r="B84" s="429">
        <v>300</v>
      </c>
    </row>
    <row r="85" spans="1:2">
      <c r="A85" s="272" t="s">
        <v>648</v>
      </c>
      <c r="B85" s="429">
        <v>600</v>
      </c>
    </row>
    <row r="86" spans="1:2">
      <c r="A86" s="270" t="s">
        <v>212</v>
      </c>
      <c r="B86" s="429">
        <v>66566.117559999999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69653-4D53-4D24-9A32-4A6F5F1080B7}">
  <sheetPr>
    <tabColor theme="4"/>
    <pageSetUpPr fitToPage="1"/>
  </sheetPr>
  <dimension ref="A1:M101"/>
  <sheetViews>
    <sheetView zoomScale="70" zoomScaleNormal="70" workbookViewId="0"/>
  </sheetViews>
  <sheetFormatPr defaultColWidth="11" defaultRowHeight="15.75"/>
  <cols>
    <col min="1" max="1" width="11" style="164" customWidth="1"/>
    <col min="2" max="2" width="8.59765625" style="164" customWidth="1"/>
    <col min="3" max="3" width="39.1328125" style="164" bestFit="1" customWidth="1"/>
    <col min="4" max="4" width="27.73046875" style="164" bestFit="1" customWidth="1"/>
    <col min="5" max="7" width="11" style="164"/>
    <col min="8" max="8" width="22.265625" style="164" bestFit="1" customWidth="1"/>
    <col min="9" max="9" width="16.1328125" style="165" customWidth="1"/>
    <col min="10" max="10" width="19.265625" style="164" customWidth="1"/>
    <col min="11" max="11" width="11" style="164"/>
    <col min="12" max="12" width="27.265625" style="164" customWidth="1"/>
    <col min="13" max="13" width="18" style="164" customWidth="1"/>
    <col min="14" max="16384" width="11" style="164"/>
  </cols>
  <sheetData>
    <row r="1" spans="1:11">
      <c r="A1" s="164" t="s">
        <v>660</v>
      </c>
    </row>
    <row r="2" spans="1:11">
      <c r="B2" s="516" t="s">
        <v>661</v>
      </c>
      <c r="C2" s="517"/>
    </row>
    <row r="3" spans="1:11">
      <c r="B3" s="428" t="s">
        <v>662</v>
      </c>
      <c r="C3" s="428"/>
      <c r="D3" s="166"/>
      <c r="E3" s="166"/>
      <c r="F3" s="166"/>
      <c r="G3" s="166"/>
      <c r="H3" s="166"/>
      <c r="I3" s="167"/>
    </row>
    <row r="4" spans="1:11">
      <c r="B4" s="168"/>
      <c r="C4" s="168"/>
      <c r="D4" s="168"/>
    </row>
    <row r="5" spans="1:11">
      <c r="B5" s="168"/>
      <c r="C5" s="169" t="s">
        <v>663</v>
      </c>
      <c r="D5" s="168"/>
      <c r="H5" s="169" t="s">
        <v>664</v>
      </c>
    </row>
    <row r="6" spans="1:11">
      <c r="B6" s="168"/>
      <c r="C6" s="293" t="s">
        <v>177</v>
      </c>
      <c r="D6" s="170" t="s">
        <v>178</v>
      </c>
      <c r="E6" s="253" t="s">
        <v>179</v>
      </c>
      <c r="F6" s="253" t="s">
        <v>182</v>
      </c>
      <c r="G6" s="253" t="s">
        <v>665</v>
      </c>
      <c r="H6" s="253" t="s">
        <v>666</v>
      </c>
      <c r="I6" s="254" t="s">
        <v>667</v>
      </c>
    </row>
    <row r="7" spans="1:11">
      <c r="B7" s="168"/>
      <c r="C7" s="204" t="s">
        <v>47</v>
      </c>
      <c r="D7" s="171" t="s">
        <v>186</v>
      </c>
      <c r="E7" s="172"/>
      <c r="F7" s="173"/>
      <c r="G7" s="173"/>
      <c r="H7" s="171"/>
      <c r="I7" s="255"/>
    </row>
    <row r="8" spans="1:11">
      <c r="B8" s="168"/>
      <c r="C8" s="204"/>
      <c r="D8" s="171"/>
      <c r="E8" s="174"/>
      <c r="F8" s="175"/>
      <c r="G8" s="175"/>
      <c r="H8" s="171"/>
      <c r="I8" s="255"/>
    </row>
    <row r="9" spans="1:11">
      <c r="A9" s="204" t="s">
        <v>49</v>
      </c>
      <c r="B9" s="168"/>
      <c r="C9" s="176" t="s">
        <v>49</v>
      </c>
      <c r="D9" s="177" t="s">
        <v>668</v>
      </c>
      <c r="E9" s="178">
        <v>604</v>
      </c>
      <c r="F9" s="179">
        <v>652</v>
      </c>
      <c r="G9" s="179">
        <f>SUM(E9:F9)</f>
        <v>1256</v>
      </c>
      <c r="H9" s="177"/>
      <c r="I9" s="180"/>
    </row>
    <row r="10" spans="1:11">
      <c r="A10" s="204" t="s">
        <v>49</v>
      </c>
      <c r="B10" s="168"/>
      <c r="C10" s="204"/>
      <c r="D10" s="171"/>
      <c r="E10" s="204"/>
      <c r="F10" s="204"/>
      <c r="G10" s="204"/>
      <c r="H10" s="256" t="s">
        <v>669</v>
      </c>
      <c r="I10" s="171">
        <v>628</v>
      </c>
      <c r="J10" s="168" t="s">
        <v>670</v>
      </c>
      <c r="K10" s="168"/>
    </row>
    <row r="11" spans="1:11" ht="15.95" customHeight="1">
      <c r="A11" s="204" t="s">
        <v>49</v>
      </c>
      <c r="B11" s="168"/>
      <c r="C11" s="204"/>
      <c r="D11" s="171"/>
      <c r="E11" s="204"/>
      <c r="F11" s="204"/>
      <c r="G11" s="204"/>
      <c r="H11" s="256" t="s">
        <v>671</v>
      </c>
      <c r="I11" s="181">
        <v>628</v>
      </c>
      <c r="J11" s="168" t="s">
        <v>672</v>
      </c>
      <c r="K11" s="168"/>
    </row>
    <row r="12" spans="1:11">
      <c r="A12" s="204" t="s">
        <v>49</v>
      </c>
      <c r="B12" s="168"/>
      <c r="C12" s="204"/>
      <c r="D12" s="171"/>
      <c r="E12" s="204"/>
      <c r="F12" s="204"/>
      <c r="G12" s="204"/>
      <c r="H12" s="151"/>
      <c r="I12" s="181"/>
      <c r="J12" s="168"/>
      <c r="K12" s="168"/>
    </row>
    <row r="13" spans="1:11">
      <c r="A13" s="204" t="s">
        <v>49</v>
      </c>
      <c r="B13" s="168"/>
      <c r="C13" s="204"/>
      <c r="D13" s="171"/>
      <c r="E13" s="204"/>
      <c r="F13" s="204"/>
      <c r="G13" s="204"/>
      <c r="H13" s="151"/>
      <c r="I13" s="181"/>
      <c r="J13" s="168"/>
      <c r="K13" s="168"/>
    </row>
    <row r="14" spans="1:11">
      <c r="B14" s="168"/>
      <c r="C14" s="176" t="s">
        <v>53</v>
      </c>
      <c r="D14" s="177" t="s">
        <v>673</v>
      </c>
      <c r="E14" s="178"/>
      <c r="F14" s="179"/>
      <c r="G14" s="179"/>
      <c r="H14" s="177"/>
      <c r="I14" s="180"/>
      <c r="J14" s="168"/>
    </row>
    <row r="15" spans="1:11">
      <c r="A15" s="204" t="s">
        <v>189</v>
      </c>
      <c r="B15" s="168"/>
      <c r="C15" s="176" t="s">
        <v>189</v>
      </c>
      <c r="D15" s="177" t="s">
        <v>190</v>
      </c>
      <c r="E15" s="178"/>
      <c r="F15" s="179"/>
      <c r="G15" s="179"/>
      <c r="H15" s="177"/>
      <c r="I15" s="180"/>
    </row>
    <row r="16" spans="1:11">
      <c r="A16" s="204" t="s">
        <v>189</v>
      </c>
      <c r="B16" s="168"/>
      <c r="C16" s="204"/>
      <c r="D16" s="171"/>
      <c r="E16" s="204"/>
      <c r="F16" s="204"/>
      <c r="G16" s="181"/>
      <c r="H16" s="171" t="s">
        <v>674</v>
      </c>
      <c r="I16" s="171"/>
    </row>
    <row r="17" spans="1:9">
      <c r="B17" s="168"/>
      <c r="C17" s="176" t="s">
        <v>55</v>
      </c>
      <c r="D17" s="177"/>
      <c r="E17" s="178"/>
      <c r="F17" s="179"/>
      <c r="G17" s="179"/>
      <c r="H17" s="177"/>
      <c r="I17" s="180"/>
    </row>
    <row r="18" spans="1:9">
      <c r="B18" s="168"/>
      <c r="C18" s="176" t="s">
        <v>56</v>
      </c>
      <c r="D18" s="177" t="s">
        <v>675</v>
      </c>
      <c r="E18" s="178"/>
      <c r="F18" s="179"/>
      <c r="G18" s="179"/>
      <c r="H18" s="177"/>
      <c r="I18" s="180"/>
    </row>
    <row r="19" spans="1:9">
      <c r="B19" s="168"/>
      <c r="C19" s="176" t="s">
        <v>57</v>
      </c>
      <c r="D19" s="177" t="s">
        <v>676</v>
      </c>
      <c r="E19" s="178"/>
      <c r="F19" s="179"/>
      <c r="G19" s="179"/>
      <c r="H19" s="177"/>
      <c r="I19" s="180"/>
    </row>
    <row r="20" spans="1:9">
      <c r="B20" s="168"/>
      <c r="C20" s="176" t="s">
        <v>58</v>
      </c>
      <c r="D20" s="177" t="s">
        <v>677</v>
      </c>
      <c r="E20" s="178"/>
      <c r="F20" s="179"/>
      <c r="G20" s="179"/>
      <c r="H20" s="177"/>
      <c r="I20" s="180"/>
    </row>
    <row r="21" spans="1:9">
      <c r="A21" s="204" t="s">
        <v>60</v>
      </c>
      <c r="B21" s="168"/>
      <c r="C21" s="176" t="s">
        <v>60</v>
      </c>
      <c r="D21" s="177" t="s">
        <v>678</v>
      </c>
      <c r="E21" s="178"/>
      <c r="F21" s="179">
        <v>160</v>
      </c>
      <c r="G21" s="179">
        <f>SUM(E21:F21)</f>
        <v>160</v>
      </c>
      <c r="H21" s="177"/>
      <c r="I21" s="180"/>
    </row>
    <row r="22" spans="1:9">
      <c r="A22" s="204" t="s">
        <v>60</v>
      </c>
      <c r="B22" s="168"/>
      <c r="C22" s="204"/>
      <c r="D22" s="171"/>
      <c r="E22" s="174"/>
      <c r="F22" s="175"/>
      <c r="G22" s="175"/>
      <c r="H22" s="171" t="s">
        <v>481</v>
      </c>
      <c r="I22" s="257">
        <v>160</v>
      </c>
    </row>
    <row r="23" spans="1:9">
      <c r="B23" s="168"/>
      <c r="C23" s="176" t="s">
        <v>62</v>
      </c>
      <c r="D23" s="177" t="s">
        <v>679</v>
      </c>
      <c r="E23" s="178"/>
      <c r="F23" s="179"/>
      <c r="G23" s="179">
        <v>0</v>
      </c>
      <c r="H23" s="177"/>
      <c r="I23" s="180"/>
    </row>
    <row r="24" spans="1:9">
      <c r="A24" s="204" t="s">
        <v>63</v>
      </c>
      <c r="B24" s="168"/>
      <c r="C24" s="176" t="s">
        <v>63</v>
      </c>
      <c r="D24" s="177" t="s">
        <v>679</v>
      </c>
      <c r="E24" s="178">
        <v>146</v>
      </c>
      <c r="F24" s="179"/>
      <c r="G24" s="179">
        <f>SUM(E24:F24)</f>
        <v>146</v>
      </c>
      <c r="H24" s="177"/>
      <c r="I24" s="180"/>
    </row>
    <row r="25" spans="1:9">
      <c r="A25" s="204" t="s">
        <v>63</v>
      </c>
      <c r="B25" s="168"/>
      <c r="C25" s="204"/>
      <c r="D25" s="171"/>
      <c r="E25" s="174"/>
      <c r="F25" s="175"/>
      <c r="G25" s="175"/>
      <c r="H25" s="171" t="s">
        <v>462</v>
      </c>
      <c r="I25" s="257">
        <v>146</v>
      </c>
    </row>
    <row r="26" spans="1:9">
      <c r="B26" s="168"/>
      <c r="C26" s="176" t="s">
        <v>65</v>
      </c>
      <c r="D26" s="177" t="s">
        <v>186</v>
      </c>
      <c r="E26" s="178"/>
      <c r="F26" s="179"/>
      <c r="G26" s="179"/>
      <c r="H26" s="177"/>
      <c r="I26" s="180"/>
    </row>
    <row r="27" spans="1:9">
      <c r="B27" s="168"/>
      <c r="C27" s="176" t="s">
        <v>66</v>
      </c>
      <c r="D27" s="177" t="s">
        <v>186</v>
      </c>
      <c r="E27" s="178"/>
      <c r="F27" s="179"/>
      <c r="G27" s="179"/>
      <c r="H27" s="177"/>
      <c r="I27" s="180"/>
    </row>
    <row r="28" spans="1:9">
      <c r="B28" s="168"/>
      <c r="C28" s="176" t="s">
        <v>67</v>
      </c>
      <c r="D28" s="177" t="s">
        <v>668</v>
      </c>
      <c r="E28" s="178"/>
      <c r="F28" s="179"/>
      <c r="G28" s="179">
        <v>0</v>
      </c>
      <c r="H28" s="177"/>
      <c r="I28" s="180"/>
    </row>
    <row r="29" spans="1:9">
      <c r="B29" s="168"/>
      <c r="C29" s="176" t="s">
        <v>70</v>
      </c>
      <c r="D29" s="177" t="s">
        <v>668</v>
      </c>
      <c r="E29" s="178"/>
      <c r="F29" s="179"/>
      <c r="G29" s="179"/>
      <c r="H29" s="177"/>
      <c r="I29" s="180"/>
    </row>
    <row r="30" spans="1:9">
      <c r="B30" s="168"/>
      <c r="C30" s="176" t="s">
        <v>71</v>
      </c>
      <c r="D30" s="177" t="s">
        <v>197</v>
      </c>
      <c r="E30" s="178"/>
      <c r="F30" s="179"/>
      <c r="G30" s="179"/>
      <c r="H30" s="177"/>
      <c r="I30" s="180"/>
    </row>
    <row r="31" spans="1:9">
      <c r="B31" s="168"/>
      <c r="C31" s="176" t="s">
        <v>72</v>
      </c>
      <c r="D31" s="177" t="s">
        <v>680</v>
      </c>
      <c r="E31" s="178"/>
      <c r="F31" s="179"/>
      <c r="G31" s="179"/>
      <c r="H31" s="177"/>
      <c r="I31" s="180"/>
    </row>
    <row r="32" spans="1:9">
      <c r="A32" s="204" t="s">
        <v>73</v>
      </c>
      <c r="B32" s="168"/>
      <c r="C32" s="176" t="s">
        <v>73</v>
      </c>
      <c r="D32" s="177" t="s">
        <v>673</v>
      </c>
      <c r="E32" s="178">
        <v>554</v>
      </c>
      <c r="F32" s="179"/>
      <c r="G32" s="179">
        <f>SUM(E32:F32)</f>
        <v>554</v>
      </c>
      <c r="H32" s="177"/>
      <c r="I32" s="180"/>
    </row>
    <row r="33" spans="1:13" ht="63">
      <c r="A33" s="204" t="s">
        <v>73</v>
      </c>
      <c r="B33" s="168"/>
      <c r="C33" s="204"/>
      <c r="D33" s="171"/>
      <c r="E33" s="174"/>
      <c r="F33" s="175"/>
      <c r="G33" s="175"/>
      <c r="H33" s="171" t="s">
        <v>327</v>
      </c>
      <c r="I33" s="257">
        <v>263</v>
      </c>
      <c r="J33" s="518" t="s">
        <v>681</v>
      </c>
      <c r="K33" s="182">
        <v>63</v>
      </c>
      <c r="L33" s="183" t="s">
        <v>682</v>
      </c>
      <c r="M33" s="184" t="s">
        <v>683</v>
      </c>
    </row>
    <row r="34" spans="1:13">
      <c r="A34" s="204" t="s">
        <v>73</v>
      </c>
      <c r="B34" s="168"/>
      <c r="C34" s="204"/>
      <c r="D34" s="171"/>
      <c r="E34" s="174"/>
      <c r="F34" s="175"/>
      <c r="G34" s="175"/>
      <c r="H34" s="171" t="s">
        <v>684</v>
      </c>
      <c r="I34" s="257">
        <v>191</v>
      </c>
      <c r="J34" s="519"/>
      <c r="K34" s="185">
        <v>142</v>
      </c>
      <c r="L34" s="186" t="s">
        <v>327</v>
      </c>
      <c r="M34" s="187"/>
    </row>
    <row r="35" spans="1:13">
      <c r="A35" s="204" t="s">
        <v>73</v>
      </c>
      <c r="B35" s="168"/>
      <c r="C35" s="204"/>
      <c r="D35" s="171"/>
      <c r="E35" s="174"/>
      <c r="F35" s="175"/>
      <c r="G35" s="175"/>
      <c r="H35" s="171" t="s">
        <v>685</v>
      </c>
      <c r="I35" s="257">
        <v>100</v>
      </c>
      <c r="J35" s="519"/>
      <c r="K35" s="185">
        <v>191</v>
      </c>
      <c r="L35" s="186" t="s">
        <v>684</v>
      </c>
      <c r="M35" s="187"/>
    </row>
    <row r="36" spans="1:13">
      <c r="A36" s="204" t="s">
        <v>73</v>
      </c>
      <c r="B36" s="168"/>
      <c r="C36" s="204"/>
      <c r="D36" s="171"/>
      <c r="E36" s="174"/>
      <c r="F36" s="175"/>
      <c r="G36" s="175"/>
      <c r="H36" s="171"/>
      <c r="I36" s="257"/>
      <c r="K36" s="185">
        <v>100</v>
      </c>
      <c r="L36" s="186" t="s">
        <v>685</v>
      </c>
      <c r="M36" s="187"/>
    </row>
    <row r="37" spans="1:13">
      <c r="B37" s="168"/>
      <c r="C37" s="176" t="s">
        <v>75</v>
      </c>
      <c r="D37" s="177" t="s">
        <v>686</v>
      </c>
      <c r="E37" s="178"/>
      <c r="F37" s="179"/>
      <c r="G37" s="179">
        <v>0</v>
      </c>
      <c r="H37" s="177"/>
      <c r="I37" s="180"/>
    </row>
    <row r="38" spans="1:13">
      <c r="B38" s="168"/>
      <c r="C38" s="176" t="s">
        <v>76</v>
      </c>
      <c r="D38" s="177" t="s">
        <v>686</v>
      </c>
      <c r="E38" s="178"/>
      <c r="F38" s="179"/>
      <c r="G38" s="179"/>
      <c r="H38" s="177"/>
      <c r="I38" s="180"/>
    </row>
    <row r="39" spans="1:13">
      <c r="B39" s="168"/>
      <c r="C39" s="176" t="s">
        <v>77</v>
      </c>
      <c r="D39" s="177" t="s">
        <v>200</v>
      </c>
      <c r="E39" s="178"/>
      <c r="F39" s="179"/>
      <c r="G39" s="179"/>
      <c r="H39" s="177"/>
      <c r="I39" s="180"/>
    </row>
    <row r="40" spans="1:13">
      <c r="B40" s="168"/>
      <c r="C40" s="176" t="s">
        <v>78</v>
      </c>
      <c r="D40" s="177" t="s">
        <v>200</v>
      </c>
      <c r="E40" s="178"/>
      <c r="F40" s="179"/>
      <c r="G40" s="179"/>
      <c r="H40" s="177"/>
      <c r="I40" s="180"/>
    </row>
    <row r="41" spans="1:13">
      <c r="B41" s="168"/>
      <c r="C41" s="176" t="s">
        <v>81</v>
      </c>
      <c r="D41" s="177" t="s">
        <v>81</v>
      </c>
      <c r="E41" s="178"/>
      <c r="F41" s="179"/>
      <c r="G41" s="179">
        <v>0</v>
      </c>
      <c r="H41" s="177"/>
      <c r="I41" s="180"/>
    </row>
    <row r="42" spans="1:13">
      <c r="B42" s="168"/>
      <c r="C42" s="176" t="s">
        <v>82</v>
      </c>
      <c r="D42" s="177" t="s">
        <v>190</v>
      </c>
      <c r="E42" s="178"/>
      <c r="F42" s="179"/>
      <c r="G42" s="179"/>
      <c r="H42" s="177"/>
      <c r="I42" s="180"/>
    </row>
    <row r="43" spans="1:13">
      <c r="B43" s="168"/>
      <c r="C43" s="176" t="s">
        <v>83</v>
      </c>
      <c r="D43" s="177" t="s">
        <v>190</v>
      </c>
      <c r="E43" s="178"/>
      <c r="F43" s="179"/>
      <c r="G43" s="179"/>
      <c r="H43" s="177"/>
      <c r="I43" s="180"/>
    </row>
    <row r="44" spans="1:13">
      <c r="B44" s="168"/>
      <c r="C44" s="176" t="s">
        <v>86</v>
      </c>
      <c r="D44" s="177" t="s">
        <v>202</v>
      </c>
      <c r="E44" s="178"/>
      <c r="F44" s="179"/>
      <c r="G44" s="179"/>
      <c r="H44" s="177"/>
      <c r="I44" s="180"/>
    </row>
    <row r="45" spans="1:13">
      <c r="A45" s="204" t="s">
        <v>87</v>
      </c>
      <c r="B45" s="168"/>
      <c r="C45" s="176" t="s">
        <v>87</v>
      </c>
      <c r="D45" s="177" t="s">
        <v>675</v>
      </c>
      <c r="E45" s="178">
        <v>192</v>
      </c>
      <c r="F45" s="179">
        <f>1002+428</f>
        <v>1430</v>
      </c>
      <c r="G45" s="179">
        <f>SUM(E45:F45)</f>
        <v>1622</v>
      </c>
      <c r="H45" s="177"/>
      <c r="I45" s="180"/>
    </row>
    <row r="46" spans="1:13">
      <c r="A46" s="204" t="s">
        <v>87</v>
      </c>
      <c r="B46" s="168"/>
      <c r="C46" s="204"/>
      <c r="D46" s="171"/>
      <c r="E46" s="174"/>
      <c r="F46" s="175"/>
      <c r="G46" s="175"/>
      <c r="H46" s="171" t="s">
        <v>444</v>
      </c>
      <c r="I46" s="257">
        <v>1074</v>
      </c>
    </row>
    <row r="47" spans="1:13">
      <c r="A47" s="204" t="s">
        <v>87</v>
      </c>
      <c r="B47" s="168"/>
      <c r="C47" s="204"/>
      <c r="D47" s="171"/>
      <c r="E47" s="174"/>
      <c r="F47" s="175"/>
      <c r="G47" s="175"/>
      <c r="H47" s="171" t="s">
        <v>443</v>
      </c>
      <c r="I47" s="257">
        <v>548</v>
      </c>
    </row>
    <row r="48" spans="1:13">
      <c r="A48" s="204" t="s">
        <v>89</v>
      </c>
      <c r="B48" s="168"/>
      <c r="C48" s="176" t="s">
        <v>89</v>
      </c>
      <c r="D48" s="177" t="s">
        <v>675</v>
      </c>
      <c r="E48" s="178">
        <v>42</v>
      </c>
      <c r="F48" s="179"/>
      <c r="G48" s="179">
        <f>SUM(E48:F48)</f>
        <v>42</v>
      </c>
      <c r="H48" s="177"/>
      <c r="I48" s="180"/>
    </row>
    <row r="49" spans="1:12">
      <c r="A49" s="204" t="s">
        <v>89</v>
      </c>
      <c r="B49" s="168"/>
      <c r="C49" s="204"/>
      <c r="D49" s="171"/>
      <c r="E49" s="174"/>
      <c r="F49" s="175"/>
      <c r="G49" s="175"/>
      <c r="H49" s="171" t="s">
        <v>687</v>
      </c>
      <c r="I49" s="257">
        <v>42</v>
      </c>
    </row>
    <row r="50" spans="1:12">
      <c r="B50" s="168"/>
      <c r="C50" s="176" t="s">
        <v>92</v>
      </c>
      <c r="D50" s="177" t="s">
        <v>202</v>
      </c>
      <c r="E50" s="178"/>
      <c r="F50" s="179"/>
      <c r="G50" s="179"/>
      <c r="H50" s="177"/>
      <c r="I50" s="180"/>
    </row>
    <row r="51" spans="1:12">
      <c r="B51" s="168"/>
      <c r="C51" s="176" t="s">
        <v>93</v>
      </c>
      <c r="D51" s="177"/>
      <c r="E51" s="178"/>
      <c r="F51" s="179"/>
      <c r="G51" s="179"/>
      <c r="H51" s="177"/>
      <c r="I51" s="180"/>
    </row>
    <row r="52" spans="1:12">
      <c r="B52" s="168"/>
      <c r="C52" s="176" t="s">
        <v>94</v>
      </c>
      <c r="D52" s="177" t="s">
        <v>203</v>
      </c>
      <c r="E52" s="178"/>
      <c r="F52" s="179"/>
      <c r="G52" s="179"/>
      <c r="H52" s="177"/>
      <c r="I52" s="180"/>
    </row>
    <row r="53" spans="1:12">
      <c r="B53" s="168"/>
      <c r="C53" s="176" t="s">
        <v>95</v>
      </c>
      <c r="D53" s="177" t="s">
        <v>203</v>
      </c>
      <c r="E53" s="178"/>
      <c r="F53" s="179"/>
      <c r="G53" s="179"/>
      <c r="H53" s="177"/>
      <c r="I53" s="180"/>
    </row>
    <row r="54" spans="1:12">
      <c r="B54" s="168"/>
      <c r="C54" s="176" t="s">
        <v>96</v>
      </c>
      <c r="D54" s="177" t="s">
        <v>676</v>
      </c>
      <c r="E54" s="178"/>
      <c r="F54" s="179"/>
      <c r="G54" s="179"/>
      <c r="H54" s="177"/>
      <c r="I54" s="180"/>
    </row>
    <row r="55" spans="1:12">
      <c r="B55" s="168"/>
      <c r="C55" s="176" t="s">
        <v>97</v>
      </c>
      <c r="D55" s="177" t="s">
        <v>688</v>
      </c>
      <c r="E55" s="178"/>
      <c r="F55" s="179"/>
      <c r="G55" s="179"/>
      <c r="H55" s="177"/>
      <c r="I55" s="180"/>
    </row>
    <row r="56" spans="1:12">
      <c r="B56" s="168"/>
      <c r="C56" s="176" t="s">
        <v>98</v>
      </c>
      <c r="D56" s="177" t="s">
        <v>688</v>
      </c>
      <c r="E56" s="178"/>
      <c r="F56" s="179"/>
      <c r="G56" s="179"/>
      <c r="H56" s="177"/>
      <c r="I56" s="180"/>
    </row>
    <row r="57" spans="1:12">
      <c r="A57" s="204" t="s">
        <v>99</v>
      </c>
      <c r="B57" s="168"/>
      <c r="C57" s="176" t="s">
        <v>99</v>
      </c>
      <c r="D57" s="177" t="s">
        <v>676</v>
      </c>
      <c r="E57" s="178"/>
      <c r="F57" s="179">
        <v>643</v>
      </c>
      <c r="G57" s="179">
        <f>SUM(E57:F57)</f>
        <v>643</v>
      </c>
      <c r="H57" s="177"/>
      <c r="I57" s="180"/>
    </row>
    <row r="58" spans="1:12">
      <c r="A58" s="204" t="s">
        <v>99</v>
      </c>
      <c r="B58" s="168"/>
      <c r="C58" s="204"/>
      <c r="D58" s="171"/>
      <c r="E58" s="174"/>
      <c r="F58" s="175"/>
      <c r="G58" s="175"/>
      <c r="H58" s="171" t="s">
        <v>397</v>
      </c>
      <c r="I58" s="257">
        <v>270</v>
      </c>
    </row>
    <row r="59" spans="1:12">
      <c r="A59" s="204" t="s">
        <v>99</v>
      </c>
      <c r="B59" s="168"/>
      <c r="C59" s="204"/>
      <c r="D59" s="171"/>
      <c r="E59" s="174"/>
      <c r="F59" s="175"/>
      <c r="G59" s="175"/>
      <c r="H59" s="171" t="s">
        <v>418</v>
      </c>
      <c r="I59" s="257">
        <v>27</v>
      </c>
    </row>
    <row r="60" spans="1:12">
      <c r="A60" s="204" t="s">
        <v>99</v>
      </c>
      <c r="B60" s="168"/>
      <c r="C60" s="204"/>
      <c r="D60" s="171"/>
      <c r="E60" s="174"/>
      <c r="F60" s="175"/>
      <c r="G60" s="175"/>
      <c r="H60" s="171" t="s">
        <v>603</v>
      </c>
      <c r="I60" s="257">
        <v>203</v>
      </c>
    </row>
    <row r="61" spans="1:12">
      <c r="A61" s="204" t="s">
        <v>99</v>
      </c>
      <c r="B61" s="168"/>
      <c r="C61" s="204"/>
      <c r="D61" s="171"/>
      <c r="E61" s="174"/>
      <c r="F61" s="175"/>
      <c r="G61" s="175"/>
      <c r="H61" s="171" t="s">
        <v>689</v>
      </c>
      <c r="I61" s="257">
        <v>100</v>
      </c>
    </row>
    <row r="62" spans="1:12">
      <c r="A62" s="204" t="s">
        <v>99</v>
      </c>
      <c r="B62" s="168"/>
      <c r="C62" s="204"/>
      <c r="D62" s="171"/>
      <c r="E62" s="174"/>
      <c r="F62" s="175"/>
      <c r="G62" s="175"/>
      <c r="H62" s="171" t="s">
        <v>399</v>
      </c>
      <c r="I62" s="257">
        <v>44</v>
      </c>
    </row>
    <row r="63" spans="1:12">
      <c r="B63" s="168"/>
      <c r="C63" s="176" t="s">
        <v>100</v>
      </c>
      <c r="D63" s="177" t="s">
        <v>205</v>
      </c>
      <c r="E63" s="178"/>
      <c r="F63" s="179"/>
      <c r="G63" s="179"/>
      <c r="H63" s="177"/>
      <c r="I63" s="180"/>
    </row>
    <row r="64" spans="1:12">
      <c r="B64" s="168"/>
      <c r="C64" s="176" t="s">
        <v>102</v>
      </c>
      <c r="D64" s="177" t="s">
        <v>205</v>
      </c>
      <c r="E64" s="178"/>
      <c r="F64" s="179"/>
      <c r="G64" s="179"/>
      <c r="H64" s="177"/>
      <c r="I64" s="180"/>
      <c r="L64" s="188"/>
    </row>
    <row r="65" spans="1:12">
      <c r="A65" s="204" t="s">
        <v>103</v>
      </c>
      <c r="B65" s="168"/>
      <c r="C65" s="176" t="s">
        <v>103</v>
      </c>
      <c r="D65" s="177" t="s">
        <v>677</v>
      </c>
      <c r="E65" s="178">
        <v>802</v>
      </c>
      <c r="F65" s="179">
        <v>2204</v>
      </c>
      <c r="G65" s="179">
        <f>SUM(E65:F65)</f>
        <v>3006</v>
      </c>
      <c r="H65" s="177"/>
      <c r="I65" s="180"/>
      <c r="L65" s="188"/>
    </row>
    <row r="66" spans="1:12">
      <c r="A66" s="204" t="s">
        <v>103</v>
      </c>
      <c r="B66" s="168"/>
      <c r="C66" s="175"/>
      <c r="D66" s="175"/>
      <c r="E66" s="175"/>
      <c r="F66" s="175"/>
      <c r="G66" s="175"/>
      <c r="H66" s="171" t="s">
        <v>510</v>
      </c>
      <c r="I66" s="257">
        <v>152</v>
      </c>
      <c r="J66" s="520" t="s">
        <v>690</v>
      </c>
      <c r="L66" s="188"/>
    </row>
    <row r="67" spans="1:12">
      <c r="A67" s="204" t="s">
        <v>103</v>
      </c>
      <c r="B67" s="168"/>
      <c r="C67" s="175"/>
      <c r="D67" s="175"/>
      <c r="E67" s="175"/>
      <c r="F67" s="175"/>
      <c r="G67" s="175"/>
      <c r="H67" s="171" t="s">
        <v>508</v>
      </c>
      <c r="I67" s="257">
        <v>118</v>
      </c>
      <c r="J67" s="521"/>
    </row>
    <row r="68" spans="1:12">
      <c r="A68" s="204" t="s">
        <v>103</v>
      </c>
      <c r="B68" s="168"/>
      <c r="C68" s="175"/>
      <c r="D68" s="175"/>
      <c r="E68" s="175"/>
      <c r="F68" s="175"/>
      <c r="G68" s="175"/>
      <c r="H68" s="171" t="s">
        <v>506</v>
      </c>
      <c r="I68" s="257">
        <v>430</v>
      </c>
      <c r="J68" s="521"/>
    </row>
    <row r="69" spans="1:12">
      <c r="A69" s="204" t="s">
        <v>103</v>
      </c>
      <c r="B69" s="168"/>
      <c r="C69" s="175"/>
      <c r="D69" s="175"/>
      <c r="E69" s="175"/>
      <c r="F69" s="175"/>
      <c r="G69" s="175"/>
      <c r="H69" s="171" t="s">
        <v>691</v>
      </c>
      <c r="I69" s="257">
        <v>645</v>
      </c>
      <c r="J69" s="168" t="s">
        <v>692</v>
      </c>
    </row>
    <row r="70" spans="1:12">
      <c r="A70" s="204" t="s">
        <v>103</v>
      </c>
      <c r="B70" s="168"/>
      <c r="C70" s="175"/>
      <c r="D70" s="175"/>
      <c r="E70" s="175"/>
      <c r="F70" s="175"/>
      <c r="G70" s="175"/>
      <c r="H70" s="171" t="s">
        <v>693</v>
      </c>
      <c r="I70" s="257">
        <v>102</v>
      </c>
      <c r="J70" s="168" t="s">
        <v>216</v>
      </c>
    </row>
    <row r="71" spans="1:12">
      <c r="A71" s="204" t="s">
        <v>103</v>
      </c>
      <c r="B71" s="168"/>
      <c r="C71" s="175"/>
      <c r="D71" s="175"/>
      <c r="E71" s="175"/>
      <c r="F71" s="175"/>
      <c r="G71" s="175"/>
      <c r="H71" s="171" t="s">
        <v>693</v>
      </c>
      <c r="I71" s="257">
        <v>323</v>
      </c>
      <c r="J71" s="168" t="s">
        <v>692</v>
      </c>
    </row>
    <row r="72" spans="1:12">
      <c r="A72" s="204" t="s">
        <v>103</v>
      </c>
      <c r="B72" s="168"/>
      <c r="C72" s="175"/>
      <c r="D72" s="175"/>
      <c r="E72" s="175"/>
      <c r="F72" s="175"/>
      <c r="G72" s="175"/>
      <c r="H72" s="171" t="s">
        <v>694</v>
      </c>
      <c r="I72" s="257">
        <v>1236</v>
      </c>
      <c r="J72" s="168" t="s">
        <v>695</v>
      </c>
    </row>
    <row r="73" spans="1:12">
      <c r="B73" s="168"/>
      <c r="C73" s="176" t="s">
        <v>105</v>
      </c>
      <c r="D73" s="177" t="s">
        <v>677</v>
      </c>
      <c r="E73" s="178"/>
      <c r="F73" s="179"/>
      <c r="G73" s="179"/>
      <c r="H73" s="177"/>
      <c r="I73" s="180"/>
    </row>
    <row r="74" spans="1:12">
      <c r="B74" s="168"/>
      <c r="C74" s="176" t="s">
        <v>106</v>
      </c>
      <c r="D74" s="177" t="s">
        <v>675</v>
      </c>
      <c r="E74" s="178"/>
      <c r="F74" s="179"/>
      <c r="G74" s="179"/>
      <c r="H74" s="177"/>
      <c r="I74" s="180"/>
    </row>
    <row r="75" spans="1:12">
      <c r="A75" s="204" t="s">
        <v>107</v>
      </c>
      <c r="B75" s="168"/>
      <c r="C75" s="176" t="s">
        <v>107</v>
      </c>
      <c r="D75" s="177"/>
      <c r="E75" s="178">
        <v>725</v>
      </c>
      <c r="F75" s="179">
        <v>428</v>
      </c>
      <c r="G75" s="179">
        <f>SUM(E75:F75)</f>
        <v>1153</v>
      </c>
      <c r="H75" s="177"/>
      <c r="I75" s="180"/>
    </row>
    <row r="76" spans="1:12">
      <c r="A76" s="204" t="s">
        <v>107</v>
      </c>
      <c r="B76" s="168"/>
      <c r="C76" s="204"/>
      <c r="D76" s="171"/>
      <c r="E76" s="174"/>
      <c r="F76" s="175"/>
      <c r="G76" s="175"/>
      <c r="H76" s="171" t="s">
        <v>696</v>
      </c>
      <c r="I76" s="257">
        <v>277</v>
      </c>
    </row>
    <row r="77" spans="1:12">
      <c r="A77" s="204" t="s">
        <v>107</v>
      </c>
      <c r="B77" s="168"/>
      <c r="C77" s="204"/>
      <c r="D77" s="171"/>
      <c r="E77" s="174"/>
      <c r="F77" s="175"/>
      <c r="G77" s="175"/>
      <c r="H77" s="171" t="s">
        <v>501</v>
      </c>
      <c r="I77" s="257">
        <v>307</v>
      </c>
    </row>
    <row r="78" spans="1:12">
      <c r="A78" s="204" t="s">
        <v>107</v>
      </c>
      <c r="B78" s="168"/>
      <c r="C78" s="204"/>
      <c r="D78" s="171"/>
      <c r="E78" s="174"/>
      <c r="F78" s="175"/>
      <c r="G78" s="175"/>
      <c r="H78" s="171" t="s">
        <v>489</v>
      </c>
      <c r="I78" s="257">
        <v>300</v>
      </c>
    </row>
    <row r="79" spans="1:12">
      <c r="A79" s="204" t="s">
        <v>107</v>
      </c>
      <c r="B79" s="168"/>
      <c r="C79" s="204"/>
      <c r="D79" s="171"/>
      <c r="E79" s="174"/>
      <c r="F79" s="175"/>
      <c r="G79" s="175"/>
      <c r="H79" s="171" t="s">
        <v>495</v>
      </c>
      <c r="I79" s="257">
        <v>269</v>
      </c>
    </row>
    <row r="80" spans="1:12">
      <c r="B80" s="168"/>
      <c r="C80" s="176" t="s">
        <v>109</v>
      </c>
      <c r="D80" s="177" t="s">
        <v>208</v>
      </c>
      <c r="E80" s="178"/>
      <c r="F80" s="179"/>
      <c r="G80" s="179"/>
      <c r="H80" s="177"/>
      <c r="I80" s="180"/>
    </row>
    <row r="81" spans="1:9">
      <c r="A81" s="204" t="s">
        <v>110</v>
      </c>
      <c r="B81" s="168"/>
      <c r="C81" s="176" t="s">
        <v>110</v>
      </c>
      <c r="D81" s="177" t="s">
        <v>207</v>
      </c>
      <c r="E81" s="178"/>
      <c r="F81" s="179"/>
      <c r="G81" s="179">
        <v>0</v>
      </c>
      <c r="H81" s="177"/>
      <c r="I81" s="180"/>
    </row>
    <row r="82" spans="1:9">
      <c r="A82" s="204" t="s">
        <v>110</v>
      </c>
      <c r="B82" s="168"/>
      <c r="C82" s="204"/>
      <c r="D82" s="171"/>
      <c r="E82" s="174"/>
      <c r="F82" s="175"/>
      <c r="G82" s="175"/>
      <c r="H82" s="171" t="s">
        <v>696</v>
      </c>
      <c r="I82" s="255"/>
    </row>
    <row r="83" spans="1:9">
      <c r="B83" s="168"/>
      <c r="C83" s="176" t="s">
        <v>112</v>
      </c>
      <c r="D83" s="177" t="s">
        <v>209</v>
      </c>
      <c r="E83" s="178"/>
      <c r="F83" s="179"/>
      <c r="G83" s="179"/>
      <c r="H83" s="177"/>
      <c r="I83" s="180"/>
    </row>
    <row r="84" spans="1:9">
      <c r="B84" s="168"/>
      <c r="C84" s="176" t="s">
        <v>114</v>
      </c>
      <c r="D84" s="177" t="s">
        <v>209</v>
      </c>
      <c r="E84" s="178"/>
      <c r="F84" s="179"/>
      <c r="G84" s="179"/>
      <c r="H84" s="177"/>
      <c r="I84" s="180"/>
    </row>
    <row r="85" spans="1:9">
      <c r="B85" s="168"/>
      <c r="C85" s="176" t="s">
        <v>115</v>
      </c>
      <c r="D85" s="177" t="s">
        <v>697</v>
      </c>
      <c r="E85" s="178"/>
      <c r="F85" s="179"/>
      <c r="G85" s="179">
        <v>0</v>
      </c>
      <c r="H85" s="177"/>
      <c r="I85" s="180"/>
    </row>
    <row r="86" spans="1:9">
      <c r="B86" s="168"/>
      <c r="C86" s="176" t="s">
        <v>123</v>
      </c>
      <c r="D86" s="177" t="e">
        <v>#N/A</v>
      </c>
      <c r="E86" s="178"/>
      <c r="F86" s="179"/>
      <c r="G86" s="179"/>
      <c r="H86" s="177"/>
      <c r="I86" s="180"/>
    </row>
    <row r="87" spans="1:9">
      <c r="A87" s="204"/>
      <c r="B87" s="168"/>
      <c r="C87" s="176" t="s">
        <v>124</v>
      </c>
      <c r="D87" s="177" t="e">
        <v>#N/A</v>
      </c>
      <c r="E87" s="178"/>
      <c r="F87" s="179">
        <v>428</v>
      </c>
      <c r="G87" s="179">
        <f>SUM(E87:F87)</f>
        <v>428</v>
      </c>
      <c r="H87" s="177"/>
      <c r="I87" s="180"/>
    </row>
    <row r="88" spans="1:9">
      <c r="A88" s="204" t="s">
        <v>124</v>
      </c>
      <c r="B88" s="168"/>
      <c r="C88" s="204"/>
      <c r="D88" s="171"/>
      <c r="E88" s="189"/>
      <c r="F88" s="190"/>
      <c r="G88" s="190"/>
      <c r="H88" s="171" t="s">
        <v>698</v>
      </c>
      <c r="I88" s="257">
        <v>47.08</v>
      </c>
    </row>
    <row r="89" spans="1:9">
      <c r="A89" s="204" t="s">
        <v>124</v>
      </c>
      <c r="B89" s="168"/>
      <c r="C89" s="204"/>
      <c r="D89" s="171"/>
      <c r="E89" s="189"/>
      <c r="F89" s="190"/>
      <c r="G89" s="190"/>
      <c r="H89" s="171" t="s">
        <v>699</v>
      </c>
      <c r="I89" s="257">
        <v>222.56</v>
      </c>
    </row>
    <row r="90" spans="1:9">
      <c r="A90" s="204" t="s">
        <v>124</v>
      </c>
      <c r="B90" s="168"/>
      <c r="C90" s="204"/>
      <c r="D90" s="171"/>
      <c r="E90" s="189"/>
      <c r="F90" s="190"/>
      <c r="G90" s="190"/>
      <c r="H90" s="171" t="s">
        <v>700</v>
      </c>
      <c r="I90" s="257">
        <v>158.35999999999999</v>
      </c>
    </row>
    <row r="91" spans="1:9">
      <c r="B91" s="168"/>
      <c r="C91" s="176" t="s">
        <v>126</v>
      </c>
      <c r="D91" s="177" t="e">
        <v>#N/A</v>
      </c>
      <c r="E91" s="178"/>
      <c r="F91" s="179"/>
      <c r="G91" s="179"/>
      <c r="H91" s="177"/>
      <c r="I91" s="180"/>
    </row>
    <row r="92" spans="1:9">
      <c r="B92" s="168"/>
      <c r="C92" s="176" t="s">
        <v>128</v>
      </c>
      <c r="D92" s="191" t="s">
        <v>187</v>
      </c>
      <c r="E92" s="178"/>
      <c r="F92" s="179"/>
      <c r="G92" s="179"/>
      <c r="H92" s="177"/>
      <c r="I92" s="180"/>
    </row>
    <row r="93" spans="1:9">
      <c r="B93" s="168"/>
      <c r="C93" s="176" t="s">
        <v>130</v>
      </c>
      <c r="D93" s="177" t="e">
        <v>#N/A</v>
      </c>
      <c r="E93" s="178"/>
      <c r="F93" s="179"/>
      <c r="G93" s="179"/>
      <c r="H93" s="177"/>
      <c r="I93" s="180"/>
    </row>
    <row r="94" spans="1:9">
      <c r="B94" s="168"/>
      <c r="C94" s="176" t="s">
        <v>131</v>
      </c>
      <c r="D94" s="177" t="e">
        <v>#N/A</v>
      </c>
      <c r="E94" s="178"/>
      <c r="F94" s="179"/>
      <c r="G94" s="179"/>
      <c r="H94" s="177"/>
      <c r="I94" s="180"/>
    </row>
    <row r="95" spans="1:9">
      <c r="B95" s="168"/>
      <c r="C95" s="176" t="s">
        <v>132</v>
      </c>
      <c r="D95" s="177" t="e">
        <v>#N/A</v>
      </c>
      <c r="E95" s="178"/>
      <c r="F95" s="179"/>
      <c r="G95" s="179"/>
      <c r="H95" s="177"/>
      <c r="I95" s="180"/>
    </row>
    <row r="96" spans="1:9">
      <c r="B96" s="168"/>
      <c r="C96" s="176" t="s">
        <v>133</v>
      </c>
      <c r="D96" s="177" t="e">
        <v>#N/A</v>
      </c>
      <c r="E96" s="178"/>
      <c r="F96" s="179"/>
      <c r="G96" s="179"/>
      <c r="H96" s="177"/>
      <c r="I96" s="180"/>
    </row>
    <row r="97" spans="2:9">
      <c r="B97" s="168"/>
      <c r="C97" s="176" t="s">
        <v>134</v>
      </c>
      <c r="D97" s="177" t="e">
        <v>#N/A</v>
      </c>
      <c r="E97" s="178"/>
      <c r="F97" s="179"/>
      <c r="G97" s="179"/>
      <c r="H97" s="177"/>
      <c r="I97" s="180"/>
    </row>
    <row r="98" spans="2:9">
      <c r="B98" s="168"/>
      <c r="C98" s="176" t="s">
        <v>135</v>
      </c>
      <c r="D98" s="177" t="e">
        <v>#N/A</v>
      </c>
      <c r="E98" s="192"/>
      <c r="F98" s="193"/>
      <c r="G98" s="193"/>
      <c r="H98" s="177"/>
      <c r="I98" s="180"/>
    </row>
    <row r="99" spans="2:9">
      <c r="B99" s="168"/>
      <c r="C99" s="194" t="s">
        <v>210</v>
      </c>
      <c r="D99" s="195"/>
      <c r="E99" s="196">
        <f>SUM(E9:E98)</f>
        <v>3065</v>
      </c>
      <c r="F99" s="173">
        <f>SUM(F9:F98)</f>
        <v>5945</v>
      </c>
      <c r="G99" s="173">
        <f>SUM(G7:G98)</f>
        <v>9010</v>
      </c>
      <c r="H99" s="173"/>
      <c r="I99" s="152">
        <f>SUM(I7:I98)</f>
        <v>9011</v>
      </c>
    </row>
    <row r="100" spans="2:9">
      <c r="B100" s="168"/>
      <c r="C100" s="197" t="s">
        <v>211</v>
      </c>
      <c r="D100" s="198"/>
      <c r="E100" s="199">
        <v>0</v>
      </c>
      <c r="F100" s="200">
        <v>0</v>
      </c>
      <c r="G100" s="200">
        <v>0</v>
      </c>
      <c r="H100" s="200"/>
      <c r="I100" s="259"/>
    </row>
    <row r="101" spans="2:9">
      <c r="E101" s="201"/>
    </row>
  </sheetData>
  <mergeCells count="3">
    <mergeCell ref="B2:C2"/>
    <mergeCell ref="J33:J35"/>
    <mergeCell ref="J66:J68"/>
  </mergeCells>
  <conditionalFormatting sqref="E16:G16">
    <cfRule type="containsText" dxfId="3" priority="2" operator="containsText" text="Wind">
      <formula>NOT(ISERROR(SEARCH("Wind",E16)))</formula>
    </cfRule>
  </conditionalFormatting>
  <conditionalFormatting sqref="E10:G13">
    <cfRule type="containsText" dxfId="2" priority="1" operator="containsText" text="Wind">
      <formula>NOT(ISERROR(SEARCH("Wind",E10)))</formula>
    </cfRule>
  </conditionalFormatting>
  <printOptions gridLines="1"/>
  <pageMargins left="0.25" right="0.25" top="0.75" bottom="0.75" header="0.3" footer="0.3"/>
  <pageSetup scale="84" fitToHeight="6"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712C2-8EA0-43AF-8BDD-CF6C68A11A1C}">
  <sheetPr>
    <tabColor rgb="FF0070C0"/>
  </sheetPr>
  <dimension ref="A1:L159"/>
  <sheetViews>
    <sheetView zoomScale="70" zoomScaleNormal="70" workbookViewId="0"/>
  </sheetViews>
  <sheetFormatPr defaultRowHeight="14.25"/>
  <cols>
    <col min="3" max="3" width="38.265625" bestFit="1" customWidth="1"/>
    <col min="4" max="4" width="23.1328125" customWidth="1"/>
    <col min="8" max="8" width="14.86328125" customWidth="1"/>
    <col min="9" max="9" width="15.86328125" customWidth="1"/>
    <col min="10" max="10" width="38" customWidth="1"/>
  </cols>
  <sheetData>
    <row r="1" spans="1:10">
      <c r="A1" s="429" t="s">
        <v>701</v>
      </c>
      <c r="B1" s="429"/>
      <c r="C1" s="429"/>
      <c r="D1" s="429"/>
      <c r="E1" s="429"/>
      <c r="F1" s="429"/>
      <c r="G1" s="429"/>
      <c r="H1" s="429"/>
      <c r="I1" s="429"/>
      <c r="J1" s="429"/>
    </row>
    <row r="2" spans="1:10" ht="15.75">
      <c r="A2" s="429"/>
      <c r="B2" s="516" t="s">
        <v>702</v>
      </c>
      <c r="C2" s="516"/>
      <c r="D2" s="429"/>
      <c r="E2" s="429"/>
      <c r="F2" s="429"/>
      <c r="G2" s="429"/>
      <c r="H2" s="429"/>
      <c r="I2" s="429"/>
      <c r="J2" s="429"/>
    </row>
    <row r="3" spans="1:10">
      <c r="A3" s="429"/>
      <c r="B3" s="429" t="s">
        <v>703</v>
      </c>
      <c r="C3" s="429"/>
      <c r="D3" s="429"/>
      <c r="E3" s="429"/>
      <c r="F3" s="429"/>
      <c r="G3" s="429"/>
      <c r="H3" s="429"/>
      <c r="I3" s="429"/>
      <c r="J3" s="429"/>
    </row>
    <row r="4" spans="1:10">
      <c r="A4" s="429"/>
      <c r="B4" s="429"/>
      <c r="C4" s="429"/>
      <c r="D4" s="429"/>
      <c r="E4" s="429"/>
      <c r="F4" s="429"/>
      <c r="G4" s="429"/>
      <c r="H4" s="429"/>
      <c r="I4" s="429"/>
      <c r="J4" s="429"/>
    </row>
    <row r="5" spans="1:10">
      <c r="A5" s="429"/>
      <c r="B5" s="429"/>
      <c r="C5" s="260" t="s">
        <v>663</v>
      </c>
      <c r="D5" s="261"/>
      <c r="E5" s="261"/>
      <c r="F5" s="429"/>
      <c r="G5" s="429"/>
      <c r="H5" s="522" t="s">
        <v>704</v>
      </c>
      <c r="I5" s="522"/>
      <c r="J5" s="429"/>
    </row>
    <row r="6" spans="1:10">
      <c r="A6" s="429"/>
      <c r="B6" s="429"/>
      <c r="C6" s="262" t="s">
        <v>177</v>
      </c>
      <c r="D6" s="263" t="s">
        <v>178</v>
      </c>
      <c r="E6" s="253" t="s">
        <v>179</v>
      </c>
      <c r="F6" s="253" t="s">
        <v>182</v>
      </c>
      <c r="G6" s="253" t="s">
        <v>665</v>
      </c>
      <c r="H6" s="253" t="s">
        <v>666</v>
      </c>
      <c r="I6" s="254" t="s">
        <v>667</v>
      </c>
      <c r="J6" s="253" t="s">
        <v>705</v>
      </c>
    </row>
    <row r="7" spans="1:10" ht="15.75">
      <c r="A7" s="429"/>
      <c r="B7" s="429"/>
      <c r="C7" s="264" t="s">
        <v>47</v>
      </c>
      <c r="D7" s="266" t="s">
        <v>186</v>
      </c>
      <c r="E7" s="282"/>
      <c r="F7" s="282"/>
      <c r="G7" s="282"/>
      <c r="H7" s="284"/>
      <c r="I7" s="278"/>
      <c r="J7" s="283"/>
    </row>
    <row r="8" spans="1:10" ht="15.75">
      <c r="A8" s="429"/>
      <c r="B8" s="429"/>
      <c r="C8" s="264"/>
      <c r="D8" s="264"/>
      <c r="E8" s="256"/>
      <c r="F8" s="256"/>
      <c r="G8" s="256"/>
      <c r="H8" s="283"/>
      <c r="I8" s="278"/>
      <c r="J8" s="283"/>
    </row>
    <row r="9" spans="1:10" ht="15.75">
      <c r="A9" s="429"/>
      <c r="B9" s="429"/>
      <c r="C9" s="264" t="s">
        <v>49</v>
      </c>
      <c r="D9" s="314" t="s">
        <v>187</v>
      </c>
      <c r="E9" s="256"/>
      <c r="F9" s="256"/>
      <c r="G9" s="256"/>
      <c r="H9" s="283"/>
      <c r="I9" s="278"/>
      <c r="J9" s="283"/>
    </row>
    <row r="10" spans="1:10" ht="15.75">
      <c r="A10" s="429"/>
      <c r="B10" s="429"/>
      <c r="C10" s="264"/>
      <c r="D10" s="264"/>
      <c r="E10" s="256"/>
      <c r="F10" s="256"/>
      <c r="G10" s="256"/>
      <c r="H10" s="283"/>
      <c r="I10" s="278"/>
      <c r="J10" s="283"/>
    </row>
    <row r="11" spans="1:10" ht="15.75">
      <c r="A11" s="429"/>
      <c r="B11" s="429"/>
      <c r="C11" s="264"/>
      <c r="D11" s="264"/>
      <c r="E11" s="256"/>
      <c r="F11" s="256"/>
      <c r="G11" s="256"/>
      <c r="H11" s="283"/>
      <c r="I11" s="278"/>
      <c r="J11" s="283"/>
    </row>
    <row r="12" spans="1:10" ht="15.75">
      <c r="A12" s="429"/>
      <c r="B12" s="429"/>
      <c r="C12" s="264"/>
      <c r="D12" s="264"/>
      <c r="E12" s="256"/>
      <c r="F12" s="256"/>
      <c r="G12" s="256"/>
      <c r="H12" s="283"/>
      <c r="I12" s="278"/>
      <c r="J12" s="283"/>
    </row>
    <row r="13" spans="1:10" ht="15.75">
      <c r="A13" s="429"/>
      <c r="B13" s="429"/>
      <c r="C13" s="264"/>
      <c r="D13" s="264"/>
      <c r="E13" s="256"/>
      <c r="F13" s="256"/>
      <c r="G13" s="256"/>
      <c r="H13" s="283"/>
      <c r="I13" s="278"/>
      <c r="J13" s="283"/>
    </row>
    <row r="14" spans="1:10" ht="15.75">
      <c r="A14" s="429"/>
      <c r="B14" s="429"/>
      <c r="C14" s="264" t="s">
        <v>53</v>
      </c>
      <c r="D14" s="264" t="s">
        <v>673</v>
      </c>
      <c r="E14" s="256"/>
      <c r="F14" s="256"/>
      <c r="G14" s="256"/>
      <c r="H14" s="283"/>
      <c r="I14" s="278"/>
      <c r="J14" s="283"/>
    </row>
    <row r="15" spans="1:10" ht="15.75">
      <c r="A15" s="429"/>
      <c r="B15" s="429"/>
      <c r="C15" s="264" t="s">
        <v>189</v>
      </c>
      <c r="D15" s="264" t="s">
        <v>190</v>
      </c>
      <c r="E15" s="256"/>
      <c r="F15" s="256"/>
      <c r="G15" s="256"/>
      <c r="H15" s="283"/>
      <c r="I15" s="278"/>
      <c r="J15" s="283"/>
    </row>
    <row r="16" spans="1:10" ht="15.75">
      <c r="A16" s="429"/>
      <c r="B16" s="429"/>
      <c r="C16" s="264"/>
      <c r="D16" s="264"/>
      <c r="E16" s="256"/>
      <c r="F16" s="256"/>
      <c r="G16" s="256"/>
      <c r="H16" s="283"/>
      <c r="I16" s="278"/>
      <c r="J16" s="283"/>
    </row>
    <row r="17" spans="1:12" ht="15.75">
      <c r="A17" s="429"/>
      <c r="B17" s="429"/>
      <c r="C17" s="264" t="s">
        <v>55</v>
      </c>
      <c r="D17" s="264"/>
      <c r="E17" s="256"/>
      <c r="F17" s="256"/>
      <c r="G17" s="256"/>
      <c r="H17" s="283"/>
      <c r="I17" s="278"/>
      <c r="J17" s="283"/>
      <c r="K17" s="429"/>
      <c r="L17" s="429"/>
    </row>
    <row r="18" spans="1:12" ht="15.75">
      <c r="A18" s="429"/>
      <c r="B18" s="429"/>
      <c r="C18" s="264" t="s">
        <v>56</v>
      </c>
      <c r="D18" s="264" t="s">
        <v>675</v>
      </c>
      <c r="E18" s="256"/>
      <c r="F18" s="256"/>
      <c r="G18" s="256"/>
      <c r="H18" s="283"/>
      <c r="I18" s="278"/>
      <c r="J18" s="283"/>
      <c r="K18" s="429"/>
      <c r="L18" s="429"/>
    </row>
    <row r="19" spans="1:12" ht="15.75">
      <c r="A19" s="429"/>
      <c r="B19" s="429"/>
      <c r="C19" s="264" t="s">
        <v>57</v>
      </c>
      <c r="D19" s="264" t="s">
        <v>676</v>
      </c>
      <c r="E19" s="256"/>
      <c r="F19" s="256"/>
      <c r="G19" s="256"/>
      <c r="H19" s="283"/>
      <c r="I19" s="278"/>
      <c r="J19" s="283"/>
      <c r="K19" s="429"/>
      <c r="L19" s="429"/>
    </row>
    <row r="20" spans="1:12" ht="15.75">
      <c r="A20" s="429"/>
      <c r="B20" s="429"/>
      <c r="C20" s="264" t="s">
        <v>58</v>
      </c>
      <c r="D20" s="264" t="s">
        <v>677</v>
      </c>
      <c r="E20" s="256"/>
      <c r="F20" s="256"/>
      <c r="G20" s="256"/>
      <c r="H20" s="283"/>
      <c r="I20" s="278"/>
      <c r="J20" s="283"/>
      <c r="K20" s="429"/>
      <c r="L20" s="429"/>
    </row>
    <row r="21" spans="1:12" ht="15.75">
      <c r="A21" s="264" t="s">
        <v>60</v>
      </c>
      <c r="B21" s="429"/>
      <c r="C21" s="264" t="s">
        <v>60</v>
      </c>
      <c r="D21" s="264" t="s">
        <v>195</v>
      </c>
      <c r="E21" s="256">
        <v>287</v>
      </c>
      <c r="F21" s="256"/>
      <c r="G21" s="256">
        <v>287</v>
      </c>
      <c r="H21" s="285"/>
      <c r="I21" s="278"/>
      <c r="J21" s="283"/>
      <c r="K21" s="429"/>
      <c r="L21" s="429"/>
    </row>
    <row r="22" spans="1:12" ht="15.75">
      <c r="A22" s="264" t="s">
        <v>60</v>
      </c>
      <c r="B22" s="429"/>
      <c r="C22" s="264"/>
      <c r="D22" s="264"/>
      <c r="E22" s="256"/>
      <c r="F22" s="256"/>
      <c r="G22" s="256"/>
      <c r="H22" s="285" t="s">
        <v>481</v>
      </c>
      <c r="I22" s="258">
        <v>287</v>
      </c>
      <c r="J22" s="283"/>
      <c r="K22" s="429"/>
      <c r="L22" s="429"/>
    </row>
    <row r="23" spans="1:12" ht="15.75">
      <c r="A23" s="429"/>
      <c r="B23" s="429"/>
      <c r="C23" s="264"/>
      <c r="D23" s="264"/>
      <c r="E23" s="256"/>
      <c r="F23" s="256"/>
      <c r="G23" s="256"/>
      <c r="H23" s="285"/>
      <c r="I23" s="278"/>
      <c r="J23" s="283"/>
      <c r="K23" s="429"/>
      <c r="L23" s="429"/>
    </row>
    <row r="24" spans="1:12" ht="15.75">
      <c r="A24" s="429"/>
      <c r="B24" s="429"/>
      <c r="C24" s="264"/>
      <c r="D24" s="264"/>
      <c r="E24" s="256"/>
      <c r="F24" s="256"/>
      <c r="G24" s="256"/>
      <c r="H24" s="285"/>
      <c r="I24" s="278"/>
      <c r="J24" s="283"/>
      <c r="K24" s="429"/>
      <c r="L24" s="429"/>
    </row>
    <row r="25" spans="1:12" ht="15.75">
      <c r="A25" s="264" t="s">
        <v>62</v>
      </c>
      <c r="B25" s="429"/>
      <c r="C25" s="264" t="s">
        <v>62</v>
      </c>
      <c r="D25" s="264" t="s">
        <v>196</v>
      </c>
      <c r="E25" s="256"/>
      <c r="F25" s="256"/>
      <c r="G25" s="256"/>
      <c r="H25" s="285"/>
      <c r="I25" s="278"/>
      <c r="J25" s="283"/>
      <c r="K25" s="429"/>
      <c r="L25" s="429"/>
    </row>
    <row r="26" spans="1:12" ht="15.75">
      <c r="A26" s="264" t="s">
        <v>63</v>
      </c>
      <c r="B26" s="429"/>
      <c r="C26" s="264" t="s">
        <v>63</v>
      </c>
      <c r="D26" s="264" t="s">
        <v>196</v>
      </c>
      <c r="E26" s="256">
        <v>173</v>
      </c>
      <c r="F26" s="256"/>
      <c r="G26" s="256">
        <v>173</v>
      </c>
      <c r="H26" s="319"/>
      <c r="I26" s="320"/>
      <c r="J26" s="465"/>
      <c r="K26" s="406"/>
      <c r="L26" s="406"/>
    </row>
    <row r="27" spans="1:12" ht="26.65">
      <c r="A27" s="264" t="s">
        <v>63</v>
      </c>
      <c r="B27" s="429"/>
      <c r="C27" s="264"/>
      <c r="D27" s="264"/>
      <c r="E27" s="256"/>
      <c r="F27" s="256"/>
      <c r="G27" s="256"/>
      <c r="H27" s="319" t="s">
        <v>706</v>
      </c>
      <c r="I27" s="257">
        <v>173</v>
      </c>
      <c r="J27" s="466" t="s">
        <v>707</v>
      </c>
      <c r="K27" s="406"/>
      <c r="L27" s="406"/>
    </row>
    <row r="28" spans="1:12" ht="15.75">
      <c r="A28" s="429"/>
      <c r="B28" s="429"/>
      <c r="C28" s="264"/>
      <c r="D28" s="264"/>
      <c r="E28" s="256"/>
      <c r="F28" s="256"/>
      <c r="G28" s="256"/>
      <c r="H28" s="319"/>
      <c r="I28" s="320"/>
      <c r="J28" s="465"/>
      <c r="K28" s="406"/>
      <c r="L28" s="406"/>
    </row>
    <row r="29" spans="1:12" ht="15.75">
      <c r="A29" s="429"/>
      <c r="B29" s="429"/>
      <c r="C29" s="264" t="s">
        <v>65</v>
      </c>
      <c r="D29" s="264" t="s">
        <v>186</v>
      </c>
      <c r="E29" s="256"/>
      <c r="F29" s="256"/>
      <c r="G29" s="256"/>
      <c r="H29" s="319"/>
      <c r="I29" s="320"/>
      <c r="J29" s="465"/>
      <c r="K29" s="406"/>
      <c r="L29" s="406"/>
    </row>
    <row r="30" spans="1:12" ht="15.75">
      <c r="A30" s="429"/>
      <c r="B30" s="429"/>
      <c r="C30" s="264" t="s">
        <v>66</v>
      </c>
      <c r="D30" s="264" t="s">
        <v>186</v>
      </c>
      <c r="E30" s="256"/>
      <c r="F30" s="256"/>
      <c r="G30" s="256"/>
      <c r="H30" s="285"/>
      <c r="I30" s="278"/>
      <c r="J30" s="283"/>
      <c r="K30" s="429"/>
      <c r="L30" s="429"/>
    </row>
    <row r="31" spans="1:12" ht="15.75">
      <c r="A31" s="264" t="s">
        <v>67</v>
      </c>
      <c r="B31" s="429"/>
      <c r="C31" s="264" t="s">
        <v>67</v>
      </c>
      <c r="D31" s="314" t="s">
        <v>187</v>
      </c>
      <c r="E31" s="256"/>
      <c r="F31" s="256">
        <v>548</v>
      </c>
      <c r="G31" s="256">
        <v>548</v>
      </c>
      <c r="H31" s="285"/>
      <c r="I31" s="278"/>
      <c r="J31" s="283"/>
      <c r="K31" s="429"/>
      <c r="L31" s="429"/>
    </row>
    <row r="32" spans="1:12" ht="15.75">
      <c r="A32" s="264" t="s">
        <v>67</v>
      </c>
      <c r="B32" s="429"/>
      <c r="C32" s="264"/>
      <c r="D32" s="264"/>
      <c r="E32" s="256"/>
      <c r="F32" s="256"/>
      <c r="G32" s="256"/>
      <c r="H32" s="285" t="s">
        <v>440</v>
      </c>
      <c r="I32" s="255">
        <v>332</v>
      </c>
      <c r="J32" s="283"/>
      <c r="K32" s="429"/>
      <c r="L32" s="429"/>
    </row>
    <row r="33" spans="1:10" ht="15.75">
      <c r="A33" s="264" t="s">
        <v>67</v>
      </c>
      <c r="B33" s="429"/>
      <c r="C33" s="264"/>
      <c r="D33" s="264"/>
      <c r="E33" s="256"/>
      <c r="F33" s="256"/>
      <c r="G33" s="256"/>
      <c r="H33" s="285" t="s">
        <v>441</v>
      </c>
      <c r="I33" s="255">
        <v>216</v>
      </c>
      <c r="J33" s="283"/>
    </row>
    <row r="34" spans="1:10" ht="15.75">
      <c r="A34" s="429"/>
      <c r="B34" s="429"/>
      <c r="C34" s="264"/>
      <c r="D34" s="264"/>
      <c r="E34" s="256"/>
      <c r="F34" s="256"/>
      <c r="G34" s="256"/>
      <c r="H34" s="283"/>
      <c r="I34" s="312"/>
      <c r="J34" s="283"/>
    </row>
    <row r="35" spans="1:10" ht="15.75">
      <c r="A35" s="429"/>
      <c r="B35" s="429"/>
      <c r="C35" s="264" t="s">
        <v>70</v>
      </c>
      <c r="D35" s="264" t="s">
        <v>187</v>
      </c>
      <c r="E35" s="256"/>
      <c r="F35" s="256"/>
      <c r="G35" s="256"/>
      <c r="H35" s="285"/>
      <c r="I35" s="278"/>
      <c r="J35" s="283"/>
    </row>
    <row r="36" spans="1:10" ht="15.75">
      <c r="A36" s="429"/>
      <c r="B36" s="429"/>
      <c r="C36" s="264" t="s">
        <v>71</v>
      </c>
      <c r="D36" s="264" t="s">
        <v>197</v>
      </c>
      <c r="E36" s="256"/>
      <c r="F36" s="256"/>
      <c r="G36" s="256"/>
      <c r="H36" s="285"/>
      <c r="I36" s="278"/>
      <c r="J36" s="283"/>
    </row>
    <row r="37" spans="1:10" ht="15.75">
      <c r="A37" s="264" t="s">
        <v>72</v>
      </c>
      <c r="B37" s="429"/>
      <c r="C37" s="264" t="s">
        <v>72</v>
      </c>
      <c r="D37" s="264" t="s">
        <v>198</v>
      </c>
      <c r="E37" s="256"/>
      <c r="F37" s="256">
        <v>34</v>
      </c>
      <c r="G37" s="256">
        <v>34</v>
      </c>
      <c r="H37" s="285"/>
      <c r="I37" s="278"/>
      <c r="J37" s="283"/>
    </row>
    <row r="38" spans="1:10" ht="15.75">
      <c r="A38" s="264" t="s">
        <v>72</v>
      </c>
      <c r="B38" s="429"/>
      <c r="C38" s="264"/>
      <c r="D38" s="264"/>
      <c r="E38" s="256"/>
      <c r="F38" s="256"/>
      <c r="G38" s="256"/>
      <c r="H38" s="285" t="s">
        <v>708</v>
      </c>
      <c r="I38" s="255">
        <v>34</v>
      </c>
      <c r="J38" s="283"/>
    </row>
    <row r="39" spans="1:10" ht="15.75">
      <c r="A39" s="264" t="s">
        <v>73</v>
      </c>
      <c r="B39" s="429"/>
      <c r="C39" s="264" t="s">
        <v>73</v>
      </c>
      <c r="D39" s="264" t="s">
        <v>188</v>
      </c>
      <c r="E39" s="256">
        <v>97</v>
      </c>
      <c r="F39" s="256"/>
      <c r="G39" s="256">
        <v>97</v>
      </c>
      <c r="H39" s="285"/>
      <c r="I39" s="278"/>
      <c r="J39" s="283"/>
    </row>
    <row r="40" spans="1:10" ht="15.75">
      <c r="A40" s="264" t="s">
        <v>73</v>
      </c>
      <c r="B40" s="429"/>
      <c r="C40" s="264"/>
      <c r="D40" s="264"/>
      <c r="E40" s="256"/>
      <c r="F40" s="256"/>
      <c r="G40" s="256"/>
      <c r="H40" s="285" t="s">
        <v>325</v>
      </c>
      <c r="I40" s="255">
        <v>43</v>
      </c>
      <c r="J40" s="283"/>
    </row>
    <row r="41" spans="1:10" ht="15.75">
      <c r="A41" s="264" t="s">
        <v>73</v>
      </c>
      <c r="B41" s="429"/>
      <c r="C41" s="264"/>
      <c r="D41" s="264"/>
      <c r="E41" s="256"/>
      <c r="F41" s="256"/>
      <c r="G41" s="256"/>
      <c r="H41" s="285" t="s">
        <v>326</v>
      </c>
      <c r="I41" s="255">
        <v>54</v>
      </c>
      <c r="J41" s="283"/>
    </row>
    <row r="42" spans="1:10" ht="15.75">
      <c r="A42" s="429"/>
      <c r="B42" s="429"/>
      <c r="C42" s="264"/>
      <c r="D42" s="264"/>
      <c r="E42" s="256"/>
      <c r="F42" s="256"/>
      <c r="G42" s="256"/>
      <c r="H42" s="285"/>
      <c r="I42" s="278"/>
      <c r="J42" s="283"/>
    </row>
    <row r="43" spans="1:10" ht="15.75">
      <c r="A43" s="429"/>
      <c r="B43" s="429"/>
      <c r="C43" s="264"/>
      <c r="D43" s="264"/>
      <c r="E43" s="256"/>
      <c r="F43" s="256"/>
      <c r="G43" s="256"/>
      <c r="H43" s="285"/>
      <c r="I43" s="278"/>
      <c r="J43" s="283"/>
    </row>
    <row r="44" spans="1:10" ht="15.75">
      <c r="A44" s="264" t="s">
        <v>75</v>
      </c>
      <c r="B44" s="429"/>
      <c r="C44" s="264" t="s">
        <v>75</v>
      </c>
      <c r="D44" s="264" t="s">
        <v>199</v>
      </c>
      <c r="E44" s="256">
        <v>834</v>
      </c>
      <c r="F44" s="256">
        <v>145</v>
      </c>
      <c r="G44" s="256">
        <v>979</v>
      </c>
      <c r="H44" s="285"/>
      <c r="I44" s="278"/>
      <c r="J44" s="283"/>
    </row>
    <row r="45" spans="1:10" ht="15.75">
      <c r="A45" s="264" t="s">
        <v>75</v>
      </c>
      <c r="B45" s="429"/>
      <c r="C45" s="279"/>
      <c r="D45" s="279"/>
      <c r="E45" s="283"/>
      <c r="F45" s="283"/>
      <c r="G45" s="283"/>
      <c r="H45" s="319" t="s">
        <v>471</v>
      </c>
      <c r="I45" s="257">
        <v>202</v>
      </c>
      <c r="J45" s="283"/>
    </row>
    <row r="46" spans="1:10" ht="15.75">
      <c r="A46" s="264" t="s">
        <v>75</v>
      </c>
      <c r="B46" s="429"/>
      <c r="C46" s="279"/>
      <c r="D46" s="279"/>
      <c r="E46" s="283"/>
      <c r="F46" s="283"/>
      <c r="G46" s="283"/>
      <c r="H46" s="319" t="s">
        <v>474</v>
      </c>
      <c r="I46" s="257">
        <v>195</v>
      </c>
      <c r="J46" s="283"/>
    </row>
    <row r="47" spans="1:10" ht="15.75">
      <c r="A47" s="264" t="s">
        <v>75</v>
      </c>
      <c r="B47" s="429"/>
      <c r="C47" s="279"/>
      <c r="D47" s="279"/>
      <c r="E47" s="283"/>
      <c r="F47" s="283"/>
      <c r="G47" s="283"/>
      <c r="H47" s="319" t="s">
        <v>475</v>
      </c>
      <c r="I47" s="257">
        <v>201</v>
      </c>
      <c r="J47" s="283"/>
    </row>
    <row r="48" spans="1:10" ht="15.75">
      <c r="A48" s="264" t="s">
        <v>75</v>
      </c>
      <c r="B48" s="429"/>
      <c r="C48" s="279"/>
      <c r="D48" s="279"/>
      <c r="E48" s="283"/>
      <c r="F48" s="283"/>
      <c r="G48" s="465"/>
      <c r="H48" s="319" t="s">
        <v>476</v>
      </c>
      <c r="I48" s="257">
        <v>201</v>
      </c>
      <c r="J48" s="465"/>
    </row>
    <row r="49" spans="1:10" ht="15.75">
      <c r="A49" s="264" t="s">
        <v>75</v>
      </c>
      <c r="B49" s="429"/>
      <c r="C49" s="279"/>
      <c r="D49" s="279"/>
      <c r="E49" s="283"/>
      <c r="F49" s="283"/>
      <c r="G49" s="465"/>
      <c r="H49" s="319" t="s">
        <v>477</v>
      </c>
      <c r="I49" s="257">
        <v>180</v>
      </c>
      <c r="J49" s="465"/>
    </row>
    <row r="50" spans="1:10" ht="15.75">
      <c r="A50" s="264" t="s">
        <v>76</v>
      </c>
      <c r="B50" s="429"/>
      <c r="C50" s="264" t="s">
        <v>76</v>
      </c>
      <c r="D50" s="264" t="s">
        <v>199</v>
      </c>
      <c r="E50" s="256">
        <v>60</v>
      </c>
      <c r="F50" s="256"/>
      <c r="G50" s="256">
        <v>60</v>
      </c>
      <c r="H50" s="319"/>
      <c r="I50" s="320"/>
      <c r="J50" s="465"/>
    </row>
    <row r="51" spans="1:10" ht="15.75">
      <c r="A51" s="264" t="s">
        <v>76</v>
      </c>
      <c r="B51" s="429"/>
      <c r="C51" s="264"/>
      <c r="D51" s="264"/>
      <c r="E51" s="256"/>
      <c r="F51" s="256"/>
      <c r="G51" s="465"/>
      <c r="H51" s="319" t="s">
        <v>471</v>
      </c>
      <c r="I51" s="321">
        <v>60</v>
      </c>
      <c r="J51" s="466" t="s">
        <v>709</v>
      </c>
    </row>
    <row r="52" spans="1:10" ht="15.75">
      <c r="A52" s="429"/>
      <c r="B52" s="429"/>
      <c r="C52" s="264" t="s">
        <v>77</v>
      </c>
      <c r="D52" s="264" t="s">
        <v>200</v>
      </c>
      <c r="E52" s="256"/>
      <c r="F52" s="256"/>
      <c r="G52" s="256"/>
      <c r="H52" s="465"/>
      <c r="I52" s="320"/>
      <c r="J52" s="467"/>
    </row>
    <row r="53" spans="1:10" ht="15.75">
      <c r="A53" s="429"/>
      <c r="B53" s="429"/>
      <c r="C53" s="264"/>
      <c r="D53" s="264"/>
      <c r="E53" s="256"/>
      <c r="F53" s="256"/>
      <c r="G53" s="256"/>
      <c r="H53" s="465"/>
      <c r="I53" s="320"/>
      <c r="J53" s="467"/>
    </row>
    <row r="54" spans="1:10" ht="15.75">
      <c r="A54" s="429"/>
      <c r="B54" s="429"/>
      <c r="C54" s="264"/>
      <c r="D54" s="264"/>
      <c r="E54" s="256"/>
      <c r="F54" s="256"/>
      <c r="G54" s="256"/>
      <c r="H54" s="283"/>
      <c r="I54" s="278"/>
      <c r="J54" s="283"/>
    </row>
    <row r="55" spans="1:10" ht="15.75">
      <c r="A55" s="429"/>
      <c r="B55" s="429"/>
      <c r="C55" s="264" t="s">
        <v>78</v>
      </c>
      <c r="D55" s="264" t="s">
        <v>200</v>
      </c>
      <c r="E55" s="256"/>
      <c r="F55" s="256"/>
      <c r="G55" s="256"/>
      <c r="H55" s="283"/>
      <c r="I55" s="278"/>
      <c r="J55" s="283"/>
    </row>
    <row r="56" spans="1:10" ht="15.75">
      <c r="A56" s="429"/>
      <c r="B56" s="429"/>
      <c r="C56" s="264"/>
      <c r="D56" s="264"/>
      <c r="E56" s="256"/>
      <c r="F56" s="256"/>
      <c r="G56" s="256"/>
      <c r="H56" s="283"/>
      <c r="I56" s="278"/>
      <c r="J56" s="283"/>
    </row>
    <row r="57" spans="1:10" ht="15.75">
      <c r="A57" s="264" t="s">
        <v>79</v>
      </c>
      <c r="B57" s="429"/>
      <c r="C57" s="265" t="s">
        <v>79</v>
      </c>
      <c r="D57" s="268"/>
      <c r="E57" s="277"/>
      <c r="F57" s="277">
        <v>248</v>
      </c>
      <c r="G57" s="277">
        <v>248</v>
      </c>
      <c r="H57" s="283"/>
      <c r="I57" s="278"/>
      <c r="J57" s="283"/>
    </row>
    <row r="58" spans="1:10" ht="15.75">
      <c r="A58" s="264" t="s">
        <v>79</v>
      </c>
      <c r="B58" s="429"/>
      <c r="C58" s="264"/>
      <c r="D58" s="264"/>
      <c r="E58" s="256"/>
      <c r="F58" s="256"/>
      <c r="G58" s="256"/>
      <c r="H58" s="287" t="s">
        <v>512</v>
      </c>
      <c r="I58" s="288">
        <v>83</v>
      </c>
      <c r="J58" s="283"/>
    </row>
    <row r="59" spans="1:10" ht="15.75">
      <c r="A59" s="264" t="s">
        <v>79</v>
      </c>
      <c r="B59" s="429"/>
      <c r="C59" s="264"/>
      <c r="D59" s="264"/>
      <c r="E59" s="256"/>
      <c r="F59" s="256"/>
      <c r="G59" s="256"/>
      <c r="H59" s="287" t="s">
        <v>710</v>
      </c>
      <c r="I59" s="288">
        <v>165</v>
      </c>
      <c r="J59" s="283"/>
    </row>
    <row r="60" spans="1:10" ht="15.75">
      <c r="A60" s="264" t="s">
        <v>81</v>
      </c>
      <c r="B60" s="429"/>
      <c r="C60" s="264" t="s">
        <v>81</v>
      </c>
      <c r="D60" s="264" t="s">
        <v>201</v>
      </c>
      <c r="E60" s="256">
        <v>300</v>
      </c>
      <c r="F60" s="256"/>
      <c r="G60" s="256">
        <v>300</v>
      </c>
      <c r="H60" s="283"/>
      <c r="I60" s="278"/>
      <c r="J60" s="283"/>
    </row>
    <row r="61" spans="1:10" ht="15.75">
      <c r="A61" s="264" t="s">
        <v>81</v>
      </c>
      <c r="B61" s="429"/>
      <c r="C61" s="264"/>
      <c r="D61" s="264"/>
      <c r="E61" s="256"/>
      <c r="F61" s="256"/>
      <c r="G61" s="256"/>
      <c r="H61" s="285" t="s">
        <v>331</v>
      </c>
      <c r="I61" s="258">
        <v>215</v>
      </c>
      <c r="J61" s="283"/>
    </row>
    <row r="62" spans="1:10" ht="15.75">
      <c r="A62" s="264" t="s">
        <v>81</v>
      </c>
      <c r="B62" s="429"/>
      <c r="C62" s="264"/>
      <c r="D62" s="264"/>
      <c r="E62" s="256"/>
      <c r="F62" s="256"/>
      <c r="G62" s="256"/>
      <c r="H62" s="285" t="s">
        <v>330</v>
      </c>
      <c r="I62" s="258">
        <v>85</v>
      </c>
      <c r="J62" s="283"/>
    </row>
    <row r="63" spans="1:10" ht="15.75">
      <c r="A63" s="429"/>
      <c r="B63" s="429"/>
      <c r="C63" s="264" t="s">
        <v>82</v>
      </c>
      <c r="D63" s="264" t="s">
        <v>190</v>
      </c>
      <c r="E63" s="256"/>
      <c r="F63" s="256"/>
      <c r="G63" s="256"/>
      <c r="H63" s="283"/>
      <c r="I63" s="278"/>
      <c r="J63" s="283"/>
    </row>
    <row r="64" spans="1:10" ht="15.75">
      <c r="A64" s="264" t="s">
        <v>83</v>
      </c>
      <c r="B64" s="429"/>
      <c r="C64" s="264" t="s">
        <v>83</v>
      </c>
      <c r="D64" s="323" t="s">
        <v>202</v>
      </c>
      <c r="E64" s="256">
        <v>866</v>
      </c>
      <c r="F64" s="256"/>
      <c r="G64" s="256">
        <v>866</v>
      </c>
      <c r="H64" s="283"/>
      <c r="I64" s="278"/>
      <c r="J64" s="283"/>
    </row>
    <row r="65" spans="1:10" ht="15.75">
      <c r="A65" s="264" t="s">
        <v>83</v>
      </c>
      <c r="B65" s="429"/>
      <c r="C65" s="264"/>
      <c r="D65" s="264"/>
      <c r="E65" s="256"/>
      <c r="F65" s="256"/>
      <c r="G65" s="256"/>
      <c r="H65" s="319" t="s">
        <v>374</v>
      </c>
      <c r="I65" s="321">
        <v>400</v>
      </c>
      <c r="J65" s="283"/>
    </row>
    <row r="66" spans="1:10" ht="15.75">
      <c r="A66" s="264" t="s">
        <v>83</v>
      </c>
      <c r="B66" s="429"/>
      <c r="C66" s="264"/>
      <c r="D66" s="264"/>
      <c r="E66" s="256"/>
      <c r="F66" s="256"/>
      <c r="G66" s="256"/>
      <c r="H66" s="319" t="s">
        <v>373</v>
      </c>
      <c r="I66" s="321">
        <v>94</v>
      </c>
      <c r="J66" s="283"/>
    </row>
    <row r="67" spans="1:10" ht="15.75">
      <c r="A67" s="264" t="s">
        <v>83</v>
      </c>
      <c r="B67" s="429"/>
      <c r="C67" s="264"/>
      <c r="D67" s="264"/>
      <c r="E67" s="256"/>
      <c r="F67" s="256"/>
      <c r="G67" s="256"/>
      <c r="H67" s="319" t="s">
        <v>381</v>
      </c>
      <c r="I67" s="321">
        <v>201</v>
      </c>
      <c r="J67" s="283"/>
    </row>
    <row r="68" spans="1:10" ht="15.75">
      <c r="A68" s="264" t="s">
        <v>83</v>
      </c>
      <c r="B68" s="429"/>
      <c r="C68" s="264"/>
      <c r="D68" s="264"/>
      <c r="E68" s="256"/>
      <c r="F68" s="256"/>
      <c r="G68" s="256"/>
      <c r="H68" s="319" t="s">
        <v>379</v>
      </c>
      <c r="I68" s="321">
        <v>171</v>
      </c>
      <c r="J68" s="283"/>
    </row>
    <row r="69" spans="1:10" ht="15.75">
      <c r="A69" s="429"/>
      <c r="B69" s="429"/>
      <c r="C69" s="264" t="s">
        <v>86</v>
      </c>
      <c r="D69" s="264" t="s">
        <v>202</v>
      </c>
      <c r="E69" s="256"/>
      <c r="F69" s="256"/>
      <c r="G69" s="256"/>
      <c r="H69" s="283"/>
      <c r="I69" s="278"/>
      <c r="J69" s="283"/>
    </row>
    <row r="70" spans="1:10" ht="15.75">
      <c r="A70" s="264" t="s">
        <v>87</v>
      </c>
      <c r="B70" s="429"/>
      <c r="C70" s="264" t="s">
        <v>87</v>
      </c>
      <c r="D70" s="316" t="s">
        <v>192</v>
      </c>
      <c r="E70" s="256">
        <v>1000</v>
      </c>
      <c r="F70" s="256"/>
      <c r="G70" s="256">
        <v>1000</v>
      </c>
      <c r="H70" s="283"/>
      <c r="I70" s="278"/>
      <c r="J70" s="283"/>
    </row>
    <row r="71" spans="1:10" ht="15.75">
      <c r="A71" s="264" t="s">
        <v>87</v>
      </c>
      <c r="B71" s="429"/>
      <c r="C71" s="264"/>
      <c r="D71" s="264"/>
      <c r="E71" s="256"/>
      <c r="F71" s="256"/>
      <c r="G71" s="256"/>
      <c r="H71" s="285" t="s">
        <v>444</v>
      </c>
      <c r="I71" s="258">
        <v>662</v>
      </c>
      <c r="J71" s="283"/>
    </row>
    <row r="72" spans="1:10" ht="15.75">
      <c r="A72" s="264" t="s">
        <v>87</v>
      </c>
      <c r="B72" s="429"/>
      <c r="C72" s="264"/>
      <c r="D72" s="264"/>
      <c r="E72" s="256"/>
      <c r="F72" s="256"/>
      <c r="G72" s="256"/>
      <c r="H72" s="285" t="s">
        <v>443</v>
      </c>
      <c r="I72" s="258">
        <v>338</v>
      </c>
      <c r="J72" s="283"/>
    </row>
    <row r="73" spans="1:10" ht="15.75">
      <c r="A73" s="429"/>
      <c r="B73" s="429"/>
      <c r="C73" s="264" t="s">
        <v>89</v>
      </c>
      <c r="D73" s="316" t="s">
        <v>192</v>
      </c>
      <c r="E73" s="256"/>
      <c r="F73" s="256"/>
      <c r="G73" s="256"/>
      <c r="H73" s="285"/>
      <c r="I73" s="312"/>
      <c r="J73" s="283"/>
    </row>
    <row r="74" spans="1:10" ht="15.75">
      <c r="A74" s="429"/>
      <c r="B74" s="429"/>
      <c r="C74" s="264"/>
      <c r="D74" s="264"/>
      <c r="E74" s="256"/>
      <c r="F74" s="256"/>
      <c r="G74" s="256"/>
      <c r="H74" s="285"/>
      <c r="I74" s="278"/>
      <c r="J74" s="283"/>
    </row>
    <row r="75" spans="1:10" ht="15.75">
      <c r="A75" s="429"/>
      <c r="B75" s="429"/>
      <c r="C75" s="264" t="s">
        <v>92</v>
      </c>
      <c r="D75" s="264" t="s">
        <v>202</v>
      </c>
      <c r="E75" s="256"/>
      <c r="F75" s="256"/>
      <c r="G75" s="256"/>
      <c r="H75" s="285"/>
      <c r="I75" s="278"/>
      <c r="J75" s="283"/>
    </row>
    <row r="76" spans="1:10" ht="15.75">
      <c r="A76" s="429"/>
      <c r="B76" s="429"/>
      <c r="C76" s="279"/>
      <c r="D76" s="279"/>
      <c r="E76" s="283"/>
      <c r="F76" s="283"/>
      <c r="G76" s="283"/>
      <c r="H76" s="285"/>
      <c r="I76" s="278"/>
      <c r="J76" s="283"/>
    </row>
    <row r="77" spans="1:10" ht="15.75">
      <c r="A77" s="429"/>
      <c r="B77" s="429"/>
      <c r="C77" s="279"/>
      <c r="D77" s="279"/>
      <c r="E77" s="283"/>
      <c r="F77" s="283"/>
      <c r="G77" s="283"/>
      <c r="H77" s="285"/>
      <c r="I77" s="278"/>
      <c r="J77" s="283"/>
    </row>
    <row r="78" spans="1:10" ht="15.75">
      <c r="A78" s="429"/>
      <c r="B78" s="429"/>
      <c r="C78" s="279"/>
      <c r="D78" s="279"/>
      <c r="E78" s="283"/>
      <c r="F78" s="283"/>
      <c r="G78" s="283"/>
      <c r="H78" s="285"/>
      <c r="I78" s="278"/>
      <c r="J78" s="283"/>
    </row>
    <row r="79" spans="1:10" ht="15.75">
      <c r="A79" s="429"/>
      <c r="B79" s="429"/>
      <c r="C79" s="279"/>
      <c r="D79" s="279"/>
      <c r="E79" s="283"/>
      <c r="F79" s="283"/>
      <c r="G79" s="283"/>
      <c r="H79" s="285"/>
      <c r="I79" s="278"/>
      <c r="J79" s="283"/>
    </row>
    <row r="80" spans="1:10" ht="15.75">
      <c r="A80" s="429"/>
      <c r="B80" s="429"/>
      <c r="C80" s="279"/>
      <c r="D80" s="279"/>
      <c r="E80" s="283"/>
      <c r="F80" s="283"/>
      <c r="G80" s="283"/>
      <c r="H80" s="285"/>
      <c r="I80" s="278"/>
      <c r="J80" s="283"/>
    </row>
    <row r="81" spans="1:10" ht="15.75">
      <c r="A81" s="429"/>
      <c r="B81" s="429"/>
      <c r="C81" s="279"/>
      <c r="D81" s="279"/>
      <c r="E81" s="283"/>
      <c r="F81" s="283"/>
      <c r="G81" s="283"/>
      <c r="H81" s="285"/>
      <c r="I81" s="278"/>
      <c r="J81" s="283"/>
    </row>
    <row r="82" spans="1:10" ht="15.75">
      <c r="A82" s="429"/>
      <c r="B82" s="429"/>
      <c r="C82" s="264" t="s">
        <v>93</v>
      </c>
      <c r="D82" s="264" t="s">
        <v>202</v>
      </c>
      <c r="E82" s="256"/>
      <c r="F82" s="256"/>
      <c r="G82" s="256"/>
      <c r="H82" s="285"/>
      <c r="I82" s="278"/>
      <c r="J82" s="283"/>
    </row>
    <row r="83" spans="1:10" ht="15.75">
      <c r="A83" s="429" t="s">
        <v>94</v>
      </c>
      <c r="B83" s="429"/>
      <c r="C83" s="268" t="s">
        <v>94</v>
      </c>
      <c r="D83" s="268" t="s">
        <v>203</v>
      </c>
      <c r="E83" s="277"/>
      <c r="F83" s="277">
        <v>330</v>
      </c>
      <c r="G83" s="277">
        <v>330</v>
      </c>
      <c r="H83" s="285"/>
      <c r="I83" s="278"/>
      <c r="J83" s="283"/>
    </row>
    <row r="84" spans="1:10" ht="15.75">
      <c r="A84" s="429" t="s">
        <v>94</v>
      </c>
      <c r="B84" s="429"/>
      <c r="C84" s="329"/>
      <c r="D84" s="330"/>
      <c r="E84" s="256"/>
      <c r="F84" s="256"/>
      <c r="G84" s="256"/>
      <c r="H84" s="287" t="s">
        <v>516</v>
      </c>
      <c r="I84" s="288">
        <v>330</v>
      </c>
      <c r="J84" s="283"/>
    </row>
    <row r="85" spans="1:10" ht="15.75">
      <c r="A85" s="429"/>
      <c r="B85" s="429"/>
      <c r="C85" s="264" t="s">
        <v>95</v>
      </c>
      <c r="D85" s="264" t="s">
        <v>203</v>
      </c>
      <c r="E85" s="256"/>
      <c r="F85" s="256"/>
      <c r="G85" s="256"/>
      <c r="H85" s="285"/>
      <c r="I85" s="278"/>
      <c r="J85" s="283"/>
    </row>
    <row r="86" spans="1:10" ht="15.75">
      <c r="A86" s="429"/>
      <c r="B86" s="429"/>
      <c r="C86" s="279"/>
      <c r="D86" s="279"/>
      <c r="E86" s="283"/>
      <c r="F86" s="283"/>
      <c r="G86" s="283"/>
      <c r="H86" s="285"/>
      <c r="I86" s="278"/>
      <c r="J86" s="283"/>
    </row>
    <row r="87" spans="1:10" ht="15.75">
      <c r="A87" s="429"/>
      <c r="B87" s="429"/>
      <c r="C87" s="279"/>
      <c r="D87" s="279"/>
      <c r="E87" s="283"/>
      <c r="F87" s="283"/>
      <c r="G87" s="283"/>
      <c r="H87" s="285"/>
      <c r="I87" s="278"/>
      <c r="J87" s="283"/>
    </row>
    <row r="88" spans="1:10" ht="15.75">
      <c r="A88" s="429"/>
      <c r="B88" s="429"/>
      <c r="C88" s="279"/>
      <c r="D88" s="279"/>
      <c r="E88" s="283"/>
      <c r="F88" s="283"/>
      <c r="G88" s="283"/>
      <c r="H88" s="285"/>
      <c r="I88" s="278"/>
      <c r="J88" s="283"/>
    </row>
    <row r="89" spans="1:10" ht="15.75">
      <c r="A89" s="429"/>
      <c r="B89" s="429"/>
      <c r="C89" s="279"/>
      <c r="D89" s="279"/>
      <c r="E89" s="283"/>
      <c r="F89" s="283"/>
      <c r="G89" s="283"/>
      <c r="H89" s="285"/>
      <c r="I89" s="278"/>
      <c r="J89" s="283"/>
    </row>
    <row r="90" spans="1:10" ht="15.75">
      <c r="A90" s="429"/>
      <c r="B90" s="429"/>
      <c r="C90" s="279"/>
      <c r="D90" s="279"/>
      <c r="E90" s="283"/>
      <c r="F90" s="283"/>
      <c r="G90" s="283"/>
      <c r="H90" s="285"/>
      <c r="I90" s="278"/>
      <c r="J90" s="283"/>
    </row>
    <row r="91" spans="1:10" ht="15.75">
      <c r="A91" s="429"/>
      <c r="B91" s="429"/>
      <c r="C91" s="264" t="s">
        <v>96</v>
      </c>
      <c r="D91" s="316" t="s">
        <v>193</v>
      </c>
      <c r="E91" s="283"/>
      <c r="F91" s="283"/>
      <c r="G91" s="283"/>
      <c r="H91" s="285"/>
      <c r="I91" s="278"/>
      <c r="J91" s="283"/>
    </row>
    <row r="92" spans="1:10" ht="15.75">
      <c r="A92" s="429"/>
      <c r="B92" s="429"/>
      <c r="C92" s="279"/>
      <c r="D92" s="429"/>
      <c r="E92" s="283"/>
      <c r="F92" s="283"/>
      <c r="G92" s="283"/>
      <c r="H92" s="285"/>
      <c r="I92" s="278"/>
      <c r="J92" s="283"/>
    </row>
    <row r="93" spans="1:10" ht="15.75">
      <c r="A93" s="429"/>
      <c r="B93" s="429"/>
      <c r="C93" s="264" t="s">
        <v>97</v>
      </c>
      <c r="D93" s="316" t="s">
        <v>204</v>
      </c>
      <c r="E93" s="256"/>
      <c r="F93" s="256"/>
      <c r="G93" s="256"/>
      <c r="H93" s="285"/>
      <c r="I93" s="278"/>
      <c r="J93" s="283"/>
    </row>
    <row r="94" spans="1:10" ht="15.75">
      <c r="A94" s="429"/>
      <c r="B94" s="429"/>
      <c r="C94" s="264" t="s">
        <v>98</v>
      </c>
      <c r="D94" s="316" t="s">
        <v>204</v>
      </c>
      <c r="E94" s="256"/>
      <c r="F94" s="256"/>
      <c r="G94" s="256"/>
      <c r="H94" s="285"/>
      <c r="I94" s="278"/>
      <c r="J94" s="283"/>
    </row>
    <row r="95" spans="1:10" ht="15.75">
      <c r="A95" s="264" t="s">
        <v>99</v>
      </c>
      <c r="B95" s="429"/>
      <c r="C95" s="264" t="s">
        <v>99</v>
      </c>
      <c r="D95" s="316" t="s">
        <v>193</v>
      </c>
      <c r="E95" s="256">
        <v>542</v>
      </c>
      <c r="F95" s="256"/>
      <c r="G95" s="256">
        <v>542</v>
      </c>
      <c r="H95" s="285"/>
      <c r="I95" s="278"/>
      <c r="J95" s="283"/>
    </row>
    <row r="96" spans="1:10" ht="15.75">
      <c r="A96" s="264" t="s">
        <v>99</v>
      </c>
      <c r="B96" s="429"/>
      <c r="C96" s="264"/>
      <c r="D96" s="316"/>
      <c r="E96" s="256"/>
      <c r="F96" s="256"/>
      <c r="G96" s="256"/>
      <c r="H96" s="285" t="s">
        <v>397</v>
      </c>
      <c r="I96" s="258">
        <v>227</v>
      </c>
      <c r="J96" s="283"/>
    </row>
    <row r="97" spans="1:10" ht="15.75">
      <c r="A97" s="264" t="s">
        <v>99</v>
      </c>
      <c r="B97" s="429"/>
      <c r="C97" s="264"/>
      <c r="D97" s="264"/>
      <c r="E97" s="256"/>
      <c r="F97" s="256"/>
      <c r="G97" s="256"/>
      <c r="H97" s="285" t="s">
        <v>418</v>
      </c>
      <c r="I97" s="258">
        <v>23</v>
      </c>
      <c r="J97" s="283"/>
    </row>
    <row r="98" spans="1:10" ht="15.75">
      <c r="A98" s="264" t="s">
        <v>99</v>
      </c>
      <c r="B98" s="429"/>
      <c r="C98" s="264"/>
      <c r="D98" s="264"/>
      <c r="E98" s="256"/>
      <c r="F98" s="256"/>
      <c r="G98" s="256"/>
      <c r="H98" s="285" t="s">
        <v>603</v>
      </c>
      <c r="I98" s="258">
        <v>171</v>
      </c>
      <c r="J98" s="283"/>
    </row>
    <row r="99" spans="1:10" ht="15.75">
      <c r="A99" s="264" t="s">
        <v>99</v>
      </c>
      <c r="B99" s="429"/>
      <c r="C99" s="264"/>
      <c r="D99" s="264"/>
      <c r="E99" s="256"/>
      <c r="F99" s="256"/>
      <c r="G99" s="256"/>
      <c r="H99" s="285" t="s">
        <v>610</v>
      </c>
      <c r="I99" s="258">
        <v>84</v>
      </c>
      <c r="J99" s="283"/>
    </row>
    <row r="100" spans="1:10" ht="15.75">
      <c r="A100" s="264" t="s">
        <v>99</v>
      </c>
      <c r="B100" s="429"/>
      <c r="C100" s="264"/>
      <c r="D100" s="264"/>
      <c r="E100" s="256"/>
      <c r="F100" s="256"/>
      <c r="G100" s="256"/>
      <c r="H100" s="285" t="s">
        <v>399</v>
      </c>
      <c r="I100" s="258">
        <v>37</v>
      </c>
      <c r="J100" s="283"/>
    </row>
    <row r="101" spans="1:10" ht="15.75">
      <c r="A101" s="429"/>
      <c r="B101" s="429"/>
      <c r="C101" s="264" t="s">
        <v>100</v>
      </c>
      <c r="D101" s="264" t="s">
        <v>205</v>
      </c>
      <c r="E101" s="256"/>
      <c r="F101" s="256"/>
      <c r="G101" s="256">
        <v>0</v>
      </c>
      <c r="H101" s="285"/>
      <c r="I101" s="312"/>
      <c r="J101" s="283"/>
    </row>
    <row r="102" spans="1:10" ht="15.75">
      <c r="A102" s="429"/>
      <c r="B102" s="429"/>
      <c r="C102" s="279"/>
      <c r="D102" s="279"/>
      <c r="E102" s="283"/>
      <c r="F102" s="283"/>
      <c r="G102" s="283"/>
      <c r="H102" s="285"/>
      <c r="I102" s="278"/>
      <c r="J102" s="283"/>
    </row>
    <row r="103" spans="1:10" ht="15.75">
      <c r="A103" s="429"/>
      <c r="B103" s="429"/>
      <c r="C103" s="264" t="s">
        <v>102</v>
      </c>
      <c r="D103" s="264" t="s">
        <v>205</v>
      </c>
      <c r="E103" s="256"/>
      <c r="F103" s="256"/>
      <c r="G103" s="256"/>
      <c r="H103" s="285"/>
      <c r="I103" s="278"/>
      <c r="J103" s="283"/>
    </row>
    <row r="104" spans="1:10" ht="15.75">
      <c r="A104" s="264" t="s">
        <v>103</v>
      </c>
      <c r="B104" s="429"/>
      <c r="C104" s="268" t="s">
        <v>103</v>
      </c>
      <c r="D104" s="268" t="s">
        <v>206</v>
      </c>
      <c r="E104" s="277">
        <v>862</v>
      </c>
      <c r="F104" s="277"/>
      <c r="G104" s="277">
        <v>862</v>
      </c>
      <c r="H104" s="285"/>
      <c r="I104" s="278"/>
      <c r="J104" s="283"/>
    </row>
    <row r="105" spans="1:10">
      <c r="A105" s="264" t="s">
        <v>103</v>
      </c>
      <c r="B105" s="429"/>
      <c r="C105" s="264"/>
      <c r="D105" s="264"/>
      <c r="E105" s="256"/>
      <c r="F105" s="256"/>
      <c r="G105" s="256"/>
      <c r="H105" s="287" t="s">
        <v>510</v>
      </c>
      <c r="I105" s="297">
        <v>154</v>
      </c>
      <c r="J105" s="523" t="s">
        <v>711</v>
      </c>
    </row>
    <row r="106" spans="1:10">
      <c r="A106" s="264" t="s">
        <v>103</v>
      </c>
      <c r="B106" s="429"/>
      <c r="C106" s="264"/>
      <c r="D106" s="264"/>
      <c r="E106" s="256"/>
      <c r="F106" s="256"/>
      <c r="G106" s="256"/>
      <c r="H106" s="287" t="s">
        <v>508</v>
      </c>
      <c r="I106" s="297">
        <v>119</v>
      </c>
      <c r="J106" s="524"/>
    </row>
    <row r="107" spans="1:10">
      <c r="A107" s="264" t="s">
        <v>103</v>
      </c>
      <c r="B107" s="429"/>
      <c r="C107" s="264"/>
      <c r="D107" s="264"/>
      <c r="E107" s="256"/>
      <c r="F107" s="256"/>
      <c r="G107" s="256"/>
      <c r="H107" s="287" t="s">
        <v>506</v>
      </c>
      <c r="I107" s="297">
        <v>427</v>
      </c>
      <c r="J107" s="524"/>
    </row>
    <row r="108" spans="1:10">
      <c r="A108" s="264" t="s">
        <v>103</v>
      </c>
      <c r="B108" s="429"/>
      <c r="C108" s="264"/>
      <c r="D108" s="264"/>
      <c r="E108" s="256"/>
      <c r="F108" s="256"/>
      <c r="G108" s="256"/>
      <c r="H108" s="287" t="s">
        <v>512</v>
      </c>
      <c r="I108" s="297">
        <v>54</v>
      </c>
      <c r="J108" s="298" t="s">
        <v>216</v>
      </c>
    </row>
    <row r="109" spans="1:10">
      <c r="A109" s="264" t="s">
        <v>103</v>
      </c>
      <c r="B109" s="429"/>
      <c r="C109" s="264"/>
      <c r="D109" s="264"/>
      <c r="E109" s="256"/>
      <c r="F109" s="256"/>
      <c r="G109" s="256"/>
      <c r="H109" s="287" t="s">
        <v>712</v>
      </c>
      <c r="I109" s="297">
        <v>108</v>
      </c>
      <c r="J109" s="298" t="s">
        <v>216</v>
      </c>
    </row>
    <row r="110" spans="1:10" ht="15.75">
      <c r="A110" s="264" t="s">
        <v>103</v>
      </c>
      <c r="B110" s="429"/>
      <c r="C110" s="264"/>
      <c r="D110" s="264"/>
      <c r="E110" s="256"/>
      <c r="F110" s="256"/>
      <c r="G110" s="256"/>
      <c r="H110" s="285" t="s">
        <v>516</v>
      </c>
      <c r="I110" s="257"/>
      <c r="J110" s="283"/>
    </row>
    <row r="111" spans="1:10" ht="15.75">
      <c r="A111" s="429"/>
      <c r="B111" s="429"/>
      <c r="C111" s="264" t="s">
        <v>105</v>
      </c>
      <c r="D111" s="264" t="s">
        <v>206</v>
      </c>
      <c r="E111" s="256"/>
      <c r="F111" s="256"/>
      <c r="G111" s="256"/>
      <c r="H111" s="285"/>
      <c r="I111" s="312"/>
      <c r="J111" s="283"/>
    </row>
    <row r="112" spans="1:10" ht="15.75">
      <c r="A112" s="429"/>
      <c r="B112" s="429"/>
      <c r="C112" s="264" t="s">
        <v>106</v>
      </c>
      <c r="D112" s="264" t="s">
        <v>192</v>
      </c>
      <c r="E112" s="256"/>
      <c r="F112" s="256"/>
      <c r="G112" s="256"/>
      <c r="H112" s="285"/>
      <c r="I112" s="278"/>
      <c r="J112" s="283"/>
    </row>
    <row r="113" spans="1:10" ht="15.75">
      <c r="A113" s="264" t="s">
        <v>107</v>
      </c>
      <c r="B113" s="429"/>
      <c r="C113" s="264" t="s">
        <v>107</v>
      </c>
      <c r="D113" s="264" t="s">
        <v>207</v>
      </c>
      <c r="E113" s="256">
        <v>2402</v>
      </c>
      <c r="F113" s="256">
        <v>800</v>
      </c>
      <c r="G113" s="256">
        <v>3202</v>
      </c>
      <c r="H113" s="285"/>
      <c r="I113" s="278"/>
      <c r="J113" s="283"/>
    </row>
    <row r="114" spans="1:10" ht="15.75">
      <c r="A114" s="264" t="s">
        <v>107</v>
      </c>
      <c r="B114" s="429"/>
      <c r="C114" s="264"/>
      <c r="D114" s="264"/>
      <c r="E114" s="256"/>
      <c r="F114" s="256"/>
      <c r="G114" s="256"/>
      <c r="H114" s="285" t="s">
        <v>696</v>
      </c>
      <c r="I114" s="258">
        <v>770</v>
      </c>
      <c r="J114" s="283"/>
    </row>
    <row r="115" spans="1:10" ht="15.75">
      <c r="A115" s="264" t="s">
        <v>107</v>
      </c>
      <c r="B115" s="429"/>
      <c r="C115" s="264"/>
      <c r="D115" s="264"/>
      <c r="E115" s="256"/>
      <c r="F115" s="256"/>
      <c r="G115" s="256"/>
      <c r="H115" s="285" t="s">
        <v>501</v>
      </c>
      <c r="I115" s="258">
        <v>852</v>
      </c>
      <c r="J115" s="283"/>
    </row>
    <row r="116" spans="1:10" ht="15.75">
      <c r="A116" s="264" t="s">
        <v>107</v>
      </c>
      <c r="B116" s="429"/>
      <c r="C116" s="264"/>
      <c r="D116" s="264"/>
      <c r="E116" s="256"/>
      <c r="F116" s="256"/>
      <c r="G116" s="256"/>
      <c r="H116" s="285" t="s">
        <v>489</v>
      </c>
      <c r="I116" s="258">
        <v>832</v>
      </c>
      <c r="J116" s="283"/>
    </row>
    <row r="117" spans="1:10" ht="15.75">
      <c r="A117" s="264" t="s">
        <v>107</v>
      </c>
      <c r="B117" s="429"/>
      <c r="C117" s="264"/>
      <c r="D117" s="264"/>
      <c r="E117" s="256"/>
      <c r="F117" s="256"/>
      <c r="G117" s="256"/>
      <c r="H117" s="285" t="s">
        <v>495</v>
      </c>
      <c r="I117" s="258">
        <v>748</v>
      </c>
      <c r="J117" s="283"/>
    </row>
    <row r="118" spans="1:10" ht="15.75">
      <c r="A118" s="429"/>
      <c r="B118" s="429"/>
      <c r="C118" s="264" t="s">
        <v>109</v>
      </c>
      <c r="D118" s="264" t="s">
        <v>208</v>
      </c>
      <c r="E118" s="256"/>
      <c r="F118" s="256"/>
      <c r="G118" s="256"/>
      <c r="H118" s="285"/>
      <c r="I118" s="312"/>
      <c r="J118" s="283"/>
    </row>
    <row r="119" spans="1:10" ht="15.75">
      <c r="A119" s="429"/>
      <c r="B119" s="429"/>
      <c r="C119" s="264"/>
      <c r="D119" s="264"/>
      <c r="E119" s="256"/>
      <c r="F119" s="256"/>
      <c r="G119" s="256"/>
      <c r="H119" s="285"/>
      <c r="I119" s="278"/>
      <c r="J119" s="283"/>
    </row>
    <row r="120" spans="1:10" ht="15.75">
      <c r="A120" s="429"/>
      <c r="B120" s="429"/>
      <c r="C120" s="264"/>
      <c r="D120" s="264"/>
      <c r="E120" s="256"/>
      <c r="F120" s="256"/>
      <c r="G120" s="256"/>
      <c r="H120" s="285"/>
      <c r="I120" s="278"/>
      <c r="J120" s="283"/>
    </row>
    <row r="121" spans="1:10" ht="15.75">
      <c r="A121" s="429"/>
      <c r="B121" s="429"/>
      <c r="C121" s="264"/>
      <c r="D121" s="264"/>
      <c r="E121" s="256"/>
      <c r="F121" s="256"/>
      <c r="G121" s="256"/>
      <c r="H121" s="285"/>
      <c r="I121" s="278"/>
      <c r="J121" s="283"/>
    </row>
    <row r="122" spans="1:10" ht="15.75">
      <c r="A122" s="429"/>
      <c r="B122" s="429"/>
      <c r="C122" s="264"/>
      <c r="D122" s="264"/>
      <c r="E122" s="256"/>
      <c r="F122" s="256"/>
      <c r="G122" s="256"/>
      <c r="H122" s="285"/>
      <c r="I122" s="278"/>
      <c r="J122" s="283"/>
    </row>
    <row r="123" spans="1:10" ht="15.75">
      <c r="A123" s="429"/>
      <c r="B123" s="429"/>
      <c r="C123" s="264"/>
      <c r="D123" s="264"/>
      <c r="E123" s="256"/>
      <c r="F123" s="256"/>
      <c r="G123" s="256"/>
      <c r="H123" s="285"/>
      <c r="I123" s="278"/>
      <c r="J123" s="283"/>
    </row>
    <row r="124" spans="1:10" ht="15.75">
      <c r="A124" s="429"/>
      <c r="B124" s="429"/>
      <c r="C124" s="264"/>
      <c r="D124" s="264"/>
      <c r="E124" s="256"/>
      <c r="F124" s="256"/>
      <c r="G124" s="256"/>
      <c r="H124" s="285"/>
      <c r="I124" s="278"/>
      <c r="J124" s="283"/>
    </row>
    <row r="125" spans="1:10" ht="15.75">
      <c r="A125" s="264" t="s">
        <v>110</v>
      </c>
      <c r="B125" s="429"/>
      <c r="C125" s="264" t="s">
        <v>110</v>
      </c>
      <c r="D125" s="264" t="s">
        <v>207</v>
      </c>
      <c r="E125" s="256">
        <v>275</v>
      </c>
      <c r="F125" s="256"/>
      <c r="G125" s="256">
        <v>275</v>
      </c>
      <c r="H125" s="285"/>
      <c r="I125" s="278"/>
      <c r="J125" s="283"/>
    </row>
    <row r="126" spans="1:10" ht="15.75">
      <c r="A126" s="264" t="s">
        <v>110</v>
      </c>
      <c r="B126" s="429"/>
      <c r="C126" s="264"/>
      <c r="D126" s="264"/>
      <c r="E126" s="256"/>
      <c r="F126" s="256"/>
      <c r="G126" s="256"/>
      <c r="H126" s="285" t="s">
        <v>696</v>
      </c>
      <c r="I126" s="258">
        <v>275</v>
      </c>
      <c r="J126" s="283"/>
    </row>
    <row r="127" spans="1:10" ht="15.75">
      <c r="A127" s="429"/>
      <c r="B127" s="429"/>
      <c r="C127" s="264" t="s">
        <v>112</v>
      </c>
      <c r="D127" s="264" t="s">
        <v>209</v>
      </c>
      <c r="E127" s="256"/>
      <c r="F127" s="256"/>
      <c r="G127" s="256"/>
      <c r="H127" s="285"/>
      <c r="I127" s="278"/>
      <c r="J127" s="283"/>
    </row>
    <row r="128" spans="1:10" ht="15.75">
      <c r="A128" s="429"/>
      <c r="B128" s="429"/>
      <c r="C128" s="279"/>
      <c r="D128" s="279"/>
      <c r="E128" s="283"/>
      <c r="F128" s="283"/>
      <c r="G128" s="283"/>
      <c r="H128" s="285"/>
      <c r="I128" s="278"/>
      <c r="J128" s="283"/>
    </row>
    <row r="129" spans="1:10" ht="15.75">
      <c r="A129" s="429"/>
      <c r="B129" s="429"/>
      <c r="C129" s="279"/>
      <c r="D129" s="279"/>
      <c r="E129" s="283"/>
      <c r="F129" s="283"/>
      <c r="G129" s="283"/>
      <c r="H129" s="285"/>
      <c r="I129" s="278"/>
      <c r="J129" s="283"/>
    </row>
    <row r="130" spans="1:10" ht="15.75">
      <c r="A130" s="429"/>
      <c r="B130" s="429"/>
      <c r="C130" s="279"/>
      <c r="D130" s="279"/>
      <c r="E130" s="283"/>
      <c r="F130" s="283"/>
      <c r="G130" s="283"/>
      <c r="H130" s="285"/>
      <c r="I130" s="278"/>
      <c r="J130" s="283"/>
    </row>
    <row r="131" spans="1:10" ht="15.75">
      <c r="A131" s="429"/>
      <c r="B131" s="429"/>
      <c r="C131" s="279"/>
      <c r="D131" s="279"/>
      <c r="E131" s="283"/>
      <c r="F131" s="283"/>
      <c r="G131" s="283"/>
      <c r="H131" s="285"/>
      <c r="I131" s="278"/>
      <c r="J131" s="283"/>
    </row>
    <row r="132" spans="1:10" ht="15.75">
      <c r="A132" s="429"/>
      <c r="B132" s="429"/>
      <c r="C132" s="264" t="s">
        <v>114</v>
      </c>
      <c r="D132" s="264" t="s">
        <v>209</v>
      </c>
      <c r="E132" s="256"/>
      <c r="F132" s="256"/>
      <c r="G132" s="256"/>
      <c r="H132" s="285"/>
      <c r="I132" s="278"/>
      <c r="J132" s="283"/>
    </row>
    <row r="133" spans="1:10" ht="15.75">
      <c r="A133" s="429"/>
      <c r="B133" s="429"/>
      <c r="C133" s="279"/>
      <c r="D133" s="279"/>
      <c r="E133" s="283"/>
      <c r="F133" s="283"/>
      <c r="G133" s="283"/>
      <c r="H133" s="285"/>
      <c r="I133" s="278"/>
      <c r="J133" s="283"/>
    </row>
    <row r="134" spans="1:10" ht="15.75">
      <c r="A134" s="429"/>
      <c r="B134" s="429"/>
      <c r="C134" s="279"/>
      <c r="D134" s="279"/>
      <c r="E134" s="283"/>
      <c r="F134" s="283"/>
      <c r="G134" s="283"/>
      <c r="H134" s="285"/>
      <c r="I134" s="278"/>
      <c r="J134" s="283"/>
    </row>
    <row r="135" spans="1:10" ht="15.75">
      <c r="A135" s="429"/>
      <c r="B135" s="429"/>
      <c r="C135" s="279"/>
      <c r="D135" s="279"/>
      <c r="E135" s="283"/>
      <c r="F135" s="283"/>
      <c r="G135" s="283"/>
      <c r="H135" s="285"/>
      <c r="I135" s="278"/>
      <c r="J135" s="283"/>
    </row>
    <row r="136" spans="1:10" ht="15.75">
      <c r="A136" s="264" t="s">
        <v>115</v>
      </c>
      <c r="B136" s="429"/>
      <c r="C136" s="264" t="s">
        <v>115</v>
      </c>
      <c r="D136" s="315" t="s">
        <v>278</v>
      </c>
      <c r="E136" s="264">
        <v>1041</v>
      </c>
      <c r="F136" s="264">
        <v>58</v>
      </c>
      <c r="G136" s="264">
        <v>1099</v>
      </c>
      <c r="H136" s="264"/>
      <c r="I136" s="264"/>
      <c r="J136" s="283"/>
    </row>
    <row r="137" spans="1:10" ht="15.75">
      <c r="A137" s="264" t="s">
        <v>115</v>
      </c>
      <c r="B137" s="429"/>
      <c r="C137" s="264"/>
      <c r="D137" s="279"/>
      <c r="E137" s="283"/>
      <c r="F137" s="283"/>
      <c r="G137" s="283"/>
      <c r="H137" s="285" t="s">
        <v>456</v>
      </c>
      <c r="I137" s="269">
        <v>158.51246821803301</v>
      </c>
      <c r="J137" s="283"/>
    </row>
    <row r="138" spans="1:10" ht="15.75">
      <c r="A138" s="264" t="s">
        <v>115</v>
      </c>
      <c r="B138" s="429"/>
      <c r="C138" s="279"/>
      <c r="D138" s="279"/>
      <c r="E138" s="283"/>
      <c r="F138" s="283"/>
      <c r="G138" s="283"/>
      <c r="H138" s="285" t="s">
        <v>458</v>
      </c>
      <c r="I138" s="269">
        <v>185.63626612785973</v>
      </c>
      <c r="J138" s="283"/>
    </row>
    <row r="139" spans="1:10" ht="15.75">
      <c r="A139" s="264" t="s">
        <v>115</v>
      </c>
      <c r="B139" s="429"/>
      <c r="C139" s="279"/>
      <c r="D139" s="279"/>
      <c r="E139" s="283"/>
      <c r="F139" s="283"/>
      <c r="G139" s="283"/>
      <c r="H139" s="285" t="s">
        <v>459</v>
      </c>
      <c r="I139" s="269">
        <v>171.64564767943676</v>
      </c>
      <c r="J139" s="283"/>
    </row>
    <row r="140" spans="1:10" ht="15.75">
      <c r="A140" s="264" t="s">
        <v>115</v>
      </c>
      <c r="B140" s="429"/>
      <c r="C140" s="279"/>
      <c r="D140" s="279"/>
      <c r="E140" s="283"/>
      <c r="F140" s="283"/>
      <c r="G140" s="283"/>
      <c r="H140" s="285" t="s">
        <v>463</v>
      </c>
      <c r="I140" s="269">
        <v>214.59910912995397</v>
      </c>
      <c r="J140" s="283"/>
    </row>
    <row r="141" spans="1:10" ht="15.75">
      <c r="A141" s="264" t="s">
        <v>115</v>
      </c>
      <c r="B141" s="429"/>
      <c r="C141" s="279"/>
      <c r="D141" s="279"/>
      <c r="E141" s="283"/>
      <c r="F141" s="283"/>
      <c r="G141" s="283"/>
      <c r="H141" s="285" t="s">
        <v>464</v>
      </c>
      <c r="I141" s="269">
        <v>200.07167359232798</v>
      </c>
      <c r="J141" s="283"/>
    </row>
    <row r="142" spans="1:10" ht="15.75">
      <c r="A142" s="264" t="s">
        <v>115</v>
      </c>
      <c r="B142" s="429"/>
      <c r="C142" s="279"/>
      <c r="D142" s="279"/>
      <c r="E142" s="283"/>
      <c r="F142" s="283"/>
      <c r="G142" s="283"/>
      <c r="H142" s="285" t="s">
        <v>466</v>
      </c>
      <c r="I142" s="269">
        <v>168.53483525238843</v>
      </c>
      <c r="J142" s="283"/>
    </row>
    <row r="143" spans="1:10" ht="15.75">
      <c r="A143" s="429"/>
      <c r="B143" s="429"/>
      <c r="C143" s="264" t="s">
        <v>123</v>
      </c>
      <c r="D143" s="264" t="e">
        <v>#N/A</v>
      </c>
      <c r="E143" s="256"/>
      <c r="F143" s="256"/>
      <c r="G143" s="256"/>
      <c r="H143" s="285"/>
      <c r="I143" s="258"/>
      <c r="J143" s="283"/>
    </row>
    <row r="144" spans="1:10" ht="15.75">
      <c r="A144" s="264" t="s">
        <v>124</v>
      </c>
      <c r="B144" s="429"/>
      <c r="C144" s="264" t="s">
        <v>124</v>
      </c>
      <c r="D144" s="316" t="s">
        <v>192</v>
      </c>
      <c r="E144" s="256">
        <v>1196</v>
      </c>
      <c r="F144" s="256">
        <v>1156</v>
      </c>
      <c r="G144" s="256">
        <v>2352</v>
      </c>
      <c r="H144" s="285"/>
      <c r="I144" s="278"/>
      <c r="J144" s="283"/>
    </row>
    <row r="145" spans="1:10" ht="15.75">
      <c r="A145" s="264" t="s">
        <v>124</v>
      </c>
      <c r="B145" s="429"/>
      <c r="C145" s="264"/>
      <c r="D145" s="264"/>
      <c r="E145" s="256"/>
      <c r="F145" s="256"/>
      <c r="G145" s="256"/>
      <c r="H145" s="285" t="s">
        <v>698</v>
      </c>
      <c r="I145" s="280">
        <v>258.72000000000003</v>
      </c>
      <c r="J145" s="283"/>
    </row>
    <row r="146" spans="1:10" ht="15.75">
      <c r="A146" s="264" t="s">
        <v>124</v>
      </c>
      <c r="B146" s="429"/>
      <c r="C146" s="264"/>
      <c r="D146" s="264"/>
      <c r="E146" s="256"/>
      <c r="F146" s="256"/>
      <c r="G146" s="256"/>
      <c r="H146" s="285" t="s">
        <v>699</v>
      </c>
      <c r="I146" s="280">
        <v>1223.04</v>
      </c>
      <c r="J146" s="283"/>
    </row>
    <row r="147" spans="1:10" ht="15.75">
      <c r="A147" s="264" t="s">
        <v>124</v>
      </c>
      <c r="B147" s="429"/>
      <c r="C147" s="264"/>
      <c r="D147" s="264"/>
      <c r="E147" s="256"/>
      <c r="F147" s="256"/>
      <c r="G147" s="256"/>
      <c r="H147" s="285" t="s">
        <v>700</v>
      </c>
      <c r="I147" s="280">
        <v>870.24</v>
      </c>
      <c r="J147" s="283"/>
    </row>
    <row r="148" spans="1:10" ht="15.75">
      <c r="A148" s="429"/>
      <c r="B148" s="429"/>
      <c r="C148" s="264" t="s">
        <v>126</v>
      </c>
      <c r="D148" s="264" t="e">
        <v>#N/A</v>
      </c>
      <c r="E148" s="256"/>
      <c r="F148" s="256"/>
      <c r="G148" s="256"/>
      <c r="H148" s="285"/>
      <c r="I148" s="278"/>
      <c r="J148" s="283"/>
    </row>
    <row r="149" spans="1:10" ht="15.75">
      <c r="A149" s="264" t="s">
        <v>128</v>
      </c>
      <c r="B149" s="429"/>
      <c r="C149" s="264" t="s">
        <v>128</v>
      </c>
      <c r="D149" s="317" t="s">
        <v>187</v>
      </c>
      <c r="E149" s="256">
        <v>600</v>
      </c>
      <c r="F149" s="256"/>
      <c r="G149" s="256">
        <v>600</v>
      </c>
      <c r="H149" s="285"/>
      <c r="I149" s="278"/>
      <c r="J149" s="283"/>
    </row>
    <row r="150" spans="1:10" ht="15.75">
      <c r="A150" s="264" t="s">
        <v>128</v>
      </c>
      <c r="B150" s="429"/>
      <c r="C150" s="264"/>
      <c r="D150" s="264"/>
      <c r="E150" s="256"/>
      <c r="F150" s="256"/>
      <c r="G150" s="256"/>
      <c r="H150" s="285" t="s">
        <v>439</v>
      </c>
      <c r="I150" s="258">
        <v>600</v>
      </c>
      <c r="J150" s="283"/>
    </row>
    <row r="151" spans="1:10" ht="15.75">
      <c r="A151" s="429"/>
      <c r="B151" s="429"/>
      <c r="C151" s="264" t="s">
        <v>130</v>
      </c>
      <c r="D151" s="264" t="e">
        <v>#N/A</v>
      </c>
      <c r="E151" s="256"/>
      <c r="F151" s="256"/>
      <c r="G151" s="256"/>
      <c r="H151" s="285"/>
      <c r="I151" s="278"/>
      <c r="J151" s="283"/>
    </row>
    <row r="152" spans="1:10" ht="15.75">
      <c r="A152" s="429"/>
      <c r="B152" s="429"/>
      <c r="C152" s="264" t="s">
        <v>131</v>
      </c>
      <c r="D152" s="264" t="e">
        <v>#N/A</v>
      </c>
      <c r="E152" s="256"/>
      <c r="F152" s="256"/>
      <c r="G152" s="256"/>
      <c r="H152" s="285"/>
      <c r="I152" s="278"/>
      <c r="J152" s="283"/>
    </row>
    <row r="153" spans="1:10" ht="15.75">
      <c r="A153" s="429"/>
      <c r="B153" s="429"/>
      <c r="C153" s="264" t="s">
        <v>132</v>
      </c>
      <c r="D153" s="264" t="e">
        <v>#N/A</v>
      </c>
      <c r="E153" s="256"/>
      <c r="F153" s="256"/>
      <c r="G153" s="256"/>
      <c r="H153" s="285"/>
      <c r="I153" s="278"/>
      <c r="J153" s="283"/>
    </row>
    <row r="154" spans="1:10" ht="15.75">
      <c r="A154" s="429"/>
      <c r="B154" s="429"/>
      <c r="C154" s="264" t="s">
        <v>133</v>
      </c>
      <c r="D154" s="318" t="s">
        <v>194</v>
      </c>
      <c r="E154" s="256"/>
      <c r="F154" s="256"/>
      <c r="G154" s="256"/>
      <c r="H154" s="285"/>
      <c r="I154" s="278"/>
      <c r="J154" s="283"/>
    </row>
    <row r="155" spans="1:10" ht="15.75">
      <c r="A155" s="429"/>
      <c r="B155" s="429"/>
      <c r="C155" s="264" t="s">
        <v>134</v>
      </c>
      <c r="D155" s="264" t="e">
        <v>#N/A</v>
      </c>
      <c r="E155" s="256"/>
      <c r="F155" s="256"/>
      <c r="G155" s="256"/>
      <c r="H155" s="285"/>
      <c r="I155" s="278"/>
      <c r="J155" s="283"/>
    </row>
    <row r="156" spans="1:10" ht="15.75">
      <c r="A156" s="318" t="s">
        <v>135</v>
      </c>
      <c r="B156" s="429"/>
      <c r="C156" s="318" t="s">
        <v>135</v>
      </c>
      <c r="D156" s="318" t="s">
        <v>192</v>
      </c>
      <c r="E156" s="256"/>
      <c r="F156" s="256"/>
      <c r="G156" s="256">
        <v>606</v>
      </c>
      <c r="H156" s="319"/>
      <c r="I156" s="320"/>
      <c r="J156" s="283"/>
    </row>
    <row r="157" spans="1:10">
      <c r="A157" s="318" t="s">
        <v>135</v>
      </c>
      <c r="B157" s="429"/>
      <c r="C157" s="318"/>
      <c r="D157" s="318"/>
      <c r="E157" s="318"/>
      <c r="F157" s="318"/>
      <c r="G157" s="318"/>
      <c r="H157" s="319" t="s">
        <v>713</v>
      </c>
      <c r="I157" s="321">
        <v>606</v>
      </c>
      <c r="J157" s="298" t="s">
        <v>714</v>
      </c>
    </row>
    <row r="158" spans="1:10" ht="15.75">
      <c r="A158" s="429"/>
      <c r="B158" s="429"/>
      <c r="C158" s="322" t="s">
        <v>210</v>
      </c>
      <c r="D158" s="322"/>
      <c r="E158" s="282">
        <v>10535</v>
      </c>
      <c r="F158" s="282">
        <v>3319</v>
      </c>
      <c r="G158" s="282">
        <v>14460</v>
      </c>
      <c r="H158" s="282"/>
      <c r="I158" s="282">
        <v>14460.000000000002</v>
      </c>
      <c r="J158" s="283"/>
    </row>
    <row r="159" spans="1:10" ht="15.75">
      <c r="A159" s="429"/>
      <c r="B159" s="429"/>
      <c r="C159" s="267" t="s">
        <v>211</v>
      </c>
      <c r="D159" s="267"/>
      <c r="E159" s="259"/>
      <c r="F159" s="259"/>
      <c r="G159" s="259"/>
      <c r="H159" s="286"/>
      <c r="I159" s="281"/>
      <c r="J159" s="286"/>
    </row>
  </sheetData>
  <mergeCells count="3">
    <mergeCell ref="B2:C2"/>
    <mergeCell ref="H5:I5"/>
    <mergeCell ref="J105:J10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F82C-23A1-457F-A8C3-245BFCC4BDE9}">
  <dimension ref="A2:E25"/>
  <sheetViews>
    <sheetView zoomScale="80" zoomScaleNormal="80" workbookViewId="0">
      <selection activeCell="D19" sqref="D19"/>
    </sheetView>
  </sheetViews>
  <sheetFormatPr defaultColWidth="9.1328125" defaultRowHeight="14.25"/>
  <cols>
    <col min="1" max="1" width="9.1328125" style="117"/>
    <col min="2" max="2" width="10.1328125" style="117" customWidth="1"/>
    <col min="3" max="3" width="11.1328125" style="117" customWidth="1"/>
    <col min="4" max="4" width="66.1328125" style="91" customWidth="1"/>
    <col min="5" max="5" width="85.265625" style="4" customWidth="1"/>
    <col min="6" max="16384" width="9.1328125" style="117"/>
  </cols>
  <sheetData>
    <row r="2" spans="1:5" ht="42.75">
      <c r="A2" s="429"/>
      <c r="B2" s="163" t="s">
        <v>8</v>
      </c>
      <c r="C2" s="221" t="s">
        <v>9</v>
      </c>
      <c r="D2" s="163" t="s">
        <v>10</v>
      </c>
      <c r="E2" s="221" t="s">
        <v>11</v>
      </c>
    </row>
    <row r="3" spans="1:5">
      <c r="A3" s="429"/>
      <c r="B3" s="528">
        <v>0.1</v>
      </c>
      <c r="C3" s="529">
        <v>0</v>
      </c>
      <c r="D3" s="528" t="s">
        <v>12</v>
      </c>
      <c r="E3" s="530" t="s">
        <v>13</v>
      </c>
    </row>
    <row r="4" spans="1:5">
      <c r="A4" s="429"/>
      <c r="B4" s="528">
        <v>0.2</v>
      </c>
      <c r="C4" s="529">
        <v>0</v>
      </c>
      <c r="D4" s="528" t="s">
        <v>14</v>
      </c>
      <c r="E4" s="530" t="s">
        <v>15</v>
      </c>
    </row>
    <row r="5" spans="1:5">
      <c r="A5" s="429"/>
      <c r="B5" s="341">
        <v>1</v>
      </c>
      <c r="C5" s="525" t="s">
        <v>16</v>
      </c>
      <c r="D5" s="21"/>
      <c r="E5" s="12" t="s">
        <v>17</v>
      </c>
    </row>
    <row r="6" spans="1:5">
      <c r="A6" s="429"/>
      <c r="B6" s="486">
        <v>2</v>
      </c>
      <c r="C6" s="526">
        <v>2</v>
      </c>
      <c r="D6" s="484"/>
      <c r="E6" s="275" t="s">
        <v>18</v>
      </c>
    </row>
    <row r="7" spans="1:5" ht="28.5">
      <c r="A7" s="429"/>
      <c r="B7" s="487"/>
      <c r="C7" s="527"/>
      <c r="D7" s="485"/>
      <c r="E7" s="5" t="s">
        <v>19</v>
      </c>
    </row>
    <row r="8" spans="1:5">
      <c r="A8" s="429"/>
      <c r="B8" s="341">
        <v>2.1</v>
      </c>
      <c r="C8" s="525">
        <v>2</v>
      </c>
      <c r="D8" s="21"/>
      <c r="E8" s="21" t="s">
        <v>20</v>
      </c>
    </row>
    <row r="9" spans="1:5">
      <c r="A9" s="429"/>
      <c r="B9" s="429"/>
      <c r="C9" s="429"/>
    </row>
    <row r="10" spans="1:5">
      <c r="A10" s="429"/>
      <c r="B10" s="429"/>
      <c r="C10" s="429"/>
    </row>
    <row r="11" spans="1:5">
      <c r="A11" s="429"/>
      <c r="B11" s="429"/>
      <c r="C11" s="429"/>
    </row>
    <row r="12" spans="1:5">
      <c r="A12" s="429"/>
      <c r="B12" s="429"/>
      <c r="C12" s="429"/>
    </row>
    <row r="13" spans="1:5">
      <c r="A13" s="429"/>
      <c r="B13" s="429"/>
      <c r="C13" s="429"/>
    </row>
    <row r="14" spans="1:5">
      <c r="A14" s="429"/>
      <c r="B14" s="429"/>
      <c r="C14" s="429"/>
    </row>
    <row r="15" spans="1:5">
      <c r="A15" s="429"/>
      <c r="B15" s="429"/>
      <c r="C15" s="429"/>
    </row>
    <row r="16" spans="1:5">
      <c r="A16" s="429"/>
      <c r="B16" s="429"/>
      <c r="C16" s="429"/>
    </row>
    <row r="17" spans="1:3">
      <c r="A17" s="429"/>
      <c r="B17" s="429"/>
      <c r="C17" s="429"/>
    </row>
    <row r="18" spans="1:3">
      <c r="A18" s="429"/>
      <c r="B18" s="429"/>
      <c r="C18" s="429"/>
    </row>
    <row r="19" spans="1:3">
      <c r="A19" s="429"/>
      <c r="B19" s="429"/>
      <c r="C19" s="429"/>
    </row>
    <row r="20" spans="1:3">
      <c r="A20" s="429"/>
      <c r="B20" s="429"/>
      <c r="C20" s="429"/>
    </row>
    <row r="21" spans="1:3">
      <c r="A21" s="429"/>
      <c r="B21" s="429"/>
      <c r="C21" s="429"/>
    </row>
    <row r="22" spans="1:3">
      <c r="A22" s="429"/>
      <c r="B22" s="429"/>
      <c r="C22" s="429"/>
    </row>
    <row r="23" spans="1:3">
      <c r="A23" s="429"/>
      <c r="B23" s="429"/>
      <c r="C23" s="429"/>
    </row>
    <row r="24" spans="1:3">
      <c r="A24" s="429"/>
      <c r="B24" s="429"/>
      <c r="C24" s="429"/>
    </row>
    <row r="25" spans="1:3">
      <c r="A25" s="429"/>
      <c r="B25" s="429"/>
      <c r="C25" s="429"/>
    </row>
  </sheetData>
  <mergeCells count="3">
    <mergeCell ref="D6:D7"/>
    <mergeCell ref="C6:C7"/>
    <mergeCell ref="B6:B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F62A-D341-434C-84CB-2AF384FAB5DC}">
  <sheetPr>
    <tabColor rgb="FF0070C0"/>
    <pageSetUpPr fitToPage="1"/>
  </sheetPr>
  <dimension ref="A1:N166"/>
  <sheetViews>
    <sheetView zoomScale="70" zoomScaleNormal="70" workbookViewId="0"/>
  </sheetViews>
  <sheetFormatPr defaultColWidth="11" defaultRowHeight="15.75"/>
  <cols>
    <col min="1" max="2" width="11" style="164"/>
    <col min="3" max="3" width="56.3984375" style="164" customWidth="1"/>
    <col min="4" max="4" width="31.3984375" style="164" bestFit="1" customWidth="1"/>
    <col min="5" max="6" width="11" style="164"/>
    <col min="7" max="7" width="12" style="164" bestFit="1" customWidth="1"/>
    <col min="8" max="8" width="21.73046875" style="164" bestFit="1" customWidth="1"/>
    <col min="9" max="9" width="13.73046875" style="164" bestFit="1" customWidth="1"/>
    <col min="10" max="10" width="30" style="164" customWidth="1"/>
    <col min="11" max="11" width="16.3984375" style="164" bestFit="1" customWidth="1"/>
    <col min="12" max="12" width="20.265625" style="164" bestFit="1" customWidth="1"/>
    <col min="13" max="13" width="14.3984375" style="164" bestFit="1" customWidth="1"/>
    <col min="14" max="14" width="25.73046875" style="164" bestFit="1" customWidth="1"/>
    <col min="15" max="16" width="20.3984375" style="164" bestFit="1" customWidth="1"/>
    <col min="17" max="17" width="20.73046875" style="164" bestFit="1" customWidth="1"/>
    <col min="18" max="18" width="12.3984375" style="164" bestFit="1" customWidth="1"/>
    <col min="19" max="19" width="13" style="164" bestFit="1" customWidth="1"/>
    <col min="20" max="16384" width="11" style="164"/>
  </cols>
  <sheetData>
    <row r="1" spans="1:10">
      <c r="A1" s="164" t="s">
        <v>715</v>
      </c>
    </row>
    <row r="2" spans="1:10">
      <c r="A2" s="429"/>
      <c r="B2" s="516" t="s">
        <v>716</v>
      </c>
      <c r="C2" s="516"/>
    </row>
    <row r="3" spans="1:10">
      <c r="A3" s="429"/>
      <c r="B3" s="429" t="s">
        <v>703</v>
      </c>
    </row>
    <row r="4" spans="1:10">
      <c r="A4" s="429"/>
      <c r="B4" s="429"/>
    </row>
    <row r="5" spans="1:10">
      <c r="A5" s="429"/>
      <c r="B5" s="429"/>
      <c r="C5" s="260" t="s">
        <v>663</v>
      </c>
      <c r="D5" s="261"/>
      <c r="E5" s="261"/>
      <c r="H5" s="522" t="s">
        <v>704</v>
      </c>
      <c r="I5" s="522"/>
    </row>
    <row r="6" spans="1:10">
      <c r="A6" s="429"/>
      <c r="B6" s="429"/>
      <c r="C6" s="262" t="s">
        <v>177</v>
      </c>
      <c r="D6" s="263" t="s">
        <v>178</v>
      </c>
      <c r="E6" s="253" t="s">
        <v>179</v>
      </c>
      <c r="F6" s="253" t="s">
        <v>182</v>
      </c>
      <c r="G6" s="253" t="s">
        <v>665</v>
      </c>
      <c r="H6" s="253" t="s">
        <v>666</v>
      </c>
      <c r="I6" s="254" t="s">
        <v>667</v>
      </c>
      <c r="J6" s="253" t="s">
        <v>705</v>
      </c>
    </row>
    <row r="7" spans="1:10" ht="16.149999999999999" customHeight="1">
      <c r="A7" s="429"/>
      <c r="B7" s="429"/>
      <c r="C7" s="264" t="s">
        <v>47</v>
      </c>
      <c r="D7" s="266" t="s">
        <v>186</v>
      </c>
      <c r="E7" s="282"/>
      <c r="F7" s="282"/>
      <c r="G7" s="282"/>
      <c r="H7" s="284"/>
      <c r="I7" s="278"/>
      <c r="J7" s="283"/>
    </row>
    <row r="8" spans="1:10">
      <c r="A8" s="429"/>
      <c r="B8" s="429"/>
      <c r="C8" s="264"/>
      <c r="D8" s="264"/>
      <c r="E8" s="256"/>
      <c r="F8" s="256"/>
      <c r="G8" s="256"/>
      <c r="H8" s="283"/>
      <c r="I8" s="278"/>
      <c r="J8" s="283"/>
    </row>
    <row r="9" spans="1:10">
      <c r="A9" s="429"/>
      <c r="B9" s="429"/>
      <c r="C9" s="264" t="s">
        <v>49</v>
      </c>
      <c r="D9" s="264" t="s">
        <v>187</v>
      </c>
      <c r="E9" s="256"/>
      <c r="F9" s="256"/>
      <c r="G9" s="256"/>
      <c r="H9" s="283"/>
      <c r="I9" s="278"/>
      <c r="J9" s="283"/>
    </row>
    <row r="10" spans="1:10">
      <c r="A10" s="429"/>
      <c r="B10" s="429"/>
      <c r="C10" s="264"/>
      <c r="D10" s="264"/>
      <c r="E10" s="256"/>
      <c r="F10" s="256"/>
      <c r="G10" s="256"/>
      <c r="H10" s="283"/>
      <c r="I10" s="278"/>
      <c r="J10" s="283"/>
    </row>
    <row r="11" spans="1:10" ht="16.149999999999999" customHeight="1">
      <c r="A11" s="429"/>
      <c r="B11" s="429"/>
      <c r="C11" s="264"/>
      <c r="D11" s="264"/>
      <c r="E11" s="256"/>
      <c r="F11" s="256"/>
      <c r="G11" s="256"/>
      <c r="H11" s="283"/>
      <c r="I11" s="278"/>
      <c r="J11" s="283"/>
    </row>
    <row r="12" spans="1:10">
      <c r="A12" s="429"/>
      <c r="B12" s="429"/>
      <c r="C12" s="264"/>
      <c r="D12" s="264"/>
      <c r="E12" s="256"/>
      <c r="F12" s="256"/>
      <c r="G12" s="256"/>
      <c r="H12" s="283"/>
      <c r="I12" s="278"/>
      <c r="J12" s="283"/>
    </row>
    <row r="13" spans="1:10">
      <c r="A13" s="429"/>
      <c r="B13" s="429"/>
      <c r="C13" s="264"/>
      <c r="D13" s="264"/>
      <c r="E13" s="256"/>
      <c r="F13" s="256"/>
      <c r="G13" s="256"/>
      <c r="H13" s="283"/>
      <c r="I13" s="278"/>
      <c r="J13" s="283"/>
    </row>
    <row r="14" spans="1:10">
      <c r="A14" s="429"/>
      <c r="B14" s="429"/>
      <c r="C14" s="264" t="s">
        <v>53</v>
      </c>
      <c r="D14" s="264" t="s">
        <v>673</v>
      </c>
      <c r="E14" s="256"/>
      <c r="F14" s="256"/>
      <c r="G14" s="256"/>
      <c r="H14" s="283"/>
      <c r="I14" s="278"/>
      <c r="J14" s="283"/>
    </row>
    <row r="15" spans="1:10">
      <c r="A15" s="429"/>
      <c r="B15" s="429"/>
      <c r="C15" s="264" t="s">
        <v>189</v>
      </c>
      <c r="D15" s="264" t="s">
        <v>190</v>
      </c>
      <c r="E15" s="256"/>
      <c r="F15" s="256"/>
      <c r="G15" s="256"/>
      <c r="H15" s="283"/>
      <c r="I15" s="278"/>
      <c r="J15" s="283"/>
    </row>
    <row r="16" spans="1:10">
      <c r="A16" s="429"/>
      <c r="B16" s="429"/>
      <c r="C16" s="264"/>
      <c r="D16" s="264"/>
      <c r="E16" s="256"/>
      <c r="F16" s="256"/>
      <c r="G16" s="256"/>
      <c r="H16" s="283"/>
      <c r="I16" s="278"/>
      <c r="J16" s="283"/>
    </row>
    <row r="17" spans="1:10">
      <c r="A17" s="429"/>
      <c r="B17" s="429"/>
      <c r="C17" s="264" t="s">
        <v>55</v>
      </c>
      <c r="D17" s="264"/>
      <c r="E17" s="256"/>
      <c r="F17" s="256"/>
      <c r="G17" s="256"/>
      <c r="H17" s="283"/>
      <c r="I17" s="278"/>
      <c r="J17" s="283"/>
    </row>
    <row r="18" spans="1:10">
      <c r="A18" s="429"/>
      <c r="B18" s="429"/>
      <c r="C18" s="264" t="s">
        <v>56</v>
      </c>
      <c r="D18" s="264" t="s">
        <v>675</v>
      </c>
      <c r="E18" s="256"/>
      <c r="F18" s="256"/>
      <c r="G18" s="256"/>
      <c r="H18" s="283"/>
      <c r="I18" s="278"/>
      <c r="J18" s="283"/>
    </row>
    <row r="19" spans="1:10">
      <c r="A19" s="429"/>
      <c r="B19" s="429"/>
      <c r="C19" s="264" t="s">
        <v>57</v>
      </c>
      <c r="D19" s="264" t="s">
        <v>676</v>
      </c>
      <c r="E19" s="256"/>
      <c r="F19" s="256"/>
      <c r="G19" s="256"/>
      <c r="H19" s="283"/>
      <c r="I19" s="278"/>
      <c r="J19" s="283"/>
    </row>
    <row r="20" spans="1:10">
      <c r="A20" s="429"/>
      <c r="B20" s="429"/>
      <c r="C20" s="264" t="s">
        <v>58</v>
      </c>
      <c r="D20" s="264" t="s">
        <v>677</v>
      </c>
      <c r="E20" s="256"/>
      <c r="F20" s="256"/>
      <c r="G20" s="256"/>
      <c r="H20" s="283"/>
      <c r="I20" s="278"/>
      <c r="J20" s="283"/>
    </row>
    <row r="21" spans="1:10">
      <c r="A21" s="264" t="s">
        <v>60</v>
      </c>
      <c r="B21" s="429"/>
      <c r="C21" s="264" t="s">
        <v>60</v>
      </c>
      <c r="D21" s="264" t="s">
        <v>195</v>
      </c>
      <c r="E21" s="256">
        <v>287</v>
      </c>
      <c r="F21" s="256"/>
      <c r="G21" s="256">
        <f>SUM(D21:F21)</f>
        <v>287</v>
      </c>
      <c r="H21" s="285"/>
      <c r="I21" s="278"/>
      <c r="J21" s="283"/>
    </row>
    <row r="22" spans="1:10">
      <c r="A22" s="264" t="s">
        <v>60</v>
      </c>
      <c r="B22" s="429"/>
      <c r="C22" s="264"/>
      <c r="D22" s="264"/>
      <c r="E22" s="256"/>
      <c r="F22" s="256"/>
      <c r="G22" s="256"/>
      <c r="H22" s="285" t="s">
        <v>481</v>
      </c>
      <c r="I22" s="258">
        <v>287</v>
      </c>
      <c r="J22" s="283"/>
    </row>
    <row r="23" spans="1:10">
      <c r="A23" s="429"/>
      <c r="B23" s="429"/>
      <c r="C23" s="264"/>
      <c r="D23" s="264"/>
      <c r="E23" s="256"/>
      <c r="F23" s="256"/>
      <c r="G23" s="256"/>
      <c r="H23" s="285"/>
      <c r="I23" s="278"/>
      <c r="J23" s="283"/>
    </row>
    <row r="24" spans="1:10">
      <c r="A24" s="429"/>
      <c r="B24" s="429"/>
      <c r="C24" s="264"/>
      <c r="D24" s="264"/>
      <c r="E24" s="256"/>
      <c r="F24" s="256"/>
      <c r="G24" s="256"/>
      <c r="H24" s="285"/>
      <c r="I24" s="278"/>
      <c r="J24" s="283"/>
    </row>
    <row r="25" spans="1:10">
      <c r="A25" s="264" t="s">
        <v>62</v>
      </c>
      <c r="B25" s="429"/>
      <c r="C25" s="264" t="s">
        <v>62</v>
      </c>
      <c r="D25" s="264" t="s">
        <v>196</v>
      </c>
      <c r="E25" s="256"/>
      <c r="F25" s="256"/>
      <c r="G25" s="256"/>
      <c r="H25" s="285"/>
      <c r="I25" s="278"/>
      <c r="J25" s="283"/>
    </row>
    <row r="26" spans="1:10" ht="27">
      <c r="A26" s="264" t="s">
        <v>63</v>
      </c>
      <c r="B26" s="429"/>
      <c r="C26" s="264" t="s">
        <v>63</v>
      </c>
      <c r="D26" s="391" t="s">
        <v>717</v>
      </c>
      <c r="E26" s="256">
        <v>173</v>
      </c>
      <c r="F26" s="256"/>
      <c r="G26" s="256">
        <f>SUM(D26:F26)</f>
        <v>173</v>
      </c>
      <c r="H26" s="285"/>
      <c r="I26" s="278"/>
      <c r="J26" s="392" t="s">
        <v>707</v>
      </c>
    </row>
    <row r="27" spans="1:10" ht="17.100000000000001" customHeight="1">
      <c r="A27" s="264" t="s">
        <v>63</v>
      </c>
      <c r="B27" s="429"/>
      <c r="C27" s="264"/>
      <c r="D27" s="264"/>
      <c r="E27" s="256"/>
      <c r="F27" s="256"/>
      <c r="G27" s="256"/>
      <c r="H27" s="285" t="s">
        <v>706</v>
      </c>
      <c r="I27" s="257">
        <v>173</v>
      </c>
      <c r="J27" s="283"/>
    </row>
    <row r="28" spans="1:10" ht="17.100000000000001" customHeight="1">
      <c r="A28" s="429"/>
      <c r="B28" s="429"/>
      <c r="C28" s="264"/>
      <c r="D28" s="264"/>
      <c r="E28" s="256"/>
      <c r="F28" s="256"/>
      <c r="G28" s="256"/>
      <c r="H28" s="285"/>
      <c r="I28" s="257"/>
      <c r="J28" s="283"/>
    </row>
    <row r="29" spans="1:10">
      <c r="A29" s="429"/>
      <c r="B29" s="429"/>
      <c r="C29" s="264" t="s">
        <v>66</v>
      </c>
      <c r="D29" s="264" t="s">
        <v>186</v>
      </c>
      <c r="E29" s="256"/>
      <c r="F29" s="256"/>
      <c r="G29" s="256"/>
      <c r="H29" s="285"/>
      <c r="I29" s="278"/>
      <c r="J29" s="283"/>
    </row>
    <row r="30" spans="1:10">
      <c r="A30" s="264" t="s">
        <v>67</v>
      </c>
      <c r="B30" s="429"/>
      <c r="C30" s="264" t="s">
        <v>67</v>
      </c>
      <c r="D30" s="264" t="s">
        <v>187</v>
      </c>
      <c r="E30" s="256"/>
      <c r="F30" s="256">
        <v>548</v>
      </c>
      <c r="G30" s="256">
        <f>SUM(D30:F30)</f>
        <v>548</v>
      </c>
      <c r="H30" s="285"/>
      <c r="I30" s="278"/>
      <c r="J30" s="283"/>
    </row>
    <row r="31" spans="1:10">
      <c r="A31" s="264" t="s">
        <v>67</v>
      </c>
      <c r="B31" s="429"/>
      <c r="C31" s="264"/>
      <c r="D31" s="264"/>
      <c r="E31" s="256"/>
      <c r="F31" s="256"/>
      <c r="G31" s="256"/>
      <c r="H31" s="285" t="s">
        <v>440</v>
      </c>
      <c r="I31" s="255">
        <v>332</v>
      </c>
      <c r="J31" s="283"/>
    </row>
    <row r="32" spans="1:10">
      <c r="A32" s="264" t="s">
        <v>67</v>
      </c>
      <c r="B32" s="429"/>
      <c r="C32" s="264"/>
      <c r="D32" s="264"/>
      <c r="E32" s="256"/>
      <c r="F32" s="256"/>
      <c r="G32" s="256"/>
      <c r="H32" s="285" t="s">
        <v>441</v>
      </c>
      <c r="I32" s="255">
        <v>216</v>
      </c>
      <c r="J32" s="283"/>
    </row>
    <row r="33" spans="1:10">
      <c r="A33" s="429"/>
      <c r="B33" s="429"/>
      <c r="C33" s="264"/>
      <c r="D33" s="264"/>
      <c r="E33" s="256"/>
      <c r="F33" s="256"/>
      <c r="G33" s="256"/>
      <c r="H33" s="283"/>
      <c r="I33" s="312"/>
      <c r="J33" s="283"/>
    </row>
    <row r="34" spans="1:10">
      <c r="A34" s="429"/>
      <c r="B34" s="429"/>
      <c r="C34" s="264" t="s">
        <v>70</v>
      </c>
      <c r="D34" s="264" t="s">
        <v>187</v>
      </c>
      <c r="E34" s="256"/>
      <c r="F34" s="256"/>
      <c r="G34" s="256"/>
      <c r="H34" s="285"/>
      <c r="I34" s="278"/>
      <c r="J34" s="283"/>
    </row>
    <row r="35" spans="1:10">
      <c r="A35" s="429"/>
      <c r="B35" s="429"/>
      <c r="C35" s="264" t="s">
        <v>71</v>
      </c>
      <c r="D35" s="264" t="s">
        <v>197</v>
      </c>
      <c r="E35" s="256"/>
      <c r="F35" s="256"/>
      <c r="G35" s="256"/>
      <c r="H35" s="285"/>
      <c r="I35" s="278"/>
      <c r="J35" s="283"/>
    </row>
    <row r="36" spans="1:10">
      <c r="A36" s="264" t="s">
        <v>72</v>
      </c>
      <c r="B36" s="429"/>
      <c r="C36" s="264" t="s">
        <v>72</v>
      </c>
      <c r="D36" s="264" t="s">
        <v>198</v>
      </c>
      <c r="E36" s="256"/>
      <c r="F36" s="256">
        <v>34</v>
      </c>
      <c r="G36" s="256">
        <f>SUM(D36:F36)</f>
        <v>34</v>
      </c>
      <c r="H36" s="285"/>
      <c r="I36" s="278"/>
      <c r="J36" s="283"/>
    </row>
    <row r="37" spans="1:10">
      <c r="A37" s="264" t="s">
        <v>72</v>
      </c>
      <c r="B37" s="429"/>
      <c r="C37" s="264"/>
      <c r="D37" s="264"/>
      <c r="E37" s="256"/>
      <c r="F37" s="256"/>
      <c r="G37" s="256"/>
      <c r="H37" s="285" t="s">
        <v>708</v>
      </c>
      <c r="I37" s="255">
        <v>34</v>
      </c>
      <c r="J37" s="283"/>
    </row>
    <row r="38" spans="1:10">
      <c r="A38" s="264" t="s">
        <v>73</v>
      </c>
      <c r="B38" s="429"/>
      <c r="C38" s="264" t="s">
        <v>73</v>
      </c>
      <c r="D38" s="264" t="s">
        <v>188</v>
      </c>
      <c r="E38" s="256">
        <v>97</v>
      </c>
      <c r="F38" s="256"/>
      <c r="G38" s="256">
        <f>SUM(D38:F38)</f>
        <v>97</v>
      </c>
      <c r="H38" s="285"/>
      <c r="I38" s="278"/>
      <c r="J38" s="283"/>
    </row>
    <row r="39" spans="1:10" ht="16.149999999999999" customHeight="1">
      <c r="A39" s="264" t="s">
        <v>73</v>
      </c>
      <c r="B39" s="429"/>
      <c r="C39" s="264"/>
      <c r="D39" s="264"/>
      <c r="E39" s="256"/>
      <c r="F39" s="256"/>
      <c r="G39" s="256"/>
      <c r="H39" s="285" t="s">
        <v>325</v>
      </c>
      <c r="I39" s="255">
        <v>43</v>
      </c>
      <c r="J39" s="283"/>
    </row>
    <row r="40" spans="1:10">
      <c r="A40" s="264" t="s">
        <v>73</v>
      </c>
      <c r="B40" s="429"/>
      <c r="C40" s="264"/>
      <c r="D40" s="264"/>
      <c r="E40" s="256"/>
      <c r="F40" s="256"/>
      <c r="G40" s="256"/>
      <c r="H40" s="285" t="s">
        <v>326</v>
      </c>
      <c r="I40" s="255">
        <v>54</v>
      </c>
      <c r="J40" s="283"/>
    </row>
    <row r="41" spans="1:10">
      <c r="A41" s="429"/>
      <c r="B41" s="429"/>
      <c r="C41" s="264"/>
      <c r="D41" s="264"/>
      <c r="E41" s="256"/>
      <c r="F41" s="256"/>
      <c r="G41" s="256"/>
      <c r="H41" s="285"/>
      <c r="I41" s="278"/>
      <c r="J41" s="283"/>
    </row>
    <row r="42" spans="1:10">
      <c r="A42" s="429"/>
      <c r="B42" s="429"/>
      <c r="C42" s="264"/>
      <c r="D42" s="264"/>
      <c r="E42" s="256"/>
      <c r="F42" s="256"/>
      <c r="G42" s="256"/>
      <c r="H42" s="285"/>
      <c r="I42" s="278"/>
      <c r="J42" s="283"/>
    </row>
    <row r="43" spans="1:10">
      <c r="A43" s="264" t="s">
        <v>75</v>
      </c>
      <c r="B43" s="429"/>
      <c r="C43" s="264" t="s">
        <v>75</v>
      </c>
      <c r="D43" s="264" t="s">
        <v>199</v>
      </c>
      <c r="E43" s="277">
        <v>97</v>
      </c>
      <c r="F43" s="277">
        <v>145</v>
      </c>
      <c r="G43" s="277">
        <f>SUM(E43:F43)</f>
        <v>242</v>
      </c>
      <c r="H43" s="285"/>
      <c r="I43" s="278"/>
      <c r="J43" s="392" t="s">
        <v>718</v>
      </c>
    </row>
    <row r="44" spans="1:10">
      <c r="A44" s="264" t="s">
        <v>75</v>
      </c>
      <c r="B44" s="429"/>
      <c r="C44" s="279"/>
      <c r="D44" s="279"/>
      <c r="E44" s="283"/>
      <c r="F44" s="283"/>
      <c r="G44" s="283"/>
      <c r="H44" s="285" t="s">
        <v>471</v>
      </c>
      <c r="I44" s="257">
        <v>50</v>
      </c>
      <c r="J44" s="299"/>
    </row>
    <row r="45" spans="1:10">
      <c r="A45" s="264" t="s">
        <v>75</v>
      </c>
      <c r="B45" s="429"/>
      <c r="C45" s="279"/>
      <c r="D45" s="279"/>
      <c r="E45" s="283"/>
      <c r="F45" s="283"/>
      <c r="G45" s="283"/>
      <c r="H45" s="285" t="s">
        <v>474</v>
      </c>
      <c r="I45" s="257">
        <v>48</v>
      </c>
      <c r="J45" s="283"/>
    </row>
    <row r="46" spans="1:10">
      <c r="A46" s="264" t="s">
        <v>75</v>
      </c>
      <c r="B46" s="429"/>
      <c r="C46" s="279"/>
      <c r="D46" s="279"/>
      <c r="E46" s="283"/>
      <c r="F46" s="283"/>
      <c r="G46" s="283"/>
      <c r="H46" s="285" t="s">
        <v>475</v>
      </c>
      <c r="I46" s="257">
        <v>50</v>
      </c>
      <c r="J46" s="283"/>
    </row>
    <row r="47" spans="1:10">
      <c r="A47" s="264" t="s">
        <v>75</v>
      </c>
      <c r="B47" s="429"/>
      <c r="C47" s="279"/>
      <c r="D47" s="279"/>
      <c r="E47" s="283"/>
      <c r="F47" s="283"/>
      <c r="G47" s="283"/>
      <c r="H47" s="285" t="s">
        <v>476</v>
      </c>
      <c r="I47" s="257">
        <v>50</v>
      </c>
      <c r="J47" s="283"/>
    </row>
    <row r="48" spans="1:10">
      <c r="A48" s="264" t="s">
        <v>75</v>
      </c>
      <c r="B48" s="429"/>
      <c r="C48" s="279"/>
      <c r="D48" s="279"/>
      <c r="E48" s="283"/>
      <c r="F48" s="283"/>
      <c r="G48" s="283"/>
      <c r="H48" s="285" t="s">
        <v>477</v>
      </c>
      <c r="I48" s="257">
        <v>45</v>
      </c>
      <c r="J48" s="283"/>
    </row>
    <row r="49" spans="1:10">
      <c r="A49" s="264" t="s">
        <v>76</v>
      </c>
      <c r="B49" s="429"/>
      <c r="C49" s="264" t="s">
        <v>76</v>
      </c>
      <c r="D49" s="264" t="s">
        <v>199</v>
      </c>
      <c r="E49" s="256">
        <v>60</v>
      </c>
      <c r="F49" s="256"/>
      <c r="G49" s="256">
        <f>SUM(D49:F49)</f>
        <v>60</v>
      </c>
      <c r="H49" s="285"/>
      <c r="I49" s="312"/>
      <c r="J49" s="283"/>
    </row>
    <row r="50" spans="1:10" ht="46.15" customHeight="1">
      <c r="A50" s="264" t="s">
        <v>76</v>
      </c>
      <c r="B50" s="429"/>
      <c r="C50" s="264"/>
      <c r="D50" s="264"/>
      <c r="E50" s="256"/>
      <c r="F50" s="256"/>
      <c r="G50" s="283"/>
      <c r="H50" s="287" t="s">
        <v>719</v>
      </c>
      <c r="I50" s="288">
        <v>60</v>
      </c>
      <c r="J50" s="392" t="s">
        <v>720</v>
      </c>
    </row>
    <row r="51" spans="1:10">
      <c r="A51" s="429"/>
      <c r="B51" s="429"/>
      <c r="C51" s="264" t="s">
        <v>77</v>
      </c>
      <c r="D51" s="264" t="s">
        <v>200</v>
      </c>
      <c r="E51" s="256"/>
      <c r="F51" s="256"/>
      <c r="G51" s="256"/>
      <c r="H51" s="283"/>
      <c r="I51" s="278"/>
      <c r="J51" s="299"/>
    </row>
    <row r="52" spans="1:10">
      <c r="A52" s="429"/>
      <c r="B52" s="429"/>
      <c r="C52" s="264"/>
      <c r="D52" s="264"/>
      <c r="E52" s="256"/>
      <c r="F52" s="256"/>
      <c r="G52" s="256"/>
      <c r="H52" s="283"/>
      <c r="I52" s="278"/>
      <c r="J52" s="299"/>
    </row>
    <row r="53" spans="1:10">
      <c r="A53" s="429"/>
      <c r="B53" s="429"/>
      <c r="C53" s="264"/>
      <c r="D53" s="264"/>
      <c r="E53" s="256"/>
      <c r="F53" s="256"/>
      <c r="G53" s="256"/>
      <c r="H53" s="283"/>
      <c r="I53" s="278"/>
      <c r="J53" s="283"/>
    </row>
    <row r="54" spans="1:10">
      <c r="A54" s="429"/>
      <c r="B54" s="429"/>
      <c r="C54" s="264" t="s">
        <v>78</v>
      </c>
      <c r="D54" s="264" t="s">
        <v>200</v>
      </c>
      <c r="E54" s="256"/>
      <c r="F54" s="256"/>
      <c r="G54" s="256"/>
      <c r="H54" s="283"/>
      <c r="I54" s="278"/>
      <c r="J54" s="283"/>
    </row>
    <row r="55" spans="1:10">
      <c r="A55" s="429"/>
      <c r="B55" s="429"/>
      <c r="C55" s="264"/>
      <c r="D55" s="264"/>
      <c r="E55" s="256"/>
      <c r="F55" s="256"/>
      <c r="G55" s="256"/>
      <c r="H55" s="283"/>
      <c r="I55" s="278"/>
      <c r="J55" s="283"/>
    </row>
    <row r="56" spans="1:10">
      <c r="A56" s="264" t="s">
        <v>79</v>
      </c>
      <c r="B56" s="429"/>
      <c r="C56" s="264" t="s">
        <v>79</v>
      </c>
      <c r="D56" s="264"/>
      <c r="E56" s="256">
        <v>248</v>
      </c>
      <c r="F56" s="256"/>
      <c r="G56" s="256">
        <f>SUM(D56:F56)</f>
        <v>248</v>
      </c>
      <c r="H56" s="283"/>
      <c r="I56" s="278"/>
      <c r="J56" s="283"/>
    </row>
    <row r="57" spans="1:10">
      <c r="A57" s="264" t="s">
        <v>79</v>
      </c>
      <c r="B57" s="429"/>
      <c r="C57" s="264"/>
      <c r="D57" s="264"/>
      <c r="E57" s="256"/>
      <c r="F57" s="256"/>
      <c r="G57" s="256"/>
      <c r="H57" s="285" t="s">
        <v>512</v>
      </c>
      <c r="I57" s="321">
        <v>83</v>
      </c>
      <c r="J57" s="283"/>
    </row>
    <row r="58" spans="1:10">
      <c r="A58" s="264" t="s">
        <v>79</v>
      </c>
      <c r="B58" s="429"/>
      <c r="C58" s="264"/>
      <c r="D58" s="264"/>
      <c r="E58" s="256"/>
      <c r="F58" s="256"/>
      <c r="G58" s="256"/>
      <c r="H58" s="285" t="s">
        <v>710</v>
      </c>
      <c r="I58" s="321">
        <v>165</v>
      </c>
      <c r="J58" s="283"/>
    </row>
    <row r="59" spans="1:10">
      <c r="A59" s="264" t="s">
        <v>81</v>
      </c>
      <c r="B59" s="429"/>
      <c r="C59" s="264" t="s">
        <v>81</v>
      </c>
      <c r="D59" s="264" t="s">
        <v>201</v>
      </c>
      <c r="E59" s="256">
        <v>300</v>
      </c>
      <c r="F59" s="256"/>
      <c r="G59" s="256">
        <f>SUM(D59:F59)</f>
        <v>300</v>
      </c>
      <c r="H59" s="283"/>
      <c r="I59" s="278"/>
      <c r="J59" s="283"/>
    </row>
    <row r="60" spans="1:10">
      <c r="A60" s="264" t="s">
        <v>81</v>
      </c>
      <c r="B60" s="429"/>
      <c r="C60" s="264"/>
      <c r="D60" s="264"/>
      <c r="E60" s="256"/>
      <c r="F60" s="256"/>
      <c r="G60" s="256"/>
      <c r="H60" s="285" t="s">
        <v>331</v>
      </c>
      <c r="I60" s="258">
        <v>215</v>
      </c>
      <c r="J60" s="283"/>
    </row>
    <row r="61" spans="1:10">
      <c r="A61" s="264" t="s">
        <v>81</v>
      </c>
      <c r="B61" s="429"/>
      <c r="C61" s="264"/>
      <c r="D61" s="264"/>
      <c r="E61" s="256"/>
      <c r="F61" s="256"/>
      <c r="G61" s="256"/>
      <c r="H61" s="285" t="s">
        <v>330</v>
      </c>
      <c r="I61" s="258">
        <v>85</v>
      </c>
      <c r="J61" s="283"/>
    </row>
    <row r="62" spans="1:10">
      <c r="A62" s="429"/>
      <c r="B62" s="429"/>
      <c r="C62" s="264" t="s">
        <v>82</v>
      </c>
      <c r="D62" s="264" t="s">
        <v>190</v>
      </c>
      <c r="E62" s="256"/>
      <c r="F62" s="256"/>
      <c r="G62" s="256"/>
      <c r="H62" s="283"/>
      <c r="I62" s="278"/>
      <c r="J62" s="283"/>
    </row>
    <row r="63" spans="1:10" ht="27">
      <c r="A63" s="264" t="s">
        <v>83</v>
      </c>
      <c r="B63" s="429"/>
      <c r="C63" s="264" t="s">
        <v>83</v>
      </c>
      <c r="D63" s="391" t="s">
        <v>721</v>
      </c>
      <c r="E63" s="256">
        <v>866</v>
      </c>
      <c r="F63" s="256"/>
      <c r="G63" s="256">
        <f>SUM(D63:F63)</f>
        <v>866</v>
      </c>
      <c r="H63" s="283"/>
      <c r="I63" s="278"/>
      <c r="J63" s="392" t="s">
        <v>722</v>
      </c>
    </row>
    <row r="64" spans="1:10">
      <c r="A64" s="264" t="s">
        <v>83</v>
      </c>
      <c r="B64" s="429"/>
      <c r="C64" s="264"/>
      <c r="D64" s="264"/>
      <c r="E64" s="256"/>
      <c r="F64" s="256"/>
      <c r="G64" s="256"/>
      <c r="H64" s="285" t="s">
        <v>374</v>
      </c>
      <c r="I64" s="321">
        <v>400</v>
      </c>
      <c r="J64" s="283"/>
    </row>
    <row r="65" spans="1:10">
      <c r="A65" s="264" t="s">
        <v>83</v>
      </c>
      <c r="B65" s="429"/>
      <c r="C65" s="264"/>
      <c r="D65" s="264"/>
      <c r="E65" s="256"/>
      <c r="F65" s="256"/>
      <c r="G65" s="256"/>
      <c r="H65" s="285" t="s">
        <v>373</v>
      </c>
      <c r="I65" s="321">
        <v>94</v>
      </c>
      <c r="J65" s="283"/>
    </row>
    <row r="66" spans="1:10">
      <c r="A66" s="264" t="s">
        <v>83</v>
      </c>
      <c r="B66" s="429"/>
      <c r="C66" s="264"/>
      <c r="D66" s="264"/>
      <c r="E66" s="256"/>
      <c r="F66" s="256"/>
      <c r="G66" s="256"/>
      <c r="H66" s="285" t="s">
        <v>381</v>
      </c>
      <c r="I66" s="321">
        <v>201</v>
      </c>
      <c r="J66" s="283"/>
    </row>
    <row r="67" spans="1:10">
      <c r="A67" s="264" t="s">
        <v>83</v>
      </c>
      <c r="B67" s="429"/>
      <c r="C67" s="264"/>
      <c r="D67" s="264"/>
      <c r="E67" s="256"/>
      <c r="F67" s="256"/>
      <c r="G67" s="256"/>
      <c r="H67" s="285" t="s">
        <v>379</v>
      </c>
      <c r="I67" s="321">
        <v>171</v>
      </c>
      <c r="J67" s="283"/>
    </row>
    <row r="68" spans="1:10">
      <c r="A68" s="429"/>
      <c r="B68" s="429"/>
      <c r="C68" s="264" t="s">
        <v>86</v>
      </c>
      <c r="D68" s="264" t="s">
        <v>202</v>
      </c>
      <c r="E68" s="256"/>
      <c r="F68" s="256"/>
      <c r="G68" s="256"/>
      <c r="H68" s="283"/>
      <c r="I68" s="278"/>
      <c r="J68" s="283"/>
    </row>
    <row r="69" spans="1:10">
      <c r="A69" s="264" t="s">
        <v>87</v>
      </c>
      <c r="B69" s="429"/>
      <c r="C69" s="264" t="s">
        <v>87</v>
      </c>
      <c r="D69" s="316" t="s">
        <v>192</v>
      </c>
      <c r="E69" s="277"/>
      <c r="F69" s="277"/>
      <c r="G69" s="277">
        <f>SUM(E69:F69)</f>
        <v>0</v>
      </c>
      <c r="H69" s="283"/>
      <c r="I69" s="278"/>
      <c r="J69" s="392" t="s">
        <v>718</v>
      </c>
    </row>
    <row r="70" spans="1:10">
      <c r="A70" s="264" t="s">
        <v>87</v>
      </c>
      <c r="B70" s="429"/>
      <c r="C70" s="264"/>
      <c r="D70" s="264"/>
      <c r="E70" s="256"/>
      <c r="F70" s="256"/>
      <c r="G70" s="256"/>
      <c r="H70" s="285" t="s">
        <v>444</v>
      </c>
      <c r="I70" s="258"/>
      <c r="J70" s="283"/>
    </row>
    <row r="71" spans="1:10">
      <c r="A71" s="264" t="s">
        <v>87</v>
      </c>
      <c r="B71" s="429"/>
      <c r="C71" s="264"/>
      <c r="D71" s="264"/>
      <c r="E71" s="256"/>
      <c r="F71" s="256"/>
      <c r="G71" s="256"/>
      <c r="H71" s="285" t="s">
        <v>443</v>
      </c>
      <c r="I71" s="258"/>
      <c r="J71" s="283"/>
    </row>
    <row r="72" spans="1:10">
      <c r="A72" s="429"/>
      <c r="B72" s="429"/>
      <c r="C72" s="264" t="s">
        <v>89</v>
      </c>
      <c r="D72" s="316" t="s">
        <v>192</v>
      </c>
      <c r="E72" s="256"/>
      <c r="F72" s="256"/>
      <c r="G72" s="256"/>
      <c r="H72" s="285"/>
      <c r="I72" s="312"/>
      <c r="J72" s="283"/>
    </row>
    <row r="73" spans="1:10">
      <c r="A73" s="429"/>
      <c r="B73" s="429"/>
      <c r="C73" s="264"/>
      <c r="D73" s="264"/>
      <c r="E73" s="256"/>
      <c r="F73" s="256"/>
      <c r="G73" s="256"/>
      <c r="H73" s="285"/>
      <c r="I73" s="278"/>
      <c r="J73" s="283"/>
    </row>
    <row r="74" spans="1:10">
      <c r="A74" s="429"/>
      <c r="B74" s="429"/>
      <c r="C74" s="264" t="s">
        <v>92</v>
      </c>
      <c r="D74" s="264" t="s">
        <v>202</v>
      </c>
      <c r="E74" s="256"/>
      <c r="F74" s="256"/>
      <c r="G74" s="256"/>
      <c r="H74" s="285"/>
      <c r="I74" s="278"/>
      <c r="J74" s="283"/>
    </row>
    <row r="75" spans="1:10">
      <c r="A75" s="429"/>
      <c r="B75" s="429"/>
      <c r="C75" s="279"/>
      <c r="D75" s="279"/>
      <c r="E75" s="283"/>
      <c r="F75" s="283"/>
      <c r="G75" s="283"/>
      <c r="H75" s="285"/>
      <c r="I75" s="278"/>
      <c r="J75" s="283"/>
    </row>
    <row r="76" spans="1:10">
      <c r="A76" s="429"/>
      <c r="B76" s="429"/>
      <c r="C76" s="279"/>
      <c r="D76" s="279"/>
      <c r="E76" s="283"/>
      <c r="F76" s="283"/>
      <c r="G76" s="283"/>
      <c r="H76" s="285"/>
      <c r="I76" s="278"/>
      <c r="J76" s="283"/>
    </row>
    <row r="77" spans="1:10">
      <c r="A77" s="429"/>
      <c r="B77" s="429"/>
      <c r="C77" s="279"/>
      <c r="D77" s="279"/>
      <c r="E77" s="283"/>
      <c r="F77" s="283"/>
      <c r="G77" s="283"/>
      <c r="H77" s="285"/>
      <c r="I77" s="278"/>
      <c r="J77" s="283"/>
    </row>
    <row r="78" spans="1:10">
      <c r="A78" s="429"/>
      <c r="B78" s="429"/>
      <c r="C78" s="279"/>
      <c r="D78" s="279"/>
      <c r="E78" s="283"/>
      <c r="F78" s="283"/>
      <c r="G78" s="283"/>
      <c r="H78" s="285"/>
      <c r="I78" s="278"/>
      <c r="J78" s="283"/>
    </row>
    <row r="79" spans="1:10">
      <c r="A79" s="429"/>
      <c r="B79" s="429"/>
      <c r="C79" s="279"/>
      <c r="D79" s="279"/>
      <c r="E79" s="283"/>
      <c r="F79" s="283"/>
      <c r="G79" s="283"/>
      <c r="H79" s="285"/>
      <c r="I79" s="278"/>
      <c r="J79" s="283"/>
    </row>
    <row r="80" spans="1:10">
      <c r="A80" s="429"/>
      <c r="B80" s="429"/>
      <c r="C80" s="279"/>
      <c r="D80" s="279"/>
      <c r="E80" s="283"/>
      <c r="F80" s="283"/>
      <c r="G80" s="283"/>
      <c r="H80" s="285"/>
      <c r="I80" s="278"/>
      <c r="J80" s="283"/>
    </row>
    <row r="81" spans="1:10">
      <c r="A81" s="429"/>
      <c r="B81" s="429"/>
      <c r="C81" s="264" t="s">
        <v>93</v>
      </c>
      <c r="D81" s="264" t="s">
        <v>202</v>
      </c>
      <c r="E81" s="256"/>
      <c r="F81" s="256"/>
      <c r="G81" s="256"/>
      <c r="H81" s="285"/>
      <c r="I81" s="278"/>
      <c r="J81" s="283"/>
    </row>
    <row r="82" spans="1:10">
      <c r="A82" s="429" t="s">
        <v>94</v>
      </c>
      <c r="B82" s="429"/>
      <c r="C82" s="264" t="s">
        <v>94</v>
      </c>
      <c r="D82" s="264" t="s">
        <v>203</v>
      </c>
      <c r="E82" s="256"/>
      <c r="F82" s="256">
        <v>330</v>
      </c>
      <c r="G82" s="256">
        <f>SUM(D82:F82)</f>
        <v>330</v>
      </c>
      <c r="H82" s="285"/>
      <c r="I82" s="278"/>
      <c r="J82" s="283"/>
    </row>
    <row r="83" spans="1:10">
      <c r="A83" s="429" t="s">
        <v>94</v>
      </c>
      <c r="B83" s="429"/>
      <c r="C83" s="431"/>
      <c r="D83" s="431"/>
      <c r="E83" s="256"/>
      <c r="F83" s="256"/>
      <c r="G83" s="256"/>
      <c r="H83" s="285" t="s">
        <v>516</v>
      </c>
      <c r="I83" s="321">
        <v>330</v>
      </c>
      <c r="J83" s="283"/>
    </row>
    <row r="84" spans="1:10">
      <c r="A84" s="429"/>
      <c r="B84" s="429"/>
      <c r="C84" s="264" t="s">
        <v>95</v>
      </c>
      <c r="D84" s="264" t="s">
        <v>203</v>
      </c>
      <c r="E84" s="256"/>
      <c r="F84" s="256"/>
      <c r="G84" s="256"/>
      <c r="H84" s="285"/>
      <c r="I84" s="278"/>
      <c r="J84" s="283"/>
    </row>
    <row r="85" spans="1:10">
      <c r="A85" s="429"/>
      <c r="B85" s="429"/>
      <c r="C85" s="279"/>
      <c r="D85" s="279"/>
      <c r="E85" s="283"/>
      <c r="F85" s="283"/>
      <c r="G85" s="283"/>
      <c r="H85" s="285"/>
      <c r="I85" s="278"/>
      <c r="J85" s="283"/>
    </row>
    <row r="86" spans="1:10">
      <c r="A86" s="429"/>
      <c r="B86" s="429"/>
      <c r="C86" s="279"/>
      <c r="D86" s="279"/>
      <c r="E86" s="283"/>
      <c r="F86" s="283"/>
      <c r="G86" s="283"/>
      <c r="H86" s="285"/>
      <c r="I86" s="278"/>
      <c r="J86" s="283"/>
    </row>
    <row r="87" spans="1:10">
      <c r="A87" s="429"/>
      <c r="B87" s="429"/>
      <c r="C87" s="279"/>
      <c r="D87" s="279"/>
      <c r="E87" s="283"/>
      <c r="F87" s="283"/>
      <c r="G87" s="283"/>
      <c r="H87" s="285"/>
      <c r="I87" s="278"/>
      <c r="J87" s="283"/>
    </row>
    <row r="88" spans="1:10">
      <c r="A88" s="429"/>
      <c r="B88" s="429"/>
      <c r="C88" s="279"/>
      <c r="D88" s="279"/>
      <c r="E88" s="283"/>
      <c r="F88" s="283"/>
      <c r="G88" s="283"/>
      <c r="H88" s="285"/>
      <c r="I88" s="278"/>
      <c r="J88" s="283"/>
    </row>
    <row r="89" spans="1:10">
      <c r="A89" s="429"/>
      <c r="B89" s="429"/>
      <c r="C89" s="279"/>
      <c r="D89" s="279"/>
      <c r="E89" s="283"/>
      <c r="F89" s="283"/>
      <c r="G89" s="283"/>
      <c r="H89" s="285"/>
      <c r="I89" s="278"/>
      <c r="J89" s="283"/>
    </row>
    <row r="90" spans="1:10">
      <c r="A90" s="429"/>
      <c r="B90" s="429"/>
      <c r="C90" s="264" t="s">
        <v>96</v>
      </c>
      <c r="D90" s="316" t="s">
        <v>193</v>
      </c>
      <c r="E90" s="283"/>
      <c r="F90" s="283"/>
      <c r="G90" s="283"/>
      <c r="H90" s="285"/>
      <c r="I90" s="278"/>
      <c r="J90" s="283"/>
    </row>
    <row r="91" spans="1:10">
      <c r="A91" s="429"/>
      <c r="B91" s="429"/>
      <c r="C91" s="279"/>
      <c r="E91" s="283"/>
      <c r="F91" s="283"/>
      <c r="G91" s="283"/>
      <c r="H91" s="285"/>
      <c r="I91" s="278"/>
      <c r="J91" s="283"/>
    </row>
    <row r="92" spans="1:10">
      <c r="A92" s="429"/>
      <c r="B92" s="429"/>
      <c r="C92" s="264" t="s">
        <v>97</v>
      </c>
      <c r="D92" s="316" t="s">
        <v>204</v>
      </c>
      <c r="E92" s="256"/>
      <c r="F92" s="256"/>
      <c r="G92" s="256"/>
      <c r="H92" s="285"/>
      <c r="I92" s="278"/>
      <c r="J92" s="283"/>
    </row>
    <row r="93" spans="1:10">
      <c r="A93" s="429"/>
      <c r="B93" s="429"/>
      <c r="C93" s="264" t="s">
        <v>98</v>
      </c>
      <c r="D93" s="316" t="s">
        <v>204</v>
      </c>
      <c r="E93" s="256"/>
      <c r="F93" s="256"/>
      <c r="G93" s="256"/>
      <c r="H93" s="285"/>
      <c r="I93" s="278"/>
      <c r="J93" s="283"/>
    </row>
    <row r="94" spans="1:10">
      <c r="A94" s="264" t="s">
        <v>99</v>
      </c>
      <c r="B94" s="429"/>
      <c r="C94" s="264" t="s">
        <v>99</v>
      </c>
      <c r="D94" s="316" t="s">
        <v>193</v>
      </c>
      <c r="E94" s="256">
        <v>542</v>
      </c>
      <c r="F94" s="256"/>
      <c r="G94" s="256">
        <f>SUM(D94:F94)</f>
        <v>542</v>
      </c>
      <c r="H94" s="285"/>
      <c r="I94" s="278"/>
      <c r="J94" s="283"/>
    </row>
    <row r="95" spans="1:10">
      <c r="A95" s="264" t="s">
        <v>99</v>
      </c>
      <c r="B95" s="429"/>
      <c r="C95" s="264"/>
      <c r="D95" s="316"/>
      <c r="E95" s="256"/>
      <c r="F95" s="256"/>
      <c r="G95" s="256"/>
      <c r="H95" s="285" t="s">
        <v>397</v>
      </c>
      <c r="I95" s="258">
        <v>227</v>
      </c>
      <c r="J95" s="283"/>
    </row>
    <row r="96" spans="1:10">
      <c r="A96" s="264" t="s">
        <v>99</v>
      </c>
      <c r="B96" s="429"/>
      <c r="C96" s="264"/>
      <c r="D96" s="264"/>
      <c r="E96" s="256"/>
      <c r="F96" s="256"/>
      <c r="G96" s="256"/>
      <c r="H96" s="285" t="s">
        <v>418</v>
      </c>
      <c r="I96" s="258">
        <v>23</v>
      </c>
      <c r="J96" s="283"/>
    </row>
    <row r="97" spans="1:10">
      <c r="A97" s="264" t="s">
        <v>99</v>
      </c>
      <c r="B97" s="429"/>
      <c r="C97" s="264"/>
      <c r="D97" s="264"/>
      <c r="E97" s="256"/>
      <c r="F97" s="256"/>
      <c r="G97" s="256"/>
      <c r="H97" s="285" t="s">
        <v>603</v>
      </c>
      <c r="I97" s="258">
        <v>171</v>
      </c>
      <c r="J97" s="283"/>
    </row>
    <row r="98" spans="1:10">
      <c r="A98" s="264" t="s">
        <v>99</v>
      </c>
      <c r="B98" s="429"/>
      <c r="C98" s="264"/>
      <c r="D98" s="264"/>
      <c r="E98" s="256"/>
      <c r="F98" s="256"/>
      <c r="G98" s="256"/>
      <c r="H98" s="285" t="s">
        <v>610</v>
      </c>
      <c r="I98" s="258">
        <v>84</v>
      </c>
      <c r="J98" s="283"/>
    </row>
    <row r="99" spans="1:10">
      <c r="A99" s="264" t="s">
        <v>99</v>
      </c>
      <c r="B99" s="429"/>
      <c r="C99" s="264"/>
      <c r="D99" s="264"/>
      <c r="E99" s="256"/>
      <c r="F99" s="256"/>
      <c r="G99" s="256"/>
      <c r="H99" s="285" t="s">
        <v>399</v>
      </c>
      <c r="I99" s="258">
        <v>37</v>
      </c>
      <c r="J99" s="283"/>
    </row>
    <row r="100" spans="1:10" ht="17.100000000000001" customHeight="1">
      <c r="A100" s="429"/>
      <c r="B100" s="429"/>
      <c r="C100" s="264" t="s">
        <v>100</v>
      </c>
      <c r="D100" s="264" t="s">
        <v>205</v>
      </c>
      <c r="E100" s="256"/>
      <c r="F100" s="256"/>
      <c r="G100" s="256">
        <f>SUM(D100:F100)</f>
        <v>0</v>
      </c>
      <c r="H100" s="285"/>
      <c r="I100" s="312"/>
      <c r="J100" s="283"/>
    </row>
    <row r="101" spans="1:10">
      <c r="A101" s="429"/>
      <c r="B101" s="429"/>
      <c r="C101" s="279"/>
      <c r="D101" s="279"/>
      <c r="E101" s="283"/>
      <c r="F101" s="283"/>
      <c r="G101" s="283"/>
      <c r="H101" s="285"/>
      <c r="I101" s="278"/>
      <c r="J101" s="283"/>
    </row>
    <row r="102" spans="1:10">
      <c r="A102" s="429"/>
      <c r="B102" s="429"/>
      <c r="C102" s="264" t="s">
        <v>102</v>
      </c>
      <c r="D102" s="264" t="s">
        <v>205</v>
      </c>
      <c r="E102" s="256"/>
      <c r="F102" s="256"/>
      <c r="G102" s="256"/>
      <c r="H102" s="285"/>
      <c r="I102" s="278"/>
      <c r="J102" s="283"/>
    </row>
    <row r="103" spans="1:10">
      <c r="A103" s="264" t="s">
        <v>103</v>
      </c>
      <c r="B103" s="429"/>
      <c r="C103" s="264" t="s">
        <v>103</v>
      </c>
      <c r="D103" s="264" t="s">
        <v>206</v>
      </c>
      <c r="E103" s="256">
        <v>862</v>
      </c>
      <c r="F103" s="256"/>
      <c r="G103" s="256">
        <v>862</v>
      </c>
      <c r="H103" s="285"/>
      <c r="I103" s="278"/>
      <c r="J103" s="283"/>
    </row>
    <row r="104" spans="1:10">
      <c r="A104" s="264" t="s">
        <v>103</v>
      </c>
      <c r="B104" s="429"/>
      <c r="C104" s="264"/>
      <c r="D104" s="264"/>
      <c r="E104" s="256"/>
      <c r="F104" s="256"/>
      <c r="G104" s="256"/>
      <c r="H104" s="285" t="s">
        <v>510</v>
      </c>
      <c r="I104" s="257">
        <v>154</v>
      </c>
      <c r="J104" s="523" t="s">
        <v>711</v>
      </c>
    </row>
    <row r="105" spans="1:10">
      <c r="A105" s="264" t="s">
        <v>103</v>
      </c>
      <c r="B105" s="429"/>
      <c r="C105" s="264"/>
      <c r="D105" s="264"/>
      <c r="E105" s="256"/>
      <c r="F105" s="256"/>
      <c r="G105" s="256"/>
      <c r="H105" s="285" t="s">
        <v>508</v>
      </c>
      <c r="I105" s="257">
        <v>119</v>
      </c>
      <c r="J105" s="524"/>
    </row>
    <row r="106" spans="1:10">
      <c r="A106" s="264" t="s">
        <v>103</v>
      </c>
      <c r="B106" s="429"/>
      <c r="C106" s="264"/>
      <c r="D106" s="264"/>
      <c r="E106" s="256"/>
      <c r="F106" s="256"/>
      <c r="G106" s="256"/>
      <c r="H106" s="285" t="s">
        <v>506</v>
      </c>
      <c r="I106" s="257">
        <v>427</v>
      </c>
      <c r="J106" s="524"/>
    </row>
    <row r="107" spans="1:10">
      <c r="A107" s="264" t="s">
        <v>103</v>
      </c>
      <c r="B107" s="429"/>
      <c r="C107" s="264"/>
      <c r="D107" s="264"/>
      <c r="E107" s="256"/>
      <c r="F107" s="256"/>
      <c r="G107" s="256"/>
      <c r="H107" s="285" t="s">
        <v>512</v>
      </c>
      <c r="I107" s="257">
        <v>54</v>
      </c>
      <c r="J107" s="298" t="s">
        <v>216</v>
      </c>
    </row>
    <row r="108" spans="1:10">
      <c r="A108" s="264" t="s">
        <v>103</v>
      </c>
      <c r="B108" s="429"/>
      <c r="C108" s="264"/>
      <c r="D108" s="264"/>
      <c r="E108" s="256"/>
      <c r="F108" s="256"/>
      <c r="G108" s="256"/>
      <c r="H108" s="285" t="s">
        <v>712</v>
      </c>
      <c r="I108" s="257">
        <v>108</v>
      </c>
      <c r="J108" s="298" t="s">
        <v>216</v>
      </c>
    </row>
    <row r="109" spans="1:10">
      <c r="A109" s="264" t="s">
        <v>103</v>
      </c>
      <c r="B109" s="429"/>
      <c r="C109" s="264"/>
      <c r="D109" s="264"/>
      <c r="E109" s="256"/>
      <c r="F109" s="256"/>
      <c r="G109" s="256"/>
      <c r="H109" s="285" t="s">
        <v>516</v>
      </c>
      <c r="I109" s="257"/>
      <c r="J109" s="283"/>
    </row>
    <row r="110" spans="1:10">
      <c r="A110" s="429"/>
      <c r="B110" s="429"/>
      <c r="C110" s="264" t="s">
        <v>105</v>
      </c>
      <c r="D110" s="264" t="s">
        <v>206</v>
      </c>
      <c r="E110" s="256"/>
      <c r="F110" s="256"/>
      <c r="G110" s="256"/>
      <c r="H110" s="285"/>
      <c r="I110" s="312"/>
      <c r="J110" s="283"/>
    </row>
    <row r="111" spans="1:10">
      <c r="A111" s="429"/>
      <c r="B111" s="429"/>
      <c r="C111" s="264" t="s">
        <v>106</v>
      </c>
      <c r="D111" s="264" t="s">
        <v>192</v>
      </c>
      <c r="E111" s="256"/>
      <c r="F111" s="256"/>
      <c r="G111" s="256"/>
      <c r="H111" s="285"/>
      <c r="I111" s="278"/>
      <c r="J111" s="283"/>
    </row>
    <row r="112" spans="1:10">
      <c r="A112" s="264" t="s">
        <v>107</v>
      </c>
      <c r="B112" s="429"/>
      <c r="C112" s="264" t="s">
        <v>107</v>
      </c>
      <c r="D112" s="264" t="s">
        <v>207</v>
      </c>
      <c r="E112" s="277">
        <v>3402</v>
      </c>
      <c r="F112" s="277">
        <v>800</v>
      </c>
      <c r="G112" s="277">
        <f>SUM(E112:F112)</f>
        <v>4202</v>
      </c>
      <c r="H112" s="285"/>
      <c r="I112" s="278"/>
      <c r="J112" s="392" t="s">
        <v>718</v>
      </c>
    </row>
    <row r="113" spans="1:10">
      <c r="A113" s="264" t="s">
        <v>107</v>
      </c>
      <c r="B113" s="429"/>
      <c r="C113" s="264"/>
      <c r="D113" s="264"/>
      <c r="E113" s="256"/>
      <c r="F113" s="256"/>
      <c r="G113" s="256"/>
      <c r="H113" s="285" t="s">
        <v>696</v>
      </c>
      <c r="I113" s="258">
        <v>1010</v>
      </c>
      <c r="J113" s="283"/>
    </row>
    <row r="114" spans="1:10">
      <c r="A114" s="264" t="s">
        <v>107</v>
      </c>
      <c r="B114" s="429"/>
      <c r="C114" s="264"/>
      <c r="D114" s="264"/>
      <c r="E114" s="256"/>
      <c r="F114" s="256"/>
      <c r="G114" s="256"/>
      <c r="H114" s="285" t="s">
        <v>501</v>
      </c>
      <c r="I114" s="258">
        <v>1119</v>
      </c>
      <c r="J114" s="283"/>
    </row>
    <row r="115" spans="1:10">
      <c r="A115" s="264" t="s">
        <v>107</v>
      </c>
      <c r="B115" s="429"/>
      <c r="C115" s="264"/>
      <c r="D115" s="264"/>
      <c r="E115" s="256"/>
      <c r="F115" s="256"/>
      <c r="G115" s="256"/>
      <c r="H115" s="285" t="s">
        <v>489</v>
      </c>
      <c r="I115" s="258">
        <v>1092</v>
      </c>
      <c r="J115" s="283"/>
    </row>
    <row r="116" spans="1:10">
      <c r="A116" s="264" t="s">
        <v>107</v>
      </c>
      <c r="B116" s="429"/>
      <c r="C116" s="264"/>
      <c r="D116" s="264"/>
      <c r="E116" s="256"/>
      <c r="F116" s="256"/>
      <c r="G116" s="256"/>
      <c r="H116" s="285" t="s">
        <v>495</v>
      </c>
      <c r="I116" s="258">
        <v>981</v>
      </c>
      <c r="J116" s="283"/>
    </row>
    <row r="117" spans="1:10">
      <c r="A117" s="429"/>
      <c r="B117" s="429"/>
      <c r="C117" s="264" t="s">
        <v>109</v>
      </c>
      <c r="D117" s="264" t="s">
        <v>208</v>
      </c>
      <c r="E117" s="256"/>
      <c r="F117" s="256"/>
      <c r="G117" s="256"/>
      <c r="H117" s="285"/>
      <c r="I117" s="312"/>
      <c r="J117" s="283"/>
    </row>
    <row r="118" spans="1:10">
      <c r="A118" s="429"/>
      <c r="B118" s="429"/>
      <c r="C118" s="264"/>
      <c r="D118" s="264"/>
      <c r="E118" s="256"/>
      <c r="F118" s="256"/>
      <c r="G118" s="256"/>
      <c r="H118" s="285"/>
      <c r="I118" s="278"/>
      <c r="J118" s="283"/>
    </row>
    <row r="119" spans="1:10">
      <c r="A119" s="429"/>
      <c r="B119" s="429"/>
      <c r="C119" s="264"/>
      <c r="D119" s="264"/>
      <c r="E119" s="256"/>
      <c r="F119" s="256"/>
      <c r="G119" s="256"/>
      <c r="H119" s="285"/>
      <c r="I119" s="278"/>
      <c r="J119" s="283"/>
    </row>
    <row r="120" spans="1:10">
      <c r="A120" s="429"/>
      <c r="B120" s="429"/>
      <c r="C120" s="264"/>
      <c r="D120" s="264"/>
      <c r="E120" s="256"/>
      <c r="F120" s="256"/>
      <c r="G120" s="256"/>
      <c r="H120" s="285"/>
      <c r="I120" s="278"/>
      <c r="J120" s="283"/>
    </row>
    <row r="121" spans="1:10">
      <c r="A121" s="429"/>
      <c r="B121" s="429"/>
      <c r="C121" s="264"/>
      <c r="D121" s="264"/>
      <c r="E121" s="256"/>
      <c r="F121" s="256"/>
      <c r="G121" s="256"/>
      <c r="H121" s="285"/>
      <c r="I121" s="278"/>
      <c r="J121" s="283"/>
    </row>
    <row r="122" spans="1:10">
      <c r="A122" s="429"/>
      <c r="B122" s="429"/>
      <c r="C122" s="264"/>
      <c r="D122" s="264"/>
      <c r="E122" s="256"/>
      <c r="F122" s="256"/>
      <c r="G122" s="256"/>
      <c r="H122" s="285"/>
      <c r="I122" s="278"/>
      <c r="J122" s="283"/>
    </row>
    <row r="123" spans="1:10">
      <c r="A123" s="429"/>
      <c r="B123" s="429"/>
      <c r="C123" s="264"/>
      <c r="D123" s="264"/>
      <c r="E123" s="256"/>
      <c r="F123" s="256"/>
      <c r="G123" s="256"/>
      <c r="H123" s="285"/>
      <c r="I123" s="278"/>
      <c r="J123" s="283"/>
    </row>
    <row r="124" spans="1:10">
      <c r="A124" s="264" t="s">
        <v>110</v>
      </c>
      <c r="B124" s="429"/>
      <c r="C124" s="264" t="s">
        <v>110</v>
      </c>
      <c r="D124" s="264" t="s">
        <v>207</v>
      </c>
      <c r="E124" s="256">
        <v>275</v>
      </c>
      <c r="F124" s="256"/>
      <c r="G124" s="256">
        <f>SUM(D124:F124)</f>
        <v>275</v>
      </c>
      <c r="H124" s="285"/>
      <c r="I124" s="278"/>
      <c r="J124" s="283"/>
    </row>
    <row r="125" spans="1:10">
      <c r="A125" s="264" t="s">
        <v>110</v>
      </c>
      <c r="B125" s="429"/>
      <c r="C125" s="264"/>
      <c r="D125" s="264"/>
      <c r="E125" s="256"/>
      <c r="F125" s="256"/>
      <c r="G125" s="256"/>
      <c r="H125" s="285" t="s">
        <v>696</v>
      </c>
      <c r="I125" s="258">
        <v>275</v>
      </c>
      <c r="J125" s="283"/>
    </row>
    <row r="126" spans="1:10">
      <c r="A126" s="429"/>
      <c r="B126" s="429"/>
      <c r="C126" s="264" t="s">
        <v>112</v>
      </c>
      <c r="D126" s="264" t="s">
        <v>209</v>
      </c>
      <c r="E126" s="256"/>
      <c r="F126" s="256"/>
      <c r="G126" s="256"/>
      <c r="H126" s="285"/>
      <c r="I126" s="278"/>
      <c r="J126" s="283"/>
    </row>
    <row r="127" spans="1:10">
      <c r="A127" s="429"/>
      <c r="B127" s="429"/>
      <c r="C127" s="279"/>
      <c r="D127" s="279"/>
      <c r="E127" s="283"/>
      <c r="F127" s="283"/>
      <c r="G127" s="283"/>
      <c r="H127" s="285"/>
      <c r="I127" s="278"/>
      <c r="J127" s="283"/>
    </row>
    <row r="128" spans="1:10">
      <c r="A128" s="429"/>
      <c r="B128" s="429"/>
      <c r="C128" s="279"/>
      <c r="D128" s="279"/>
      <c r="E128" s="283"/>
      <c r="F128" s="283"/>
      <c r="G128" s="283"/>
      <c r="H128" s="285"/>
      <c r="I128" s="278"/>
      <c r="J128" s="283"/>
    </row>
    <row r="129" spans="1:14">
      <c r="A129" s="429"/>
      <c r="B129" s="429"/>
      <c r="C129" s="279"/>
      <c r="D129" s="279"/>
      <c r="E129" s="283"/>
      <c r="F129" s="283"/>
      <c r="G129" s="283"/>
      <c r="H129" s="285"/>
      <c r="I129" s="278"/>
      <c r="J129" s="283"/>
    </row>
    <row r="130" spans="1:14">
      <c r="A130" s="429"/>
      <c r="B130" s="429"/>
      <c r="C130" s="279"/>
      <c r="D130" s="279"/>
      <c r="E130" s="283"/>
      <c r="F130" s="283"/>
      <c r="G130" s="283"/>
      <c r="H130" s="285"/>
      <c r="I130" s="278"/>
      <c r="J130" s="283"/>
    </row>
    <row r="131" spans="1:14">
      <c r="A131" s="429"/>
      <c r="B131" s="429"/>
      <c r="C131" s="264" t="s">
        <v>114</v>
      </c>
      <c r="D131" s="264" t="s">
        <v>209</v>
      </c>
      <c r="E131" s="256"/>
      <c r="F131" s="256"/>
      <c r="G131" s="256"/>
      <c r="H131" s="285"/>
      <c r="I131" s="278"/>
      <c r="J131" s="283"/>
    </row>
    <row r="132" spans="1:14">
      <c r="A132" s="429"/>
      <c r="B132" s="429"/>
      <c r="C132" s="279"/>
      <c r="D132" s="279"/>
      <c r="E132" s="283"/>
      <c r="F132" s="283"/>
      <c r="G132" s="283"/>
      <c r="H132" s="285"/>
      <c r="I132" s="278"/>
      <c r="J132" s="283"/>
    </row>
    <row r="133" spans="1:14">
      <c r="A133" s="429"/>
      <c r="B133" s="429"/>
      <c r="C133" s="279"/>
      <c r="D133" s="279"/>
      <c r="E133" s="283"/>
      <c r="F133" s="283"/>
      <c r="G133" s="283"/>
      <c r="H133" s="285"/>
      <c r="I133" s="278"/>
      <c r="J133" s="283"/>
    </row>
    <row r="134" spans="1:14">
      <c r="A134" s="429"/>
      <c r="B134" s="429"/>
      <c r="C134" s="279"/>
      <c r="D134" s="279"/>
      <c r="E134" s="283"/>
      <c r="F134" s="283"/>
      <c r="G134" s="283"/>
      <c r="H134" s="285"/>
      <c r="I134" s="278"/>
      <c r="J134" s="283"/>
    </row>
    <row r="135" spans="1:14">
      <c r="A135" s="264" t="s">
        <v>115</v>
      </c>
      <c r="B135" s="429"/>
      <c r="C135" s="264" t="s">
        <v>115</v>
      </c>
      <c r="D135" s="264" t="s">
        <v>278</v>
      </c>
      <c r="E135" s="268">
        <v>1778</v>
      </c>
      <c r="F135" s="268">
        <v>58</v>
      </c>
      <c r="G135" s="268">
        <f>SUM(E135:F135)</f>
        <v>1836</v>
      </c>
      <c r="H135" s="264"/>
      <c r="I135" s="264"/>
      <c r="J135" s="392" t="s">
        <v>718</v>
      </c>
      <c r="L135" s="164">
        <f>1836-483</f>
        <v>1353</v>
      </c>
    </row>
    <row r="136" spans="1:14">
      <c r="A136" s="264" t="s">
        <v>115</v>
      </c>
      <c r="B136" s="429"/>
      <c r="C136" s="264"/>
      <c r="D136" s="264"/>
      <c r="E136" s="283"/>
      <c r="F136" s="283"/>
      <c r="G136" s="283"/>
      <c r="H136" s="285" t="s">
        <v>456</v>
      </c>
      <c r="I136" s="269">
        <v>70</v>
      </c>
      <c r="J136" s="283"/>
    </row>
    <row r="137" spans="1:14">
      <c r="A137" s="264" t="s">
        <v>115</v>
      </c>
      <c r="B137" s="429"/>
      <c r="C137" s="279"/>
      <c r="D137" s="279"/>
      <c r="E137" s="283"/>
      <c r="F137" s="283"/>
      <c r="G137" s="283"/>
      <c r="H137" s="285" t="s">
        <v>458</v>
      </c>
      <c r="I137" s="269">
        <v>82</v>
      </c>
      <c r="J137" s="283"/>
    </row>
    <row r="138" spans="1:14">
      <c r="A138" s="264" t="s">
        <v>115</v>
      </c>
      <c r="B138" s="429"/>
      <c r="C138" s="279"/>
      <c r="D138" s="279"/>
      <c r="E138" s="283"/>
      <c r="F138" s="283"/>
      <c r="G138" s="283"/>
      <c r="H138" s="285" t="s">
        <v>459</v>
      </c>
      <c r="I138" s="269">
        <v>75</v>
      </c>
      <c r="J138" s="283"/>
    </row>
    <row r="139" spans="1:14">
      <c r="A139" s="264" t="s">
        <v>115</v>
      </c>
      <c r="B139" s="429"/>
      <c r="C139" s="279"/>
      <c r="D139" s="279"/>
      <c r="E139" s="283"/>
      <c r="F139" s="283"/>
      <c r="G139" s="283"/>
      <c r="H139" s="285" t="s">
        <v>463</v>
      </c>
      <c r="I139" s="269">
        <v>94</v>
      </c>
      <c r="J139" s="283"/>
    </row>
    <row r="140" spans="1:14">
      <c r="A140" s="264" t="s">
        <v>115</v>
      </c>
      <c r="B140" s="429"/>
      <c r="C140" s="279"/>
      <c r="D140" s="279"/>
      <c r="E140" s="283"/>
      <c r="F140" s="283"/>
      <c r="G140" s="283"/>
      <c r="H140" s="285" t="s">
        <v>464</v>
      </c>
      <c r="I140" s="269">
        <v>88</v>
      </c>
      <c r="J140" s="283"/>
      <c r="L140" s="403" t="s">
        <v>723</v>
      </c>
    </row>
    <row r="141" spans="1:14">
      <c r="A141" s="264" t="s">
        <v>115</v>
      </c>
      <c r="B141" s="429"/>
      <c r="C141" s="279"/>
      <c r="D141" s="279"/>
      <c r="E141" s="283"/>
      <c r="F141" s="283"/>
      <c r="G141" s="283"/>
      <c r="H141" s="285" t="s">
        <v>466</v>
      </c>
      <c r="I141" s="269">
        <v>74</v>
      </c>
      <c r="J141" s="283"/>
    </row>
    <row r="142" spans="1:14" ht="26.65">
      <c r="A142" s="264" t="s">
        <v>115</v>
      </c>
      <c r="B142" s="429"/>
      <c r="C142" s="279"/>
      <c r="D142" s="279"/>
      <c r="E142" s="283"/>
      <c r="F142" s="283"/>
      <c r="G142" s="283"/>
      <c r="H142" s="285" t="s">
        <v>724</v>
      </c>
      <c r="I142" s="269">
        <v>1353</v>
      </c>
      <c r="J142" s="392" t="s">
        <v>725</v>
      </c>
      <c r="L142" s="287" t="s">
        <v>724</v>
      </c>
      <c r="M142" s="404">
        <v>1836</v>
      </c>
      <c r="N142" s="392" t="s">
        <v>725</v>
      </c>
    </row>
    <row r="143" spans="1:14">
      <c r="B143" s="429"/>
      <c r="C143" s="279"/>
      <c r="D143" s="279"/>
      <c r="E143" s="279"/>
      <c r="F143" s="279"/>
      <c r="G143" s="279"/>
      <c r="H143" s="279"/>
      <c r="I143" s="279"/>
      <c r="J143" s="283"/>
    </row>
    <row r="144" spans="1:14">
      <c r="B144" s="429"/>
      <c r="C144" s="268" t="s">
        <v>726</v>
      </c>
      <c r="D144" s="268" t="s">
        <v>214</v>
      </c>
      <c r="E144" s="256"/>
      <c r="F144" s="256"/>
      <c r="G144" s="277">
        <v>487</v>
      </c>
      <c r="H144" s="285"/>
      <c r="I144" s="257"/>
      <c r="J144" s="283"/>
    </row>
    <row r="145" spans="1:11" ht="15" customHeight="1">
      <c r="B145" s="429"/>
      <c r="C145" s="264"/>
      <c r="D145" s="264"/>
      <c r="E145" s="256"/>
      <c r="F145" s="256"/>
      <c r="G145" s="256"/>
      <c r="H145" s="287" t="s">
        <v>727</v>
      </c>
      <c r="I145" s="297">
        <v>487</v>
      </c>
      <c r="J145" s="392" t="s">
        <v>726</v>
      </c>
    </row>
    <row r="146" spans="1:11" ht="15" customHeight="1">
      <c r="B146" s="429"/>
      <c r="C146" s="268" t="s">
        <v>726</v>
      </c>
      <c r="D146" s="268" t="s">
        <v>214</v>
      </c>
      <c r="E146" s="256"/>
      <c r="F146" s="256"/>
      <c r="G146" s="277">
        <v>487</v>
      </c>
      <c r="H146" s="285"/>
      <c r="I146" s="285"/>
      <c r="J146" s="285"/>
      <c r="K146" s="273"/>
    </row>
    <row r="147" spans="1:11" ht="15" customHeight="1">
      <c r="B147" s="429"/>
      <c r="C147" s="264"/>
      <c r="D147" s="264"/>
      <c r="E147" s="256"/>
      <c r="F147" s="256"/>
      <c r="G147" s="256"/>
      <c r="H147" s="287" t="s">
        <v>728</v>
      </c>
      <c r="I147" s="287">
        <v>487</v>
      </c>
      <c r="J147" s="392" t="s">
        <v>726</v>
      </c>
      <c r="K147" s="273"/>
    </row>
    <row r="148" spans="1:11" ht="15" customHeight="1">
      <c r="B148" s="429"/>
      <c r="C148" s="264"/>
      <c r="D148" s="264"/>
      <c r="E148" s="256"/>
      <c r="F148" s="256"/>
      <c r="G148" s="256"/>
      <c r="H148" s="285"/>
      <c r="I148" s="285"/>
      <c r="J148" s="285"/>
      <c r="K148" s="273"/>
    </row>
    <row r="149" spans="1:11" ht="15" customHeight="1">
      <c r="A149" s="429"/>
      <c r="B149" s="429"/>
      <c r="C149" s="279"/>
      <c r="D149" s="279"/>
      <c r="E149" s="283"/>
      <c r="F149" s="283"/>
      <c r="G149" s="283"/>
      <c r="H149" s="285"/>
      <c r="I149" s="269"/>
      <c r="J149" s="283"/>
      <c r="K149" s="273"/>
    </row>
    <row r="150" spans="1:11">
      <c r="A150" s="429"/>
      <c r="B150" s="429"/>
      <c r="C150" s="264" t="s">
        <v>123</v>
      </c>
      <c r="D150" s="264" t="e">
        <v>#N/A</v>
      </c>
      <c r="E150" s="256"/>
      <c r="F150" s="256"/>
      <c r="G150" s="256"/>
      <c r="H150" s="285"/>
      <c r="I150" s="258"/>
      <c r="J150" s="283"/>
      <c r="K150" s="273"/>
    </row>
    <row r="151" spans="1:11">
      <c r="A151" s="264" t="s">
        <v>124</v>
      </c>
      <c r="B151" s="429"/>
      <c r="C151" s="264" t="s">
        <v>124</v>
      </c>
      <c r="D151" s="316" t="s">
        <v>192</v>
      </c>
      <c r="E151" s="256">
        <v>1196</v>
      </c>
      <c r="F151" s="256">
        <v>1156</v>
      </c>
      <c r="G151" s="256">
        <f>SUM(E151:F151)</f>
        <v>2352</v>
      </c>
      <c r="H151" s="285"/>
      <c r="I151" s="278"/>
      <c r="J151" s="283"/>
      <c r="K151" s="273"/>
    </row>
    <row r="152" spans="1:11">
      <c r="A152" s="264" t="s">
        <v>124</v>
      </c>
      <c r="B152" s="429"/>
      <c r="C152" s="264"/>
      <c r="D152" s="264"/>
      <c r="E152" s="256"/>
      <c r="F152" s="256"/>
      <c r="G152" s="256"/>
      <c r="H152" s="285" t="s">
        <v>698</v>
      </c>
      <c r="I152" s="280">
        <v>258.72000000000003</v>
      </c>
      <c r="J152" s="283"/>
      <c r="K152" s="273"/>
    </row>
    <row r="153" spans="1:11">
      <c r="A153" s="264" t="s">
        <v>124</v>
      </c>
      <c r="B153" s="429"/>
      <c r="C153" s="264"/>
      <c r="D153" s="264"/>
      <c r="E153" s="256"/>
      <c r="F153" s="256"/>
      <c r="G153" s="256"/>
      <c r="H153" s="285" t="s">
        <v>699</v>
      </c>
      <c r="I153" s="280">
        <v>1223.04</v>
      </c>
      <c r="J153" s="283"/>
      <c r="K153" s="273"/>
    </row>
    <row r="154" spans="1:11">
      <c r="A154" s="264" t="s">
        <v>124</v>
      </c>
      <c r="B154" s="429"/>
      <c r="C154" s="264"/>
      <c r="D154" s="264"/>
      <c r="E154" s="256"/>
      <c r="F154" s="256"/>
      <c r="G154" s="256"/>
      <c r="H154" s="285" t="s">
        <v>700</v>
      </c>
      <c r="I154" s="280">
        <v>870.24</v>
      </c>
      <c r="J154" s="283"/>
      <c r="K154" s="273"/>
    </row>
    <row r="155" spans="1:11">
      <c r="A155" s="429"/>
      <c r="B155" s="429"/>
      <c r="C155" s="264" t="s">
        <v>126</v>
      </c>
      <c r="D155" s="264" t="e">
        <v>#N/A</v>
      </c>
      <c r="E155" s="256"/>
      <c r="F155" s="256"/>
      <c r="G155" s="256"/>
      <c r="H155" s="285"/>
      <c r="I155" s="278"/>
      <c r="J155" s="283"/>
    </row>
    <row r="156" spans="1:11">
      <c r="A156" s="264" t="s">
        <v>128</v>
      </c>
      <c r="B156" s="429"/>
      <c r="C156" s="264" t="s">
        <v>128</v>
      </c>
      <c r="D156" s="317" t="s">
        <v>187</v>
      </c>
      <c r="E156" s="256">
        <v>600</v>
      </c>
      <c r="F156" s="256"/>
      <c r="G156" s="256">
        <f>SUM(D156:F156)</f>
        <v>600</v>
      </c>
      <c r="H156" s="285"/>
      <c r="I156" s="278"/>
      <c r="J156" s="283"/>
    </row>
    <row r="157" spans="1:11">
      <c r="A157" s="264" t="s">
        <v>128</v>
      </c>
      <c r="B157" s="429"/>
      <c r="C157" s="264"/>
      <c r="D157" s="264"/>
      <c r="E157" s="256"/>
      <c r="F157" s="256"/>
      <c r="G157" s="256"/>
      <c r="H157" s="285" t="s">
        <v>439</v>
      </c>
      <c r="I157" s="258">
        <v>600</v>
      </c>
      <c r="J157" s="283"/>
    </row>
    <row r="158" spans="1:11">
      <c r="B158" s="429"/>
      <c r="C158" s="264" t="s">
        <v>130</v>
      </c>
      <c r="D158" s="264" t="e">
        <v>#N/A</v>
      </c>
      <c r="E158" s="256"/>
      <c r="F158" s="256"/>
      <c r="G158" s="256"/>
      <c r="H158" s="285"/>
      <c r="I158" s="278"/>
      <c r="J158" s="283"/>
    </row>
    <row r="159" spans="1:11">
      <c r="B159" s="429"/>
      <c r="C159" s="264" t="s">
        <v>131</v>
      </c>
      <c r="D159" s="264" t="e">
        <v>#N/A</v>
      </c>
      <c r="E159" s="256"/>
      <c r="F159" s="256"/>
      <c r="G159" s="256"/>
      <c r="H159" s="285"/>
      <c r="I159" s="278"/>
      <c r="J159" s="283"/>
    </row>
    <row r="160" spans="1:11">
      <c r="B160" s="429"/>
      <c r="C160" s="264" t="s">
        <v>132</v>
      </c>
      <c r="D160" s="264" t="e">
        <v>#N/A</v>
      </c>
      <c r="E160" s="256"/>
      <c r="F160" s="256"/>
      <c r="G160" s="256"/>
      <c r="H160" s="285"/>
      <c r="I160" s="278"/>
      <c r="J160" s="283"/>
    </row>
    <row r="161" spans="2:10">
      <c r="B161" s="429"/>
      <c r="C161" s="264" t="s">
        <v>133</v>
      </c>
      <c r="D161" s="264" t="s">
        <v>194</v>
      </c>
      <c r="E161" s="256"/>
      <c r="F161" s="256"/>
      <c r="G161" s="256"/>
      <c r="H161" s="285"/>
      <c r="I161" s="278"/>
      <c r="J161" s="283"/>
    </row>
    <row r="162" spans="2:10">
      <c r="B162" s="429"/>
      <c r="C162" s="264" t="s">
        <v>134</v>
      </c>
      <c r="D162" s="264" t="e">
        <v>#N/A</v>
      </c>
      <c r="E162" s="256"/>
      <c r="F162" s="256"/>
      <c r="G162" s="256"/>
      <c r="H162" s="285"/>
      <c r="I162" s="278"/>
      <c r="J162" s="283"/>
    </row>
    <row r="163" spans="2:10">
      <c r="B163" s="429"/>
      <c r="C163" s="264" t="s">
        <v>135</v>
      </c>
      <c r="D163" s="264" t="s">
        <v>192</v>
      </c>
      <c r="E163" s="256"/>
      <c r="F163" s="256"/>
      <c r="G163" s="256">
        <v>606</v>
      </c>
      <c r="H163" s="285"/>
      <c r="I163" s="278"/>
      <c r="J163" s="283"/>
    </row>
    <row r="164" spans="2:10">
      <c r="B164" s="429"/>
      <c r="C164" s="264"/>
      <c r="D164" s="264"/>
      <c r="E164" s="264"/>
      <c r="F164" s="264"/>
      <c r="G164" s="264"/>
      <c r="H164" s="285" t="s">
        <v>713</v>
      </c>
      <c r="I164" s="321">
        <v>606</v>
      </c>
      <c r="J164" s="298" t="s">
        <v>714</v>
      </c>
    </row>
    <row r="165" spans="2:10">
      <c r="B165" s="429"/>
      <c r="C165" s="266" t="s">
        <v>210</v>
      </c>
      <c r="D165" s="266"/>
      <c r="E165" s="282">
        <f>SUM(E7:E163)</f>
        <v>10783</v>
      </c>
      <c r="F165" s="282">
        <f>SUM(F7:F163)</f>
        <v>3071</v>
      </c>
      <c r="G165" s="282">
        <f>SUM(G7:G164)</f>
        <v>15434</v>
      </c>
      <c r="H165" s="282"/>
      <c r="I165" s="282">
        <f>SUM(I7:I164)</f>
        <v>15434.999999999998</v>
      </c>
      <c r="J165" s="283"/>
    </row>
    <row r="166" spans="2:10">
      <c r="B166" s="429"/>
      <c r="C166" s="267" t="s">
        <v>211</v>
      </c>
      <c r="D166" s="267"/>
      <c r="E166" s="259"/>
      <c r="F166" s="259"/>
      <c r="G166" s="259"/>
      <c r="H166" s="286"/>
      <c r="I166" s="281"/>
      <c r="J166" s="286"/>
    </row>
  </sheetData>
  <mergeCells count="3">
    <mergeCell ref="B2:C2"/>
    <mergeCell ref="H5:I5"/>
    <mergeCell ref="J104:J106"/>
  </mergeCells>
  <printOptions gridLines="1"/>
  <pageMargins left="0.25" right="0.25" top="0.75" bottom="0.75" header="0.3" footer="0.3"/>
  <pageSetup scale="63" fitToHeight="6" orientation="landscape" r:id="rId1"/>
  <headerFooter>
    <oddFooter>&amp;LCEC DRAFT 03-13-2020&amp;C&amp;P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935F4-41AE-4287-A9AA-78E30A7E879C}">
  <sheetPr>
    <tabColor rgb="FF0070C0"/>
  </sheetPr>
  <dimension ref="A1:K10"/>
  <sheetViews>
    <sheetView zoomScale="80" zoomScaleNormal="80" workbookViewId="0">
      <selection activeCell="A2" sqref="A2"/>
    </sheetView>
  </sheetViews>
  <sheetFormatPr defaultRowHeight="14.25"/>
  <cols>
    <col min="2" max="2" width="12.86328125" bestFit="1" customWidth="1"/>
    <col min="3" max="3" width="14.86328125" bestFit="1" customWidth="1"/>
    <col min="4" max="4" width="25.59765625" bestFit="1" customWidth="1"/>
    <col min="5" max="5" width="21" bestFit="1" customWidth="1"/>
    <col min="6" max="6" width="17.3984375" customWidth="1"/>
    <col min="7" max="7" width="21.265625" bestFit="1" customWidth="1"/>
    <col min="9" max="9" width="13.3984375" bestFit="1" customWidth="1"/>
  </cols>
  <sheetData>
    <row r="1" spans="1:11">
      <c r="A1" s="406" t="s">
        <v>729</v>
      </c>
      <c r="B1" s="429"/>
      <c r="C1" s="429"/>
      <c r="D1" s="429"/>
      <c r="E1" s="429"/>
      <c r="F1" s="429"/>
      <c r="G1" s="429"/>
      <c r="H1" s="429"/>
      <c r="I1" s="429"/>
      <c r="J1" s="429"/>
      <c r="K1" s="429"/>
    </row>
    <row r="2" spans="1:11">
      <c r="A2" s="429"/>
      <c r="B2" s="393" t="s">
        <v>203</v>
      </c>
      <c r="C2" s="266" t="s">
        <v>730</v>
      </c>
      <c r="D2" s="266" t="s">
        <v>79</v>
      </c>
      <c r="E2" s="266" t="s">
        <v>731</v>
      </c>
      <c r="F2" s="266" t="s">
        <v>732</v>
      </c>
      <c r="G2" s="266" t="s">
        <v>733</v>
      </c>
      <c r="H2" s="266" t="s">
        <v>133</v>
      </c>
      <c r="I2" s="394" t="s">
        <v>734</v>
      </c>
      <c r="J2" s="394" t="s">
        <v>735</v>
      </c>
      <c r="K2" s="395" t="s">
        <v>217</v>
      </c>
    </row>
    <row r="3" spans="1:11" ht="15.75">
      <c r="A3" s="429"/>
      <c r="B3" s="396" t="s">
        <v>510</v>
      </c>
      <c r="C3" s="397"/>
      <c r="D3" s="397"/>
      <c r="E3" s="397">
        <v>154</v>
      </c>
      <c r="F3" s="397"/>
      <c r="G3" s="397"/>
      <c r="H3" s="397"/>
      <c r="I3" s="397">
        <f t="shared" ref="I3:I8" si="0">SUM(C3:H3)</f>
        <v>154</v>
      </c>
      <c r="J3" s="398"/>
      <c r="K3" s="399"/>
    </row>
    <row r="4" spans="1:11" ht="15.75">
      <c r="A4" s="429"/>
      <c r="B4" s="396" t="s">
        <v>508</v>
      </c>
      <c r="C4" s="397"/>
      <c r="D4" s="397"/>
      <c r="E4" s="397">
        <v>119</v>
      </c>
      <c r="F4" s="397"/>
      <c r="G4" s="397"/>
      <c r="H4" s="397"/>
      <c r="I4" s="397">
        <f t="shared" si="0"/>
        <v>119</v>
      </c>
      <c r="J4" s="398"/>
      <c r="K4" s="399"/>
    </row>
    <row r="5" spans="1:11" ht="15.75">
      <c r="A5" s="429"/>
      <c r="B5" s="396" t="s">
        <v>506</v>
      </c>
      <c r="C5" s="397"/>
      <c r="D5" s="397"/>
      <c r="E5" s="397">
        <v>427</v>
      </c>
      <c r="F5" s="397"/>
      <c r="G5" s="397"/>
      <c r="H5" s="397"/>
      <c r="I5" s="397">
        <f t="shared" si="0"/>
        <v>427</v>
      </c>
      <c r="J5" s="398"/>
      <c r="K5" s="399"/>
    </row>
    <row r="6" spans="1:11">
      <c r="A6" s="429"/>
      <c r="B6" s="396" t="s">
        <v>512</v>
      </c>
      <c r="C6" s="397"/>
      <c r="D6" s="397">
        <v>83</v>
      </c>
      <c r="E6" s="397">
        <v>54</v>
      </c>
      <c r="F6" s="397"/>
      <c r="G6" s="397"/>
      <c r="H6" s="397"/>
      <c r="I6" s="397">
        <f t="shared" si="0"/>
        <v>137</v>
      </c>
      <c r="J6" s="397"/>
      <c r="K6" s="397"/>
    </row>
    <row r="7" spans="1:11">
      <c r="A7" s="429"/>
      <c r="B7" s="396" t="s">
        <v>712</v>
      </c>
      <c r="C7" s="397"/>
      <c r="D7" s="397">
        <v>165</v>
      </c>
      <c r="E7" s="397">
        <v>108</v>
      </c>
      <c r="F7" s="397"/>
      <c r="G7" s="397"/>
      <c r="H7" s="397"/>
      <c r="I7" s="397">
        <f t="shared" si="0"/>
        <v>273</v>
      </c>
      <c r="J7" s="397"/>
      <c r="K7" s="397"/>
    </row>
    <row r="8" spans="1:11" ht="15.75">
      <c r="A8" s="429"/>
      <c r="B8" s="396" t="s">
        <v>516</v>
      </c>
      <c r="C8" s="397">
        <v>330</v>
      </c>
      <c r="D8" s="397"/>
      <c r="E8" s="397"/>
      <c r="F8" s="397"/>
      <c r="G8" s="397"/>
      <c r="H8" s="397"/>
      <c r="I8" s="397">
        <f t="shared" si="0"/>
        <v>330</v>
      </c>
      <c r="J8" s="398"/>
      <c r="K8" s="399"/>
    </row>
    <row r="9" spans="1:11" ht="15.75">
      <c r="A9" s="429"/>
      <c r="B9" s="396"/>
      <c r="C9" s="397"/>
      <c r="D9" s="397"/>
      <c r="E9" s="397"/>
      <c r="F9" s="397"/>
      <c r="G9" s="397"/>
      <c r="H9" s="397"/>
      <c r="I9" s="397"/>
      <c r="J9" s="398"/>
      <c r="K9" s="399"/>
    </row>
    <row r="10" spans="1:11">
      <c r="A10" s="429"/>
      <c r="B10" s="400" t="s">
        <v>736</v>
      </c>
      <c r="C10" s="401">
        <f>SUM(C3:C9)</f>
        <v>330</v>
      </c>
      <c r="D10" s="401">
        <f>SUM(D3:D9)</f>
        <v>248</v>
      </c>
      <c r="E10" s="401">
        <f>SUM(E3:E9)</f>
        <v>862</v>
      </c>
      <c r="F10" s="401"/>
      <c r="G10" s="401">
        <f>SUM(G3:G9)</f>
        <v>0</v>
      </c>
      <c r="H10" s="401">
        <f>SUM(H6:H9)</f>
        <v>0</v>
      </c>
      <c r="I10" s="401">
        <f>SUM(I3:I9)</f>
        <v>1440</v>
      </c>
      <c r="J10" s="401">
        <f>+E10+G10</f>
        <v>862</v>
      </c>
      <c r="K10" s="402">
        <f>+C10+D10</f>
        <v>578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L72"/>
  <sheetViews>
    <sheetView topLeftCell="H20" zoomScale="70" zoomScaleNormal="70" workbookViewId="0">
      <selection activeCell="H20" sqref="H20"/>
    </sheetView>
  </sheetViews>
  <sheetFormatPr defaultRowHeight="14.25"/>
  <cols>
    <col min="1" max="1" width="30.3984375" bestFit="1" customWidth="1"/>
    <col min="2" max="2" width="14.73046875" bestFit="1" customWidth="1"/>
    <col min="6" max="6" width="10.265625" customWidth="1"/>
    <col min="8" max="9" width="8.73046875" style="210"/>
    <col min="11" max="11" width="12" customWidth="1"/>
  </cols>
  <sheetData>
    <row r="1" spans="1:12">
      <c r="A1" s="429" t="s">
        <v>232</v>
      </c>
      <c r="B1" s="429">
        <v>1000</v>
      </c>
      <c r="C1" s="429" t="s">
        <v>737</v>
      </c>
      <c r="D1" s="429" t="s">
        <v>738</v>
      </c>
      <c r="E1" s="429"/>
      <c r="F1" s="429"/>
      <c r="G1" s="429"/>
      <c r="J1" s="429"/>
      <c r="K1" s="429"/>
      <c r="L1" s="429"/>
    </row>
    <row r="2" spans="1:12">
      <c r="A2" s="429" t="s">
        <v>234</v>
      </c>
      <c r="B2" s="429">
        <v>0.6</v>
      </c>
      <c r="C2" s="429" t="s">
        <v>737</v>
      </c>
      <c r="D2" s="429" t="s">
        <v>738</v>
      </c>
      <c r="E2" s="429"/>
      <c r="F2" s="429"/>
      <c r="G2" s="429"/>
      <c r="J2" s="429"/>
      <c r="K2" s="429"/>
      <c r="L2" s="429"/>
    </row>
    <row r="3" spans="1:12">
      <c r="A3" s="429" t="s">
        <v>235</v>
      </c>
      <c r="B3" s="429"/>
      <c r="C3" s="429"/>
      <c r="D3" s="429"/>
      <c r="E3" s="429"/>
      <c r="F3" s="429"/>
      <c r="G3" s="429"/>
      <c r="J3" s="429"/>
      <c r="K3" s="429"/>
      <c r="L3" s="429"/>
    </row>
    <row r="4" spans="1:12">
      <c r="A4" s="14"/>
      <c r="B4" s="17" t="s">
        <v>739</v>
      </c>
      <c r="C4" s="23"/>
      <c r="D4" s="429"/>
      <c r="E4" s="429"/>
      <c r="F4" s="429"/>
      <c r="G4" s="429"/>
      <c r="J4" s="429"/>
      <c r="K4" s="429"/>
      <c r="L4" s="429"/>
    </row>
    <row r="5" spans="1:12" ht="39.75">
      <c r="A5" s="372" t="s">
        <v>177</v>
      </c>
      <c r="B5" s="374" t="s">
        <v>740</v>
      </c>
      <c r="C5" s="375" t="s">
        <v>761</v>
      </c>
      <c r="D5" s="374" t="s">
        <v>741</v>
      </c>
      <c r="E5" s="376" t="s">
        <v>742</v>
      </c>
      <c r="F5" s="376" t="s">
        <v>743</v>
      </c>
      <c r="G5" s="429"/>
      <c r="H5" s="377" t="s">
        <v>769</v>
      </c>
      <c r="I5" s="378" t="s">
        <v>741</v>
      </c>
      <c r="J5" s="376" t="s">
        <v>742</v>
      </c>
      <c r="K5" s="376" t="s">
        <v>743</v>
      </c>
      <c r="L5" s="429"/>
    </row>
    <row r="6" spans="1:12">
      <c r="A6" s="143" t="s">
        <v>47</v>
      </c>
      <c r="B6" s="15">
        <f>SUMIF('5_BUSBAR ALLOC_Adj_TPPFeb2020'!A:A,'5b_ComparToPrevYr'!A6,'5_BUSBAR ALLOC_Adj_TPPFeb2020'!I:I)</f>
        <v>0</v>
      </c>
      <c r="C6" s="271">
        <f>INDEX(SelectedPortfolio_2019RSP!N:N,MATCH(A6,SelectedPortfolio_2019RSP!H:H,0))</f>
        <v>0</v>
      </c>
      <c r="D6" s="309">
        <f>IFERROR((C6-$B6)/$B6,C6-$B6)</f>
        <v>0</v>
      </c>
      <c r="E6" s="14">
        <f>IF(ABS(C6-$B6)&gt;1000,1,0)</f>
        <v>0</v>
      </c>
      <c r="F6" s="14">
        <f>IF(ABS(C6-$B6)&gt;$B$1,3,IF(ABS(D6)&gt;$B$2,2,1))</f>
        <v>1</v>
      </c>
      <c r="G6" s="429"/>
      <c r="H6" s="211">
        <f>INDEX(SelectedPortfolio_2019RSP!O:O,MATCH(A6,SelectedPortfolio_2019RSP!H:H,0))</f>
        <v>0</v>
      </c>
      <c r="I6" s="240">
        <f>IFERROR((H6-$B6)/$B6,H6-$B6)</f>
        <v>0</v>
      </c>
      <c r="J6" s="14">
        <f>IF(ABS(H6-$B6)&gt;1000,1,0)</f>
        <v>0</v>
      </c>
      <c r="K6" s="14">
        <f>IF(ABS(H6-$B6)&gt;$B$1,3,IF(ABS(I6)&gt;$B$2,2,1))</f>
        <v>1</v>
      </c>
      <c r="L6" s="429"/>
    </row>
    <row r="7" spans="1:12">
      <c r="A7" s="143" t="s">
        <v>49</v>
      </c>
      <c r="B7" s="15">
        <f>SUMIF('5_BUSBAR ALLOC_Adj_TPPFeb2020'!A:A,'5b_ComparToPrevYr'!A7,'5_BUSBAR ALLOC_Adj_TPPFeb2020'!I:I)</f>
        <v>1256</v>
      </c>
      <c r="C7" s="271">
        <f>INDEX(SelectedPortfolio_2019RSP!N:N,MATCH(A7,SelectedPortfolio_2019RSP!H:H,0))</f>
        <v>0</v>
      </c>
      <c r="D7" s="309">
        <f t="shared" ref="D7:D37" si="0">IFERROR((C7-B7)/B7,C7-B7)</f>
        <v>-1</v>
      </c>
      <c r="E7" s="14">
        <f t="shared" ref="E7:E37" si="1">IF(ABS(C7-B7)&gt;1000,1,0)</f>
        <v>1</v>
      </c>
      <c r="F7" s="14">
        <f t="shared" ref="F7:F37" si="2">IF(ABS(C7-B7)&gt;$B$1,3,IF(ABS(D7)&gt;$B$2,2,1))</f>
        <v>3</v>
      </c>
      <c r="G7" s="429" t="s">
        <v>744</v>
      </c>
      <c r="H7" s="211">
        <f>INDEX(SelectedPortfolio_2019RSP!O:O,MATCH(A7,SelectedPortfolio_2019RSP!H:H,0))</f>
        <v>0</v>
      </c>
      <c r="I7" s="240">
        <f t="shared" ref="I7:I70" si="3">IFERROR((H7-$B7)/$B7,H7-$B7)</f>
        <v>-1</v>
      </c>
      <c r="J7" s="14">
        <f t="shared" ref="J7:J70" si="4">IF(ABS(H7-$B7)&gt;1000,1,0)</f>
        <v>1</v>
      </c>
      <c r="K7" s="14">
        <f t="shared" ref="K7:K70" si="5">IF(ABS(H7-$B7)&gt;$B$1,3,IF(ABS(I7)&gt;$B$2,2,1))</f>
        <v>3</v>
      </c>
      <c r="L7" s="429" t="s">
        <v>744</v>
      </c>
    </row>
    <row r="8" spans="1:12">
      <c r="A8" s="143" t="s">
        <v>53</v>
      </c>
      <c r="B8" s="15">
        <f>SUMIF('5_BUSBAR ALLOC_Adj_TPPFeb2020'!A:A,'5b_ComparToPrevYr'!A8,'5_BUSBAR ALLOC_Adj_TPPFeb2020'!I:I)</f>
        <v>0</v>
      </c>
      <c r="C8" s="271">
        <f>INDEX(SelectedPortfolio_2019RSP!N:N,MATCH(A8,SelectedPortfolio_2019RSP!H:H,0))</f>
        <v>0</v>
      </c>
      <c r="D8" s="309">
        <f t="shared" si="0"/>
        <v>0</v>
      </c>
      <c r="E8" s="14">
        <f t="shared" si="1"/>
        <v>0</v>
      </c>
      <c r="F8" s="14">
        <f t="shared" si="2"/>
        <v>1</v>
      </c>
      <c r="G8" s="429"/>
      <c r="H8" s="211">
        <f>INDEX(SelectedPortfolio_2019RSP!O:O,MATCH(A8,SelectedPortfolio_2019RSP!H:H,0))</f>
        <v>0</v>
      </c>
      <c r="I8" s="240">
        <f t="shared" si="3"/>
        <v>0</v>
      </c>
      <c r="J8" s="14">
        <f t="shared" si="4"/>
        <v>0</v>
      </c>
      <c r="K8" s="14">
        <f t="shared" si="5"/>
        <v>1</v>
      </c>
      <c r="L8" s="429"/>
    </row>
    <row r="9" spans="1:12">
      <c r="A9" s="143" t="s">
        <v>189</v>
      </c>
      <c r="B9" s="15">
        <f>SUMIF('5_BUSBAR ALLOC_Adj_TPPFeb2020'!A:A,'5b_ComparToPrevYr'!A9,'5_BUSBAR ALLOC_Adj_TPPFeb2020'!I:I)</f>
        <v>0</v>
      </c>
      <c r="C9" s="271">
        <f>INDEX(SelectedPortfolio_2019RSP!N:N,MATCH(A9,SelectedPortfolio_2019RSP!H:H,0))</f>
        <v>0</v>
      </c>
      <c r="D9" s="309">
        <f t="shared" si="0"/>
        <v>0</v>
      </c>
      <c r="E9" s="14">
        <f t="shared" si="1"/>
        <v>0</v>
      </c>
      <c r="F9" s="14">
        <f t="shared" si="2"/>
        <v>1</v>
      </c>
      <c r="G9" s="429"/>
      <c r="H9" s="211">
        <f>INDEX(SelectedPortfolio_2019RSP!O:O,MATCH(A9,SelectedPortfolio_2019RSP!H:H,0))</f>
        <v>0</v>
      </c>
      <c r="I9" s="240">
        <f t="shared" si="3"/>
        <v>0</v>
      </c>
      <c r="J9" s="14">
        <f t="shared" si="4"/>
        <v>0</v>
      </c>
      <c r="K9" s="14">
        <f t="shared" si="5"/>
        <v>1</v>
      </c>
      <c r="L9" s="429"/>
    </row>
    <row r="10" spans="1:12">
      <c r="A10" s="143" t="s">
        <v>55</v>
      </c>
      <c r="B10" s="15">
        <f>SUMIF('5_BUSBAR ALLOC_Adj_TPPFeb2020'!A:A,'5b_ComparToPrevYr'!A10,'5_BUSBAR ALLOC_Adj_TPPFeb2020'!I:I)</f>
        <v>0</v>
      </c>
      <c r="C10" s="271">
        <f>INDEX(SelectedPortfolio_2019RSP!N:N,MATCH(A10,SelectedPortfolio_2019RSP!H:H,0))</f>
        <v>0</v>
      </c>
      <c r="D10" s="309">
        <f t="shared" si="0"/>
        <v>0</v>
      </c>
      <c r="E10" s="14">
        <f t="shared" si="1"/>
        <v>0</v>
      </c>
      <c r="F10" s="14">
        <f t="shared" si="2"/>
        <v>1</v>
      </c>
      <c r="G10" s="429"/>
      <c r="H10" s="211">
        <f>INDEX(SelectedPortfolio_2019RSP!O:O,MATCH(A10,SelectedPortfolio_2019RSP!H:H,0))</f>
        <v>0</v>
      </c>
      <c r="I10" s="240">
        <f t="shared" si="3"/>
        <v>0</v>
      </c>
      <c r="J10" s="14">
        <f t="shared" si="4"/>
        <v>0</v>
      </c>
      <c r="K10" s="14">
        <f t="shared" si="5"/>
        <v>1</v>
      </c>
      <c r="L10" s="429"/>
    </row>
    <row r="11" spans="1:12">
      <c r="A11" s="143" t="s">
        <v>56</v>
      </c>
      <c r="B11" s="15">
        <f>SUMIF('5_BUSBAR ALLOC_Adj_TPPFeb2020'!A:A,'5b_ComparToPrevYr'!A11,'5_BUSBAR ALLOC_Adj_TPPFeb2020'!I:I)</f>
        <v>0</v>
      </c>
      <c r="C11" s="271">
        <f>INDEX(SelectedPortfolio_2019RSP!N:N,MATCH(A11,SelectedPortfolio_2019RSP!H:H,0))</f>
        <v>0</v>
      </c>
      <c r="D11" s="309">
        <f t="shared" si="0"/>
        <v>0</v>
      </c>
      <c r="E11" s="14">
        <f t="shared" si="1"/>
        <v>0</v>
      </c>
      <c r="F11" s="14">
        <f t="shared" si="2"/>
        <v>1</v>
      </c>
      <c r="G11" s="429"/>
      <c r="H11" s="211">
        <f>INDEX(SelectedPortfolio_2019RSP!O:O,MATCH(A11,SelectedPortfolio_2019RSP!H:H,0))</f>
        <v>0</v>
      </c>
      <c r="I11" s="240">
        <f t="shared" si="3"/>
        <v>0</v>
      </c>
      <c r="J11" s="14">
        <f t="shared" si="4"/>
        <v>0</v>
      </c>
      <c r="K11" s="14">
        <f t="shared" si="5"/>
        <v>1</v>
      </c>
      <c r="L11" s="429"/>
    </row>
    <row r="12" spans="1:12">
      <c r="A12" s="143" t="s">
        <v>57</v>
      </c>
      <c r="B12" s="15">
        <f>SUMIF('5_BUSBAR ALLOC_Adj_TPPFeb2020'!A:A,'5b_ComparToPrevYr'!A12,'5_BUSBAR ALLOC_Adj_TPPFeb2020'!I:I)</f>
        <v>0</v>
      </c>
      <c r="C12" s="271">
        <f>INDEX(SelectedPortfolio_2019RSP!N:N,MATCH(A12,SelectedPortfolio_2019RSP!H:H,0))</f>
        <v>0</v>
      </c>
      <c r="D12" s="309">
        <f t="shared" si="0"/>
        <v>0</v>
      </c>
      <c r="E12" s="14">
        <f t="shared" si="1"/>
        <v>0</v>
      </c>
      <c r="F12" s="14">
        <f t="shared" si="2"/>
        <v>1</v>
      </c>
      <c r="G12" s="429"/>
      <c r="H12" s="211">
        <f>INDEX(SelectedPortfolio_2019RSP!O:O,MATCH(A12,SelectedPortfolio_2019RSP!H:H,0))</f>
        <v>0</v>
      </c>
      <c r="I12" s="240">
        <f t="shared" si="3"/>
        <v>0</v>
      </c>
      <c r="J12" s="14">
        <f t="shared" si="4"/>
        <v>0</v>
      </c>
      <c r="K12" s="14">
        <f t="shared" si="5"/>
        <v>1</v>
      </c>
      <c r="L12" s="429"/>
    </row>
    <row r="13" spans="1:12">
      <c r="A13" s="143" t="s">
        <v>58</v>
      </c>
      <c r="B13" s="15">
        <f>SUMIF('5_BUSBAR ALLOC_Adj_TPPFeb2020'!A:A,'5b_ComparToPrevYr'!A13,'5_BUSBAR ALLOC_Adj_TPPFeb2020'!I:I)</f>
        <v>0</v>
      </c>
      <c r="C13" s="271">
        <f>INDEX(SelectedPortfolio_2019RSP!N:N,MATCH(A13,SelectedPortfolio_2019RSP!H:H,0))</f>
        <v>0</v>
      </c>
      <c r="D13" s="309">
        <f t="shared" si="0"/>
        <v>0</v>
      </c>
      <c r="E13" s="14">
        <f t="shared" si="1"/>
        <v>0</v>
      </c>
      <c r="F13" s="14">
        <f t="shared" si="2"/>
        <v>1</v>
      </c>
      <c r="G13" s="429"/>
      <c r="H13" s="211">
        <f>INDEX(SelectedPortfolio_2019RSP!O:O,MATCH(A13,SelectedPortfolio_2019RSP!H:H,0))</f>
        <v>0</v>
      </c>
      <c r="I13" s="240">
        <f t="shared" si="3"/>
        <v>0</v>
      </c>
      <c r="J13" s="14">
        <f t="shared" si="4"/>
        <v>0</v>
      </c>
      <c r="K13" s="14">
        <f t="shared" si="5"/>
        <v>1</v>
      </c>
      <c r="L13" s="429"/>
    </row>
    <row r="14" spans="1:12">
      <c r="A14" s="143" t="s">
        <v>59</v>
      </c>
      <c r="B14" s="15">
        <f>SUMIF('5_BUSBAR ALLOC_Adj_TPPFeb2020'!A:A,'5b_ComparToPrevYr'!A14,'5_BUSBAR ALLOC_Adj_TPPFeb2020'!I:I)</f>
        <v>0</v>
      </c>
      <c r="C14" s="271">
        <f>INDEX(SelectedPortfolio_2019RSP!N:N,MATCH(A14,SelectedPortfolio_2019RSP!H:H,0))</f>
        <v>0</v>
      </c>
      <c r="D14" s="309">
        <f t="shared" si="0"/>
        <v>0</v>
      </c>
      <c r="E14" s="14">
        <f t="shared" si="1"/>
        <v>0</v>
      </c>
      <c r="F14" s="14">
        <f t="shared" si="2"/>
        <v>1</v>
      </c>
      <c r="G14" s="429"/>
      <c r="H14" s="211">
        <f>INDEX(SelectedPortfolio_2019RSP!O:O,MATCH(A14,SelectedPortfolio_2019RSP!H:H,0))</f>
        <v>0</v>
      </c>
      <c r="I14" s="240">
        <f t="shared" si="3"/>
        <v>0</v>
      </c>
      <c r="J14" s="14">
        <f t="shared" si="4"/>
        <v>0</v>
      </c>
      <c r="K14" s="14">
        <f t="shared" si="5"/>
        <v>1</v>
      </c>
      <c r="L14" s="429"/>
    </row>
    <row r="15" spans="1:12">
      <c r="A15" s="143" t="s">
        <v>60</v>
      </c>
      <c r="B15" s="15">
        <f>SUMIF('5_BUSBAR ALLOC_Adj_TPPFeb2020'!A:A,'5b_ComparToPrevYr'!A15,'5_BUSBAR ALLOC_Adj_TPPFeb2020'!I:I)</f>
        <v>160</v>
      </c>
      <c r="C15" s="271">
        <f>INDEX(SelectedPortfolio_2019RSP!N:N,MATCH(A15,SelectedPortfolio_2019RSP!H:H,0))</f>
        <v>287</v>
      </c>
      <c r="D15" s="309">
        <f t="shared" si="0"/>
        <v>0.79374999999999996</v>
      </c>
      <c r="E15" s="14">
        <f t="shared" si="1"/>
        <v>0</v>
      </c>
      <c r="F15" s="14">
        <f t="shared" si="2"/>
        <v>2</v>
      </c>
      <c r="G15" s="429" t="s">
        <v>111</v>
      </c>
      <c r="H15" s="211">
        <f>INDEX(SelectedPortfolio_2019RSP!O:O,MATCH(A15,SelectedPortfolio_2019RSP!H:H,0))</f>
        <v>287</v>
      </c>
      <c r="I15" s="240">
        <f t="shared" si="3"/>
        <v>0.79374999999999996</v>
      </c>
      <c r="J15" s="14">
        <f t="shared" si="4"/>
        <v>0</v>
      </c>
      <c r="K15" s="14">
        <f t="shared" si="5"/>
        <v>2</v>
      </c>
      <c r="L15" s="429" t="s">
        <v>111</v>
      </c>
    </row>
    <row r="16" spans="1:12">
      <c r="A16" s="143" t="s">
        <v>62</v>
      </c>
      <c r="B16" s="15">
        <f>SUMIF('5_BUSBAR ALLOC_Adj_TPPFeb2020'!A:A,'5b_ComparToPrevYr'!A16,'5_BUSBAR ALLOC_Adj_TPPFeb2020'!I:I)</f>
        <v>0</v>
      </c>
      <c r="C16" s="271">
        <f>INDEX(SelectedPortfolio_2019RSP!N:N,MATCH(A16,SelectedPortfolio_2019RSP!H:H,0))</f>
        <v>0</v>
      </c>
      <c r="D16" s="309">
        <f t="shared" si="0"/>
        <v>0</v>
      </c>
      <c r="E16" s="14">
        <f t="shared" si="1"/>
        <v>0</v>
      </c>
      <c r="F16" s="14">
        <f t="shared" si="2"/>
        <v>1</v>
      </c>
      <c r="G16" s="429"/>
      <c r="H16" s="211">
        <f>INDEX(SelectedPortfolio_2019RSP!O:O,MATCH(A16,SelectedPortfolio_2019RSP!H:H,0))</f>
        <v>0</v>
      </c>
      <c r="I16" s="240">
        <f t="shared" si="3"/>
        <v>0</v>
      </c>
      <c r="J16" s="14">
        <f t="shared" si="4"/>
        <v>0</v>
      </c>
      <c r="K16" s="14">
        <f t="shared" si="5"/>
        <v>1</v>
      </c>
      <c r="L16" s="429" t="s">
        <v>111</v>
      </c>
    </row>
    <row r="17" spans="1:12">
      <c r="A17" s="143" t="s">
        <v>63</v>
      </c>
      <c r="B17" s="15">
        <f>SUMIF('5_BUSBAR ALLOC_Adj_TPPFeb2020'!A:A,'5b_ComparToPrevYr'!A17,'5_BUSBAR ALLOC_Adj_TPPFeb2020'!I:I)</f>
        <v>146</v>
      </c>
      <c r="C17" s="271">
        <f>INDEX(SelectedPortfolio_2019RSP!N:N,MATCH(A17,SelectedPortfolio_2019RSP!H:H,0))</f>
        <v>173</v>
      </c>
      <c r="D17" s="309">
        <f t="shared" si="0"/>
        <v>0.18493150684931506</v>
      </c>
      <c r="E17" s="14">
        <f t="shared" si="1"/>
        <v>0</v>
      </c>
      <c r="F17" s="14">
        <f t="shared" si="2"/>
        <v>1</v>
      </c>
      <c r="G17" s="429"/>
      <c r="H17" s="211">
        <f>INDEX(SelectedPortfolio_2019RSP!O:O,MATCH(A17,SelectedPortfolio_2019RSP!H:H,0))</f>
        <v>173</v>
      </c>
      <c r="I17" s="240">
        <f t="shared" si="3"/>
        <v>0.18493150684931506</v>
      </c>
      <c r="J17" s="14">
        <f t="shared" si="4"/>
        <v>0</v>
      </c>
      <c r="K17" s="14">
        <f t="shared" si="5"/>
        <v>1</v>
      </c>
      <c r="L17" s="429"/>
    </row>
    <row r="18" spans="1:12">
      <c r="A18" s="143" t="s">
        <v>65</v>
      </c>
      <c r="B18" s="15">
        <f>SUMIF('5_BUSBAR ALLOC_Adj_TPPFeb2020'!A:A,'5b_ComparToPrevYr'!A18,'5_BUSBAR ALLOC_Adj_TPPFeb2020'!I:I)</f>
        <v>0</v>
      </c>
      <c r="C18" s="271">
        <f>INDEX(SelectedPortfolio_2019RSP!N:N,MATCH(A18,SelectedPortfolio_2019RSP!H:H,0))</f>
        <v>0</v>
      </c>
      <c r="D18" s="309">
        <f t="shared" si="0"/>
        <v>0</v>
      </c>
      <c r="E18" s="14">
        <f t="shared" si="1"/>
        <v>0</v>
      </c>
      <c r="F18" s="14">
        <f t="shared" si="2"/>
        <v>1</v>
      </c>
      <c r="G18" s="429"/>
      <c r="H18" s="211">
        <f>INDEX(SelectedPortfolio_2019RSP!O:O,MATCH(A18,SelectedPortfolio_2019RSP!H:H,0))</f>
        <v>0</v>
      </c>
      <c r="I18" s="240">
        <f t="shared" si="3"/>
        <v>0</v>
      </c>
      <c r="J18" s="14">
        <f t="shared" si="4"/>
        <v>0</v>
      </c>
      <c r="K18" s="14">
        <f t="shared" si="5"/>
        <v>1</v>
      </c>
      <c r="L18" s="429"/>
    </row>
    <row r="19" spans="1:12">
      <c r="A19" s="143" t="s">
        <v>66</v>
      </c>
      <c r="B19" s="15">
        <f>SUMIF('5_BUSBAR ALLOC_Adj_TPPFeb2020'!A:A,'5b_ComparToPrevYr'!A19,'5_BUSBAR ALLOC_Adj_TPPFeb2020'!I:I)</f>
        <v>0</v>
      </c>
      <c r="C19" s="271">
        <f>INDEX(SelectedPortfolio_2019RSP!N:N,MATCH(A19,SelectedPortfolio_2019RSP!H:H,0))</f>
        <v>0</v>
      </c>
      <c r="D19" s="309">
        <f t="shared" si="0"/>
        <v>0</v>
      </c>
      <c r="E19" s="14">
        <f t="shared" si="1"/>
        <v>0</v>
      </c>
      <c r="F19" s="14">
        <f t="shared" si="2"/>
        <v>1</v>
      </c>
      <c r="G19" s="429"/>
      <c r="H19" s="211">
        <f>INDEX(SelectedPortfolio_2019RSP!O:O,MATCH(A19,SelectedPortfolio_2019RSP!H:H,0))</f>
        <v>0</v>
      </c>
      <c r="I19" s="240">
        <f t="shared" si="3"/>
        <v>0</v>
      </c>
      <c r="J19" s="14">
        <f t="shared" si="4"/>
        <v>0</v>
      </c>
      <c r="K19" s="14">
        <f t="shared" si="5"/>
        <v>1</v>
      </c>
      <c r="L19" s="429"/>
    </row>
    <row r="20" spans="1:12">
      <c r="A20" s="143" t="s">
        <v>67</v>
      </c>
      <c r="B20" s="15">
        <f>SUMIF('5_BUSBAR ALLOC_Adj_TPPFeb2020'!A:A,'5b_ComparToPrevYr'!A20,'5_BUSBAR ALLOC_Adj_TPPFeb2020'!I:I)</f>
        <v>0</v>
      </c>
      <c r="C20" s="271">
        <f>INDEX(SelectedPortfolio_2019RSP!N:N,MATCH(A20,SelectedPortfolio_2019RSP!H:H,0))</f>
        <v>547.9</v>
      </c>
      <c r="D20" s="309">
        <f t="shared" si="0"/>
        <v>547.9</v>
      </c>
      <c r="E20" s="14">
        <f t="shared" si="1"/>
        <v>0</v>
      </c>
      <c r="F20" s="14">
        <f t="shared" si="2"/>
        <v>2</v>
      </c>
      <c r="G20" s="429" t="s">
        <v>111</v>
      </c>
      <c r="H20" s="211">
        <f>INDEX(SelectedPortfolio_2019RSP!O:O,MATCH(A20,SelectedPortfolio_2019RSP!H:H,0))</f>
        <v>547.9</v>
      </c>
      <c r="I20" s="240">
        <f t="shared" si="3"/>
        <v>547.9</v>
      </c>
      <c r="J20" s="14">
        <f t="shared" si="4"/>
        <v>0</v>
      </c>
      <c r="K20" s="14">
        <f t="shared" si="5"/>
        <v>2</v>
      </c>
      <c r="L20" s="429" t="s">
        <v>111</v>
      </c>
    </row>
    <row r="21" spans="1:12">
      <c r="A21" s="143" t="s">
        <v>70</v>
      </c>
      <c r="B21" s="15">
        <f>SUMIF('5_BUSBAR ALLOC_Adj_TPPFeb2020'!A:A,'5b_ComparToPrevYr'!A21,'5_BUSBAR ALLOC_Adj_TPPFeb2020'!I:I)</f>
        <v>0</v>
      </c>
      <c r="C21" s="271">
        <f>INDEX(SelectedPortfolio_2019RSP!N:N,MATCH(A21,SelectedPortfolio_2019RSP!H:H,0))</f>
        <v>0</v>
      </c>
      <c r="D21" s="309">
        <f t="shared" si="0"/>
        <v>0</v>
      </c>
      <c r="E21" s="14">
        <f t="shared" si="1"/>
        <v>0</v>
      </c>
      <c r="F21" s="14">
        <f t="shared" si="2"/>
        <v>1</v>
      </c>
      <c r="G21" s="429"/>
      <c r="H21" s="211">
        <f>INDEX(SelectedPortfolio_2019RSP!O:O,MATCH(A21,SelectedPortfolio_2019RSP!H:H,0))</f>
        <v>0</v>
      </c>
      <c r="I21" s="240">
        <f t="shared" si="3"/>
        <v>0</v>
      </c>
      <c r="J21" s="14">
        <f t="shared" si="4"/>
        <v>0</v>
      </c>
      <c r="K21" s="14">
        <f t="shared" si="5"/>
        <v>1</v>
      </c>
      <c r="L21" s="429"/>
    </row>
    <row r="22" spans="1:12">
      <c r="A22" s="143" t="s">
        <v>71</v>
      </c>
      <c r="B22" s="15">
        <f>SUMIF('5_BUSBAR ALLOC_Adj_TPPFeb2020'!A:A,'5b_ComparToPrevYr'!A22,'5_BUSBAR ALLOC_Adj_TPPFeb2020'!I:I)</f>
        <v>0</v>
      </c>
      <c r="C22" s="271">
        <f>INDEX(SelectedPortfolio_2019RSP!N:N,MATCH(A22,SelectedPortfolio_2019RSP!H:H,0))</f>
        <v>0</v>
      </c>
      <c r="D22" s="309">
        <f t="shared" si="0"/>
        <v>0</v>
      </c>
      <c r="E22" s="14">
        <f t="shared" si="1"/>
        <v>0</v>
      </c>
      <c r="F22" s="14">
        <f t="shared" si="2"/>
        <v>1</v>
      </c>
      <c r="G22" s="429"/>
      <c r="H22" s="211">
        <f>INDEX(SelectedPortfolio_2019RSP!O:O,MATCH(A22,SelectedPortfolio_2019RSP!H:H,0))</f>
        <v>0</v>
      </c>
      <c r="I22" s="240">
        <f t="shared" si="3"/>
        <v>0</v>
      </c>
      <c r="J22" s="14">
        <f t="shared" si="4"/>
        <v>0</v>
      </c>
      <c r="K22" s="14">
        <f t="shared" si="5"/>
        <v>1</v>
      </c>
      <c r="L22" s="429"/>
    </row>
    <row r="23" spans="1:12">
      <c r="A23" s="143" t="s">
        <v>72</v>
      </c>
      <c r="B23" s="15">
        <f>SUMIF('5_BUSBAR ALLOC_Adj_TPPFeb2020'!A:A,'5b_ComparToPrevYr'!A23,'5_BUSBAR ALLOC_Adj_TPPFeb2020'!I:I)</f>
        <v>0</v>
      </c>
      <c r="C23" s="271">
        <f>INDEX(SelectedPortfolio_2019RSP!N:N,MATCH(A23,SelectedPortfolio_2019RSP!H:H,0))</f>
        <v>34</v>
      </c>
      <c r="D23" s="309">
        <f t="shared" si="0"/>
        <v>34</v>
      </c>
      <c r="E23" s="14">
        <f t="shared" si="1"/>
        <v>0</v>
      </c>
      <c r="F23" s="14">
        <f t="shared" si="2"/>
        <v>2</v>
      </c>
      <c r="G23" s="429" t="s">
        <v>111</v>
      </c>
      <c r="H23" s="211">
        <f>INDEX(SelectedPortfolio_2019RSP!O:O,MATCH(A23,SelectedPortfolio_2019RSP!H:H,0))</f>
        <v>34</v>
      </c>
      <c r="I23" s="240">
        <f t="shared" si="3"/>
        <v>34</v>
      </c>
      <c r="J23" s="14">
        <f t="shared" si="4"/>
        <v>0</v>
      </c>
      <c r="K23" s="14">
        <f t="shared" si="5"/>
        <v>2</v>
      </c>
      <c r="L23" s="429" t="s">
        <v>111</v>
      </c>
    </row>
    <row r="24" spans="1:12">
      <c r="A24" s="143" t="s">
        <v>73</v>
      </c>
      <c r="B24" s="15">
        <f>SUMIF('5_BUSBAR ALLOC_Adj_TPPFeb2020'!A:A,'5b_ComparToPrevYr'!A24,'5_BUSBAR ALLOC_Adj_TPPFeb2020'!I:I)</f>
        <v>554</v>
      </c>
      <c r="C24" s="271">
        <f>INDEX(SelectedPortfolio_2019RSP!N:N,MATCH(A24,SelectedPortfolio_2019RSP!H:H,0))</f>
        <v>97</v>
      </c>
      <c r="D24" s="309">
        <f t="shared" si="0"/>
        <v>-0.82490974729241873</v>
      </c>
      <c r="E24" s="14">
        <f t="shared" si="1"/>
        <v>0</v>
      </c>
      <c r="F24" s="14">
        <f t="shared" si="2"/>
        <v>2</v>
      </c>
      <c r="G24" s="429" t="s">
        <v>111</v>
      </c>
      <c r="H24" s="211">
        <f>INDEX(SelectedPortfolio_2019RSP!O:O,MATCH(A24,SelectedPortfolio_2019RSP!H:H,0))</f>
        <v>97</v>
      </c>
      <c r="I24" s="240">
        <f t="shared" si="3"/>
        <v>-0.82490974729241873</v>
      </c>
      <c r="J24" s="14">
        <f t="shared" si="4"/>
        <v>0</v>
      </c>
      <c r="K24" s="14">
        <f t="shared" si="5"/>
        <v>2</v>
      </c>
      <c r="L24" s="429" t="s">
        <v>111</v>
      </c>
    </row>
    <row r="25" spans="1:12">
      <c r="A25" s="143" t="s">
        <v>75</v>
      </c>
      <c r="B25" s="15">
        <f>SUMIF('5_BUSBAR ALLOC_Adj_TPPFeb2020'!A:A,'5b_ComparToPrevYr'!A25,'5_BUSBAR ALLOC_Adj_TPPFeb2020'!I:I)</f>
        <v>0</v>
      </c>
      <c r="C25" s="271">
        <f>INDEX(SelectedPortfolio_2019RSP!N:N,MATCH(A25,SelectedPortfolio_2019RSP!H:H,0))</f>
        <v>241.66000000000003</v>
      </c>
      <c r="D25" s="309">
        <f t="shared" si="0"/>
        <v>241.66000000000003</v>
      </c>
      <c r="E25" s="14">
        <f t="shared" si="1"/>
        <v>0</v>
      </c>
      <c r="F25" s="14">
        <f t="shared" si="2"/>
        <v>2</v>
      </c>
      <c r="G25" s="429" t="s">
        <v>111</v>
      </c>
      <c r="H25" s="211">
        <f>INDEX(SelectedPortfolio_2019RSP!O:O,MATCH(A25,SelectedPortfolio_2019RSP!H:H,0))</f>
        <v>241.66000000000003</v>
      </c>
      <c r="I25" s="240">
        <f t="shared" si="3"/>
        <v>241.66000000000003</v>
      </c>
      <c r="J25" s="14">
        <f t="shared" si="4"/>
        <v>0</v>
      </c>
      <c r="K25" s="14">
        <f t="shared" si="5"/>
        <v>2</v>
      </c>
      <c r="L25" s="429" t="s">
        <v>111</v>
      </c>
    </row>
    <row r="26" spans="1:12">
      <c r="A26" s="143" t="s">
        <v>76</v>
      </c>
      <c r="B26" s="15">
        <f>SUMIF('5_BUSBAR ALLOC_Adj_TPPFeb2020'!A:A,'5b_ComparToPrevYr'!A26,'5_BUSBAR ALLOC_Adj_TPPFeb2020'!I:I)</f>
        <v>0</v>
      </c>
      <c r="C26" s="271">
        <f>INDEX(SelectedPortfolio_2019RSP!N:N,MATCH(A26,SelectedPortfolio_2019RSP!H:H,0))</f>
        <v>60</v>
      </c>
      <c r="D26" s="309">
        <f t="shared" si="0"/>
        <v>60</v>
      </c>
      <c r="E26" s="14">
        <f t="shared" si="1"/>
        <v>0</v>
      </c>
      <c r="F26" s="14">
        <f t="shared" si="2"/>
        <v>2</v>
      </c>
      <c r="G26" s="429" t="s">
        <v>111</v>
      </c>
      <c r="H26" s="211">
        <f>INDEX(SelectedPortfolio_2019RSP!O:O,MATCH(A26,SelectedPortfolio_2019RSP!H:H,0))</f>
        <v>60</v>
      </c>
      <c r="I26" s="240">
        <f t="shared" si="3"/>
        <v>60</v>
      </c>
      <c r="J26" s="14">
        <f t="shared" si="4"/>
        <v>0</v>
      </c>
      <c r="K26" s="14">
        <f t="shared" si="5"/>
        <v>2</v>
      </c>
      <c r="L26" s="429" t="s">
        <v>111</v>
      </c>
    </row>
    <row r="27" spans="1:12">
      <c r="A27" s="143" t="s">
        <v>77</v>
      </c>
      <c r="B27" s="15">
        <f>SUMIF('5_BUSBAR ALLOC_Adj_TPPFeb2020'!A:A,'5b_ComparToPrevYr'!A27,'5_BUSBAR ALLOC_Adj_TPPFeb2020'!I:I)</f>
        <v>0</v>
      </c>
      <c r="C27" s="271">
        <f>INDEX(SelectedPortfolio_2019RSP!N:N,MATCH(A27,SelectedPortfolio_2019RSP!H:H,0))</f>
        <v>0</v>
      </c>
      <c r="D27" s="309">
        <f t="shared" si="0"/>
        <v>0</v>
      </c>
      <c r="E27" s="14">
        <f t="shared" si="1"/>
        <v>0</v>
      </c>
      <c r="F27" s="14">
        <f t="shared" si="2"/>
        <v>1</v>
      </c>
      <c r="G27" s="429"/>
      <c r="H27" s="211">
        <f>INDEX(SelectedPortfolio_2019RSP!O:O,MATCH(A27,SelectedPortfolio_2019RSP!H:H,0))</f>
        <v>0</v>
      </c>
      <c r="I27" s="240">
        <f t="shared" si="3"/>
        <v>0</v>
      </c>
      <c r="J27" s="14">
        <f t="shared" si="4"/>
        <v>0</v>
      </c>
      <c r="K27" s="14">
        <f t="shared" si="5"/>
        <v>1</v>
      </c>
      <c r="L27" s="429"/>
    </row>
    <row r="28" spans="1:12">
      <c r="A28" s="143" t="s">
        <v>78</v>
      </c>
      <c r="B28" s="15">
        <f>SUMIF('5_BUSBAR ALLOC_Adj_TPPFeb2020'!A:A,'5b_ComparToPrevYr'!A28,'5_BUSBAR ALLOC_Adj_TPPFeb2020'!I:I)</f>
        <v>0</v>
      </c>
      <c r="C28" s="271">
        <f>INDEX(SelectedPortfolio_2019RSP!N:N,MATCH(A28,SelectedPortfolio_2019RSP!H:H,0))</f>
        <v>0</v>
      </c>
      <c r="D28" s="309">
        <f t="shared" si="0"/>
        <v>0</v>
      </c>
      <c r="E28" s="14">
        <f t="shared" si="1"/>
        <v>0</v>
      </c>
      <c r="F28" s="14">
        <f t="shared" si="2"/>
        <v>1</v>
      </c>
      <c r="G28" s="429"/>
      <c r="H28" s="211">
        <f>INDEX(SelectedPortfolio_2019RSP!O:O,MATCH(A28,SelectedPortfolio_2019RSP!H:H,0))</f>
        <v>0</v>
      </c>
      <c r="I28" s="240">
        <f t="shared" si="3"/>
        <v>0</v>
      </c>
      <c r="J28" s="14">
        <f t="shared" si="4"/>
        <v>0</v>
      </c>
      <c r="K28" s="14">
        <f t="shared" si="5"/>
        <v>1</v>
      </c>
      <c r="L28" s="429"/>
    </row>
    <row r="29" spans="1:12">
      <c r="A29" s="143" t="s">
        <v>79</v>
      </c>
      <c r="B29" s="15">
        <f>SUMIF('5_BUSBAR ALLOC_Adj_TPPFeb2020'!A:A,'5b_ComparToPrevYr'!A29,'5_BUSBAR ALLOC_Adj_TPPFeb2020'!I:I)</f>
        <v>0</v>
      </c>
      <c r="C29" s="271">
        <f>INDEX(SelectedPortfolio_2019RSP!N:N,MATCH(A29,SelectedPortfolio_2019RSP!H:H,0))</f>
        <v>248</v>
      </c>
      <c r="D29" s="309">
        <f t="shared" si="0"/>
        <v>248</v>
      </c>
      <c r="E29" s="14">
        <f t="shared" si="1"/>
        <v>0</v>
      </c>
      <c r="F29" s="14">
        <f t="shared" si="2"/>
        <v>2</v>
      </c>
      <c r="G29" s="429" t="s">
        <v>111</v>
      </c>
      <c r="H29" s="211">
        <f>INDEX(SelectedPortfolio_2019RSP!O:O,MATCH(A29,SelectedPortfolio_2019RSP!H:H,0))</f>
        <v>248</v>
      </c>
      <c r="I29" s="240">
        <f t="shared" si="3"/>
        <v>248</v>
      </c>
      <c r="J29" s="14">
        <f t="shared" si="4"/>
        <v>0</v>
      </c>
      <c r="K29" s="14">
        <f t="shared" si="5"/>
        <v>2</v>
      </c>
      <c r="L29" s="429" t="s">
        <v>111</v>
      </c>
    </row>
    <row r="30" spans="1:12">
      <c r="A30" s="143" t="s">
        <v>81</v>
      </c>
      <c r="B30" s="15">
        <f>SUMIF('5_BUSBAR ALLOC_Adj_TPPFeb2020'!A:A,'5b_ComparToPrevYr'!A30,'5_BUSBAR ALLOC_Adj_TPPFeb2020'!I:I)</f>
        <v>0</v>
      </c>
      <c r="C30" s="271">
        <f>INDEX(SelectedPortfolio_2019RSP!N:N,MATCH(A30,SelectedPortfolio_2019RSP!H:H,0))</f>
        <v>300</v>
      </c>
      <c r="D30" s="309">
        <f t="shared" si="0"/>
        <v>300</v>
      </c>
      <c r="E30" s="14">
        <f t="shared" si="1"/>
        <v>0</v>
      </c>
      <c r="F30" s="14">
        <f t="shared" si="2"/>
        <v>2</v>
      </c>
      <c r="G30" s="429" t="s">
        <v>111</v>
      </c>
      <c r="H30" s="211">
        <f>INDEX(SelectedPortfolio_2019RSP!O:O,MATCH(A30,SelectedPortfolio_2019RSP!H:H,0))</f>
        <v>300</v>
      </c>
      <c r="I30" s="240">
        <f t="shared" si="3"/>
        <v>300</v>
      </c>
      <c r="J30" s="14">
        <f t="shared" si="4"/>
        <v>0</v>
      </c>
      <c r="K30" s="14">
        <f t="shared" si="5"/>
        <v>2</v>
      </c>
      <c r="L30" s="429" t="s">
        <v>111</v>
      </c>
    </row>
    <row r="31" spans="1:12">
      <c r="A31" s="143" t="s">
        <v>82</v>
      </c>
      <c r="B31" s="15">
        <f>SUMIF('5_BUSBAR ALLOC_Adj_TPPFeb2020'!A:A,'5b_ComparToPrevYr'!A31,'5_BUSBAR ALLOC_Adj_TPPFeb2020'!I:I)</f>
        <v>0</v>
      </c>
      <c r="C31" s="271">
        <f>INDEX(SelectedPortfolio_2019RSP!N:N,MATCH(A31,SelectedPortfolio_2019RSP!H:H,0))</f>
        <v>0</v>
      </c>
      <c r="D31" s="309">
        <f t="shared" si="0"/>
        <v>0</v>
      </c>
      <c r="E31" s="14">
        <f t="shared" si="1"/>
        <v>0</v>
      </c>
      <c r="F31" s="14">
        <f t="shared" si="2"/>
        <v>1</v>
      </c>
      <c r="G31" s="429" t="s">
        <v>111</v>
      </c>
      <c r="H31" s="211">
        <f>INDEX(SelectedPortfolio_2019RSP!O:O,MATCH(A31,SelectedPortfolio_2019RSP!H:H,0))</f>
        <v>0</v>
      </c>
      <c r="I31" s="240">
        <f t="shared" si="3"/>
        <v>0</v>
      </c>
      <c r="J31" s="14">
        <f t="shared" si="4"/>
        <v>0</v>
      </c>
      <c r="K31" s="14">
        <f t="shared" si="5"/>
        <v>1</v>
      </c>
      <c r="L31" s="429" t="s">
        <v>111</v>
      </c>
    </row>
    <row r="32" spans="1:12">
      <c r="A32" s="143" t="s">
        <v>83</v>
      </c>
      <c r="B32" s="15">
        <f>SUMIF('5_BUSBAR ALLOC_Adj_TPPFeb2020'!A:A,'5b_ComparToPrevYr'!A32,'5_BUSBAR ALLOC_Adj_TPPFeb2020'!I:I)</f>
        <v>0</v>
      </c>
      <c r="C32" s="271">
        <f>INDEX(SelectedPortfolio_2019RSP!N:N,MATCH(A32,SelectedPortfolio_2019RSP!H:H,0))</f>
        <v>865.9</v>
      </c>
      <c r="D32" s="309">
        <f t="shared" si="0"/>
        <v>865.9</v>
      </c>
      <c r="E32" s="14">
        <f t="shared" si="1"/>
        <v>0</v>
      </c>
      <c r="F32" s="14">
        <f t="shared" si="2"/>
        <v>2</v>
      </c>
      <c r="G32" s="429" t="s">
        <v>111</v>
      </c>
      <c r="H32" s="211">
        <f>INDEX(SelectedPortfolio_2019RSP!O:O,MATCH(A32,SelectedPortfolio_2019RSP!H:H,0))</f>
        <v>865.9</v>
      </c>
      <c r="I32" s="240">
        <f t="shared" si="3"/>
        <v>865.9</v>
      </c>
      <c r="J32" s="14">
        <f t="shared" si="4"/>
        <v>0</v>
      </c>
      <c r="K32" s="14">
        <f t="shared" si="5"/>
        <v>2</v>
      </c>
      <c r="L32" s="429" t="s">
        <v>111</v>
      </c>
    </row>
    <row r="33" spans="1:12">
      <c r="A33" s="143" t="s">
        <v>86</v>
      </c>
      <c r="B33" s="15">
        <f>SUMIF('5_BUSBAR ALLOC_Adj_TPPFeb2020'!A:A,'5b_ComparToPrevYr'!A33,'5_BUSBAR ALLOC_Adj_TPPFeb2020'!I:I)</f>
        <v>0</v>
      </c>
      <c r="C33" s="271">
        <f>INDEX(SelectedPortfolio_2019RSP!N:N,MATCH(A33,SelectedPortfolio_2019RSP!H:H,0))</f>
        <v>0</v>
      </c>
      <c r="D33" s="309">
        <f t="shared" si="0"/>
        <v>0</v>
      </c>
      <c r="E33" s="14">
        <f t="shared" si="1"/>
        <v>0</v>
      </c>
      <c r="F33" s="14">
        <f t="shared" si="2"/>
        <v>1</v>
      </c>
      <c r="G33" s="429"/>
      <c r="H33" s="211">
        <f>INDEX(SelectedPortfolio_2019RSP!O:O,MATCH(A33,SelectedPortfolio_2019RSP!H:H,0))</f>
        <v>0</v>
      </c>
      <c r="I33" s="240">
        <f t="shared" si="3"/>
        <v>0</v>
      </c>
      <c r="J33" s="14">
        <f t="shared" si="4"/>
        <v>0</v>
      </c>
      <c r="K33" s="14">
        <f t="shared" si="5"/>
        <v>1</v>
      </c>
      <c r="L33" s="429"/>
    </row>
    <row r="34" spans="1:12">
      <c r="A34" s="143" t="s">
        <v>87</v>
      </c>
      <c r="B34" s="15">
        <f>SUMIF('5_BUSBAR ALLOC_Adj_TPPFeb2020'!A:A,'5b_ComparToPrevYr'!A34,'5_BUSBAR ALLOC_Adj_TPPFeb2020'!I:I)</f>
        <v>1622</v>
      </c>
      <c r="C34" s="271">
        <f>INDEX(SelectedPortfolio_2019RSP!N:N,MATCH(A34,SelectedPortfolio_2019RSP!H:H,0))</f>
        <v>0</v>
      </c>
      <c r="D34" s="309">
        <f t="shared" ref="D34" si="6">IFERROR((C34-B34)/B34,C34-B34)</f>
        <v>-1</v>
      </c>
      <c r="E34" s="14">
        <f t="shared" ref="E34" si="7">IF(ABS(C34-B34)&gt;1000,1,0)</f>
        <v>1</v>
      </c>
      <c r="F34" s="14">
        <f t="shared" ref="F34" si="8">IF(ABS(C34-B34)&gt;$B$1,3,IF(ABS(D34)&gt;$B$2,2,1))</f>
        <v>3</v>
      </c>
      <c r="G34" s="429" t="s">
        <v>744</v>
      </c>
      <c r="H34" s="211">
        <f>INDEX(SelectedPortfolio_2019RSP!O:O,MATCH(A34,SelectedPortfolio_2019RSP!H:H,0))</f>
        <v>0</v>
      </c>
      <c r="I34" s="240">
        <f t="shared" si="3"/>
        <v>-1</v>
      </c>
      <c r="J34" s="14">
        <f t="shared" si="4"/>
        <v>1</v>
      </c>
      <c r="K34" s="14">
        <f t="shared" si="5"/>
        <v>3</v>
      </c>
      <c r="L34" s="429"/>
    </row>
    <row r="35" spans="1:12">
      <c r="A35" s="143" t="s">
        <v>92</v>
      </c>
      <c r="B35" s="15">
        <f>SUMIF('5_BUSBAR ALLOC_Adj_TPPFeb2020'!A:A,'5b_ComparToPrevYr'!A35,'5_BUSBAR ALLOC_Adj_TPPFeb2020'!I:I)</f>
        <v>0</v>
      </c>
      <c r="C35" s="271">
        <f>INDEX(SelectedPortfolio_2019RSP!N:N,MATCH(A35,SelectedPortfolio_2019RSP!H:H,0))</f>
        <v>0</v>
      </c>
      <c r="D35" s="309">
        <f t="shared" si="0"/>
        <v>0</v>
      </c>
      <c r="E35" s="14">
        <f t="shared" si="1"/>
        <v>0</v>
      </c>
      <c r="F35" s="14">
        <f t="shared" si="2"/>
        <v>1</v>
      </c>
      <c r="G35" s="429"/>
      <c r="H35" s="211">
        <f>INDEX(SelectedPortfolio_2019RSP!O:O,MATCH(A35,SelectedPortfolio_2019RSP!H:H,0))</f>
        <v>0</v>
      </c>
      <c r="I35" s="240">
        <f t="shared" si="3"/>
        <v>0</v>
      </c>
      <c r="J35" s="14">
        <f t="shared" si="4"/>
        <v>0</v>
      </c>
      <c r="K35" s="14">
        <f t="shared" si="5"/>
        <v>1</v>
      </c>
      <c r="L35" s="429"/>
    </row>
    <row r="36" spans="1:12">
      <c r="A36" s="143" t="s">
        <v>93</v>
      </c>
      <c r="B36" s="15">
        <f>SUMIF('5_BUSBAR ALLOC_Adj_TPPFeb2020'!A:A,'5b_ComparToPrevYr'!A36,'5_BUSBAR ALLOC_Adj_TPPFeb2020'!I:I)</f>
        <v>0</v>
      </c>
      <c r="C36" s="271">
        <f>INDEX(SelectedPortfolio_2019RSP!N:N,MATCH(A36,SelectedPortfolio_2019RSP!H:H,0))</f>
        <v>0</v>
      </c>
      <c r="D36" s="309">
        <f t="shared" si="0"/>
        <v>0</v>
      </c>
      <c r="E36" s="14">
        <f t="shared" si="1"/>
        <v>0</v>
      </c>
      <c r="F36" s="14">
        <f t="shared" si="2"/>
        <v>1</v>
      </c>
      <c r="G36" s="429"/>
      <c r="H36" s="211">
        <f>INDEX(SelectedPortfolio_2019RSP!O:O,MATCH(A36,SelectedPortfolio_2019RSP!H:H,0))</f>
        <v>0</v>
      </c>
      <c r="I36" s="240">
        <f t="shared" si="3"/>
        <v>0</v>
      </c>
      <c r="J36" s="14">
        <f t="shared" si="4"/>
        <v>0</v>
      </c>
      <c r="K36" s="14">
        <f t="shared" si="5"/>
        <v>1</v>
      </c>
      <c r="L36" s="429"/>
    </row>
    <row r="37" spans="1:12">
      <c r="A37" s="143" t="s">
        <v>94</v>
      </c>
      <c r="B37" s="15">
        <f>SUMIF('5_BUSBAR ALLOC_Adj_TPPFeb2020'!A:A,'5b_ComparToPrevYr'!A37,'5_BUSBAR ALLOC_Adj_TPPFeb2020'!I:I)</f>
        <v>0</v>
      </c>
      <c r="C37" s="271">
        <f>INDEX(SelectedPortfolio_2019RSP!N:N,MATCH(A37,SelectedPortfolio_2019RSP!H:H,0))</f>
        <v>330</v>
      </c>
      <c r="D37" s="309">
        <f t="shared" si="0"/>
        <v>330</v>
      </c>
      <c r="E37" s="14">
        <f t="shared" si="1"/>
        <v>0</v>
      </c>
      <c r="F37" s="14">
        <f t="shared" si="2"/>
        <v>2</v>
      </c>
      <c r="G37" s="429" t="s">
        <v>111</v>
      </c>
      <c r="H37" s="211">
        <f>INDEX(SelectedPortfolio_2019RSP!O:O,MATCH(A37,SelectedPortfolio_2019RSP!H:H,0))</f>
        <v>330</v>
      </c>
      <c r="I37" s="240">
        <f t="shared" si="3"/>
        <v>330</v>
      </c>
      <c r="J37" s="14">
        <f t="shared" si="4"/>
        <v>0</v>
      </c>
      <c r="K37" s="14">
        <f t="shared" si="5"/>
        <v>2</v>
      </c>
      <c r="L37" s="429" t="s">
        <v>111</v>
      </c>
    </row>
    <row r="38" spans="1:12">
      <c r="A38" s="143" t="s">
        <v>95</v>
      </c>
      <c r="B38" s="15">
        <f>SUMIF('5_BUSBAR ALLOC_Adj_TPPFeb2020'!A:A,'5b_ComparToPrevYr'!A38,'5_BUSBAR ALLOC_Adj_TPPFeb2020'!I:I)</f>
        <v>0</v>
      </c>
      <c r="C38" s="271">
        <f>INDEX(SelectedPortfolio_2019RSP!N:N,MATCH(A38,SelectedPortfolio_2019RSP!H:H,0))</f>
        <v>0</v>
      </c>
      <c r="D38" s="309">
        <f t="shared" ref="D38:D69" si="9">IFERROR((C38-B38)/B38,C38-B38)</f>
        <v>0</v>
      </c>
      <c r="E38" s="14">
        <f t="shared" ref="E38:E70" si="10">IF(ABS(C38-B38)&gt;1000,1,0)</f>
        <v>0</v>
      </c>
      <c r="F38" s="14">
        <f t="shared" ref="F38:F70" si="11">IF(ABS(C38-B38)&gt;$B$1,3,IF(ABS(D38)&gt;$B$2,2,1))</f>
        <v>1</v>
      </c>
      <c r="G38" s="429"/>
      <c r="H38" s="211">
        <f>INDEX(SelectedPortfolio_2019RSP!O:O,MATCH(A38,SelectedPortfolio_2019RSP!H:H,0))</f>
        <v>0</v>
      </c>
      <c r="I38" s="240">
        <f t="shared" si="3"/>
        <v>0</v>
      </c>
      <c r="J38" s="14">
        <f t="shared" si="4"/>
        <v>0</v>
      </c>
      <c r="K38" s="14">
        <f t="shared" si="5"/>
        <v>1</v>
      </c>
      <c r="L38" s="429"/>
    </row>
    <row r="39" spans="1:12">
      <c r="A39" s="143" t="s">
        <v>96</v>
      </c>
      <c r="B39" s="15">
        <f>SUMIF('5_BUSBAR ALLOC_Adj_TPPFeb2020'!A:A,'5b_ComparToPrevYr'!A39,'5_BUSBAR ALLOC_Adj_TPPFeb2020'!I:I)</f>
        <v>0</v>
      </c>
      <c r="C39" s="271">
        <f>INDEX(SelectedPortfolio_2019RSP!N:N,MATCH(A39,SelectedPortfolio_2019RSP!H:H,0))</f>
        <v>0</v>
      </c>
      <c r="D39" s="309">
        <f t="shared" si="9"/>
        <v>0</v>
      </c>
      <c r="E39" s="14">
        <f t="shared" si="10"/>
        <v>0</v>
      </c>
      <c r="F39" s="14">
        <f t="shared" si="11"/>
        <v>1</v>
      </c>
      <c r="G39" s="429"/>
      <c r="H39" s="211">
        <f>INDEX(SelectedPortfolio_2019RSP!O:O,MATCH(A39,SelectedPortfolio_2019RSP!H:H,0))</f>
        <v>0</v>
      </c>
      <c r="I39" s="240">
        <f t="shared" si="3"/>
        <v>0</v>
      </c>
      <c r="J39" s="14">
        <f t="shared" si="4"/>
        <v>0</v>
      </c>
      <c r="K39" s="14">
        <f t="shared" si="5"/>
        <v>1</v>
      </c>
      <c r="L39" s="429"/>
    </row>
    <row r="40" spans="1:12">
      <c r="A40" s="143" t="s">
        <v>97</v>
      </c>
      <c r="B40" s="15">
        <f>SUMIF('5_BUSBAR ALLOC_Adj_TPPFeb2020'!A:A,'5b_ComparToPrevYr'!A40,'5_BUSBAR ALLOC_Adj_TPPFeb2020'!I:I)</f>
        <v>0</v>
      </c>
      <c r="C40" s="271">
        <f>INDEX(SelectedPortfolio_2019RSP!N:N,MATCH(A40,SelectedPortfolio_2019RSP!H:H,0))</f>
        <v>0</v>
      </c>
      <c r="D40" s="309">
        <f t="shared" si="9"/>
        <v>0</v>
      </c>
      <c r="E40" s="14">
        <f t="shared" si="10"/>
        <v>0</v>
      </c>
      <c r="F40" s="14">
        <f t="shared" si="11"/>
        <v>1</v>
      </c>
      <c r="G40" s="429"/>
      <c r="H40" s="211">
        <f>INDEX(SelectedPortfolio_2019RSP!O:O,MATCH(A40,SelectedPortfolio_2019RSP!H:H,0))</f>
        <v>0</v>
      </c>
      <c r="I40" s="240">
        <f t="shared" si="3"/>
        <v>0</v>
      </c>
      <c r="J40" s="14">
        <f t="shared" si="4"/>
        <v>0</v>
      </c>
      <c r="K40" s="14">
        <f t="shared" si="5"/>
        <v>1</v>
      </c>
      <c r="L40" s="429"/>
    </row>
    <row r="41" spans="1:12">
      <c r="A41" s="143" t="s">
        <v>98</v>
      </c>
      <c r="B41" s="15">
        <f>SUMIF('5_BUSBAR ALLOC_Adj_TPPFeb2020'!A:A,'5b_ComparToPrevYr'!A41,'5_BUSBAR ALLOC_Adj_TPPFeb2020'!I:I)</f>
        <v>0</v>
      </c>
      <c r="C41" s="271">
        <f>INDEX(SelectedPortfolio_2019RSP!N:N,MATCH(A41,SelectedPortfolio_2019RSP!H:H,0))</f>
        <v>0</v>
      </c>
      <c r="D41" s="309">
        <f t="shared" si="9"/>
        <v>0</v>
      </c>
      <c r="E41" s="14">
        <f t="shared" si="10"/>
        <v>0</v>
      </c>
      <c r="F41" s="14">
        <f t="shared" si="11"/>
        <v>1</v>
      </c>
      <c r="G41" s="429"/>
      <c r="H41" s="211">
        <f>INDEX(SelectedPortfolio_2019RSP!O:O,MATCH(A41,SelectedPortfolio_2019RSP!H:H,0))</f>
        <v>0</v>
      </c>
      <c r="I41" s="240">
        <f t="shared" si="3"/>
        <v>0</v>
      </c>
      <c r="J41" s="14">
        <f t="shared" si="4"/>
        <v>0</v>
      </c>
      <c r="K41" s="14">
        <f t="shared" si="5"/>
        <v>1</v>
      </c>
      <c r="L41" s="429"/>
    </row>
    <row r="42" spans="1:12">
      <c r="A42" s="143" t="s">
        <v>99</v>
      </c>
      <c r="B42" s="15">
        <f>SUMIF('5_BUSBAR ALLOC_Adj_TPPFeb2020'!A:A,'5b_ComparToPrevYr'!A42,'5_BUSBAR ALLOC_Adj_TPPFeb2020'!I:I)</f>
        <v>644</v>
      </c>
      <c r="C42" s="271">
        <f>INDEX(SelectedPortfolio_2019RSP!N:N,MATCH(A42,SelectedPortfolio_2019RSP!H:H,0))</f>
        <v>542</v>
      </c>
      <c r="D42" s="309">
        <f t="shared" si="9"/>
        <v>-0.15838509316770186</v>
      </c>
      <c r="E42" s="14">
        <f t="shared" si="10"/>
        <v>0</v>
      </c>
      <c r="F42" s="14">
        <f t="shared" si="11"/>
        <v>1</v>
      </c>
      <c r="G42" s="429"/>
      <c r="H42" s="211">
        <f>INDEX(SelectedPortfolio_2019RSP!O:O,MATCH(A42,SelectedPortfolio_2019RSP!H:H,0))</f>
        <v>542</v>
      </c>
      <c r="I42" s="240">
        <f t="shared" si="3"/>
        <v>-0.15838509316770186</v>
      </c>
      <c r="J42" s="14">
        <f t="shared" si="4"/>
        <v>0</v>
      </c>
      <c r="K42" s="14">
        <f t="shared" si="5"/>
        <v>1</v>
      </c>
      <c r="L42" s="429"/>
    </row>
    <row r="43" spans="1:12">
      <c r="A43" s="143" t="s">
        <v>100</v>
      </c>
      <c r="B43" s="15">
        <f>SUMIF('5_BUSBAR ALLOC_Adj_TPPFeb2020'!A:A,'5b_ComparToPrevYr'!A43,'5_BUSBAR ALLOC_Adj_TPPFeb2020'!I:I)</f>
        <v>0</v>
      </c>
      <c r="C43" s="271">
        <f>INDEX(SelectedPortfolio_2019RSP!N:N,MATCH(A43,SelectedPortfolio_2019RSP!H:H,0))</f>
        <v>862</v>
      </c>
      <c r="D43" s="309">
        <f t="shared" si="9"/>
        <v>862</v>
      </c>
      <c r="E43" s="14">
        <f t="shared" si="10"/>
        <v>0</v>
      </c>
      <c r="F43" s="14">
        <f t="shared" si="11"/>
        <v>2</v>
      </c>
      <c r="G43" s="429" t="s">
        <v>111</v>
      </c>
      <c r="H43" s="211">
        <f>INDEX(SelectedPortfolio_2019RSP!O:O,MATCH(A43,SelectedPortfolio_2019RSP!H:H,0))</f>
        <v>0</v>
      </c>
      <c r="I43" s="240">
        <f t="shared" si="3"/>
        <v>0</v>
      </c>
      <c r="J43" s="14">
        <f t="shared" si="4"/>
        <v>0</v>
      </c>
      <c r="K43" s="14">
        <f t="shared" si="5"/>
        <v>1</v>
      </c>
      <c r="L43" s="429"/>
    </row>
    <row r="44" spans="1:12">
      <c r="A44" s="143" t="s">
        <v>102</v>
      </c>
      <c r="B44" s="15">
        <f>SUMIF('5_BUSBAR ALLOC_Adj_TPPFeb2020'!A:A,'5b_ComparToPrevYr'!A44,'5_BUSBAR ALLOC_Adj_TPPFeb2020'!I:I)</f>
        <v>0</v>
      </c>
      <c r="C44" s="271">
        <f>INDEX(SelectedPortfolio_2019RSP!N:N,MATCH(A44,SelectedPortfolio_2019RSP!H:H,0))</f>
        <v>0</v>
      </c>
      <c r="D44" s="309">
        <f t="shared" si="9"/>
        <v>0</v>
      </c>
      <c r="E44" s="14">
        <f t="shared" si="10"/>
        <v>0</v>
      </c>
      <c r="F44" s="14">
        <f t="shared" si="11"/>
        <v>1</v>
      </c>
      <c r="G44" s="429"/>
      <c r="H44" s="211">
        <f>INDEX(SelectedPortfolio_2019RSP!O:O,MATCH(A44,SelectedPortfolio_2019RSP!H:H,0))</f>
        <v>0</v>
      </c>
      <c r="I44" s="240">
        <f t="shared" si="3"/>
        <v>0</v>
      </c>
      <c r="J44" s="14">
        <f t="shared" si="4"/>
        <v>0</v>
      </c>
      <c r="K44" s="14">
        <f t="shared" si="5"/>
        <v>1</v>
      </c>
      <c r="L44" s="429"/>
    </row>
    <row r="45" spans="1:12">
      <c r="A45" s="143" t="s">
        <v>103</v>
      </c>
      <c r="B45" s="15">
        <f>SUMIF('5_BUSBAR ALLOC_Adj_TPPFeb2020'!A:A,'5b_ComparToPrevYr'!A45,'5_BUSBAR ALLOC_Adj_TPPFeb2020'!I:I)</f>
        <v>3006</v>
      </c>
      <c r="C45" s="271">
        <f>INDEX(SelectedPortfolio_2019RSP!N:N,MATCH(A45,SelectedPortfolio_2019RSP!H:H,0))</f>
        <v>0</v>
      </c>
      <c r="D45" s="309">
        <f t="shared" si="9"/>
        <v>-1</v>
      </c>
      <c r="E45" s="14">
        <f t="shared" si="10"/>
        <v>1</v>
      </c>
      <c r="F45" s="14">
        <f t="shared" si="11"/>
        <v>3</v>
      </c>
      <c r="G45" s="429" t="s">
        <v>744</v>
      </c>
      <c r="H45" s="211">
        <f>INDEX(SelectedPortfolio_2019RSP!O:O,MATCH(A45,SelectedPortfolio_2019RSP!H:H,0))</f>
        <v>862</v>
      </c>
      <c r="I45" s="240">
        <f t="shared" si="3"/>
        <v>-0.71324018629407848</v>
      </c>
      <c r="J45" s="14">
        <f t="shared" si="4"/>
        <v>1</v>
      </c>
      <c r="K45" s="14">
        <f t="shared" si="5"/>
        <v>3</v>
      </c>
      <c r="L45" s="429" t="s">
        <v>744</v>
      </c>
    </row>
    <row r="46" spans="1:12">
      <c r="A46" s="143" t="s">
        <v>105</v>
      </c>
      <c r="B46" s="15">
        <f>SUMIF('5_BUSBAR ALLOC_Adj_TPPFeb2020'!A:A,'5b_ComparToPrevYr'!A46,'5_BUSBAR ALLOC_Adj_TPPFeb2020'!I:I)</f>
        <v>0</v>
      </c>
      <c r="C46" s="271">
        <f>INDEX(SelectedPortfolio_2019RSP!N:N,MATCH(A46,SelectedPortfolio_2019RSP!H:H,0))</f>
        <v>0</v>
      </c>
      <c r="D46" s="309">
        <f t="shared" si="9"/>
        <v>0</v>
      </c>
      <c r="E46" s="14">
        <f t="shared" si="10"/>
        <v>0</v>
      </c>
      <c r="F46" s="14">
        <f t="shared" si="11"/>
        <v>1</v>
      </c>
      <c r="G46" s="429"/>
      <c r="H46" s="211">
        <f>INDEX(SelectedPortfolio_2019RSP!O:O,MATCH(A46,SelectedPortfolio_2019RSP!H:H,0))</f>
        <v>0</v>
      </c>
      <c r="I46" s="240">
        <f t="shared" si="3"/>
        <v>0</v>
      </c>
      <c r="J46" s="14">
        <f t="shared" si="4"/>
        <v>0</v>
      </c>
      <c r="K46" s="14">
        <f t="shared" si="5"/>
        <v>1</v>
      </c>
      <c r="L46" s="429"/>
    </row>
    <row r="47" spans="1:12">
      <c r="A47" s="143" t="s">
        <v>106</v>
      </c>
      <c r="B47" s="15">
        <f>SUMIF('5_BUSBAR ALLOC_Adj_TPPFeb2020'!A:A,'5b_ComparToPrevYr'!A47,'5_BUSBAR ALLOC_Adj_TPPFeb2020'!I:I)</f>
        <v>0</v>
      </c>
      <c r="C47" s="271">
        <f>INDEX(SelectedPortfolio_2019RSP!N:N,MATCH(A47,SelectedPortfolio_2019RSP!H:H,0))</f>
        <v>0</v>
      </c>
      <c r="D47" s="309">
        <f t="shared" si="9"/>
        <v>0</v>
      </c>
      <c r="E47" s="14">
        <f t="shared" si="10"/>
        <v>0</v>
      </c>
      <c r="F47" s="14">
        <f t="shared" si="11"/>
        <v>1</v>
      </c>
      <c r="G47" s="429"/>
      <c r="H47" s="211">
        <f>INDEX(SelectedPortfolio_2019RSP!O:O,MATCH(A47,SelectedPortfolio_2019RSP!H:H,0))</f>
        <v>0</v>
      </c>
      <c r="I47" s="240">
        <f t="shared" si="3"/>
        <v>0</v>
      </c>
      <c r="J47" s="14">
        <f t="shared" si="4"/>
        <v>0</v>
      </c>
      <c r="K47" s="14">
        <f t="shared" si="5"/>
        <v>1</v>
      </c>
      <c r="L47" s="429"/>
    </row>
    <row r="48" spans="1:12">
      <c r="A48" s="143" t="s">
        <v>107</v>
      </c>
      <c r="B48" s="15">
        <f>SUMIF('5_BUSBAR ALLOC_Adj_TPPFeb2020'!A:A,'5b_ComparToPrevYr'!A48,'5_BUSBAR ALLOC_Adj_TPPFeb2020'!I:I)</f>
        <v>1153</v>
      </c>
      <c r="C48" s="271">
        <f>INDEX(SelectedPortfolio_2019RSP!N:N,MATCH(A48,SelectedPortfolio_2019RSP!H:H,0))</f>
        <v>4202</v>
      </c>
      <c r="D48" s="309">
        <f t="shared" si="9"/>
        <v>2.6444058976582827</v>
      </c>
      <c r="E48" s="14">
        <f t="shared" si="10"/>
        <v>1</v>
      </c>
      <c r="F48" s="14">
        <f t="shared" si="11"/>
        <v>3</v>
      </c>
      <c r="G48" s="429" t="s">
        <v>744</v>
      </c>
      <c r="H48" s="211">
        <f>INDEX(SelectedPortfolio_2019RSP!O:O,MATCH(A48,SelectedPortfolio_2019RSP!H:H,0))</f>
        <v>4202</v>
      </c>
      <c r="I48" s="240">
        <f t="shared" si="3"/>
        <v>2.6444058976582827</v>
      </c>
      <c r="J48" s="14">
        <f t="shared" si="4"/>
        <v>1</v>
      </c>
      <c r="K48" s="14">
        <f t="shared" si="5"/>
        <v>3</v>
      </c>
      <c r="L48" s="429" t="s">
        <v>744</v>
      </c>
    </row>
    <row r="49" spans="1:12">
      <c r="A49" s="143" t="s">
        <v>109</v>
      </c>
      <c r="B49" s="15">
        <f>SUMIF('5_BUSBAR ALLOC_Adj_TPPFeb2020'!A:A,'5b_ComparToPrevYr'!A49,'5_BUSBAR ALLOC_Adj_TPPFeb2020'!I:I)</f>
        <v>0</v>
      </c>
      <c r="C49" s="271">
        <f>INDEX(SelectedPortfolio_2019RSP!N:N,MATCH(A49,SelectedPortfolio_2019RSP!H:H,0))</f>
        <v>0</v>
      </c>
      <c r="D49" s="309">
        <f t="shared" si="9"/>
        <v>0</v>
      </c>
      <c r="E49" s="14">
        <f t="shared" si="10"/>
        <v>0</v>
      </c>
      <c r="F49" s="14">
        <f t="shared" si="11"/>
        <v>1</v>
      </c>
      <c r="G49" s="429"/>
      <c r="H49" s="211">
        <f>INDEX(SelectedPortfolio_2019RSP!O:O,MATCH(A49,SelectedPortfolio_2019RSP!H:H,0))</f>
        <v>0</v>
      </c>
      <c r="I49" s="240">
        <f t="shared" si="3"/>
        <v>0</v>
      </c>
      <c r="J49" s="14">
        <f t="shared" si="4"/>
        <v>0</v>
      </c>
      <c r="K49" s="14">
        <f t="shared" si="5"/>
        <v>1</v>
      </c>
      <c r="L49" s="429"/>
    </row>
    <row r="50" spans="1:12">
      <c r="A50" s="143" t="s">
        <v>110</v>
      </c>
      <c r="B50" s="15">
        <f>SUMIF('5_BUSBAR ALLOC_Adj_TPPFeb2020'!A:A,'5b_ComparToPrevYr'!A50,'5_BUSBAR ALLOC_Adj_TPPFeb2020'!I:I)</f>
        <v>0</v>
      </c>
      <c r="C50" s="271">
        <f>INDEX(SelectedPortfolio_2019RSP!N:N,MATCH(A50,SelectedPortfolio_2019RSP!H:H,0))</f>
        <v>275</v>
      </c>
      <c r="D50" s="309">
        <f t="shared" si="9"/>
        <v>275</v>
      </c>
      <c r="E50" s="14">
        <f t="shared" si="10"/>
        <v>0</v>
      </c>
      <c r="F50" s="14">
        <f t="shared" si="11"/>
        <v>2</v>
      </c>
      <c r="G50" s="429" t="s">
        <v>111</v>
      </c>
      <c r="H50" s="211">
        <f>INDEX(SelectedPortfolio_2019RSP!O:O,MATCH(A50,SelectedPortfolio_2019RSP!H:H,0))</f>
        <v>275</v>
      </c>
      <c r="I50" s="240">
        <f t="shared" si="3"/>
        <v>275</v>
      </c>
      <c r="J50" s="14">
        <f t="shared" si="4"/>
        <v>0</v>
      </c>
      <c r="K50" s="14">
        <f t="shared" si="5"/>
        <v>2</v>
      </c>
      <c r="L50" s="429" t="s">
        <v>111</v>
      </c>
    </row>
    <row r="51" spans="1:12">
      <c r="A51" s="143" t="s">
        <v>112</v>
      </c>
      <c r="B51" s="15">
        <f>SUMIF('5_BUSBAR ALLOC_Adj_TPPFeb2020'!A:A,'5b_ComparToPrevYr'!A51,'5_BUSBAR ALLOC_Adj_TPPFeb2020'!I:I)</f>
        <v>0</v>
      </c>
      <c r="C51" s="271">
        <f>INDEX(SelectedPortfolio_2019RSP!N:N,MATCH(A51,SelectedPortfolio_2019RSP!H:H,0))</f>
        <v>1778.57</v>
      </c>
      <c r="D51" s="309">
        <f t="shared" si="9"/>
        <v>1778.57</v>
      </c>
      <c r="E51" s="14">
        <f t="shared" si="10"/>
        <v>1</v>
      </c>
      <c r="F51" s="14">
        <f t="shared" si="11"/>
        <v>3</v>
      </c>
      <c r="G51" s="429" t="s">
        <v>744</v>
      </c>
      <c r="H51" s="211">
        <f>INDEX(SelectedPortfolio_2019RSP!O:O,MATCH(A51,SelectedPortfolio_2019RSP!H:H,0))</f>
        <v>-0.43000000000006366</v>
      </c>
      <c r="I51" s="240">
        <f t="shared" si="3"/>
        <v>-0.43000000000006366</v>
      </c>
      <c r="J51" s="14">
        <f t="shared" si="4"/>
        <v>0</v>
      </c>
      <c r="K51" s="14">
        <f t="shared" si="5"/>
        <v>1</v>
      </c>
      <c r="L51" s="429" t="s">
        <v>744</v>
      </c>
    </row>
    <row r="52" spans="1:12">
      <c r="A52" s="143" t="s">
        <v>114</v>
      </c>
      <c r="B52" s="15">
        <f>SUMIF('5_BUSBAR ALLOC_Adj_TPPFeb2020'!A:A,'5b_ComparToPrevYr'!A52,'5_BUSBAR ALLOC_Adj_TPPFeb2020'!I:I)</f>
        <v>0</v>
      </c>
      <c r="C52" s="271">
        <f>INDEX(SelectedPortfolio_2019RSP!N:N,MATCH(A52,SelectedPortfolio_2019RSP!H:H,0))</f>
        <v>0</v>
      </c>
      <c r="D52" s="309">
        <f t="shared" si="9"/>
        <v>0</v>
      </c>
      <c r="E52" s="14">
        <f t="shared" si="10"/>
        <v>0</v>
      </c>
      <c r="F52" s="14">
        <f t="shared" si="11"/>
        <v>1</v>
      </c>
      <c r="G52" s="429"/>
      <c r="H52" s="211">
        <f>INDEX(SelectedPortfolio_2019RSP!O:O,MATCH(A52,SelectedPortfolio_2019RSP!H:H,0))</f>
        <v>0</v>
      </c>
      <c r="I52" s="240">
        <f t="shared" si="3"/>
        <v>0</v>
      </c>
      <c r="J52" s="14">
        <f t="shared" si="4"/>
        <v>0</v>
      </c>
      <c r="K52" s="14">
        <f t="shared" si="5"/>
        <v>1</v>
      </c>
      <c r="L52" s="429"/>
    </row>
    <row r="53" spans="1:12">
      <c r="A53" s="143" t="s">
        <v>115</v>
      </c>
      <c r="B53" s="15">
        <f>SUMIF('5_BUSBAR ALLOC_Adj_TPPFeb2020'!A:A,'5b_ComparToPrevYr'!A53,'5_BUSBAR ALLOC_Adj_TPPFeb2020'!I:I)</f>
        <v>0</v>
      </c>
      <c r="C53" s="271">
        <f>INDEX(SelectedPortfolio_2019RSP!N:N,MATCH(A53,SelectedPortfolio_2019RSP!H:H,0))</f>
        <v>58.21</v>
      </c>
      <c r="D53" s="309">
        <f t="shared" si="9"/>
        <v>58.21</v>
      </c>
      <c r="E53" s="14">
        <f t="shared" si="10"/>
        <v>0</v>
      </c>
      <c r="F53" s="14">
        <f t="shared" si="11"/>
        <v>2</v>
      </c>
      <c r="G53" s="429" t="s">
        <v>111</v>
      </c>
      <c r="H53" s="211">
        <f>INDEX(SelectedPortfolio_2019RSP!O:O,MATCH(A53,SelectedPortfolio_2019RSP!H:H,0))</f>
        <v>1836.21</v>
      </c>
      <c r="I53" s="240">
        <f t="shared" si="3"/>
        <v>1836.21</v>
      </c>
      <c r="J53" s="14">
        <f t="shared" si="4"/>
        <v>1</v>
      </c>
      <c r="K53" s="14">
        <f t="shared" si="5"/>
        <v>3</v>
      </c>
      <c r="L53" s="429" t="s">
        <v>111</v>
      </c>
    </row>
    <row r="54" spans="1:12">
      <c r="A54" s="143" t="s">
        <v>117</v>
      </c>
      <c r="B54" s="15">
        <f>SUMIF('5_BUSBAR ALLOC_Adj_TPPFeb2020'!A:A,'5b_ComparToPrevYr'!A54,'5_BUSBAR ALLOC_Adj_TPPFeb2020'!I:I)</f>
        <v>0</v>
      </c>
      <c r="C54" s="271">
        <f>INDEX(SelectedPortfolio_2019RSP!N:N,MATCH(A54,SelectedPortfolio_2019RSP!H:H,0))</f>
        <v>0</v>
      </c>
      <c r="D54" s="309">
        <f t="shared" si="9"/>
        <v>0</v>
      </c>
      <c r="E54" s="14">
        <f t="shared" si="10"/>
        <v>0</v>
      </c>
      <c r="F54" s="14">
        <f t="shared" si="11"/>
        <v>1</v>
      </c>
      <c r="G54" s="429"/>
      <c r="H54" s="211">
        <f>INDEX(SelectedPortfolio_2019RSP!O:O,MATCH(A54,SelectedPortfolio_2019RSP!H:H,0))</f>
        <v>0</v>
      </c>
      <c r="I54" s="240">
        <f t="shared" si="3"/>
        <v>0</v>
      </c>
      <c r="J54" s="14">
        <f t="shared" si="4"/>
        <v>0</v>
      </c>
      <c r="K54" s="14">
        <f t="shared" si="5"/>
        <v>1</v>
      </c>
      <c r="L54" s="429"/>
    </row>
    <row r="55" spans="1:12">
      <c r="A55" s="143" t="s">
        <v>118</v>
      </c>
      <c r="B55" s="15">
        <f>SUMIF('5_BUSBAR ALLOC_Adj_TPPFeb2020'!A:A,'5b_ComparToPrevYr'!A55,'5_BUSBAR ALLOC_Adj_TPPFeb2020'!I:I)</f>
        <v>0</v>
      </c>
      <c r="C55" s="271">
        <f>INDEX(SelectedPortfolio_2019RSP!N:N,MATCH(A55,SelectedPortfolio_2019RSP!H:H,0))</f>
        <v>0</v>
      </c>
      <c r="D55" s="309">
        <f t="shared" si="9"/>
        <v>0</v>
      </c>
      <c r="E55" s="14">
        <f t="shared" si="10"/>
        <v>0</v>
      </c>
      <c r="F55" s="14">
        <f t="shared" si="11"/>
        <v>1</v>
      </c>
      <c r="G55" s="429"/>
      <c r="H55" s="211">
        <f>INDEX(SelectedPortfolio_2019RSP!O:O,MATCH(A55,SelectedPortfolio_2019RSP!H:H,0))</f>
        <v>0</v>
      </c>
      <c r="I55" s="240">
        <f t="shared" si="3"/>
        <v>0</v>
      </c>
      <c r="J55" s="14">
        <f t="shared" si="4"/>
        <v>0</v>
      </c>
      <c r="K55" s="14">
        <f t="shared" si="5"/>
        <v>1</v>
      </c>
      <c r="L55" s="429"/>
    </row>
    <row r="56" spans="1:12">
      <c r="A56" s="143" t="s">
        <v>119</v>
      </c>
      <c r="B56" s="15">
        <f>SUMIF('5_BUSBAR ALLOC_Adj_TPPFeb2020'!A:A,'5b_ComparToPrevYr'!A56,'5_BUSBAR ALLOC_Adj_TPPFeb2020'!I:I)</f>
        <v>0</v>
      </c>
      <c r="C56" s="271">
        <f>INDEX(SelectedPortfolio_2019RSP!N:N,MATCH(A56,SelectedPortfolio_2019RSP!H:H,0))</f>
        <v>0</v>
      </c>
      <c r="D56" s="309">
        <f t="shared" si="9"/>
        <v>0</v>
      </c>
      <c r="E56" s="14">
        <f t="shared" si="10"/>
        <v>0</v>
      </c>
      <c r="F56" s="14">
        <f t="shared" si="11"/>
        <v>1</v>
      </c>
      <c r="G56" s="429"/>
      <c r="H56" s="211">
        <f>INDEX(SelectedPortfolio_2019RSP!O:O,MATCH(A56,SelectedPortfolio_2019RSP!H:H,0))</f>
        <v>0</v>
      </c>
      <c r="I56" s="240">
        <f t="shared" si="3"/>
        <v>0</v>
      </c>
      <c r="J56" s="14">
        <f t="shared" si="4"/>
        <v>0</v>
      </c>
      <c r="K56" s="14">
        <f t="shared" si="5"/>
        <v>1</v>
      </c>
      <c r="L56" s="429"/>
    </row>
    <row r="57" spans="1:12">
      <c r="A57" s="143" t="s">
        <v>120</v>
      </c>
      <c r="B57" s="15">
        <f>SUMIF('5_BUSBAR ALLOC_Adj_TPPFeb2020'!A:A,'5b_ComparToPrevYr'!A57,'5_BUSBAR ALLOC_Adj_TPPFeb2020'!I:I)</f>
        <v>0</v>
      </c>
      <c r="C57" s="271">
        <f>INDEX(SelectedPortfolio_2019RSP!N:N,MATCH(A57,SelectedPortfolio_2019RSP!H:H,0))</f>
        <v>0</v>
      </c>
      <c r="D57" s="309">
        <f t="shared" si="9"/>
        <v>0</v>
      </c>
      <c r="E57" s="14">
        <f t="shared" si="10"/>
        <v>0</v>
      </c>
      <c r="F57" s="14">
        <f t="shared" si="11"/>
        <v>1</v>
      </c>
      <c r="G57" s="429"/>
      <c r="H57" s="211">
        <f>INDEX(SelectedPortfolio_2019RSP!O:O,MATCH(A57,SelectedPortfolio_2019RSP!H:H,0))</f>
        <v>0</v>
      </c>
      <c r="I57" s="240">
        <f t="shared" si="3"/>
        <v>0</v>
      </c>
      <c r="J57" s="14">
        <f t="shared" si="4"/>
        <v>0</v>
      </c>
      <c r="K57" s="14">
        <f t="shared" si="5"/>
        <v>1</v>
      </c>
      <c r="L57" s="429"/>
    </row>
    <row r="58" spans="1:12">
      <c r="A58" s="143" t="s">
        <v>121</v>
      </c>
      <c r="B58" s="15">
        <f>SUMIF('5_BUSBAR ALLOC_Adj_TPPFeb2020'!A:A,'5b_ComparToPrevYr'!A58,'5_BUSBAR ALLOC_Adj_TPPFeb2020'!I:I)</f>
        <v>0</v>
      </c>
      <c r="C58" s="271">
        <f>INDEX(SelectedPortfolio_2019RSP!N:N,MATCH(A58,SelectedPortfolio_2019RSP!H:H,0))</f>
        <v>0</v>
      </c>
      <c r="D58" s="309">
        <f t="shared" si="9"/>
        <v>0</v>
      </c>
      <c r="E58" s="14">
        <f t="shared" si="10"/>
        <v>0</v>
      </c>
      <c r="F58" s="14">
        <f t="shared" si="11"/>
        <v>1</v>
      </c>
      <c r="G58" s="429"/>
      <c r="H58" s="211">
        <f>INDEX(SelectedPortfolio_2019RSP!O:O,MATCH(A58,SelectedPortfolio_2019RSP!H:H,0))</f>
        <v>0</v>
      </c>
      <c r="I58" s="240">
        <f t="shared" si="3"/>
        <v>0</v>
      </c>
      <c r="J58" s="14">
        <f t="shared" si="4"/>
        <v>0</v>
      </c>
      <c r="K58" s="14">
        <f t="shared" si="5"/>
        <v>1</v>
      </c>
      <c r="L58" s="429"/>
    </row>
    <row r="59" spans="1:12">
      <c r="A59" s="143" t="s">
        <v>122</v>
      </c>
      <c r="B59" s="15">
        <f>SUMIF('5_BUSBAR ALLOC_Adj_TPPFeb2020'!A:A,'5b_ComparToPrevYr'!A59,'5_BUSBAR ALLOC_Adj_TPPFeb2020'!I:I)</f>
        <v>0</v>
      </c>
      <c r="C59" s="271">
        <f>INDEX(SelectedPortfolio_2019RSP!N:N,MATCH(A59,SelectedPortfolio_2019RSP!H:H,0))</f>
        <v>0</v>
      </c>
      <c r="D59" s="309">
        <f t="shared" si="9"/>
        <v>0</v>
      </c>
      <c r="E59" s="14">
        <f t="shared" si="10"/>
        <v>0</v>
      </c>
      <c r="F59" s="14">
        <f t="shared" si="11"/>
        <v>1</v>
      </c>
      <c r="G59" s="429"/>
      <c r="H59" s="211">
        <f>INDEX(SelectedPortfolio_2019RSP!O:O,MATCH(A59,SelectedPortfolio_2019RSP!H:H,0))</f>
        <v>0</v>
      </c>
      <c r="I59" s="240">
        <f t="shared" si="3"/>
        <v>0</v>
      </c>
      <c r="J59" s="14">
        <f t="shared" si="4"/>
        <v>0</v>
      </c>
      <c r="K59" s="14">
        <f t="shared" si="5"/>
        <v>1</v>
      </c>
      <c r="L59" s="429"/>
    </row>
    <row r="60" spans="1:12">
      <c r="A60" s="143" t="s">
        <v>123</v>
      </c>
      <c r="B60" s="15">
        <f>SUMIF('5_BUSBAR ALLOC_Adj_TPPFeb2020'!A:A,'5b_ComparToPrevYr'!A60,'5_BUSBAR ALLOC_Adj_TPPFeb2020'!I:I)</f>
        <v>0</v>
      </c>
      <c r="C60" s="271">
        <f>INDEX(SelectedPortfolio_2019RSP!N:N,MATCH(A60,SelectedPortfolio_2019RSP!H:H,0))</f>
        <v>0</v>
      </c>
      <c r="D60" s="309">
        <f t="shared" si="9"/>
        <v>0</v>
      </c>
      <c r="E60" s="14">
        <f t="shared" si="10"/>
        <v>0</v>
      </c>
      <c r="F60" s="14">
        <f t="shared" si="11"/>
        <v>1</v>
      </c>
      <c r="G60" s="429"/>
      <c r="H60" s="211">
        <f>INDEX(SelectedPortfolio_2019RSP!O:O,MATCH(A60,SelectedPortfolio_2019RSP!H:H,0))</f>
        <v>0</v>
      </c>
      <c r="I60" s="240">
        <f t="shared" si="3"/>
        <v>0</v>
      </c>
      <c r="J60" s="14">
        <f t="shared" si="4"/>
        <v>0</v>
      </c>
      <c r="K60" s="14">
        <f t="shared" si="5"/>
        <v>1</v>
      </c>
      <c r="L60" s="429"/>
    </row>
    <row r="61" spans="1:12">
      <c r="A61" s="143" t="s">
        <v>124</v>
      </c>
      <c r="B61" s="15">
        <f>SUMIF('5_BUSBAR ALLOC_Adj_TPPFeb2020'!A:A,'5b_ComparToPrevYr'!A61,'5_BUSBAR ALLOC_Adj_TPPFeb2020'!I:I)</f>
        <v>428</v>
      </c>
      <c r="C61" s="271">
        <f>INDEX(SelectedPortfolio_2019RSP!N:N,MATCH(A61,SelectedPortfolio_2019RSP!H:H,0))</f>
        <v>2352.08</v>
      </c>
      <c r="D61" s="309">
        <f t="shared" si="9"/>
        <v>4.4955140186915887</v>
      </c>
      <c r="E61" s="14">
        <f>IF(ABS(C61-B61)&gt;1000,1,0)</f>
        <v>1</v>
      </c>
      <c r="F61" s="14">
        <f t="shared" si="11"/>
        <v>3</v>
      </c>
      <c r="G61" s="429" t="s">
        <v>744</v>
      </c>
      <c r="H61" s="211">
        <f>INDEX(SelectedPortfolio_2019RSP!O:O,MATCH(A61,SelectedPortfolio_2019RSP!H:H,0))</f>
        <v>2352.08</v>
      </c>
      <c r="I61" s="240">
        <f t="shared" si="3"/>
        <v>4.4955140186915887</v>
      </c>
      <c r="J61" s="14">
        <f t="shared" si="4"/>
        <v>1</v>
      </c>
      <c r="K61" s="14">
        <f t="shared" si="5"/>
        <v>3</v>
      </c>
      <c r="L61" s="429" t="s">
        <v>744</v>
      </c>
    </row>
    <row r="62" spans="1:12">
      <c r="A62" s="143" t="s">
        <v>126</v>
      </c>
      <c r="B62" s="15">
        <f>SUMIF('5_BUSBAR ALLOC_Adj_TPPFeb2020'!A:A,'5b_ComparToPrevYr'!A62,'5_BUSBAR ALLOC_Adj_TPPFeb2020'!I:I)</f>
        <v>0</v>
      </c>
      <c r="C62" s="271">
        <f>INDEX(SelectedPortfolio_2019RSP!N:N,MATCH(A62,SelectedPortfolio_2019RSP!H:H,0))</f>
        <v>0</v>
      </c>
      <c r="D62" s="309">
        <f t="shared" si="9"/>
        <v>0</v>
      </c>
      <c r="E62" s="14">
        <f t="shared" si="10"/>
        <v>0</v>
      </c>
      <c r="F62" s="14">
        <f t="shared" si="11"/>
        <v>1</v>
      </c>
      <c r="G62" s="429"/>
      <c r="H62" s="211">
        <f>INDEX(SelectedPortfolio_2019RSP!O:O,MATCH(A62,SelectedPortfolio_2019RSP!H:H,0))</f>
        <v>0</v>
      </c>
      <c r="I62" s="240">
        <f t="shared" si="3"/>
        <v>0</v>
      </c>
      <c r="J62" s="14">
        <f t="shared" si="4"/>
        <v>0</v>
      </c>
      <c r="K62" s="14">
        <f t="shared" si="5"/>
        <v>1</v>
      </c>
      <c r="L62" s="429"/>
    </row>
    <row r="63" spans="1:12">
      <c r="A63" s="143" t="s">
        <v>127</v>
      </c>
      <c r="B63" s="15">
        <f>SUMIF('5_BUSBAR ALLOC_Adj_TPPFeb2020'!A:A,'5b_ComparToPrevYr'!A63,'5_BUSBAR ALLOC_Adj_TPPFeb2020'!I:I)</f>
        <v>0</v>
      </c>
      <c r="C63" s="271">
        <f>INDEX(SelectedPortfolio_2019RSP!N:N,MATCH(A63,SelectedPortfolio_2019RSP!H:H,0))</f>
        <v>0</v>
      </c>
      <c r="D63" s="309">
        <f t="shared" si="9"/>
        <v>0</v>
      </c>
      <c r="E63" s="14">
        <f t="shared" si="10"/>
        <v>0</v>
      </c>
      <c r="F63" s="14">
        <f t="shared" si="11"/>
        <v>1</v>
      </c>
      <c r="G63" s="429"/>
      <c r="H63" s="211">
        <f>INDEX(SelectedPortfolio_2019RSP!O:O,MATCH(A63,SelectedPortfolio_2019RSP!H:H,0))</f>
        <v>0</v>
      </c>
      <c r="I63" s="240">
        <f t="shared" si="3"/>
        <v>0</v>
      </c>
      <c r="J63" s="14">
        <f t="shared" si="4"/>
        <v>0</v>
      </c>
      <c r="K63" s="14">
        <f t="shared" si="5"/>
        <v>1</v>
      </c>
      <c r="L63" s="429"/>
    </row>
    <row r="64" spans="1:12">
      <c r="A64" s="143" t="s">
        <v>128</v>
      </c>
      <c r="B64" s="15">
        <f>SUMIF('5_BUSBAR ALLOC_Adj_TPPFeb2020'!A:A,'5b_ComparToPrevYr'!A64,'5_BUSBAR ALLOC_Adj_TPPFeb2020'!I:I)</f>
        <v>0</v>
      </c>
      <c r="C64" s="271">
        <f>INDEX(SelectedPortfolio_2019RSP!N:N,MATCH(A64,SelectedPortfolio_2019RSP!H:H,0))</f>
        <v>600</v>
      </c>
      <c r="D64" s="309">
        <f t="shared" si="9"/>
        <v>600</v>
      </c>
      <c r="E64" s="14">
        <f t="shared" si="10"/>
        <v>0</v>
      </c>
      <c r="F64" s="14">
        <f t="shared" si="11"/>
        <v>2</v>
      </c>
      <c r="G64" s="429" t="s">
        <v>111</v>
      </c>
      <c r="H64" s="211">
        <f>INDEX(SelectedPortfolio_2019RSP!O:O,MATCH(A64,SelectedPortfolio_2019RSP!H:H,0))</f>
        <v>600</v>
      </c>
      <c r="I64" s="240">
        <f t="shared" si="3"/>
        <v>600</v>
      </c>
      <c r="J64" s="14">
        <f t="shared" si="4"/>
        <v>0</v>
      </c>
      <c r="K64" s="14">
        <f t="shared" si="5"/>
        <v>2</v>
      </c>
      <c r="L64" s="429" t="s">
        <v>111</v>
      </c>
    </row>
    <row r="65" spans="1:12">
      <c r="A65" s="143" t="s">
        <v>130</v>
      </c>
      <c r="B65" s="15">
        <f>SUMIF('5_BUSBAR ALLOC_Adj_TPPFeb2020'!A:A,'5b_ComparToPrevYr'!A65,'5_BUSBAR ALLOC_Adj_TPPFeb2020'!I:I)</f>
        <v>0</v>
      </c>
      <c r="C65" s="271">
        <f>INDEX(SelectedPortfolio_2019RSP!N:N,MATCH(A65,SelectedPortfolio_2019RSP!H:H,0))</f>
        <v>0</v>
      </c>
      <c r="D65" s="309">
        <f t="shared" si="9"/>
        <v>0</v>
      </c>
      <c r="E65" s="14">
        <f t="shared" si="10"/>
        <v>0</v>
      </c>
      <c r="F65" s="14">
        <f t="shared" si="11"/>
        <v>1</v>
      </c>
      <c r="G65" s="429"/>
      <c r="H65" s="211">
        <f>INDEX(SelectedPortfolio_2019RSP!O:O,MATCH(A65,SelectedPortfolio_2019RSP!H:H,0))</f>
        <v>0</v>
      </c>
      <c r="I65" s="240">
        <f t="shared" si="3"/>
        <v>0</v>
      </c>
      <c r="J65" s="14">
        <f t="shared" si="4"/>
        <v>0</v>
      </c>
      <c r="K65" s="14">
        <f t="shared" si="5"/>
        <v>1</v>
      </c>
      <c r="L65" s="429"/>
    </row>
    <row r="66" spans="1:12">
      <c r="A66" s="143" t="s">
        <v>131</v>
      </c>
      <c r="B66" s="15">
        <f>SUMIF('5_BUSBAR ALLOC_Adj_TPPFeb2020'!A:A,'5b_ComparToPrevYr'!A66,'5_BUSBAR ALLOC_Adj_TPPFeb2020'!I:I)</f>
        <v>0</v>
      </c>
      <c r="C66" s="271">
        <f>INDEX(SelectedPortfolio_2019RSP!N:N,MATCH(A66,SelectedPortfolio_2019RSP!H:H,0))</f>
        <v>0</v>
      </c>
      <c r="D66" s="309">
        <f t="shared" si="9"/>
        <v>0</v>
      </c>
      <c r="E66" s="14">
        <f t="shared" si="10"/>
        <v>0</v>
      </c>
      <c r="F66" s="14">
        <f t="shared" si="11"/>
        <v>1</v>
      </c>
      <c r="G66" s="429"/>
      <c r="H66" s="211">
        <f>INDEX(SelectedPortfolio_2019RSP!O:O,MATCH(A66,SelectedPortfolio_2019RSP!H:H,0))</f>
        <v>0</v>
      </c>
      <c r="I66" s="240">
        <f t="shared" si="3"/>
        <v>0</v>
      </c>
      <c r="J66" s="14">
        <f t="shared" si="4"/>
        <v>0</v>
      </c>
      <c r="K66" s="14">
        <f t="shared" si="5"/>
        <v>1</v>
      </c>
      <c r="L66" s="429"/>
    </row>
    <row r="67" spans="1:12">
      <c r="A67" s="143" t="s">
        <v>132</v>
      </c>
      <c r="B67" s="15">
        <f>SUMIF('5_BUSBAR ALLOC_Adj_TPPFeb2020'!A:A,'5b_ComparToPrevYr'!A67,'5_BUSBAR ALLOC_Adj_TPPFeb2020'!I:I)</f>
        <v>0</v>
      </c>
      <c r="C67" s="271">
        <f>INDEX(SelectedPortfolio_2019RSP!N:N,MATCH(A67,SelectedPortfolio_2019RSP!H:H,0))</f>
        <v>0</v>
      </c>
      <c r="D67" s="309">
        <f t="shared" si="9"/>
        <v>0</v>
      </c>
      <c r="E67" s="14">
        <f t="shared" si="10"/>
        <v>0</v>
      </c>
      <c r="F67" s="14">
        <f t="shared" si="11"/>
        <v>1</v>
      </c>
      <c r="G67" s="429"/>
      <c r="H67" s="211">
        <f>INDEX(SelectedPortfolio_2019RSP!O:O,MATCH(A67,SelectedPortfolio_2019RSP!H:H,0))</f>
        <v>0</v>
      </c>
      <c r="I67" s="240">
        <f t="shared" si="3"/>
        <v>0</v>
      </c>
      <c r="J67" s="14">
        <f t="shared" si="4"/>
        <v>0</v>
      </c>
      <c r="K67" s="14">
        <f t="shared" si="5"/>
        <v>1</v>
      </c>
      <c r="L67" s="429"/>
    </row>
    <row r="68" spans="1:12">
      <c r="A68" s="143" t="s">
        <v>133</v>
      </c>
      <c r="B68" s="15">
        <f>SUMIF('5_BUSBAR ALLOC_Adj_TPPFeb2020'!A:A,'5b_ComparToPrevYr'!A68,'5_BUSBAR ALLOC_Adj_TPPFeb2020'!I:I)</f>
        <v>0</v>
      </c>
      <c r="C68" s="271">
        <f>INDEX(SelectedPortfolio_2019RSP!N:N,MATCH(A68,SelectedPortfolio_2019RSP!H:H,0))</f>
        <v>0</v>
      </c>
      <c r="D68" s="309">
        <f t="shared" si="9"/>
        <v>0</v>
      </c>
      <c r="E68" s="14">
        <f t="shared" si="10"/>
        <v>0</v>
      </c>
      <c r="F68" s="14">
        <f t="shared" si="11"/>
        <v>1</v>
      </c>
      <c r="G68" s="429"/>
      <c r="H68" s="211">
        <f>INDEX(SelectedPortfolio_2019RSP!O:O,MATCH(A68,SelectedPortfolio_2019RSP!H:H,0))</f>
        <v>0</v>
      </c>
      <c r="I68" s="240">
        <f t="shared" si="3"/>
        <v>0</v>
      </c>
      <c r="J68" s="14">
        <f t="shared" si="4"/>
        <v>0</v>
      </c>
      <c r="K68" s="14">
        <f t="shared" si="5"/>
        <v>1</v>
      </c>
      <c r="L68" s="429"/>
    </row>
    <row r="69" spans="1:12">
      <c r="A69" s="143" t="s">
        <v>134</v>
      </c>
      <c r="B69" s="15">
        <f>SUMIF('5_BUSBAR ALLOC_Adj_TPPFeb2020'!A:A,'5b_ComparToPrevYr'!A69,'5_BUSBAR ALLOC_Adj_TPPFeb2020'!I:I)</f>
        <v>0</v>
      </c>
      <c r="C69" s="271">
        <f>INDEX(SelectedPortfolio_2019RSP!N:N,MATCH(A69,SelectedPortfolio_2019RSP!H:H,0))</f>
        <v>0</v>
      </c>
      <c r="D69" s="309">
        <f t="shared" si="9"/>
        <v>0</v>
      </c>
      <c r="E69" s="14">
        <f t="shared" si="10"/>
        <v>0</v>
      </c>
      <c r="F69" s="14">
        <f t="shared" si="11"/>
        <v>1</v>
      </c>
      <c r="G69" s="429"/>
      <c r="H69" s="211">
        <f>INDEX(SelectedPortfolio_2019RSP!O:O,MATCH(A69,SelectedPortfolio_2019RSP!H:H,0))</f>
        <v>0</v>
      </c>
      <c r="I69" s="240">
        <f t="shared" si="3"/>
        <v>0</v>
      </c>
      <c r="J69" s="14">
        <f t="shared" si="4"/>
        <v>0</v>
      </c>
      <c r="K69" s="14">
        <f t="shared" si="5"/>
        <v>1</v>
      </c>
      <c r="L69" s="429"/>
    </row>
    <row r="70" spans="1:12">
      <c r="A70" s="143" t="s">
        <v>135</v>
      </c>
      <c r="B70" s="15">
        <f>SUMIF('5_BUSBAR ALLOC_Adj_TPPFeb2020'!A:A,'5b_ComparToPrevYr'!A70,'5_BUSBAR ALLOC_Adj_TPPFeb2020'!I:I)</f>
        <v>0</v>
      </c>
      <c r="C70" s="271">
        <f>INDEX(SelectedPortfolio_2019RSP!N:N,MATCH(A70,SelectedPortfolio_2019RSP!H:H,0))</f>
        <v>606.16999999999996</v>
      </c>
      <c r="D70" s="309">
        <f t="shared" ref="D70" si="12">IFERROR((C70-B70)/B70,C70-B70)</f>
        <v>606.16999999999996</v>
      </c>
      <c r="E70" s="14">
        <f t="shared" si="10"/>
        <v>0</v>
      </c>
      <c r="F70" s="14">
        <f t="shared" si="11"/>
        <v>2</v>
      </c>
      <c r="G70" s="429" t="s">
        <v>111</v>
      </c>
      <c r="H70" s="211">
        <f>INDEX(SelectedPortfolio_2019RSP!O:O,MATCH(A70,SelectedPortfolio_2019RSP!H:H,0))</f>
        <v>606.16999999999996</v>
      </c>
      <c r="I70" s="240">
        <f t="shared" si="3"/>
        <v>606.16999999999996</v>
      </c>
      <c r="J70" s="14">
        <f t="shared" si="4"/>
        <v>0</v>
      </c>
      <c r="K70" s="14">
        <f t="shared" si="5"/>
        <v>2</v>
      </c>
      <c r="L70" s="429" t="s">
        <v>111</v>
      </c>
    </row>
    <row r="71" spans="1:12" s="405" customFormat="1">
      <c r="A71" s="423" t="s">
        <v>169</v>
      </c>
      <c r="B71" s="15">
        <v>0</v>
      </c>
      <c r="C71" s="271">
        <f>INDEX(SelectedPortfolio_2019RSP!N:N,MATCH(A71,SelectedPortfolio_2019RSP!H:H,0))</f>
        <v>0</v>
      </c>
      <c r="D71" s="309">
        <f t="shared" ref="D71" si="13">IFERROR((C71-B71)/B71,C71-B71)</f>
        <v>0</v>
      </c>
      <c r="E71" s="14">
        <f t="shared" ref="E71" si="14">IF(ABS(C71-B71)&gt;1000,1,0)</f>
        <v>0</v>
      </c>
      <c r="F71" s="14">
        <f t="shared" ref="F71" si="15">IF(ABS(C71-B71)&gt;$B$1,3,IF(ABS(D71)&gt;$B$2,2,1))</f>
        <v>1</v>
      </c>
      <c r="G71" s="429"/>
      <c r="H71" s="211">
        <f>INDEX(SelectedPortfolio_2019RSP!O:O,MATCH(A71,SelectedPortfolio_2019RSP!H:H,0))</f>
        <v>974</v>
      </c>
      <c r="I71" s="240">
        <f t="shared" ref="I71" si="16">IFERROR((H71-$B71)/$B71,H71-$B71)</f>
        <v>974</v>
      </c>
      <c r="J71" s="14">
        <f t="shared" ref="J71" si="17">IF(ABS(H71-$B71)&gt;1000,1,0)</f>
        <v>0</v>
      </c>
      <c r="K71" s="14">
        <f t="shared" ref="K71" si="18">IF(ABS(H71-$B71)&gt;$B$1,3,IF(ABS(I71)&gt;$B$2,2,1))</f>
        <v>2</v>
      </c>
      <c r="L71" s="429" t="s">
        <v>111</v>
      </c>
    </row>
    <row r="72" spans="1:12">
      <c r="A72" s="429"/>
      <c r="B72" s="271">
        <f>SUM(B6:B70)</f>
        <v>8969</v>
      </c>
      <c r="C72" s="271">
        <f>SUM(C6:C70)</f>
        <v>14460.489999999998</v>
      </c>
      <c r="D72" s="429"/>
      <c r="E72" s="429"/>
      <c r="F72" s="429"/>
      <c r="G72" s="429"/>
      <c r="H72" s="211">
        <f>SUM(H6:H70)</f>
        <v>14459.489999999998</v>
      </c>
      <c r="J72" s="429"/>
      <c r="K72" s="429"/>
      <c r="L72" s="429"/>
    </row>
  </sheetData>
  <conditionalFormatting sqref="E5">
    <cfRule type="colorScale" priority="19">
      <colorScale>
        <cfvo type="min"/>
        <cfvo type="percentile" val="50"/>
        <cfvo type="max"/>
        <color rgb="FF63BE7B"/>
        <color rgb="FFFFEB84"/>
        <color rgb="FFF8696B"/>
      </colorScale>
    </cfRule>
  </conditionalFormatting>
  <conditionalFormatting sqref="F6:F71">
    <cfRule type="colorScale" priority="774">
      <colorScale>
        <cfvo type="min"/>
        <cfvo type="percentile" val="50"/>
        <cfvo type="max"/>
        <color rgb="FF63BE7B"/>
        <color rgb="FFFFEB84"/>
        <color rgb="FFF8696B"/>
      </colorScale>
    </cfRule>
    <cfRule type="cellIs" dxfId="1" priority="775" operator="equal">
      <formula>1</formula>
    </cfRule>
  </conditionalFormatting>
  <conditionalFormatting sqref="J5">
    <cfRule type="colorScale" priority="6">
      <colorScale>
        <cfvo type="min"/>
        <cfvo type="percentile" val="50"/>
        <cfvo type="max"/>
        <color rgb="FF63BE7B"/>
        <color rgb="FFFFEB84"/>
        <color rgb="FFF8696B"/>
      </colorScale>
    </cfRule>
  </conditionalFormatting>
  <conditionalFormatting sqref="K6:K71">
    <cfRule type="colorScale" priority="1">
      <colorScale>
        <cfvo type="min"/>
        <cfvo type="percentile" val="50"/>
        <cfvo type="max"/>
        <color rgb="FF63BE7B"/>
        <color rgb="FFFFEB84"/>
        <color rgb="FFF8696B"/>
      </colorScale>
    </cfRule>
    <cfRule type="cellIs" dxfId="0" priority="2" operator="equal">
      <formula>1</formula>
    </cfRule>
  </conditionalFormatting>
  <pageMargins left="0.7" right="0.7" top="0.75" bottom="0.75" header="0.3" footer="0.3"/>
  <pageSetup orientation="portrait" horizontalDpi="1200" verticalDpi="12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8BB3E-4596-4E18-8325-486A79C23122}">
  <dimension ref="B25:B26"/>
  <sheetViews>
    <sheetView zoomScale="80" zoomScaleNormal="80" workbookViewId="0">
      <selection activeCell="F28" sqref="F28"/>
    </sheetView>
  </sheetViews>
  <sheetFormatPr defaultRowHeight="14.25"/>
  <sheetData>
    <row r="25" spans="2:2">
      <c r="B25" s="406"/>
    </row>
    <row r="26" spans="2:2">
      <c r="B26" s="42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7030A0"/>
    <pageSetUpPr fitToPage="1"/>
  </sheetPr>
  <dimension ref="A1:T78"/>
  <sheetViews>
    <sheetView showGridLines="0" zoomScale="60" zoomScaleNormal="60" workbookViewId="0">
      <selection activeCell="A4" sqref="A4:E75"/>
    </sheetView>
  </sheetViews>
  <sheetFormatPr defaultRowHeight="14.25" outlineLevelCol="2"/>
  <cols>
    <col min="1" max="1" width="37.1328125" customWidth="1"/>
    <col min="2" max="3" width="9.1328125" hidden="1" customWidth="1" outlineLevel="2"/>
    <col min="4" max="4" width="14" hidden="1" customWidth="1" outlineLevel="1" collapsed="1"/>
    <col min="5" max="5" width="13.86328125" customWidth="1" collapsed="1"/>
    <col min="6" max="6" width="13.1328125" customWidth="1"/>
    <col min="7" max="7" width="13.1328125" style="203" hidden="1" customWidth="1"/>
    <col min="8" max="8" width="14" customWidth="1"/>
    <col min="9" max="9" width="13.73046875" customWidth="1"/>
    <col min="10" max="10" width="14.1328125" customWidth="1"/>
    <col min="11" max="11" width="8.59765625" hidden="1" customWidth="1" outlineLevel="1"/>
    <col min="12" max="12" width="14.265625" customWidth="1" collapsed="1"/>
    <col min="13" max="13" width="16" customWidth="1"/>
    <col min="14" max="14" width="8.59765625" style="13" hidden="1" customWidth="1" outlineLevel="1"/>
    <col min="15" max="15" width="11.73046875" hidden="1" customWidth="1" collapsed="1"/>
    <col min="16" max="16" width="11" style="338" customWidth="1"/>
    <col min="17" max="17" width="55.3984375" style="93" customWidth="1"/>
    <col min="18" max="18" width="8.73046875" customWidth="1"/>
    <col min="19" max="19" width="8.73046875" style="243"/>
  </cols>
  <sheetData>
    <row r="1" spans="1:20" ht="18">
      <c r="A1" s="7" t="s">
        <v>21</v>
      </c>
      <c r="B1" s="429"/>
      <c r="C1" s="429"/>
      <c r="D1" s="429"/>
      <c r="E1" s="429"/>
      <c r="F1" s="429"/>
      <c r="G1" s="429"/>
      <c r="H1" s="429"/>
      <c r="I1" s="429"/>
      <c r="J1" s="429"/>
      <c r="K1" s="429"/>
      <c r="L1" s="429"/>
      <c r="M1" s="429"/>
      <c r="O1" s="429"/>
      <c r="Q1" s="464"/>
      <c r="R1" s="429"/>
      <c r="T1" s="429"/>
    </row>
    <row r="2" spans="1:20">
      <c r="A2" s="429" t="s">
        <v>22</v>
      </c>
      <c r="B2" s="429"/>
      <c r="C2" s="429"/>
      <c r="D2" s="429"/>
      <c r="E2" s="429"/>
      <c r="F2" s="429"/>
      <c r="G2" s="429"/>
      <c r="H2" s="429"/>
      <c r="I2" s="429"/>
      <c r="J2" s="429"/>
      <c r="K2" s="429"/>
      <c r="L2" s="429"/>
      <c r="M2" s="429"/>
      <c r="O2" s="429"/>
      <c r="Q2" s="464"/>
      <c r="R2" s="429"/>
      <c r="T2" s="429"/>
    </row>
    <row r="3" spans="1:20">
      <c r="A3" s="113" t="s">
        <v>761</v>
      </c>
      <c r="B3" s="429"/>
      <c r="C3" s="429"/>
      <c r="D3" s="429"/>
      <c r="E3" s="429"/>
      <c r="F3" s="429"/>
      <c r="G3" s="429"/>
      <c r="H3" s="429"/>
      <c r="I3" s="429"/>
      <c r="J3" s="429"/>
      <c r="K3" s="429"/>
      <c r="L3" s="429"/>
      <c r="M3" s="429"/>
      <c r="O3" s="429"/>
      <c r="Q3" s="464"/>
      <c r="R3" s="429"/>
      <c r="T3" s="429"/>
    </row>
    <row r="4" spans="1:20" s="103" customFormat="1">
      <c r="A4" s="488" t="s">
        <v>23</v>
      </c>
      <c r="B4" s="429"/>
      <c r="C4" s="429"/>
      <c r="D4" s="113" t="s">
        <v>24</v>
      </c>
      <c r="E4" s="111" t="s">
        <v>25</v>
      </c>
      <c r="F4" s="105"/>
      <c r="G4" s="106"/>
      <c r="H4" s="106" t="s">
        <v>26</v>
      </c>
      <c r="I4" s="106"/>
      <c r="J4" s="160"/>
      <c r="K4" s="109"/>
      <c r="L4" s="111"/>
      <c r="M4" s="109"/>
      <c r="N4" s="13"/>
      <c r="O4" s="429"/>
      <c r="P4" s="338"/>
      <c r="Q4" s="464"/>
      <c r="R4" s="429"/>
      <c r="S4" s="243"/>
      <c r="T4" s="429"/>
    </row>
    <row r="5" spans="1:20" ht="16.5" customHeight="1">
      <c r="A5" s="489"/>
      <c r="B5" s="98" t="s">
        <v>27</v>
      </c>
      <c r="C5" s="98"/>
      <c r="D5" s="115" t="s">
        <v>28</v>
      </c>
      <c r="E5" s="251" t="s">
        <v>28</v>
      </c>
      <c r="F5" s="105" t="s">
        <v>29</v>
      </c>
      <c r="G5" s="106"/>
      <c r="H5" s="158"/>
      <c r="I5" s="460"/>
      <c r="J5" s="459"/>
      <c r="K5" s="162"/>
      <c r="L5" s="105"/>
      <c r="M5" s="158"/>
      <c r="N5" s="20"/>
      <c r="O5" s="10"/>
      <c r="P5" s="426" t="s">
        <v>30</v>
      </c>
      <c r="Q5" s="99"/>
      <c r="R5" s="4"/>
      <c r="T5" s="4"/>
    </row>
    <row r="6" spans="1:20" ht="73.7" customHeight="1">
      <c r="A6" s="114" t="s">
        <v>31</v>
      </c>
      <c r="B6" s="5" t="s">
        <v>32</v>
      </c>
      <c r="C6" s="5" t="s">
        <v>33</v>
      </c>
      <c r="D6" s="104" t="s">
        <v>34</v>
      </c>
      <c r="E6" s="107" t="s">
        <v>762</v>
      </c>
      <c r="F6" s="346" t="s">
        <v>35</v>
      </c>
      <c r="G6" s="107"/>
      <c r="H6" s="346" t="s">
        <v>36</v>
      </c>
      <c r="I6" s="347" t="s">
        <v>37</v>
      </c>
      <c r="J6" s="346" t="s">
        <v>38</v>
      </c>
      <c r="K6" s="159" t="s">
        <v>39</v>
      </c>
      <c r="L6" s="346" t="s">
        <v>40</v>
      </c>
      <c r="M6" s="108" t="s">
        <v>41</v>
      </c>
      <c r="N6" s="19" t="s">
        <v>42</v>
      </c>
      <c r="O6" s="22" t="s">
        <v>43</v>
      </c>
      <c r="P6" s="427" t="s">
        <v>44</v>
      </c>
      <c r="Q6" s="100" t="s">
        <v>45</v>
      </c>
      <c r="R6" s="429" t="s">
        <v>46</v>
      </c>
      <c r="T6" s="4"/>
    </row>
    <row r="7" spans="1:20" ht="15" hidden="1" customHeight="1">
      <c r="A7" s="12" t="s">
        <v>47</v>
      </c>
      <c r="B7" s="4"/>
      <c r="C7" s="4"/>
      <c r="D7" s="89">
        <f>SUMIF('5_BUSBAR ALLOC_Adj_TPPFeb2020'!A:A,'Dashboard 2019RSP (Round 0)'!A7,'5_BUSBAR ALLOC_Adj_TPPFeb2020'!I:I)</f>
        <v>0</v>
      </c>
      <c r="E7" s="89">
        <f>INDEX(SelectedPortfolio_2019RSP!N:N,MATCH(A7,SelectedPortfolio_2019RSP!H:H,0))</f>
        <v>0</v>
      </c>
      <c r="F7" s="5"/>
      <c r="G7" s="5" t="s">
        <v>48</v>
      </c>
      <c r="H7" s="5">
        <v>1</v>
      </c>
      <c r="I7" s="5"/>
      <c r="J7" s="5"/>
      <c r="K7" s="11" t="s">
        <v>48</v>
      </c>
      <c r="L7" s="79" t="s">
        <v>48</v>
      </c>
      <c r="M7" s="5">
        <v>1</v>
      </c>
      <c r="N7" s="6"/>
      <c r="O7" s="6"/>
      <c r="P7" s="24"/>
      <c r="Q7" s="5"/>
      <c r="R7" s="429">
        <f>IF(OR(D7&gt;0,E7&gt;0),1,0)</f>
        <v>0</v>
      </c>
      <c r="S7" s="246"/>
      <c r="T7" s="4"/>
    </row>
    <row r="8" spans="1:20">
      <c r="A8" s="12" t="s">
        <v>49</v>
      </c>
      <c r="B8" s="4"/>
      <c r="C8" s="4"/>
      <c r="D8" s="11">
        <f>SUMIF('5_BUSBAR ALLOC_Adj_TPPFeb2020'!A:A,'Dashboard 2019RSP (Round 0)'!A8,'5_BUSBAR ALLOC_Adj_TPPFeb2020'!I:I)</f>
        <v>1256</v>
      </c>
      <c r="E8" s="11">
        <f>INDEX(SelectedPortfolio_2019RSP!N:N,MATCH(A8,SelectedPortfolio_2019RSP!H:H,0))</f>
        <v>0</v>
      </c>
      <c r="F8" s="250"/>
      <c r="G8" s="5" t="s">
        <v>50</v>
      </c>
      <c r="H8" s="250">
        <v>1</v>
      </c>
      <c r="I8" s="250"/>
      <c r="J8" s="250"/>
      <c r="K8" s="11">
        <v>1</v>
      </c>
      <c r="L8" s="250">
        <v>1</v>
      </c>
      <c r="M8" s="250">
        <v>3</v>
      </c>
      <c r="N8" s="80">
        <f>SUM(F8,H8,I8,J8,L8,M8)</f>
        <v>5</v>
      </c>
      <c r="O8" s="275"/>
      <c r="P8" s="81" t="s">
        <v>51</v>
      </c>
      <c r="Q8" s="73" t="s">
        <v>52</v>
      </c>
      <c r="R8" s="429">
        <f t="shared" ref="R8:R71" si="0">IF(OR(D8&gt;0,E8&gt;0),1,0)</f>
        <v>1</v>
      </c>
      <c r="T8" s="4"/>
    </row>
    <row r="9" spans="1:20" ht="15" hidden="1" customHeight="1">
      <c r="A9" s="12" t="s">
        <v>53</v>
      </c>
      <c r="B9" s="4"/>
      <c r="C9" s="4"/>
      <c r="D9" s="89">
        <f>SUMIF('5_BUSBAR ALLOC_Adj_TPPFeb2020'!A:A,'Dashboard 2019RSP (Round 0)'!A9,'5_BUSBAR ALLOC_Adj_TPPFeb2020'!I:I)</f>
        <v>0</v>
      </c>
      <c r="E9" s="89">
        <f>INDEX(SelectedPortfolio_2019RSP!N:N,MATCH(A9,SelectedPortfolio_2019RSP!H:H,0))</f>
        <v>0</v>
      </c>
      <c r="F9" s="5"/>
      <c r="G9" s="5" t="s">
        <v>50</v>
      </c>
      <c r="H9" s="5">
        <v>1</v>
      </c>
      <c r="I9" s="5"/>
      <c r="J9" s="5"/>
      <c r="K9" s="11">
        <v>1</v>
      </c>
      <c r="L9" s="79">
        <v>1</v>
      </c>
      <c r="M9" s="5">
        <v>1</v>
      </c>
      <c r="N9" s="6"/>
      <c r="O9" s="6"/>
      <c r="P9" s="24"/>
      <c r="Q9" s="5"/>
      <c r="R9" s="429">
        <f t="shared" si="0"/>
        <v>0</v>
      </c>
      <c r="S9" s="246"/>
      <c r="T9" s="4"/>
    </row>
    <row r="10" spans="1:20" hidden="1">
      <c r="A10" s="12" t="s">
        <v>54</v>
      </c>
      <c r="B10" s="4"/>
      <c r="C10" s="4"/>
      <c r="D10" s="89">
        <f>SUMIF('5_BUSBAR ALLOC_Adj_TPPFeb2020'!A:A,'Dashboard 2019RSP (Round 0)'!A10,'5_BUSBAR ALLOC_Adj_TPPFeb2020'!I:I)</f>
        <v>0</v>
      </c>
      <c r="E10" s="89">
        <f>INDEX(SelectedPortfolio_2019RSP!N:N,MATCH("Northern_California_Ex_Geothermal",SelectedPortfolio_2019RSP!H:H,0))</f>
        <v>0</v>
      </c>
      <c r="F10" s="79"/>
      <c r="G10" s="5" t="s">
        <v>50</v>
      </c>
      <c r="H10" s="5">
        <v>1</v>
      </c>
      <c r="I10" s="79"/>
      <c r="J10" s="79"/>
      <c r="K10" s="11">
        <v>1</v>
      </c>
      <c r="L10" s="79">
        <v>1</v>
      </c>
      <c r="M10" s="5" t="s">
        <v>48</v>
      </c>
      <c r="N10" s="80">
        <f>SUM(F10,H10,I10,J10,L10,M10)</f>
        <v>2</v>
      </c>
      <c r="O10" s="275"/>
      <c r="P10" s="81"/>
      <c r="Q10" s="73"/>
      <c r="R10" s="429">
        <f t="shared" si="0"/>
        <v>0</v>
      </c>
      <c r="T10" s="4"/>
    </row>
    <row r="11" spans="1:20" ht="15" hidden="1" customHeight="1">
      <c r="A11" s="12" t="s">
        <v>55</v>
      </c>
      <c r="B11" s="4"/>
      <c r="C11" s="4"/>
      <c r="D11" s="89">
        <f>SUMIF('5_BUSBAR ALLOC_Adj_TPPFeb2020'!A:A,'Dashboard 2019RSP (Round 0)'!A11,'5_BUSBAR ALLOC_Adj_TPPFeb2020'!I:I)</f>
        <v>0</v>
      </c>
      <c r="E11" s="89">
        <f>INDEX(SelectedPortfolio_2019RSP!N:N,MATCH(A11,SelectedPortfolio_2019RSP!H:H,0))</f>
        <v>0</v>
      </c>
      <c r="F11" s="5"/>
      <c r="G11" s="5" t="s">
        <v>50</v>
      </c>
      <c r="H11" s="5">
        <v>1</v>
      </c>
      <c r="I11" s="5"/>
      <c r="J11" s="5"/>
      <c r="K11" s="11" t="s">
        <v>48</v>
      </c>
      <c r="L11" s="79" t="s">
        <v>48</v>
      </c>
      <c r="M11" s="5">
        <v>1</v>
      </c>
      <c r="N11" s="6"/>
      <c r="O11" s="6"/>
      <c r="P11" s="24"/>
      <c r="Q11" s="5"/>
      <c r="R11" s="429">
        <f t="shared" si="0"/>
        <v>0</v>
      </c>
      <c r="S11" s="246"/>
      <c r="T11" s="4"/>
    </row>
    <row r="12" spans="1:20" ht="15" hidden="1" customHeight="1">
      <c r="A12" s="12" t="s">
        <v>56</v>
      </c>
      <c r="B12" s="4"/>
      <c r="C12" s="4"/>
      <c r="D12" s="89">
        <f>SUMIF('5_BUSBAR ALLOC_Adj_TPPFeb2020'!A:A,'Dashboard 2019RSP (Round 0)'!A12,'5_BUSBAR ALLOC_Adj_TPPFeb2020'!I:I)</f>
        <v>0</v>
      </c>
      <c r="E12" s="89">
        <f>INDEX(SelectedPortfolio_2019RSP!N:N,MATCH(A12,SelectedPortfolio_2019RSP!H:H,0))</f>
        <v>0</v>
      </c>
      <c r="F12" s="5"/>
      <c r="G12" s="5" t="s">
        <v>50</v>
      </c>
      <c r="H12" s="5">
        <v>1</v>
      </c>
      <c r="I12" s="5"/>
      <c r="J12" s="5"/>
      <c r="K12" s="11">
        <v>1</v>
      </c>
      <c r="L12" s="79">
        <v>1</v>
      </c>
      <c r="M12" s="5">
        <v>1</v>
      </c>
      <c r="N12" s="6"/>
      <c r="O12" s="6"/>
      <c r="P12" s="24"/>
      <c r="Q12" s="5"/>
      <c r="R12" s="429">
        <f t="shared" si="0"/>
        <v>0</v>
      </c>
      <c r="S12" s="246"/>
      <c r="T12" s="4"/>
    </row>
    <row r="13" spans="1:20" ht="15" hidden="1" customHeight="1">
      <c r="A13" s="12" t="s">
        <v>57</v>
      </c>
      <c r="B13" s="4"/>
      <c r="C13" s="4"/>
      <c r="D13" s="89">
        <f>SUMIF('5_BUSBAR ALLOC_Adj_TPPFeb2020'!A:A,'Dashboard 2019RSP (Round 0)'!A13,'5_BUSBAR ALLOC_Adj_TPPFeb2020'!I:I)</f>
        <v>0</v>
      </c>
      <c r="E13" s="89">
        <f>INDEX(SelectedPortfolio_2019RSP!N:N,MATCH(A13,SelectedPortfolio_2019RSP!H:H,0))</f>
        <v>0</v>
      </c>
      <c r="F13" s="5"/>
      <c r="G13" s="5" t="s">
        <v>50</v>
      </c>
      <c r="H13" s="5">
        <v>1</v>
      </c>
      <c r="I13" s="5"/>
      <c r="J13" s="5"/>
      <c r="K13" s="11">
        <v>1</v>
      </c>
      <c r="L13" s="79">
        <v>1</v>
      </c>
      <c r="M13" s="5">
        <v>1</v>
      </c>
      <c r="N13" s="6"/>
      <c r="O13" s="6"/>
      <c r="P13" s="24"/>
      <c r="Q13" s="5"/>
      <c r="R13" s="429">
        <f t="shared" si="0"/>
        <v>0</v>
      </c>
      <c r="S13" s="246"/>
      <c r="T13" s="4"/>
    </row>
    <row r="14" spans="1:20" ht="15" hidden="1" customHeight="1">
      <c r="A14" s="12" t="s">
        <v>58</v>
      </c>
      <c r="B14" s="4"/>
      <c r="C14" s="4"/>
      <c r="D14" s="89">
        <f>SUMIF('5_BUSBAR ALLOC_Adj_TPPFeb2020'!A:A,'Dashboard 2019RSP (Round 0)'!A14,'5_BUSBAR ALLOC_Adj_TPPFeb2020'!I:I)</f>
        <v>0</v>
      </c>
      <c r="E14" s="89">
        <f>INDEX(SelectedPortfolio_2019RSP!N:N,MATCH(A14,SelectedPortfolio_2019RSP!H:H,0))</f>
        <v>0</v>
      </c>
      <c r="F14" s="5"/>
      <c r="G14" s="5" t="s">
        <v>50</v>
      </c>
      <c r="H14" s="5">
        <v>1</v>
      </c>
      <c r="I14" s="5"/>
      <c r="J14" s="5"/>
      <c r="K14" s="11" t="s">
        <v>48</v>
      </c>
      <c r="L14" s="79" t="s">
        <v>48</v>
      </c>
      <c r="M14" s="5">
        <v>1</v>
      </c>
      <c r="N14" s="6"/>
      <c r="O14" s="6"/>
      <c r="P14" s="24"/>
      <c r="Q14" s="5"/>
      <c r="R14" s="429">
        <f t="shared" si="0"/>
        <v>0</v>
      </c>
      <c r="S14" s="246"/>
      <c r="T14" s="4"/>
    </row>
    <row r="15" spans="1:20" s="117" customFormat="1" ht="15" hidden="1" customHeight="1">
      <c r="A15" s="12" t="s">
        <v>59</v>
      </c>
      <c r="B15" s="4"/>
      <c r="C15" s="4"/>
      <c r="D15" s="89">
        <f>SUMIF('5_BUSBAR ALLOC_Adj_TPPFeb2020'!A:A,'Dashboard 2019RSP (Round 0)'!A15,'5_BUSBAR ALLOC_Adj_TPPFeb2020'!I:I)</f>
        <v>0</v>
      </c>
      <c r="E15" s="89">
        <f>INDEX(SelectedPortfolio_2019RSP!N:N,MATCH(A15,SelectedPortfolio_2019RSP!H:H,0))</f>
        <v>0</v>
      </c>
      <c r="F15" s="5"/>
      <c r="G15" s="5" t="s">
        <v>50</v>
      </c>
      <c r="H15" s="5">
        <v>1</v>
      </c>
      <c r="I15" s="5"/>
      <c r="J15" s="5"/>
      <c r="K15" s="11">
        <v>1</v>
      </c>
      <c r="L15" s="79">
        <v>1</v>
      </c>
      <c r="M15" s="5">
        <v>1</v>
      </c>
      <c r="N15" s="6"/>
      <c r="O15" s="6"/>
      <c r="P15" s="24"/>
      <c r="Q15" s="5"/>
      <c r="R15" s="429">
        <f t="shared" si="0"/>
        <v>0</v>
      </c>
      <c r="S15" s="246"/>
      <c r="T15" s="4"/>
    </row>
    <row r="16" spans="1:20">
      <c r="A16" s="12" t="s">
        <v>60</v>
      </c>
      <c r="B16" s="4"/>
      <c r="C16" s="4"/>
      <c r="D16" s="11">
        <f>SUMIF('5_BUSBAR ALLOC_Adj_TPPFeb2020'!A:A,'Dashboard 2019RSP (Round 0)'!A16,'5_BUSBAR ALLOC_Adj_TPPFeb2020'!I:I)</f>
        <v>160</v>
      </c>
      <c r="E16" s="11">
        <f>INDEX(SelectedPortfolio_2019RSP!N:N,MATCH(A16,SelectedPortfolio_2019RSP!H:H,0))</f>
        <v>287</v>
      </c>
      <c r="F16" s="250"/>
      <c r="G16" s="5" t="s">
        <v>50</v>
      </c>
      <c r="H16" s="250">
        <v>1</v>
      </c>
      <c r="I16" s="250"/>
      <c r="J16" s="250"/>
      <c r="K16" s="11">
        <v>1</v>
      </c>
      <c r="L16" s="250">
        <v>1</v>
      </c>
      <c r="M16" s="250">
        <v>2</v>
      </c>
      <c r="N16" s="80">
        <f>SUM(F16,H16,I16,J16,L16,M16)</f>
        <v>4</v>
      </c>
      <c r="O16" s="275"/>
      <c r="P16" s="81" t="s">
        <v>51</v>
      </c>
      <c r="Q16" s="73" t="s">
        <v>61</v>
      </c>
      <c r="R16" s="429">
        <f t="shared" si="0"/>
        <v>1</v>
      </c>
      <c r="T16" s="4"/>
    </row>
    <row r="17" spans="1:20" ht="15" hidden="1" customHeight="1">
      <c r="A17" s="12" t="s">
        <v>62</v>
      </c>
      <c r="B17" s="4"/>
      <c r="C17" s="4"/>
      <c r="D17" s="89">
        <f>SUMIF('5_BUSBAR ALLOC_Adj_TPPFeb2020'!A:A,'Dashboard 2019RSP (Round 0)'!A17,'5_BUSBAR ALLOC_Adj_TPPFeb2020'!I:I)</f>
        <v>0</v>
      </c>
      <c r="E17" s="89">
        <f>INDEX(SelectedPortfolio_2019RSP!N:N,MATCH(A17,SelectedPortfolio_2019RSP!H:H,0))</f>
        <v>0</v>
      </c>
      <c r="F17" s="79"/>
      <c r="G17" s="5" t="s">
        <v>50</v>
      </c>
      <c r="H17" s="5">
        <v>1</v>
      </c>
      <c r="I17" s="79"/>
      <c r="J17" s="79"/>
      <c r="K17" s="11">
        <v>1</v>
      </c>
      <c r="L17" s="79">
        <v>1</v>
      </c>
      <c r="M17" s="5">
        <v>1</v>
      </c>
      <c r="N17" s="6"/>
      <c r="O17" s="6"/>
      <c r="P17" s="24"/>
      <c r="Q17" s="73"/>
      <c r="R17" s="429">
        <f t="shared" si="0"/>
        <v>0</v>
      </c>
      <c r="S17" s="246"/>
      <c r="T17" s="4"/>
    </row>
    <row r="18" spans="1:20">
      <c r="A18" s="12" t="s">
        <v>63</v>
      </c>
      <c r="B18" s="4"/>
      <c r="C18" s="4"/>
      <c r="D18" s="11">
        <f>SUMIF('5_BUSBAR ALLOC_Adj_TPPFeb2020'!A:A,'Dashboard 2019RSP (Round 0)'!A18,'5_BUSBAR ALLOC_Adj_TPPFeb2020'!I:I)</f>
        <v>146</v>
      </c>
      <c r="E18" s="11">
        <f>INDEX(SelectedPortfolio_2019RSP!N:N,MATCH(A18,SelectedPortfolio_2019RSP!H:H,0))</f>
        <v>173</v>
      </c>
      <c r="F18" s="250"/>
      <c r="G18" s="5" t="s">
        <v>50</v>
      </c>
      <c r="H18" s="250">
        <v>1</v>
      </c>
      <c r="I18" s="250"/>
      <c r="J18" s="250"/>
      <c r="K18" s="11">
        <v>1</v>
      </c>
      <c r="L18" s="250">
        <v>1</v>
      </c>
      <c r="M18" s="250">
        <v>1</v>
      </c>
      <c r="N18" s="80">
        <f>SUM(F18,H18,I18,J18,L18,M18)</f>
        <v>3</v>
      </c>
      <c r="O18" s="275" t="s">
        <v>64</v>
      </c>
      <c r="P18" s="81" t="s">
        <v>51</v>
      </c>
      <c r="Q18" s="73"/>
      <c r="R18" s="429">
        <f t="shared" si="0"/>
        <v>1</v>
      </c>
      <c r="T18" s="4"/>
    </row>
    <row r="19" spans="1:20" ht="15" hidden="1" customHeight="1">
      <c r="A19" s="12" t="s">
        <v>65</v>
      </c>
      <c r="B19" s="4"/>
      <c r="C19" s="4"/>
      <c r="D19" s="89">
        <f>SUMIF('5_BUSBAR ALLOC_Adj_TPPFeb2020'!A:A,'Dashboard 2019RSP (Round 0)'!A19,'5_BUSBAR ALLOC_Adj_TPPFeb2020'!I:I)</f>
        <v>0</v>
      </c>
      <c r="E19" s="89">
        <f>INDEX(SelectedPortfolio_2019RSP!N:N,MATCH(A19,SelectedPortfolio_2019RSP!H:H,0))</f>
        <v>0</v>
      </c>
      <c r="F19" s="5"/>
      <c r="G19" s="5" t="s">
        <v>48</v>
      </c>
      <c r="H19" s="5">
        <v>1</v>
      </c>
      <c r="I19" s="5"/>
      <c r="J19" s="5"/>
      <c r="K19" s="11" t="s">
        <v>48</v>
      </c>
      <c r="L19" s="79" t="s">
        <v>48</v>
      </c>
      <c r="M19" s="5">
        <v>1</v>
      </c>
      <c r="N19" s="6"/>
      <c r="O19" s="6"/>
      <c r="P19" s="24"/>
      <c r="Q19" s="73"/>
      <c r="R19" s="429">
        <f t="shared" si="0"/>
        <v>0</v>
      </c>
      <c r="S19" s="246"/>
      <c r="T19" s="4"/>
    </row>
    <row r="20" spans="1:20" ht="15" hidden="1" customHeight="1">
      <c r="A20" s="12" t="s">
        <v>66</v>
      </c>
      <c r="B20" s="4"/>
      <c r="C20" s="4"/>
      <c r="D20" s="89">
        <f>SUMIF('5_BUSBAR ALLOC_Adj_TPPFeb2020'!A:A,'Dashboard 2019RSP (Round 0)'!A20,'5_BUSBAR ALLOC_Adj_TPPFeb2020'!I:I)</f>
        <v>0</v>
      </c>
      <c r="E20" s="89">
        <f>INDEX(SelectedPortfolio_2019RSP!N:N,MATCH(A20,SelectedPortfolio_2019RSP!H:H,0))</f>
        <v>0</v>
      </c>
      <c r="F20" s="5"/>
      <c r="G20" s="5" t="s">
        <v>48</v>
      </c>
      <c r="H20" s="5">
        <v>1</v>
      </c>
      <c r="I20" s="5"/>
      <c r="J20" s="5"/>
      <c r="K20" s="11" t="s">
        <v>48</v>
      </c>
      <c r="L20" s="79" t="s">
        <v>48</v>
      </c>
      <c r="M20" s="5">
        <v>1</v>
      </c>
      <c r="N20" s="6"/>
      <c r="O20" s="6"/>
      <c r="P20" s="24"/>
      <c r="Q20" s="73"/>
      <c r="R20" s="429">
        <f t="shared" si="0"/>
        <v>0</v>
      </c>
      <c r="S20" s="246"/>
      <c r="T20" s="4"/>
    </row>
    <row r="21" spans="1:20" ht="15" customHeight="1">
      <c r="A21" s="12" t="s">
        <v>67</v>
      </c>
      <c r="B21" s="4"/>
      <c r="C21" s="4"/>
      <c r="D21" s="11">
        <f>SUMIF('5_BUSBAR ALLOC_Adj_TPPFeb2020'!A:A,'Dashboard 2019RSP (Round 0)'!A21,'5_BUSBAR ALLOC_Adj_TPPFeb2020'!I:I)</f>
        <v>0</v>
      </c>
      <c r="E21" s="11">
        <f>INDEX(SelectedPortfolio_2019RSP!N:N,MATCH(A21,SelectedPortfolio_2019RSP!H:H,0))</f>
        <v>547.9</v>
      </c>
      <c r="F21" s="250"/>
      <c r="G21" s="5" t="s">
        <v>50</v>
      </c>
      <c r="H21" s="250">
        <v>1</v>
      </c>
      <c r="I21" s="250"/>
      <c r="J21" s="250"/>
      <c r="K21" s="11">
        <v>2</v>
      </c>
      <c r="L21" s="250">
        <v>2</v>
      </c>
      <c r="M21" s="250">
        <v>2</v>
      </c>
      <c r="N21" s="21">
        <f>SUM(F21,H21,I21,J21,L21,M21)</f>
        <v>5</v>
      </c>
      <c r="O21" s="275"/>
      <c r="P21" s="81" t="s">
        <v>68</v>
      </c>
      <c r="Q21" s="73" t="s">
        <v>69</v>
      </c>
      <c r="R21" s="429">
        <f t="shared" si="0"/>
        <v>1</v>
      </c>
      <c r="T21" s="4"/>
    </row>
    <row r="22" spans="1:20" ht="15" hidden="1" customHeight="1">
      <c r="A22" s="12" t="s">
        <v>70</v>
      </c>
      <c r="B22" s="4"/>
      <c r="C22" s="4"/>
      <c r="D22" s="89">
        <f>SUMIF('5_BUSBAR ALLOC_Adj_TPPFeb2020'!A:A,'Dashboard 2019RSP (Round 0)'!A22,'5_BUSBAR ALLOC_Adj_TPPFeb2020'!I:I)</f>
        <v>0</v>
      </c>
      <c r="E22" s="89">
        <f>INDEX(SelectedPortfolio_2019RSP!N:N,MATCH(A22,SelectedPortfolio_2019RSP!H:H,0))</f>
        <v>0</v>
      </c>
      <c r="F22" s="5"/>
      <c r="G22" s="5" t="s">
        <v>50</v>
      </c>
      <c r="H22" s="5">
        <v>1</v>
      </c>
      <c r="I22" s="5"/>
      <c r="J22" s="5"/>
      <c r="K22" s="11">
        <v>1</v>
      </c>
      <c r="L22" s="79">
        <v>1</v>
      </c>
      <c r="M22" s="5">
        <v>1</v>
      </c>
      <c r="N22" s="6"/>
      <c r="O22" s="6"/>
      <c r="P22" s="24"/>
      <c r="Q22" s="73"/>
      <c r="R22" s="429">
        <f t="shared" si="0"/>
        <v>0</v>
      </c>
      <c r="S22" s="246"/>
      <c r="T22" s="4"/>
    </row>
    <row r="23" spans="1:20" ht="15" hidden="1" customHeight="1">
      <c r="A23" s="12" t="s">
        <v>71</v>
      </c>
      <c r="B23" s="4"/>
      <c r="C23" s="4"/>
      <c r="D23" s="89">
        <f>SUMIF('5_BUSBAR ALLOC_Adj_TPPFeb2020'!A:A,'Dashboard 2019RSP (Round 0)'!A23,'5_BUSBAR ALLOC_Adj_TPPFeb2020'!I:I)</f>
        <v>0</v>
      </c>
      <c r="E23" s="89">
        <f>INDEX(SelectedPortfolio_2019RSP!N:N,MATCH(A23,SelectedPortfolio_2019RSP!H:H,0))</f>
        <v>0</v>
      </c>
      <c r="F23" s="5"/>
      <c r="G23" s="5" t="s">
        <v>50</v>
      </c>
      <c r="H23" s="5">
        <v>1</v>
      </c>
      <c r="I23" s="5"/>
      <c r="J23" s="5"/>
      <c r="K23" s="11">
        <v>1</v>
      </c>
      <c r="L23" s="79">
        <v>1</v>
      </c>
      <c r="M23" s="5">
        <v>1</v>
      </c>
      <c r="N23" s="6"/>
      <c r="O23" s="6"/>
      <c r="P23" s="81" t="s">
        <v>68</v>
      </c>
      <c r="Q23" s="73"/>
      <c r="R23" s="429">
        <f t="shared" si="0"/>
        <v>0</v>
      </c>
      <c r="S23" s="246"/>
      <c r="T23" s="4"/>
    </row>
    <row r="24" spans="1:20" ht="15" customHeight="1">
      <c r="A24" s="12" t="s">
        <v>72</v>
      </c>
      <c r="B24" s="4"/>
      <c r="C24" s="4"/>
      <c r="D24" s="11">
        <f>SUMIF('5_BUSBAR ALLOC_Adj_TPPFeb2020'!A:A,'Dashboard 2019RSP (Round 0)'!A24,'5_BUSBAR ALLOC_Adj_TPPFeb2020'!I:I)</f>
        <v>0</v>
      </c>
      <c r="E24" s="11">
        <f>INDEX(SelectedPortfolio_2019RSP!N:N,MATCH(A24,SelectedPortfolio_2019RSP!H:H,0))</f>
        <v>34</v>
      </c>
      <c r="F24" s="250"/>
      <c r="G24" s="5" t="s">
        <v>50</v>
      </c>
      <c r="H24" s="250">
        <v>1</v>
      </c>
      <c r="I24" s="250"/>
      <c r="J24" s="250"/>
      <c r="K24" s="11" t="s">
        <v>48</v>
      </c>
      <c r="L24" s="250" t="s">
        <v>48</v>
      </c>
      <c r="M24" s="250">
        <v>2</v>
      </c>
      <c r="N24" s="21">
        <f>SUM(F24,H24,I24,J24,L24,M24)</f>
        <v>3</v>
      </c>
      <c r="O24" s="275"/>
      <c r="P24" s="244" t="s">
        <v>51</v>
      </c>
      <c r="Q24" s="73" t="s">
        <v>61</v>
      </c>
      <c r="R24" s="429">
        <f t="shared" si="0"/>
        <v>1</v>
      </c>
      <c r="S24" s="246"/>
      <c r="T24" s="4"/>
    </row>
    <row r="25" spans="1:20">
      <c r="A25" s="12" t="s">
        <v>73</v>
      </c>
      <c r="B25" s="4"/>
      <c r="C25" s="4"/>
      <c r="D25" s="11">
        <f>SUMIF('5_BUSBAR ALLOC_Adj_TPPFeb2020'!A:A,'Dashboard 2019RSP (Round 0)'!A25,'5_BUSBAR ALLOC_Adj_TPPFeb2020'!I:I)</f>
        <v>554</v>
      </c>
      <c r="E25" s="11">
        <f>INDEX(SelectedPortfolio_2019RSP!N:N,MATCH(A25,SelectedPortfolio_2019RSP!H:H,0))</f>
        <v>97</v>
      </c>
      <c r="F25" s="250"/>
      <c r="G25" s="5" t="s">
        <v>50</v>
      </c>
      <c r="H25" s="250">
        <v>1</v>
      </c>
      <c r="I25" s="250"/>
      <c r="J25" s="250"/>
      <c r="K25" s="11">
        <v>1</v>
      </c>
      <c r="L25" s="250">
        <v>1</v>
      </c>
      <c r="M25" s="250">
        <v>2</v>
      </c>
      <c r="N25" s="80">
        <f>SUM(F25,H25,I25,J25,L25,M25)</f>
        <v>4</v>
      </c>
      <c r="O25" s="275"/>
      <c r="P25" s="81" t="s">
        <v>68</v>
      </c>
      <c r="Q25" s="73" t="s">
        <v>74</v>
      </c>
      <c r="R25" s="429">
        <f t="shared" si="0"/>
        <v>1</v>
      </c>
      <c r="T25" s="4"/>
    </row>
    <row r="26" spans="1:20" ht="15" customHeight="1">
      <c r="A26" s="12" t="s">
        <v>75</v>
      </c>
      <c r="B26" s="4"/>
      <c r="C26" s="4"/>
      <c r="D26" s="11">
        <f>SUMIF('5_BUSBAR ALLOC_Adj_TPPFeb2020'!A:A,'Dashboard 2019RSP (Round 0)'!A26,'5_BUSBAR ALLOC_Adj_TPPFeb2020'!I:I)</f>
        <v>0</v>
      </c>
      <c r="E26" s="11">
        <f>INDEX(SelectedPortfolio_2019RSP!N:N,MATCH(A26,SelectedPortfolio_2019RSP!H:H,0))</f>
        <v>241.66000000000003</v>
      </c>
      <c r="F26" s="250"/>
      <c r="G26" s="5" t="s">
        <v>50</v>
      </c>
      <c r="H26" s="250">
        <v>1</v>
      </c>
      <c r="I26" s="250"/>
      <c r="J26" s="250"/>
      <c r="K26" s="11">
        <v>1</v>
      </c>
      <c r="L26" s="250">
        <v>1</v>
      </c>
      <c r="M26" s="250">
        <v>2</v>
      </c>
      <c r="N26" s="6"/>
      <c r="O26" s="6"/>
      <c r="P26" s="244" t="s">
        <v>51</v>
      </c>
      <c r="Q26" s="73" t="s">
        <v>61</v>
      </c>
      <c r="R26" s="429">
        <f t="shared" si="0"/>
        <v>1</v>
      </c>
      <c r="S26" s="246"/>
      <c r="T26" s="4"/>
    </row>
    <row r="27" spans="1:20" ht="15" customHeight="1">
      <c r="A27" s="12" t="s">
        <v>76</v>
      </c>
      <c r="B27" s="4"/>
      <c r="C27" s="4"/>
      <c r="D27" s="11">
        <f>SUMIF('5_BUSBAR ALLOC_Adj_TPPFeb2020'!A:A,'Dashboard 2019RSP (Round 0)'!A27,'5_BUSBAR ALLOC_Adj_TPPFeb2020'!I:I)</f>
        <v>0</v>
      </c>
      <c r="E27" s="11">
        <f>INDEX(SelectedPortfolio_2019RSP!N:N,MATCH(A27,SelectedPortfolio_2019RSP!H:H,0))</f>
        <v>60</v>
      </c>
      <c r="F27" s="250"/>
      <c r="G27" s="5" t="s">
        <v>50</v>
      </c>
      <c r="H27" s="250">
        <v>1</v>
      </c>
      <c r="I27" s="250"/>
      <c r="J27" s="250"/>
      <c r="K27" s="11">
        <v>1</v>
      </c>
      <c r="L27" s="250">
        <v>1</v>
      </c>
      <c r="M27" s="250">
        <v>2</v>
      </c>
      <c r="N27" s="21">
        <f>SUM(F27,H27,I27,J27,L27,M27)</f>
        <v>4</v>
      </c>
      <c r="O27" s="275"/>
      <c r="P27" s="244" t="s">
        <v>51</v>
      </c>
      <c r="Q27" s="73" t="s">
        <v>61</v>
      </c>
      <c r="R27" s="429">
        <f t="shared" si="0"/>
        <v>1</v>
      </c>
      <c r="S27" s="246"/>
      <c r="T27" s="4"/>
    </row>
    <row r="28" spans="1:20" ht="15" hidden="1" customHeight="1">
      <c r="A28" s="12" t="s">
        <v>77</v>
      </c>
      <c r="B28" s="4"/>
      <c r="C28" s="4"/>
      <c r="D28" s="89">
        <f>SUMIF('5_BUSBAR ALLOC_Adj_TPPFeb2020'!A:A,'Dashboard 2019RSP (Round 0)'!A28,'5_BUSBAR ALLOC_Adj_TPPFeb2020'!I:I)</f>
        <v>0</v>
      </c>
      <c r="E28" s="89">
        <f>INDEX(SelectedPortfolio_2019RSP!N:N,MATCH(A28,SelectedPortfolio_2019RSP!H:H,0))</f>
        <v>0</v>
      </c>
      <c r="F28" s="12"/>
      <c r="G28" s="5" t="s">
        <v>50</v>
      </c>
      <c r="H28" s="5">
        <v>1</v>
      </c>
      <c r="I28" s="12"/>
      <c r="J28" s="12"/>
      <c r="K28" s="11">
        <v>1</v>
      </c>
      <c r="L28" s="79">
        <v>1</v>
      </c>
      <c r="M28" s="5">
        <v>1</v>
      </c>
      <c r="N28" s="21">
        <f>SUM(F28,H28,I28,J28,L28,M28)</f>
        <v>3</v>
      </c>
      <c r="O28" s="275" t="s">
        <v>64</v>
      </c>
      <c r="P28" s="74"/>
      <c r="Q28" s="12"/>
      <c r="R28" s="429">
        <f t="shared" si="0"/>
        <v>0</v>
      </c>
      <c r="S28" s="246"/>
      <c r="T28" s="4"/>
    </row>
    <row r="29" spans="1:20" ht="15" hidden="1" customHeight="1">
      <c r="A29" s="12" t="s">
        <v>78</v>
      </c>
      <c r="B29" s="4"/>
      <c r="C29" s="4"/>
      <c r="D29" s="89">
        <f>SUMIF('5_BUSBAR ALLOC_Adj_TPPFeb2020'!A:A,'Dashboard 2019RSP (Round 0)'!A29,'5_BUSBAR ALLOC_Adj_TPPFeb2020'!I:I)</f>
        <v>0</v>
      </c>
      <c r="E29" s="89">
        <f>INDEX(SelectedPortfolio_2019RSP!N:N,MATCH(A29,SelectedPortfolio_2019RSP!H:H,0))</f>
        <v>0</v>
      </c>
      <c r="F29" s="5"/>
      <c r="G29" s="5" t="s">
        <v>50</v>
      </c>
      <c r="H29" s="5">
        <v>1</v>
      </c>
      <c r="I29" s="5"/>
      <c r="J29" s="5"/>
      <c r="K29" s="11">
        <v>1</v>
      </c>
      <c r="L29" s="79">
        <v>1</v>
      </c>
      <c r="M29" s="5">
        <v>1</v>
      </c>
      <c r="N29" s="6"/>
      <c r="O29" s="6"/>
      <c r="P29" s="24"/>
      <c r="Q29" s="5"/>
      <c r="R29" s="429">
        <f t="shared" si="0"/>
        <v>0</v>
      </c>
      <c r="S29" s="246"/>
      <c r="T29" s="4"/>
    </row>
    <row r="30" spans="1:20" s="117" customFormat="1" ht="15" customHeight="1">
      <c r="A30" s="12" t="s">
        <v>79</v>
      </c>
      <c r="B30" s="4"/>
      <c r="C30" s="4"/>
      <c r="D30" s="11">
        <f>SUMIF('5_BUSBAR ALLOC_Adj_TPPFeb2020'!A:A,'Dashboard 2019RSP (Round 0)'!A30,'5_BUSBAR ALLOC_Adj_TPPFeb2020'!I:I)</f>
        <v>0</v>
      </c>
      <c r="E30" s="11">
        <f>INDEX(SelectedPortfolio_2019RSP!N:N,MATCH(A30,SelectedPortfolio_2019RSP!H:H,0))</f>
        <v>248</v>
      </c>
      <c r="F30" s="250"/>
      <c r="G30" s="5" t="s">
        <v>50</v>
      </c>
      <c r="H30" s="250">
        <v>2</v>
      </c>
      <c r="I30" s="250"/>
      <c r="J30" s="250"/>
      <c r="K30" s="11">
        <v>1</v>
      </c>
      <c r="L30" s="250">
        <v>1</v>
      </c>
      <c r="M30" s="250">
        <v>2</v>
      </c>
      <c r="N30" s="6"/>
      <c r="O30" s="6"/>
      <c r="P30" s="245"/>
      <c r="Q30" s="425" t="s">
        <v>80</v>
      </c>
      <c r="R30" s="429">
        <f t="shared" si="0"/>
        <v>1</v>
      </c>
      <c r="S30" s="406"/>
      <c r="T30" s="4"/>
    </row>
    <row r="31" spans="1:20" ht="15" customHeight="1">
      <c r="A31" s="12" t="s">
        <v>81</v>
      </c>
      <c r="B31" s="4"/>
      <c r="C31" s="4"/>
      <c r="D31" s="11">
        <f>SUMIF('5_BUSBAR ALLOC_Adj_TPPFeb2020'!A:A,'Dashboard 2019RSP (Round 0)'!A31,'5_BUSBAR ALLOC_Adj_TPPFeb2020'!I:I)</f>
        <v>0</v>
      </c>
      <c r="E31" s="11">
        <f>INDEX(SelectedPortfolio_2019RSP!N:N,MATCH(A31,SelectedPortfolio_2019RSP!H:H,0))</f>
        <v>300</v>
      </c>
      <c r="F31" s="250"/>
      <c r="G31" s="5" t="s">
        <v>50</v>
      </c>
      <c r="H31" s="250">
        <v>1</v>
      </c>
      <c r="I31" s="250"/>
      <c r="J31" s="250"/>
      <c r="K31" s="11">
        <v>1</v>
      </c>
      <c r="L31" s="250">
        <v>1</v>
      </c>
      <c r="M31" s="250">
        <v>2</v>
      </c>
      <c r="N31" s="21">
        <f>SUM(F31,H31,I31,J31,L31,M31)</f>
        <v>4</v>
      </c>
      <c r="O31" s="275"/>
      <c r="P31" s="244" t="s">
        <v>51</v>
      </c>
      <c r="Q31" s="73" t="s">
        <v>61</v>
      </c>
      <c r="R31" s="429">
        <f t="shared" si="0"/>
        <v>1</v>
      </c>
      <c r="S31" s="246"/>
      <c r="T31" s="4"/>
    </row>
    <row r="32" spans="1:20" ht="15" hidden="1" customHeight="1">
      <c r="A32" s="12" t="s">
        <v>82</v>
      </c>
      <c r="B32" s="4"/>
      <c r="C32" s="4"/>
      <c r="D32" s="89">
        <f>SUMIF('5_BUSBAR ALLOC_Adj_TPPFeb2020'!A:A,'Dashboard 2019RSP (Round 0)'!A32,'5_BUSBAR ALLOC_Adj_TPPFeb2020'!I:I)</f>
        <v>0</v>
      </c>
      <c r="E32" s="89">
        <f>INDEX(SelectedPortfolio_2019RSP!N:N,MATCH(A32,SelectedPortfolio_2019RSP!H:H,0))</f>
        <v>0</v>
      </c>
      <c r="F32" s="5"/>
      <c r="G32" s="5" t="s">
        <v>50</v>
      </c>
      <c r="H32" s="5">
        <v>1</v>
      </c>
      <c r="I32" s="5"/>
      <c r="J32" s="5"/>
      <c r="K32" s="11">
        <v>1</v>
      </c>
      <c r="L32" s="79">
        <v>1</v>
      </c>
      <c r="M32" s="5">
        <v>1</v>
      </c>
      <c r="N32" s="6"/>
      <c r="O32" s="6"/>
      <c r="P32" s="24"/>
      <c r="Q32" s="5"/>
      <c r="R32" s="429">
        <f t="shared" si="0"/>
        <v>0</v>
      </c>
      <c r="S32" s="246"/>
      <c r="T32" s="4"/>
    </row>
    <row r="33" spans="1:20" ht="15" customHeight="1">
      <c r="A33" s="12" t="s">
        <v>83</v>
      </c>
      <c r="B33" s="4"/>
      <c r="C33" s="4"/>
      <c r="D33" s="11">
        <f>SUMIF('5_BUSBAR ALLOC_Adj_TPPFeb2020'!A:A,'Dashboard 2019RSP (Round 0)'!A33,'5_BUSBAR ALLOC_Adj_TPPFeb2020'!I:I)</f>
        <v>0</v>
      </c>
      <c r="E33" s="11">
        <f>INDEX(SelectedPortfolio_2019RSP!N:N,MATCH(A33,SelectedPortfolio_2019RSP!H:H,0))</f>
        <v>865.9</v>
      </c>
      <c r="F33" s="250"/>
      <c r="G33" s="5" t="s">
        <v>50</v>
      </c>
      <c r="H33" s="250">
        <v>2</v>
      </c>
      <c r="I33" s="250"/>
      <c r="J33" s="250"/>
      <c r="K33" s="11">
        <v>1</v>
      </c>
      <c r="L33" s="250">
        <v>1</v>
      </c>
      <c r="M33" s="250">
        <v>2</v>
      </c>
      <c r="N33" s="21">
        <f>SUM(F33,H33,I33,J33,L33,M33)</f>
        <v>5</v>
      </c>
      <c r="O33" s="275" t="s">
        <v>64</v>
      </c>
      <c r="P33" s="244" t="s">
        <v>84</v>
      </c>
      <c r="Q33" s="425" t="s">
        <v>85</v>
      </c>
      <c r="R33" s="429">
        <f t="shared" si="0"/>
        <v>1</v>
      </c>
      <c r="T33" s="4"/>
    </row>
    <row r="34" spans="1:20" ht="15" hidden="1" customHeight="1">
      <c r="A34" s="12" t="s">
        <v>86</v>
      </c>
      <c r="B34" s="4"/>
      <c r="C34" s="4"/>
      <c r="D34" s="89">
        <f>SUMIF('5_BUSBAR ALLOC_Adj_TPPFeb2020'!A:A,'Dashboard 2019RSP (Round 0)'!A34,'5_BUSBAR ALLOC_Adj_TPPFeb2020'!I:I)</f>
        <v>0</v>
      </c>
      <c r="E34" s="89">
        <f>INDEX(SelectedPortfolio_2019RSP!N:N,MATCH(A34,SelectedPortfolio_2019RSP!H:H,0))</f>
        <v>0</v>
      </c>
      <c r="F34" s="5"/>
      <c r="G34" s="5" t="s">
        <v>50</v>
      </c>
      <c r="H34" s="5">
        <v>1</v>
      </c>
      <c r="I34" s="5"/>
      <c r="J34" s="5"/>
      <c r="K34" s="11" t="s">
        <v>48</v>
      </c>
      <c r="L34" s="79" t="s">
        <v>48</v>
      </c>
      <c r="M34" s="5">
        <v>1</v>
      </c>
      <c r="N34" s="6"/>
      <c r="O34" s="6"/>
      <c r="P34" s="24"/>
      <c r="Q34" s="5"/>
      <c r="R34" s="429">
        <f t="shared" si="0"/>
        <v>0</v>
      </c>
      <c r="S34" s="246"/>
      <c r="T34" s="4"/>
    </row>
    <row r="35" spans="1:20">
      <c r="A35" s="74" t="s">
        <v>87</v>
      </c>
      <c r="B35" s="4"/>
      <c r="C35" s="4"/>
      <c r="D35" s="11">
        <f>SUMIF('5_BUSBAR ALLOC_Adj_TPPFeb2020'!A:A,'Dashboard 2019RSP (Round 0)'!A35,'5_BUSBAR ALLOC_Adj_TPPFeb2020'!I:I)</f>
        <v>1622</v>
      </c>
      <c r="E35" s="11">
        <f>INDEX(SelectedPortfolio_2019RSP!N:N,MATCH(A35,SelectedPortfolio_2019RSP!H:H,0))</f>
        <v>0</v>
      </c>
      <c r="F35" s="250"/>
      <c r="G35" s="5" t="s">
        <v>50</v>
      </c>
      <c r="H35" s="250">
        <v>1</v>
      </c>
      <c r="I35" s="250"/>
      <c r="J35" s="250"/>
      <c r="K35" s="11">
        <v>2</v>
      </c>
      <c r="L35" s="250">
        <v>2</v>
      </c>
      <c r="M35" s="250">
        <v>3</v>
      </c>
      <c r="N35" s="80">
        <f>SUM(F35,H35,I35,J35,L35,M35)</f>
        <v>6</v>
      </c>
      <c r="O35" s="275"/>
      <c r="P35" s="379" t="s">
        <v>64</v>
      </c>
      <c r="Q35" s="73" t="s">
        <v>88</v>
      </c>
      <c r="R35" s="429">
        <f t="shared" si="0"/>
        <v>1</v>
      </c>
      <c r="T35" s="4"/>
    </row>
    <row r="36" spans="1:20" s="117" customFormat="1">
      <c r="A36" s="74" t="s">
        <v>89</v>
      </c>
      <c r="B36" s="4"/>
      <c r="C36" s="4"/>
      <c r="D36" s="353">
        <f>SUMIF('5_BUSBAR ALLOC_Adj_TPPFeb2020'!A:A,'Dashboard 2019RSP (Round 0)'!A36,'5_BUSBAR ALLOC_Adj_TPPFeb2020'!I:I)</f>
        <v>42</v>
      </c>
      <c r="E36" s="354" t="s">
        <v>90</v>
      </c>
      <c r="F36" s="250"/>
      <c r="G36" s="5" t="s">
        <v>50</v>
      </c>
      <c r="H36" s="250">
        <v>1</v>
      </c>
      <c r="I36" s="250"/>
      <c r="J36" s="250"/>
      <c r="K36" s="11">
        <v>1</v>
      </c>
      <c r="L36" s="250">
        <v>1</v>
      </c>
      <c r="M36" s="250" t="s">
        <v>48</v>
      </c>
      <c r="N36" s="80">
        <f>SUM(F36,H36,I36,J36,L36,M36)</f>
        <v>2</v>
      </c>
      <c r="O36" s="6"/>
      <c r="P36" s="81"/>
      <c r="Q36" s="73" t="s">
        <v>91</v>
      </c>
      <c r="R36" s="429">
        <f t="shared" si="0"/>
        <v>1</v>
      </c>
      <c r="S36" s="406"/>
      <c r="T36" s="4"/>
    </row>
    <row r="37" spans="1:20" hidden="1">
      <c r="A37" s="12" t="s">
        <v>92</v>
      </c>
      <c r="B37" s="4"/>
      <c r="C37" s="4"/>
      <c r="D37" s="89">
        <f>SUMIF('5_BUSBAR ALLOC_Adj_TPPFeb2020'!A:A,'Dashboard 2019RSP (Round 0)'!A37,'5_BUSBAR ALLOC_Adj_TPPFeb2020'!I:I)</f>
        <v>0</v>
      </c>
      <c r="E37" s="89">
        <f>INDEX(SelectedPortfolio_2019RSP!N:N,MATCH(A37,SelectedPortfolio_2019RSP!H:H,0))</f>
        <v>0</v>
      </c>
      <c r="F37" s="5"/>
      <c r="G37" s="5" t="s">
        <v>50</v>
      </c>
      <c r="H37" s="5">
        <v>1</v>
      </c>
      <c r="I37" s="5"/>
      <c r="J37" s="5"/>
      <c r="K37" s="11">
        <v>1</v>
      </c>
      <c r="L37" s="79">
        <v>1</v>
      </c>
      <c r="M37" s="5">
        <v>1</v>
      </c>
      <c r="N37" s="6"/>
      <c r="O37" s="6"/>
      <c r="P37" s="24"/>
      <c r="Q37" s="5"/>
      <c r="R37" s="429">
        <f t="shared" si="0"/>
        <v>0</v>
      </c>
      <c r="S37" s="246"/>
      <c r="T37" s="4"/>
    </row>
    <row r="38" spans="1:20" ht="15" hidden="1" customHeight="1">
      <c r="A38" s="12" t="s">
        <v>93</v>
      </c>
      <c r="B38" s="4"/>
      <c r="C38" s="4"/>
      <c r="D38" s="89">
        <f>SUMIF('5_BUSBAR ALLOC_Adj_TPPFeb2020'!A:A,'Dashboard 2019RSP (Round 0)'!A38,'5_BUSBAR ALLOC_Adj_TPPFeb2020'!I:I)</f>
        <v>0</v>
      </c>
      <c r="E38" s="89">
        <f>INDEX(SelectedPortfolio_2019RSP!N:N,MATCH(A38,SelectedPortfolio_2019RSP!H:H,0))</f>
        <v>0</v>
      </c>
      <c r="F38" s="5"/>
      <c r="G38" s="5" t="s">
        <v>50</v>
      </c>
      <c r="H38" s="5">
        <v>1</v>
      </c>
      <c r="I38" s="5"/>
      <c r="J38" s="5"/>
      <c r="K38" s="11">
        <v>1</v>
      </c>
      <c r="L38" s="79">
        <v>1</v>
      </c>
      <c r="M38" s="5">
        <v>1</v>
      </c>
      <c r="N38" s="6"/>
      <c r="O38" s="6"/>
      <c r="P38" s="24"/>
      <c r="Q38" s="5"/>
      <c r="R38" s="429">
        <f t="shared" si="0"/>
        <v>0</v>
      </c>
      <c r="S38" s="246"/>
      <c r="T38" s="4"/>
    </row>
    <row r="39" spans="1:20" ht="15" customHeight="1">
      <c r="A39" s="12" t="s">
        <v>94</v>
      </c>
      <c r="B39" s="4"/>
      <c r="C39" s="4"/>
      <c r="D39" s="11">
        <f>SUMIF('5_BUSBAR ALLOC_Adj_TPPFeb2020'!A:A,'Dashboard 2019RSP (Round 0)'!A39,'5_BUSBAR ALLOC_Adj_TPPFeb2020'!I:I)</f>
        <v>0</v>
      </c>
      <c r="E39" s="11">
        <f>INDEX(SelectedPortfolio_2019RSP!N:N,MATCH(A39,SelectedPortfolio_2019RSP!H:H,0))</f>
        <v>330</v>
      </c>
      <c r="F39" s="250"/>
      <c r="G39" s="5" t="s">
        <v>50</v>
      </c>
      <c r="H39" s="250">
        <v>1</v>
      </c>
      <c r="I39" s="250"/>
      <c r="J39" s="250"/>
      <c r="K39" s="11">
        <v>1</v>
      </c>
      <c r="L39" s="250">
        <v>1</v>
      </c>
      <c r="M39" s="250">
        <v>2</v>
      </c>
      <c r="N39" s="21">
        <f>SUM(F39,H39,I39,J39,L39,M39)</f>
        <v>4</v>
      </c>
      <c r="O39" s="275"/>
      <c r="P39" s="244" t="s">
        <v>68</v>
      </c>
      <c r="Q39" s="73" t="s">
        <v>61</v>
      </c>
      <c r="R39" s="429">
        <f t="shared" si="0"/>
        <v>1</v>
      </c>
      <c r="S39" s="406"/>
      <c r="T39" s="4"/>
    </row>
    <row r="40" spans="1:20" ht="15" hidden="1" customHeight="1">
      <c r="A40" s="12" t="s">
        <v>95</v>
      </c>
      <c r="B40" s="4"/>
      <c r="C40" s="4"/>
      <c r="D40" s="89">
        <f>SUMIF('5_BUSBAR ALLOC_Adj_TPPFeb2020'!A:A,'Dashboard 2019RSP (Round 0)'!A40,'5_BUSBAR ALLOC_Adj_TPPFeb2020'!I:I)</f>
        <v>0</v>
      </c>
      <c r="E40" s="89">
        <f>INDEX(SelectedPortfolio_2019RSP!N:N,MATCH(A40,SelectedPortfolio_2019RSP!H:H,0))</f>
        <v>0</v>
      </c>
      <c r="F40" s="5"/>
      <c r="G40" s="5" t="s">
        <v>50</v>
      </c>
      <c r="H40" s="5">
        <v>1</v>
      </c>
      <c r="I40" s="5"/>
      <c r="J40" s="5"/>
      <c r="K40" s="11">
        <v>1</v>
      </c>
      <c r="L40" s="79">
        <v>1</v>
      </c>
      <c r="M40" s="5">
        <v>1</v>
      </c>
      <c r="N40" s="6"/>
      <c r="O40" s="6"/>
      <c r="P40" s="24"/>
      <c r="Q40" s="5"/>
      <c r="R40" s="429">
        <f t="shared" si="0"/>
        <v>0</v>
      </c>
      <c r="S40" s="246"/>
      <c r="T40" s="4"/>
    </row>
    <row r="41" spans="1:20" ht="15" hidden="1" customHeight="1">
      <c r="A41" s="12" t="s">
        <v>96</v>
      </c>
      <c r="B41" s="4"/>
      <c r="C41" s="4"/>
      <c r="D41" s="89">
        <f>SUMIF('5_BUSBAR ALLOC_Adj_TPPFeb2020'!A:A,'Dashboard 2019RSP (Round 0)'!A41,'5_BUSBAR ALLOC_Adj_TPPFeb2020'!I:I)</f>
        <v>0</v>
      </c>
      <c r="E41" s="89">
        <f>INDEX(SelectedPortfolio_2019RSP!N:N,MATCH(A41,SelectedPortfolio_2019RSP!H:H,0))</f>
        <v>0</v>
      </c>
      <c r="F41" s="5"/>
      <c r="G41" s="5" t="s">
        <v>50</v>
      </c>
      <c r="H41" s="5">
        <v>1</v>
      </c>
      <c r="I41" s="5"/>
      <c r="J41" s="5"/>
      <c r="K41" s="11">
        <v>1</v>
      </c>
      <c r="L41" s="79">
        <v>1</v>
      </c>
      <c r="M41" s="5">
        <v>1</v>
      </c>
      <c r="N41" s="6"/>
      <c r="O41" s="6"/>
      <c r="P41" s="24"/>
      <c r="Q41" s="5"/>
      <c r="R41" s="429">
        <f t="shared" si="0"/>
        <v>0</v>
      </c>
      <c r="S41" s="246"/>
      <c r="T41" s="4"/>
    </row>
    <row r="42" spans="1:20" ht="15" hidden="1" customHeight="1">
      <c r="A42" s="12" t="s">
        <v>97</v>
      </c>
      <c r="B42" s="4"/>
      <c r="C42" s="4"/>
      <c r="D42" s="89">
        <f>SUMIF('5_BUSBAR ALLOC_Adj_TPPFeb2020'!A:A,'Dashboard 2019RSP (Round 0)'!A42,'5_BUSBAR ALLOC_Adj_TPPFeb2020'!I:I)</f>
        <v>0</v>
      </c>
      <c r="E42" s="89">
        <f>INDEX(SelectedPortfolio_2019RSP!N:N,MATCH(A42,SelectedPortfolio_2019RSP!H:H,0))</f>
        <v>0</v>
      </c>
      <c r="F42" s="5"/>
      <c r="G42" s="5" t="s">
        <v>50</v>
      </c>
      <c r="H42" s="5">
        <v>1</v>
      </c>
      <c r="I42" s="5"/>
      <c r="J42" s="5"/>
      <c r="K42" s="11">
        <v>1</v>
      </c>
      <c r="L42" s="79">
        <v>1</v>
      </c>
      <c r="M42" s="5">
        <v>1</v>
      </c>
      <c r="N42" s="6"/>
      <c r="O42" s="6"/>
      <c r="P42" s="24"/>
      <c r="Q42" s="5"/>
      <c r="R42" s="429">
        <f t="shared" si="0"/>
        <v>0</v>
      </c>
      <c r="S42" s="246"/>
      <c r="T42" s="4"/>
    </row>
    <row r="43" spans="1:20" ht="15" hidden="1" customHeight="1">
      <c r="A43" s="12" t="s">
        <v>98</v>
      </c>
      <c r="B43" s="4"/>
      <c r="C43" s="4"/>
      <c r="D43" s="89">
        <f>SUMIF('5_BUSBAR ALLOC_Adj_TPPFeb2020'!A:A,'Dashboard 2019RSP (Round 0)'!A43,'5_BUSBAR ALLOC_Adj_TPPFeb2020'!I:I)</f>
        <v>0</v>
      </c>
      <c r="E43" s="89">
        <f>INDEX(SelectedPortfolio_2019RSP!N:N,MATCH(A43,SelectedPortfolio_2019RSP!H:H,0))</f>
        <v>0</v>
      </c>
      <c r="F43" s="5"/>
      <c r="G43" s="5" t="s">
        <v>50</v>
      </c>
      <c r="H43" s="5">
        <v>1</v>
      </c>
      <c r="I43" s="5"/>
      <c r="J43" s="5"/>
      <c r="K43" s="11">
        <v>1</v>
      </c>
      <c r="L43" s="79">
        <v>1</v>
      </c>
      <c r="M43" s="5">
        <v>1</v>
      </c>
      <c r="N43" s="6"/>
      <c r="O43" s="6"/>
      <c r="P43" s="24"/>
      <c r="Q43" s="5"/>
      <c r="R43" s="429">
        <f t="shared" si="0"/>
        <v>0</v>
      </c>
      <c r="S43" s="246"/>
      <c r="T43" s="4"/>
    </row>
    <row r="44" spans="1:20" ht="15" customHeight="1">
      <c r="A44" s="12" t="s">
        <v>99</v>
      </c>
      <c r="B44" s="4"/>
      <c r="C44" s="4"/>
      <c r="D44" s="11">
        <f>SUMIF('5_BUSBAR ALLOC_Adj_TPPFeb2020'!A:A,'Dashboard 2019RSP (Round 0)'!A44,'5_BUSBAR ALLOC_Adj_TPPFeb2020'!I:I)</f>
        <v>644</v>
      </c>
      <c r="E44" s="11">
        <f>INDEX(SelectedPortfolio_2019RSP!N:N,MATCH(A44,SelectedPortfolio_2019RSP!H:H,0))</f>
        <v>542</v>
      </c>
      <c r="F44" s="250"/>
      <c r="G44" s="5" t="s">
        <v>50</v>
      </c>
      <c r="H44" s="250">
        <v>1</v>
      </c>
      <c r="I44" s="250"/>
      <c r="J44" s="250"/>
      <c r="K44" s="11">
        <v>1</v>
      </c>
      <c r="L44" s="250">
        <v>1</v>
      </c>
      <c r="M44" s="250">
        <v>1</v>
      </c>
      <c r="N44" s="80">
        <f>SUM(F44,H44,I44,J44,L44,M44)</f>
        <v>3</v>
      </c>
      <c r="O44" s="275"/>
      <c r="P44" s="81" t="s">
        <v>51</v>
      </c>
      <c r="Q44" s="73"/>
      <c r="R44" s="429">
        <f t="shared" si="0"/>
        <v>1</v>
      </c>
      <c r="T44" s="4"/>
    </row>
    <row r="45" spans="1:20">
      <c r="A45" s="12" t="s">
        <v>100</v>
      </c>
      <c r="B45" s="4"/>
      <c r="C45" s="4"/>
      <c r="D45" s="11">
        <f>SUMIF('5_BUSBAR ALLOC_Adj_TPPFeb2020'!A:A,'Dashboard 2019RSP (Round 0)'!A45,'5_BUSBAR ALLOC_Adj_TPPFeb2020'!I:I)</f>
        <v>0</v>
      </c>
      <c r="E45" s="11">
        <f>INDEX(SelectedPortfolio_2019RSP!N:N,MATCH(A45,SelectedPortfolio_2019RSP!H:H,0))</f>
        <v>862</v>
      </c>
      <c r="F45" s="250"/>
      <c r="G45" s="5" t="s">
        <v>50</v>
      </c>
      <c r="H45" s="250">
        <v>2</v>
      </c>
      <c r="I45" s="250"/>
      <c r="J45" s="250"/>
      <c r="K45" s="11">
        <v>3</v>
      </c>
      <c r="L45" s="250">
        <v>3</v>
      </c>
      <c r="M45" s="250">
        <v>2</v>
      </c>
      <c r="N45" s="6"/>
      <c r="O45" s="6"/>
      <c r="P45" s="379" t="s">
        <v>64</v>
      </c>
      <c r="Q45" s="425" t="s">
        <v>101</v>
      </c>
      <c r="R45" s="429">
        <f t="shared" si="0"/>
        <v>1</v>
      </c>
      <c r="S45" s="406"/>
      <c r="T45" s="4"/>
    </row>
    <row r="46" spans="1:20" ht="15" hidden="1" customHeight="1">
      <c r="A46" s="12" t="s">
        <v>102</v>
      </c>
      <c r="B46" s="4"/>
      <c r="C46" s="4"/>
      <c r="D46" s="89">
        <f>SUMIF('5_BUSBAR ALLOC_Adj_TPPFeb2020'!A:A,'Dashboard 2019RSP (Round 0)'!A46,'5_BUSBAR ALLOC_Adj_TPPFeb2020'!I:I)</f>
        <v>0</v>
      </c>
      <c r="E46" s="89">
        <f>INDEX(SelectedPortfolio_2019RSP!N:N,MATCH(A46,SelectedPortfolio_2019RSP!H:H,0))</f>
        <v>0</v>
      </c>
      <c r="F46" s="5"/>
      <c r="G46" s="5" t="s">
        <v>50</v>
      </c>
      <c r="H46" s="5">
        <v>1</v>
      </c>
      <c r="I46" s="5"/>
      <c r="J46" s="5"/>
      <c r="K46" s="11">
        <v>1</v>
      </c>
      <c r="L46" s="79">
        <v>1</v>
      </c>
      <c r="M46" s="5">
        <v>1</v>
      </c>
      <c r="N46" s="6"/>
      <c r="O46" s="6"/>
      <c r="P46" s="24"/>
      <c r="Q46" s="5"/>
      <c r="R46" s="429">
        <f t="shared" si="0"/>
        <v>0</v>
      </c>
      <c r="S46" s="246"/>
      <c r="T46" s="4"/>
    </row>
    <row r="47" spans="1:20" ht="15" customHeight="1">
      <c r="A47" s="12" t="s">
        <v>103</v>
      </c>
      <c r="B47" s="4"/>
      <c r="C47" s="4"/>
      <c r="D47" s="11">
        <f>SUMIF('5_BUSBAR ALLOC_Adj_TPPFeb2020'!A:A,'Dashboard 2019RSP (Round 0)'!A47,'5_BUSBAR ALLOC_Adj_TPPFeb2020'!I:I)</f>
        <v>3006</v>
      </c>
      <c r="E47" s="11">
        <f>INDEX(SelectedPortfolio_2019RSP!N:N,MATCH(A47,SelectedPortfolio_2019RSP!H:H,0))</f>
        <v>0</v>
      </c>
      <c r="F47" s="250"/>
      <c r="G47" s="5" t="s">
        <v>50</v>
      </c>
      <c r="H47" s="250">
        <v>1</v>
      </c>
      <c r="I47" s="250"/>
      <c r="J47" s="250"/>
      <c r="K47" s="11">
        <v>2</v>
      </c>
      <c r="L47" s="250">
        <v>2</v>
      </c>
      <c r="M47" s="250">
        <v>3</v>
      </c>
      <c r="N47" s="80">
        <f>SUM(F47,H47,I47,J47,L47,M47)</f>
        <v>6</v>
      </c>
      <c r="O47" s="6"/>
      <c r="P47" s="379" t="s">
        <v>64</v>
      </c>
      <c r="Q47" s="73" t="s">
        <v>104</v>
      </c>
      <c r="R47" s="429">
        <f t="shared" si="0"/>
        <v>1</v>
      </c>
      <c r="T47" s="4"/>
    </row>
    <row r="48" spans="1:20" hidden="1">
      <c r="A48" s="12" t="s">
        <v>105</v>
      </c>
      <c r="B48" s="4"/>
      <c r="C48" s="4"/>
      <c r="D48" s="89">
        <f>SUMIF('5_BUSBAR ALLOC_Adj_TPPFeb2020'!A:A,'Dashboard 2019RSP (Round 0)'!A48,'5_BUSBAR ALLOC_Adj_TPPFeb2020'!I:I)</f>
        <v>0</v>
      </c>
      <c r="E48" s="89">
        <f>INDEX(SelectedPortfolio_2019RSP!N:N,MATCH(A48,SelectedPortfolio_2019RSP!H:H,0))</f>
        <v>0</v>
      </c>
      <c r="F48" s="5"/>
      <c r="G48" s="5" t="s">
        <v>50</v>
      </c>
      <c r="H48" s="5">
        <v>1</v>
      </c>
      <c r="I48" s="5"/>
      <c r="J48" s="5"/>
      <c r="K48" s="11" t="s">
        <v>48</v>
      </c>
      <c r="L48" s="79" t="s">
        <v>48</v>
      </c>
      <c r="M48" s="5">
        <v>1</v>
      </c>
      <c r="N48" s="6"/>
      <c r="O48" s="6"/>
      <c r="P48" s="24"/>
      <c r="Q48" s="5"/>
      <c r="R48" s="429">
        <f t="shared" si="0"/>
        <v>0</v>
      </c>
      <c r="S48" s="246"/>
      <c r="T48" s="4"/>
    </row>
    <row r="49" spans="1:20" ht="15" hidden="1" customHeight="1">
      <c r="A49" s="12" t="s">
        <v>106</v>
      </c>
      <c r="B49" s="4"/>
      <c r="C49" s="4"/>
      <c r="D49" s="89">
        <f>SUMIF('5_BUSBAR ALLOC_Adj_TPPFeb2020'!A:A,'Dashboard 2019RSP (Round 0)'!A49,'5_BUSBAR ALLOC_Adj_TPPFeb2020'!I:I)</f>
        <v>0</v>
      </c>
      <c r="E49" s="89">
        <f>INDEX(SelectedPortfolio_2019RSP!N:N,MATCH(A49,SelectedPortfolio_2019RSP!H:H,0))</f>
        <v>0</v>
      </c>
      <c r="F49" s="5"/>
      <c r="G49" s="5" t="s">
        <v>50</v>
      </c>
      <c r="H49" s="5">
        <v>1</v>
      </c>
      <c r="I49" s="5"/>
      <c r="J49" s="5"/>
      <c r="K49" s="11" t="s">
        <v>48</v>
      </c>
      <c r="L49" s="79" t="s">
        <v>48</v>
      </c>
      <c r="M49" s="5">
        <v>1</v>
      </c>
      <c r="N49" s="6"/>
      <c r="O49" s="6"/>
      <c r="P49" s="24"/>
      <c r="Q49" s="5"/>
      <c r="R49" s="429">
        <f t="shared" si="0"/>
        <v>0</v>
      </c>
      <c r="S49" s="246"/>
      <c r="T49" s="4"/>
    </row>
    <row r="50" spans="1:20" ht="15" customHeight="1">
      <c r="A50" s="12" t="s">
        <v>107</v>
      </c>
      <c r="B50" s="4"/>
      <c r="C50" s="4"/>
      <c r="D50" s="11">
        <f>SUMIF('5_BUSBAR ALLOC_Adj_TPPFeb2020'!A:A,'Dashboard 2019RSP (Round 0)'!A50,'5_BUSBAR ALLOC_Adj_TPPFeb2020'!I:I)</f>
        <v>1153</v>
      </c>
      <c r="E50" s="11">
        <f>INDEX(SelectedPortfolio_2019RSP!N:N,MATCH(A50,SelectedPortfolio_2019RSP!H:H,0))</f>
        <v>4202</v>
      </c>
      <c r="F50" s="250"/>
      <c r="G50" s="5" t="s">
        <v>50</v>
      </c>
      <c r="H50" s="250">
        <v>1</v>
      </c>
      <c r="I50" s="250"/>
      <c r="J50" s="250"/>
      <c r="K50" s="11">
        <v>1</v>
      </c>
      <c r="L50" s="250">
        <v>1</v>
      </c>
      <c r="M50" s="250">
        <v>3</v>
      </c>
      <c r="N50" s="80">
        <f>SUM(F50,H50,I50,J50,L50,M50)</f>
        <v>5</v>
      </c>
      <c r="O50" s="275"/>
      <c r="P50" s="379" t="s">
        <v>64</v>
      </c>
      <c r="Q50" s="73" t="s">
        <v>108</v>
      </c>
      <c r="R50" s="429">
        <f t="shared" si="0"/>
        <v>1</v>
      </c>
      <c r="S50" s="406"/>
      <c r="T50" s="4"/>
    </row>
    <row r="51" spans="1:20" hidden="1">
      <c r="A51" s="12" t="s">
        <v>109</v>
      </c>
      <c r="B51" s="4"/>
      <c r="C51" s="4"/>
      <c r="D51" s="89">
        <f>SUMIF('5_BUSBAR ALLOC_Adj_TPPFeb2020'!A:A,'Dashboard 2019RSP (Round 0)'!A51,'5_BUSBAR ALLOC_Adj_TPPFeb2020'!I:I)</f>
        <v>0</v>
      </c>
      <c r="E51" s="89">
        <f>INDEX(SelectedPortfolio_2019RSP!N:N,MATCH(A51,SelectedPortfolio_2019RSP!H:H,0))</f>
        <v>0</v>
      </c>
      <c r="F51" s="12"/>
      <c r="G51" s="5" t="s">
        <v>50</v>
      </c>
      <c r="H51" s="5">
        <v>1</v>
      </c>
      <c r="I51" s="12"/>
      <c r="J51" s="12"/>
      <c r="K51" s="11">
        <v>1</v>
      </c>
      <c r="L51" s="79">
        <v>1</v>
      </c>
      <c r="M51" s="5">
        <v>1</v>
      </c>
      <c r="N51" s="21">
        <f>SUM(F51,H51,I51,J51,L51,M51)</f>
        <v>3</v>
      </c>
      <c r="O51" s="275" t="s">
        <v>64</v>
      </c>
      <c r="P51" s="74"/>
      <c r="Q51" s="12"/>
      <c r="R51" s="429">
        <f t="shared" si="0"/>
        <v>0</v>
      </c>
      <c r="S51" s="246"/>
      <c r="T51" s="4"/>
    </row>
    <row r="52" spans="1:20" ht="15" customHeight="1">
      <c r="A52" s="12" t="s">
        <v>110</v>
      </c>
      <c r="B52" s="4"/>
      <c r="C52" s="4"/>
      <c r="D52" s="11">
        <f>SUMIF('5_BUSBAR ALLOC_Adj_TPPFeb2020'!A:A,'Dashboard 2019RSP (Round 0)'!A52,'5_BUSBAR ALLOC_Adj_TPPFeb2020'!I:I)</f>
        <v>0</v>
      </c>
      <c r="E52" s="11">
        <f>INDEX(SelectedPortfolio_2019RSP!N:N,MATCH(A52,SelectedPortfolio_2019RSP!H:H,0))</f>
        <v>275</v>
      </c>
      <c r="F52" s="250"/>
      <c r="G52" s="5" t="s">
        <v>50</v>
      </c>
      <c r="H52" s="250">
        <v>1</v>
      </c>
      <c r="I52" s="250"/>
      <c r="J52" s="250"/>
      <c r="K52" s="11">
        <v>1</v>
      </c>
      <c r="L52" s="250">
        <v>1</v>
      </c>
      <c r="M52" s="250">
        <v>2</v>
      </c>
      <c r="N52" s="80">
        <f>SUM(F52,H52,I52,J52,L52,M52)</f>
        <v>4</v>
      </c>
      <c r="O52" s="275"/>
      <c r="P52" s="81" t="s">
        <v>51</v>
      </c>
      <c r="Q52" s="73" t="s">
        <v>111</v>
      </c>
      <c r="R52" s="429">
        <f t="shared" si="0"/>
        <v>1</v>
      </c>
      <c r="T52" s="4"/>
    </row>
    <row r="53" spans="1:20">
      <c r="A53" s="12" t="s">
        <v>112</v>
      </c>
      <c r="B53" s="4"/>
      <c r="C53" s="4"/>
      <c r="D53" s="11">
        <f>SUMIF('5_BUSBAR ALLOC_Adj_TPPFeb2020'!A:A,'Dashboard 2019RSP (Round 0)'!A53,'5_BUSBAR ALLOC_Adj_TPPFeb2020'!I:I)</f>
        <v>0</v>
      </c>
      <c r="E53" s="11">
        <f>INDEX(SelectedPortfolio_2019RSP!N:N,MATCH(A53,SelectedPortfolio_2019RSP!H:H,0))</f>
        <v>1778.57</v>
      </c>
      <c r="F53" s="250"/>
      <c r="G53" s="5" t="s">
        <v>50</v>
      </c>
      <c r="H53" s="250">
        <v>2</v>
      </c>
      <c r="I53" s="250"/>
      <c r="J53" s="250"/>
      <c r="K53" s="11">
        <v>1</v>
      </c>
      <c r="L53" s="250">
        <v>1</v>
      </c>
      <c r="M53" s="250">
        <v>3</v>
      </c>
      <c r="N53" s="6"/>
      <c r="O53" s="6"/>
      <c r="P53" s="379" t="s">
        <v>64</v>
      </c>
      <c r="Q53" s="425" t="s">
        <v>113</v>
      </c>
      <c r="R53" s="429">
        <f t="shared" si="0"/>
        <v>1</v>
      </c>
      <c r="S53" s="406"/>
      <c r="T53" s="4"/>
    </row>
    <row r="54" spans="1:20" ht="15" hidden="1" customHeight="1">
      <c r="A54" s="12" t="s">
        <v>114</v>
      </c>
      <c r="B54" s="4"/>
      <c r="C54" s="4"/>
      <c r="D54" s="89">
        <f>SUMIF('5_BUSBAR ALLOC_Adj_TPPFeb2020'!A:A,'Dashboard 2019RSP (Round 0)'!A54,'5_BUSBAR ALLOC_Adj_TPPFeb2020'!I:I)</f>
        <v>0</v>
      </c>
      <c r="E54" s="89">
        <f>INDEX(SelectedPortfolio_2019RSP!N:N,MATCH(A54,SelectedPortfolio_2019RSP!H:H,0))</f>
        <v>0</v>
      </c>
      <c r="F54" s="5"/>
      <c r="G54" s="5" t="s">
        <v>50</v>
      </c>
      <c r="H54" s="5">
        <v>1</v>
      </c>
      <c r="I54" s="5"/>
      <c r="J54" s="5"/>
      <c r="K54" s="11">
        <v>1</v>
      </c>
      <c r="L54" s="79">
        <v>1</v>
      </c>
      <c r="M54" s="5">
        <v>1</v>
      </c>
      <c r="N54" s="6"/>
      <c r="O54" s="6"/>
      <c r="P54" s="24"/>
      <c r="Q54" s="5"/>
      <c r="R54" s="429">
        <f t="shared" si="0"/>
        <v>0</v>
      </c>
      <c r="S54" s="246"/>
      <c r="T54" s="4"/>
    </row>
    <row r="55" spans="1:20" ht="15" customHeight="1">
      <c r="A55" s="12" t="s">
        <v>115</v>
      </c>
      <c r="B55" s="4"/>
      <c r="C55" s="4"/>
      <c r="D55" s="11">
        <f>SUMIF('5_BUSBAR ALLOC_Adj_TPPFeb2020'!A:A,'Dashboard 2019RSP (Round 0)'!A55,'5_BUSBAR ALLOC_Adj_TPPFeb2020'!I:I)</f>
        <v>0</v>
      </c>
      <c r="E55" s="11">
        <f>INDEX(SelectedPortfolio_2019RSP!N:N,MATCH(A55,SelectedPortfolio_2019RSP!H:H,0))</f>
        <v>58.21</v>
      </c>
      <c r="F55" s="250"/>
      <c r="G55" s="5" t="s">
        <v>50</v>
      </c>
      <c r="H55" s="250">
        <v>1</v>
      </c>
      <c r="I55" s="250"/>
      <c r="J55" s="250"/>
      <c r="K55" s="11">
        <v>3</v>
      </c>
      <c r="L55" s="250">
        <v>3</v>
      </c>
      <c r="M55" s="250">
        <v>2</v>
      </c>
      <c r="N55" s="6"/>
      <c r="O55" s="6"/>
      <c r="P55" s="379" t="s">
        <v>64</v>
      </c>
      <c r="Q55" s="73" t="s">
        <v>116</v>
      </c>
      <c r="R55" s="429">
        <f t="shared" si="0"/>
        <v>1</v>
      </c>
      <c r="S55" s="406"/>
      <c r="T55" s="4"/>
    </row>
    <row r="56" spans="1:20" s="117" customFormat="1" ht="15" hidden="1" customHeight="1">
      <c r="A56" s="12" t="s">
        <v>117</v>
      </c>
      <c r="B56" s="4"/>
      <c r="C56" s="4"/>
      <c r="D56" s="89">
        <f>SUMIF('5_BUSBAR ALLOC_Adj_TPPFeb2020'!A:A,'Dashboard 2019RSP (Round 0)'!A56,'5_BUSBAR ALLOC_Adj_TPPFeb2020'!I:I)</f>
        <v>0</v>
      </c>
      <c r="E56" s="89">
        <f>INDEX(SelectedPortfolio_2019RSP!N:N,MATCH(A56,SelectedPortfolio_2019RSP!H:H,0))</f>
        <v>0</v>
      </c>
      <c r="F56" s="5"/>
      <c r="G56" s="5" t="s">
        <v>48</v>
      </c>
      <c r="H56" s="5">
        <v>1</v>
      </c>
      <c r="I56" s="5"/>
      <c r="J56" s="5"/>
      <c r="K56" s="11" t="s">
        <v>48</v>
      </c>
      <c r="L56" s="79" t="s">
        <v>48</v>
      </c>
      <c r="M56" s="5">
        <v>1</v>
      </c>
      <c r="N56" s="6"/>
      <c r="O56" s="6"/>
      <c r="P56" s="24"/>
      <c r="Q56" s="5"/>
      <c r="R56" s="429">
        <f t="shared" si="0"/>
        <v>0</v>
      </c>
      <c r="S56" s="246"/>
      <c r="T56" s="4"/>
    </row>
    <row r="57" spans="1:20" s="117" customFormat="1" ht="15" hidden="1" customHeight="1">
      <c r="A57" s="12" t="s">
        <v>118</v>
      </c>
      <c r="B57" s="4"/>
      <c r="C57" s="4"/>
      <c r="D57" s="89">
        <f>SUMIF('5_BUSBAR ALLOC_Adj_TPPFeb2020'!A:A,'Dashboard 2019RSP (Round 0)'!A57,'5_BUSBAR ALLOC_Adj_TPPFeb2020'!I:I)</f>
        <v>0</v>
      </c>
      <c r="E57" s="89">
        <f>INDEX(SelectedPortfolio_2019RSP!N:N,MATCH(A57,SelectedPortfolio_2019RSP!H:H,0))</f>
        <v>0</v>
      </c>
      <c r="F57" s="5"/>
      <c r="G57" s="5" t="s">
        <v>48</v>
      </c>
      <c r="H57" s="5">
        <v>1</v>
      </c>
      <c r="I57" s="5"/>
      <c r="J57" s="5"/>
      <c r="K57" s="11" t="s">
        <v>48</v>
      </c>
      <c r="L57" s="79" t="s">
        <v>48</v>
      </c>
      <c r="M57" s="5">
        <v>1</v>
      </c>
      <c r="N57" s="6"/>
      <c r="O57" s="6"/>
      <c r="P57" s="24"/>
      <c r="Q57" s="5"/>
      <c r="R57" s="429">
        <f t="shared" si="0"/>
        <v>0</v>
      </c>
      <c r="S57" s="246"/>
      <c r="T57" s="4"/>
    </row>
    <row r="58" spans="1:20" s="117" customFormat="1" ht="15" hidden="1" customHeight="1">
      <c r="A58" s="12" t="s">
        <v>119</v>
      </c>
      <c r="B58" s="4"/>
      <c r="C58" s="4"/>
      <c r="D58" s="89">
        <f>SUMIF('5_BUSBAR ALLOC_Adj_TPPFeb2020'!A:A,'Dashboard 2019RSP (Round 0)'!A58,'5_BUSBAR ALLOC_Adj_TPPFeb2020'!I:I)</f>
        <v>0</v>
      </c>
      <c r="E58" s="89">
        <f>INDEX(SelectedPortfolio_2019RSP!N:N,MATCH(A58,SelectedPortfolio_2019RSP!H:H,0))</f>
        <v>0</v>
      </c>
      <c r="F58" s="5"/>
      <c r="G58" s="5" t="s">
        <v>48</v>
      </c>
      <c r="H58" s="5">
        <v>1</v>
      </c>
      <c r="I58" s="5"/>
      <c r="J58" s="5"/>
      <c r="K58" s="11" t="s">
        <v>48</v>
      </c>
      <c r="L58" s="79" t="s">
        <v>48</v>
      </c>
      <c r="M58" s="5">
        <v>1</v>
      </c>
      <c r="N58" s="6"/>
      <c r="O58" s="6"/>
      <c r="P58" s="24"/>
      <c r="Q58" s="5"/>
      <c r="R58" s="429">
        <f t="shared" si="0"/>
        <v>0</v>
      </c>
      <c r="S58" s="246"/>
      <c r="T58" s="4"/>
    </row>
    <row r="59" spans="1:20" s="117" customFormat="1" ht="15" hidden="1" customHeight="1">
      <c r="A59" s="12" t="s">
        <v>120</v>
      </c>
      <c r="B59" s="4"/>
      <c r="C59" s="4"/>
      <c r="D59" s="89">
        <f>SUMIF('5_BUSBAR ALLOC_Adj_TPPFeb2020'!A:A,'Dashboard 2019RSP (Round 0)'!A59,'5_BUSBAR ALLOC_Adj_TPPFeb2020'!I:I)</f>
        <v>0</v>
      </c>
      <c r="E59" s="89">
        <f>INDEX(SelectedPortfolio_2019RSP!N:N,MATCH(A59,SelectedPortfolio_2019RSP!H:H,0))</f>
        <v>0</v>
      </c>
      <c r="F59" s="5"/>
      <c r="G59" s="5" t="s">
        <v>48</v>
      </c>
      <c r="H59" s="5">
        <v>1</v>
      </c>
      <c r="I59" s="5"/>
      <c r="J59" s="5"/>
      <c r="K59" s="11" t="s">
        <v>48</v>
      </c>
      <c r="L59" s="79" t="s">
        <v>48</v>
      </c>
      <c r="M59" s="5">
        <v>1</v>
      </c>
      <c r="N59" s="6"/>
      <c r="O59" s="6"/>
      <c r="P59" s="24"/>
      <c r="Q59" s="5"/>
      <c r="R59" s="429">
        <f t="shared" si="0"/>
        <v>0</v>
      </c>
      <c r="S59" s="246"/>
      <c r="T59" s="4"/>
    </row>
    <row r="60" spans="1:20" s="117" customFormat="1" ht="15" hidden="1" customHeight="1">
      <c r="A60" s="12" t="s">
        <v>121</v>
      </c>
      <c r="B60" s="4"/>
      <c r="C60" s="4"/>
      <c r="D60" s="89">
        <f>SUMIF('5_BUSBAR ALLOC_Adj_TPPFeb2020'!A:A,'Dashboard 2019RSP (Round 0)'!A60,'5_BUSBAR ALLOC_Adj_TPPFeb2020'!I:I)</f>
        <v>0</v>
      </c>
      <c r="E60" s="89">
        <f>INDEX(SelectedPortfolio_2019RSP!N:N,MATCH(A60,SelectedPortfolio_2019RSP!H:H,0))</f>
        <v>0</v>
      </c>
      <c r="F60" s="5"/>
      <c r="G60" s="5" t="s">
        <v>50</v>
      </c>
      <c r="H60" s="5">
        <v>1</v>
      </c>
      <c r="I60" s="5"/>
      <c r="J60" s="5"/>
      <c r="K60" s="11" t="s">
        <v>48</v>
      </c>
      <c r="L60" s="79" t="s">
        <v>48</v>
      </c>
      <c r="M60" s="5">
        <v>1</v>
      </c>
      <c r="N60" s="6"/>
      <c r="O60" s="6"/>
      <c r="P60" s="24"/>
      <c r="Q60" s="5"/>
      <c r="R60" s="429">
        <f t="shared" si="0"/>
        <v>0</v>
      </c>
      <c r="S60" s="246"/>
      <c r="T60" s="4"/>
    </row>
    <row r="61" spans="1:20" s="117" customFormat="1" ht="15" hidden="1" customHeight="1">
      <c r="A61" s="12" t="s">
        <v>122</v>
      </c>
      <c r="B61" s="4"/>
      <c r="C61" s="4"/>
      <c r="D61" s="89">
        <f>SUMIF('5_BUSBAR ALLOC_Adj_TPPFeb2020'!A:A,'Dashboard 2019RSP (Round 0)'!A61,'5_BUSBAR ALLOC_Adj_TPPFeb2020'!I:I)</f>
        <v>0</v>
      </c>
      <c r="E61" s="89">
        <f>INDEX(SelectedPortfolio_2019RSP!N:N,MATCH(A61,SelectedPortfolio_2019RSP!H:H,0))</f>
        <v>0</v>
      </c>
      <c r="F61" s="5"/>
      <c r="G61" s="5" t="s">
        <v>48</v>
      </c>
      <c r="H61" s="5">
        <v>1</v>
      </c>
      <c r="I61" s="5"/>
      <c r="J61" s="5"/>
      <c r="K61" s="11" t="s">
        <v>48</v>
      </c>
      <c r="L61" s="79" t="s">
        <v>48</v>
      </c>
      <c r="M61" s="5">
        <v>1</v>
      </c>
      <c r="N61" s="6"/>
      <c r="O61" s="6"/>
      <c r="P61" s="24"/>
      <c r="Q61" s="5"/>
      <c r="R61" s="429">
        <f t="shared" si="0"/>
        <v>0</v>
      </c>
      <c r="S61" s="246"/>
      <c r="T61" s="4"/>
    </row>
    <row r="62" spans="1:20" ht="15" hidden="1" customHeight="1">
      <c r="A62" s="12" t="s">
        <v>123</v>
      </c>
      <c r="B62" s="4"/>
      <c r="C62" s="4"/>
      <c r="D62" s="89">
        <f>SUMIF('5_BUSBAR ALLOC_Adj_TPPFeb2020'!A:A,'Dashboard 2019RSP (Round 0)'!A62,'5_BUSBAR ALLOC_Adj_TPPFeb2020'!I:I)</f>
        <v>0</v>
      </c>
      <c r="E62" s="89">
        <f>INDEX(SelectedPortfolio_2019RSP!N:N,MATCH(A62,SelectedPortfolio_2019RSP!H:H,0))</f>
        <v>0</v>
      </c>
      <c r="F62" s="5"/>
      <c r="G62" s="5" t="s">
        <v>48</v>
      </c>
      <c r="H62" s="5">
        <v>1</v>
      </c>
      <c r="I62" s="5"/>
      <c r="J62" s="5"/>
      <c r="K62" s="11" t="s">
        <v>48</v>
      </c>
      <c r="L62" s="79" t="s">
        <v>48</v>
      </c>
      <c r="M62" s="5">
        <v>1</v>
      </c>
      <c r="N62" s="6"/>
      <c r="O62" s="6"/>
      <c r="P62" s="24"/>
      <c r="Q62" s="5"/>
      <c r="R62" s="429">
        <f t="shared" si="0"/>
        <v>0</v>
      </c>
      <c r="S62" s="246"/>
      <c r="T62" s="4"/>
    </row>
    <row r="63" spans="1:20" ht="15" customHeight="1">
      <c r="A63" s="12" t="s">
        <v>124</v>
      </c>
      <c r="B63" s="4"/>
      <c r="C63" s="4"/>
      <c r="D63" s="11">
        <f>SUMIF('5_BUSBAR ALLOC_Adj_TPPFeb2020'!A:A,'Dashboard 2019RSP (Round 0)'!A63,'5_BUSBAR ALLOC_Adj_TPPFeb2020'!I:I)</f>
        <v>428</v>
      </c>
      <c r="E63" s="11">
        <f>INDEX(SelectedPortfolio_2019RSP!N:N,MATCH(A63,SelectedPortfolio_2019RSP!H:H,0))</f>
        <v>2352.08</v>
      </c>
      <c r="F63" s="250"/>
      <c r="G63" s="5" t="s">
        <v>50</v>
      </c>
      <c r="H63" s="250">
        <v>1</v>
      </c>
      <c r="I63" s="250"/>
      <c r="J63" s="250"/>
      <c r="K63" s="11">
        <v>1</v>
      </c>
      <c r="L63" s="250">
        <v>1</v>
      </c>
      <c r="M63" s="250">
        <v>3</v>
      </c>
      <c r="N63" s="80">
        <f>SUM(F63,H63,I63,J63,L63,M63)</f>
        <v>5</v>
      </c>
      <c r="O63" s="275"/>
      <c r="P63" s="81" t="s">
        <v>51</v>
      </c>
      <c r="Q63" s="73" t="s">
        <v>125</v>
      </c>
      <c r="R63" s="429">
        <f t="shared" si="0"/>
        <v>1</v>
      </c>
      <c r="S63" s="406"/>
      <c r="T63" s="4"/>
    </row>
    <row r="64" spans="1:20" hidden="1">
      <c r="A64" s="12" t="s">
        <v>126</v>
      </c>
      <c r="B64" s="4"/>
      <c r="C64" s="4"/>
      <c r="D64" s="89">
        <f>SUMIF('5_BUSBAR ALLOC_Adj_TPPFeb2020'!A:A,'Dashboard 2019RSP (Round 0)'!A64,'5_BUSBAR ALLOC_Adj_TPPFeb2020'!I:I)</f>
        <v>0</v>
      </c>
      <c r="E64" s="89">
        <f>INDEX(SelectedPortfolio_2019RSP!N:N,MATCH(A64,SelectedPortfolio_2019RSP!H:H,0))</f>
        <v>0</v>
      </c>
      <c r="F64" s="5"/>
      <c r="G64" s="5" t="s">
        <v>50</v>
      </c>
      <c r="H64" s="5">
        <v>1</v>
      </c>
      <c r="I64" s="5"/>
      <c r="J64" s="5"/>
      <c r="K64" s="11" t="s">
        <v>48</v>
      </c>
      <c r="L64" s="79" t="s">
        <v>48</v>
      </c>
      <c r="M64" s="5">
        <v>1</v>
      </c>
      <c r="N64" s="6"/>
      <c r="O64" s="6"/>
      <c r="P64" s="24"/>
      <c r="Q64" s="5"/>
      <c r="R64" s="429">
        <f t="shared" si="0"/>
        <v>0</v>
      </c>
      <c r="S64" s="246"/>
      <c r="T64" s="4"/>
    </row>
    <row r="65" spans="1:20" s="117" customFormat="1" hidden="1">
      <c r="A65" s="342" t="s">
        <v>127</v>
      </c>
      <c r="B65" s="4"/>
      <c r="C65" s="4"/>
      <c r="D65" s="89">
        <f>SUMIF('5_BUSBAR ALLOC_Adj_TPPFeb2020'!A:A,'Dashboard 2019RSP (Round 0)'!A65,'5_BUSBAR ALLOC_Adj_TPPFeb2020'!I:I)</f>
        <v>0</v>
      </c>
      <c r="E65" s="89">
        <f>INDEX(SelectedPortfolio_2019RSP!N:N,MATCH(A65,SelectedPortfolio_2019RSP!H:H,0))</f>
        <v>0</v>
      </c>
      <c r="F65" s="5"/>
      <c r="G65" s="5" t="s">
        <v>50</v>
      </c>
      <c r="H65" s="5">
        <v>1</v>
      </c>
      <c r="I65" s="5"/>
      <c r="J65" s="5"/>
      <c r="K65" s="11" t="s">
        <v>48</v>
      </c>
      <c r="L65" s="79" t="s">
        <v>48</v>
      </c>
      <c r="M65" s="5">
        <v>1</v>
      </c>
      <c r="N65" s="6"/>
      <c r="O65" s="6"/>
      <c r="P65" s="24"/>
      <c r="Q65" s="5"/>
      <c r="R65" s="429">
        <f t="shared" si="0"/>
        <v>0</v>
      </c>
      <c r="S65" s="246"/>
      <c r="T65" s="4"/>
    </row>
    <row r="66" spans="1:20" ht="15" customHeight="1">
      <c r="A66" s="12" t="s">
        <v>128</v>
      </c>
      <c r="B66" s="4"/>
      <c r="C66" s="4"/>
      <c r="D66" s="11">
        <f>SUMIF('5_BUSBAR ALLOC_Adj_TPPFeb2020'!A:A,'Dashboard 2019RSP (Round 0)'!A66,'5_BUSBAR ALLOC_Adj_TPPFeb2020'!I:I)</f>
        <v>0</v>
      </c>
      <c r="E66" s="11">
        <f>INDEX(SelectedPortfolio_2019RSP!N:N,MATCH(A66,SelectedPortfolio_2019RSP!H:H,0))</f>
        <v>600</v>
      </c>
      <c r="F66" s="250"/>
      <c r="G66" s="5" t="s">
        <v>50</v>
      </c>
      <c r="H66" s="250">
        <v>1</v>
      </c>
      <c r="I66" s="250"/>
      <c r="J66" s="250"/>
      <c r="K66" s="11">
        <v>1</v>
      </c>
      <c r="L66" s="250">
        <v>1</v>
      </c>
      <c r="M66" s="250">
        <v>2</v>
      </c>
      <c r="N66" s="21">
        <f>SUM(F66,H66,I66,J66,L66,M66)</f>
        <v>4</v>
      </c>
      <c r="O66" s="275"/>
      <c r="P66" s="81" t="s">
        <v>51</v>
      </c>
      <c r="Q66" s="73" t="s">
        <v>129</v>
      </c>
      <c r="R66" s="429">
        <f t="shared" si="0"/>
        <v>1</v>
      </c>
      <c r="S66" s="246"/>
      <c r="T66" s="4"/>
    </row>
    <row r="67" spans="1:20" ht="15" hidden="1" customHeight="1">
      <c r="A67" s="12" t="s">
        <v>130</v>
      </c>
      <c r="B67" s="4"/>
      <c r="C67" s="4"/>
      <c r="D67" s="89">
        <f>SUMIF('5_BUSBAR ALLOC_Adj_TPPFeb2020'!A:A,'Dashboard 2019RSP (Round 0)'!A67,'5_BUSBAR ALLOC_Adj_TPPFeb2020'!I:I)</f>
        <v>0</v>
      </c>
      <c r="E67" s="89">
        <f>INDEX(SelectedPortfolio_2019RSP!N:N,MATCH(A67,SelectedPortfolio_2019RSP!H:H,0))</f>
        <v>0</v>
      </c>
      <c r="F67" s="5"/>
      <c r="G67" s="5" t="s">
        <v>50</v>
      </c>
      <c r="H67" s="5">
        <v>1</v>
      </c>
      <c r="I67" s="5"/>
      <c r="J67" s="5"/>
      <c r="K67" s="11" t="s">
        <v>48</v>
      </c>
      <c r="L67" s="79" t="s">
        <v>48</v>
      </c>
      <c r="M67" s="5">
        <v>1</v>
      </c>
      <c r="N67" s="6"/>
      <c r="O67" s="6"/>
      <c r="P67" s="24"/>
      <c r="Q67" s="5"/>
      <c r="R67" s="429">
        <f t="shared" si="0"/>
        <v>0</v>
      </c>
      <c r="S67" s="246"/>
      <c r="T67" s="4"/>
    </row>
    <row r="68" spans="1:20" ht="15" hidden="1" customHeight="1">
      <c r="A68" s="12" t="s">
        <v>131</v>
      </c>
      <c r="B68" s="4"/>
      <c r="C68" s="4"/>
      <c r="D68" s="89">
        <f>SUMIF('5_BUSBAR ALLOC_Adj_TPPFeb2020'!A:A,'Dashboard 2019RSP (Round 0)'!A68,'5_BUSBAR ALLOC_Adj_TPPFeb2020'!I:I)</f>
        <v>0</v>
      </c>
      <c r="E68" s="89">
        <f>INDEX(SelectedPortfolio_2019RSP!N:N,MATCH(A68,SelectedPortfolio_2019RSP!H:H,0))</f>
        <v>0</v>
      </c>
      <c r="F68" s="5"/>
      <c r="G68" s="5" t="s">
        <v>48</v>
      </c>
      <c r="H68" s="5">
        <v>1</v>
      </c>
      <c r="I68" s="5"/>
      <c r="J68" s="5"/>
      <c r="K68" s="11" t="s">
        <v>48</v>
      </c>
      <c r="L68" s="79" t="s">
        <v>48</v>
      </c>
      <c r="M68" s="5">
        <v>1</v>
      </c>
      <c r="N68" s="6"/>
      <c r="O68" s="6"/>
      <c r="P68" s="24"/>
      <c r="Q68" s="5"/>
      <c r="R68" s="429">
        <f t="shared" si="0"/>
        <v>0</v>
      </c>
      <c r="S68" s="246"/>
      <c r="T68" s="4"/>
    </row>
    <row r="69" spans="1:20" ht="15" hidden="1" customHeight="1">
      <c r="A69" s="12" t="s">
        <v>132</v>
      </c>
      <c r="B69" s="4"/>
      <c r="C69" s="4"/>
      <c r="D69" s="89">
        <f>SUMIF('5_BUSBAR ALLOC_Adj_TPPFeb2020'!A:A,'Dashboard 2019RSP (Round 0)'!A69,'5_BUSBAR ALLOC_Adj_TPPFeb2020'!I:I)</f>
        <v>0</v>
      </c>
      <c r="E69" s="89">
        <f>INDEX(SelectedPortfolio_2019RSP!N:N,MATCH(A69,SelectedPortfolio_2019RSP!H:H,0))</f>
        <v>0</v>
      </c>
      <c r="F69" s="5"/>
      <c r="G69" s="5" t="s">
        <v>48</v>
      </c>
      <c r="H69" s="5">
        <v>1</v>
      </c>
      <c r="I69" s="5"/>
      <c r="J69" s="5"/>
      <c r="K69" s="11" t="s">
        <v>48</v>
      </c>
      <c r="L69" s="79" t="s">
        <v>48</v>
      </c>
      <c r="M69" s="5">
        <v>1</v>
      </c>
      <c r="N69" s="6"/>
      <c r="O69" s="6"/>
      <c r="P69" s="24"/>
      <c r="Q69" s="5"/>
      <c r="R69" s="429">
        <f t="shared" si="0"/>
        <v>0</v>
      </c>
      <c r="S69" s="246"/>
      <c r="T69" s="4"/>
    </row>
    <row r="70" spans="1:20" ht="15" hidden="1" customHeight="1">
      <c r="A70" s="12" t="s">
        <v>133</v>
      </c>
      <c r="B70" s="4"/>
      <c r="C70" s="4"/>
      <c r="D70" s="89">
        <f>SUMIF('5_BUSBAR ALLOC_Adj_TPPFeb2020'!A:A,'Dashboard 2019RSP (Round 0)'!A70,'5_BUSBAR ALLOC_Adj_TPPFeb2020'!I:I)</f>
        <v>0</v>
      </c>
      <c r="E70" s="89">
        <f>INDEX(SelectedPortfolio_2019RSP!N:N,MATCH(A70,SelectedPortfolio_2019RSP!H:H,0))</f>
        <v>0</v>
      </c>
      <c r="F70" s="5"/>
      <c r="G70" s="5" t="s">
        <v>50</v>
      </c>
      <c r="H70" s="5">
        <v>1</v>
      </c>
      <c r="I70" s="5"/>
      <c r="J70" s="5"/>
      <c r="K70" s="11" t="s">
        <v>48</v>
      </c>
      <c r="L70" s="79" t="s">
        <v>48</v>
      </c>
      <c r="M70" s="5">
        <v>1</v>
      </c>
      <c r="N70" s="6"/>
      <c r="O70" s="6"/>
      <c r="P70" s="24"/>
      <c r="Q70" s="5"/>
      <c r="R70" s="429">
        <f t="shared" si="0"/>
        <v>0</v>
      </c>
      <c r="S70" s="246"/>
      <c r="T70" s="4"/>
    </row>
    <row r="71" spans="1:20" ht="15" hidden="1" customHeight="1">
      <c r="A71" s="12" t="s">
        <v>134</v>
      </c>
      <c r="B71" s="4"/>
      <c r="C71" s="4"/>
      <c r="D71" s="89">
        <f>SUMIF('5_BUSBAR ALLOC_Adj_TPPFeb2020'!A:A,'Dashboard 2019RSP (Round 0)'!A71,'5_BUSBAR ALLOC_Adj_TPPFeb2020'!I:I)</f>
        <v>0</v>
      </c>
      <c r="E71" s="89">
        <f>INDEX(SelectedPortfolio_2019RSP!N:N,MATCH(A71,SelectedPortfolio_2019RSP!H:H,0))</f>
        <v>0</v>
      </c>
      <c r="F71" s="5"/>
      <c r="G71" s="5" t="s">
        <v>50</v>
      </c>
      <c r="H71" s="5">
        <v>1</v>
      </c>
      <c r="I71" s="5"/>
      <c r="J71" s="5"/>
      <c r="K71" s="11" t="s">
        <v>48</v>
      </c>
      <c r="L71" s="79" t="s">
        <v>48</v>
      </c>
      <c r="M71" s="5">
        <v>1</v>
      </c>
      <c r="N71" s="6"/>
      <c r="O71" s="6"/>
      <c r="P71" s="24"/>
      <c r="Q71" s="5"/>
      <c r="R71" s="429">
        <f t="shared" si="0"/>
        <v>0</v>
      </c>
      <c r="S71" s="246"/>
      <c r="T71" s="4"/>
    </row>
    <row r="72" spans="1:20" ht="15" customHeight="1">
      <c r="A72" s="12" t="s">
        <v>135</v>
      </c>
      <c r="B72" s="4"/>
      <c r="C72" s="4"/>
      <c r="D72" s="11">
        <f>SUMIF('5_BUSBAR ALLOC_Adj_TPPFeb2020'!A:A,'Dashboard 2019RSP (Round 0)'!A72,'5_BUSBAR ALLOC_Adj_TPPFeb2020'!I:I)</f>
        <v>0</v>
      </c>
      <c r="E72" s="11">
        <f>INDEX(SelectedPortfolio_2019RSP!N:N,MATCH(A72,SelectedPortfolio_2019RSP!H:H,0))</f>
        <v>606.16999999999996</v>
      </c>
      <c r="F72" s="250"/>
      <c r="G72" s="5" t="s">
        <v>50</v>
      </c>
      <c r="H72" s="250">
        <v>1</v>
      </c>
      <c r="I72" s="250"/>
      <c r="J72" s="250"/>
      <c r="K72" s="11">
        <v>3</v>
      </c>
      <c r="L72" s="250">
        <v>3</v>
      </c>
      <c r="M72" s="250">
        <v>2</v>
      </c>
      <c r="N72" s="6"/>
      <c r="O72" s="6"/>
      <c r="P72" s="81" t="s">
        <v>51</v>
      </c>
      <c r="Q72" s="73" t="s">
        <v>136</v>
      </c>
      <c r="R72" s="429">
        <f t="shared" ref="R72" si="1">IF(OR(D72&gt;0,E72&gt;0),1,0)</f>
        <v>1</v>
      </c>
      <c r="S72" s="406"/>
      <c r="T72" s="4"/>
    </row>
    <row r="73" spans="1:20" ht="15" customHeight="1">
      <c r="A73" s="343" t="s">
        <v>137</v>
      </c>
      <c r="B73" s="83"/>
      <c r="C73" s="83"/>
      <c r="D73" s="86">
        <f>SUM(D7:D72)</f>
        <v>9011</v>
      </c>
      <c r="E73" s="86">
        <f>SUM(E7:E72)</f>
        <v>14460.489999999998</v>
      </c>
      <c r="F73" s="350"/>
      <c r="G73" s="85"/>
      <c r="H73" s="350"/>
      <c r="I73" s="350"/>
      <c r="J73" s="350"/>
      <c r="K73" s="86"/>
      <c r="L73" s="350"/>
      <c r="M73" s="350"/>
      <c r="N73" s="84"/>
      <c r="O73" s="86"/>
      <c r="P73" s="94"/>
      <c r="Q73" s="101"/>
      <c r="R73" s="429">
        <v>1</v>
      </c>
      <c r="T73" s="4"/>
    </row>
    <row r="74" spans="1:20" s="429" customFormat="1" ht="15" customHeight="1">
      <c r="A74" s="343" t="str">
        <f>'Dashboard 2019RSP (Round 2)'!A32</f>
        <v>Pumped Storage Hydro</v>
      </c>
      <c r="B74" s="83"/>
      <c r="C74" s="83"/>
      <c r="D74" s="86">
        <f>'Dashboard 2019RSP (Round 2)'!C32</f>
        <v>0</v>
      </c>
      <c r="E74" s="483">
        <f>'Dashboard 2019RSP (Round 2)'!D32</f>
        <v>973</v>
      </c>
      <c r="F74" s="350"/>
      <c r="G74" s="85"/>
      <c r="H74" s="350"/>
      <c r="I74" s="350"/>
      <c r="J74" s="350"/>
      <c r="K74" s="86"/>
      <c r="L74" s="350"/>
      <c r="M74" s="350"/>
      <c r="N74" s="84"/>
      <c r="O74" s="86"/>
      <c r="P74" s="94"/>
      <c r="Q74" s="101"/>
      <c r="S74" s="243"/>
      <c r="T74" s="4"/>
    </row>
    <row r="75" spans="1:20">
      <c r="A75" s="344" t="s">
        <v>138</v>
      </c>
      <c r="B75" s="87"/>
      <c r="C75" s="87"/>
      <c r="D75" s="430">
        <f>D73+D74</f>
        <v>9011</v>
      </c>
      <c r="E75" s="430">
        <f>E73+E74</f>
        <v>15433.489999999998</v>
      </c>
      <c r="F75" s="352"/>
      <c r="G75" s="88"/>
      <c r="H75" s="352"/>
      <c r="I75" s="352"/>
      <c r="J75" s="352"/>
      <c r="K75" s="87"/>
      <c r="L75" s="352"/>
      <c r="M75" s="352"/>
      <c r="N75" s="88"/>
      <c r="O75" s="87"/>
      <c r="P75" s="96"/>
      <c r="Q75" s="102"/>
      <c r="R75" s="429">
        <v>1</v>
      </c>
      <c r="S75" s="406"/>
      <c r="T75" s="429"/>
    </row>
    <row r="76" spans="1:20">
      <c r="A76" s="429"/>
      <c r="B76" s="429"/>
      <c r="C76" s="429"/>
      <c r="D76" s="429"/>
      <c r="E76" s="429"/>
      <c r="F76" s="429"/>
      <c r="G76" s="429"/>
      <c r="H76" s="429"/>
      <c r="I76" s="429"/>
      <c r="J76" s="429"/>
      <c r="K76" s="429"/>
      <c r="L76" s="429"/>
      <c r="M76" s="429"/>
      <c r="O76" s="429"/>
      <c r="Q76" s="464"/>
      <c r="R76" s="429"/>
      <c r="S76" s="406"/>
      <c r="T76" s="429"/>
    </row>
    <row r="77" spans="1:20">
      <c r="A77" s="429"/>
      <c r="B77" s="429"/>
      <c r="C77" s="429"/>
      <c r="D77" s="406"/>
      <c r="E77" s="429"/>
      <c r="F77" s="429"/>
      <c r="G77" s="429"/>
      <c r="H77" s="429"/>
      <c r="I77" s="429"/>
      <c r="J77" s="429"/>
      <c r="K77" s="429"/>
      <c r="L77" s="429"/>
      <c r="M77" s="429"/>
      <c r="O77" s="429"/>
      <c r="Q77" s="464"/>
      <c r="R77" s="429"/>
      <c r="T77" s="429"/>
    </row>
    <row r="78" spans="1:20">
      <c r="A78" s="429"/>
      <c r="B78" s="429"/>
      <c r="C78" s="429"/>
      <c r="D78" s="429"/>
      <c r="E78" s="429"/>
      <c r="F78" s="429"/>
      <c r="G78" s="429"/>
      <c r="H78" s="429"/>
      <c r="I78" s="429"/>
      <c r="J78" s="429"/>
      <c r="K78" s="429"/>
      <c r="L78" s="429"/>
      <c r="M78" s="429"/>
      <c r="O78" s="429"/>
      <c r="Q78" s="464"/>
      <c r="R78" s="429"/>
      <c r="T78" s="429"/>
    </row>
  </sheetData>
  <autoFilter ref="A6:R75" xr:uid="{00000000-0009-0000-0000-000001000000}">
    <filterColumn colId="17">
      <filters>
        <filter val="1"/>
      </filters>
    </filterColumn>
  </autoFilter>
  <mergeCells count="1">
    <mergeCell ref="A4:A5"/>
  </mergeCells>
  <conditionalFormatting sqref="L73:L74">
    <cfRule type="colorScale" priority="750">
      <colorScale>
        <cfvo type="min"/>
        <cfvo type="percentile" val="50"/>
        <cfvo type="max"/>
        <color rgb="FF63BE7B"/>
        <color rgb="FFFFEB84"/>
        <color rgb="FFF8696B"/>
      </colorScale>
    </cfRule>
  </conditionalFormatting>
  <conditionalFormatting sqref="L73:L74">
    <cfRule type="colorScale" priority="752">
      <colorScale>
        <cfvo type="min"/>
        <cfvo type="percentile" val="50"/>
        <cfvo type="max"/>
        <color rgb="FF63BE7B"/>
        <color rgb="FFFFEB84"/>
        <color rgb="FFF8696B"/>
      </colorScale>
    </cfRule>
  </conditionalFormatting>
  <conditionalFormatting sqref="I8:I14 I76 I16 I18:I29 I31:I74">
    <cfRule type="colorScale" priority="790">
      <colorScale>
        <cfvo type="min"/>
        <cfvo type="percentile" val="50"/>
        <cfvo type="max"/>
        <color rgb="FFF8696B"/>
        <color rgb="FFFFEB84"/>
        <color rgb="FF63BE7B"/>
      </colorScale>
    </cfRule>
  </conditionalFormatting>
  <conditionalFormatting sqref="I75">
    <cfRule type="colorScale" priority="58">
      <colorScale>
        <cfvo type="min"/>
        <cfvo type="percentile" val="50"/>
        <cfvo type="max"/>
        <color rgb="FFF8696B"/>
        <color rgb="FFFFEB84"/>
        <color rgb="FF63BE7B"/>
      </colorScale>
    </cfRule>
  </conditionalFormatting>
  <conditionalFormatting sqref="M7:M74">
    <cfRule type="colorScale" priority="826">
      <colorScale>
        <cfvo type="min"/>
        <cfvo type="percentile" val="50"/>
        <cfvo type="max"/>
        <color rgb="FF63BE7B"/>
        <color rgb="FFFFEB84"/>
        <color rgb="FFF8696B"/>
      </colorScale>
    </cfRule>
  </conditionalFormatting>
  <conditionalFormatting sqref="F18:F29 F16 F31:F66 I31:J66 I18:J29 I16:J16 F8:F14 I9:J14 H9:H72 H8:J8 M7:M72">
    <cfRule type="colorScale" priority="869">
      <colorScale>
        <cfvo type="min"/>
        <cfvo type="percentile" val="50"/>
        <cfvo type="max"/>
        <color rgb="FF63BE7B"/>
        <color rgb="FFFFEB84"/>
        <color rgb="FFF8696B"/>
      </colorScale>
    </cfRule>
  </conditionalFormatting>
  <conditionalFormatting sqref="M7:M72">
    <cfRule type="colorScale" priority="873">
      <colorScale>
        <cfvo type="min"/>
        <cfvo type="percentile" val="50"/>
        <cfvo type="max"/>
        <color rgb="FF63BE7B"/>
        <color rgb="FFFFEB84"/>
        <color rgb="FFF8696B"/>
      </colorScale>
    </cfRule>
  </conditionalFormatting>
  <conditionalFormatting sqref="I8:I14 I16 I18:I29 I31:I66">
    <cfRule type="colorScale" priority="875">
      <colorScale>
        <cfvo type="min"/>
        <cfvo type="percentile" val="50"/>
        <cfvo type="max"/>
        <color rgb="FF63BE7B"/>
        <color rgb="FFFFEB84"/>
        <color rgb="FFF8696B"/>
      </colorScale>
    </cfRule>
  </conditionalFormatting>
  <conditionalFormatting sqref="N8:O66">
    <cfRule type="colorScale" priority="877">
      <colorScale>
        <cfvo type="min"/>
        <cfvo type="percentile" val="50"/>
        <cfvo type="max"/>
        <color rgb="FF63BE7B"/>
        <color rgb="FFFFEB84"/>
        <color rgb="FFF8696B"/>
      </colorScale>
    </cfRule>
  </conditionalFormatting>
  <conditionalFormatting sqref="F18:F29 F16 F31:F66 I31:J66 I18:J29 I16:J16 F8:F14 I9:J14 H9:H72 H8:J8">
    <cfRule type="colorScale" priority="879">
      <colorScale>
        <cfvo type="min"/>
        <cfvo type="percentile" val="50"/>
        <cfvo type="max"/>
        <color rgb="FF63BE7B"/>
        <color rgb="FFFFEB84"/>
        <color rgb="FFF8696B"/>
      </colorScale>
    </cfRule>
  </conditionalFormatting>
  <conditionalFormatting sqref="F18:F29 F16 F73:G74 F31:F72">
    <cfRule type="colorScale" priority="881">
      <colorScale>
        <cfvo type="min"/>
        <cfvo type="percentile" val="50"/>
        <cfvo type="max"/>
        <color rgb="FF63BE7B"/>
        <color rgb="FFFFEB84"/>
        <color rgb="FFF8696B"/>
      </colorScale>
    </cfRule>
  </conditionalFormatting>
  <conditionalFormatting sqref="F7:G7 F16 F18:F29 F73:G74 F31:F72 F8:F14 G7:G72">
    <cfRule type="colorScale" priority="883">
      <colorScale>
        <cfvo type="min"/>
        <cfvo type="percentile" val="50"/>
        <cfvo type="max"/>
        <color rgb="FF63BE7B"/>
        <color rgb="FFFFEB84"/>
        <color rgb="FFF8696B"/>
      </colorScale>
    </cfRule>
  </conditionalFormatting>
  <conditionalFormatting sqref="H73:H74">
    <cfRule type="colorScale" priority="885">
      <colorScale>
        <cfvo type="min"/>
        <cfvo type="percentile" val="50"/>
        <cfvo type="max"/>
        <color rgb="FF63BE7B"/>
        <color rgb="FFFFEB84"/>
        <color rgb="FFF8696B"/>
      </colorScale>
    </cfRule>
  </conditionalFormatting>
  <conditionalFormatting sqref="H7:H74">
    <cfRule type="colorScale" priority="887">
      <colorScale>
        <cfvo type="min"/>
        <cfvo type="percentile" val="50"/>
        <cfvo type="max"/>
        <color rgb="FF63BE7B"/>
        <color rgb="FFFFEB84"/>
        <color rgb="FFF8696B"/>
      </colorScale>
    </cfRule>
  </conditionalFormatting>
  <conditionalFormatting sqref="I18:I29 I16 I31:I74">
    <cfRule type="colorScale" priority="889">
      <colorScale>
        <cfvo type="min"/>
        <cfvo type="percentile" val="50"/>
        <cfvo type="max"/>
        <color rgb="FF63BE7B"/>
        <color rgb="FFFFEB84"/>
        <color rgb="FFF8696B"/>
      </colorScale>
    </cfRule>
  </conditionalFormatting>
  <conditionalFormatting sqref="I7:I14 I16 I18:I29 I31:I74">
    <cfRule type="colorScale" priority="891">
      <colorScale>
        <cfvo type="min"/>
        <cfvo type="percentile" val="50"/>
        <cfvo type="max"/>
        <color rgb="FF63BE7B"/>
        <color rgb="FFFFEB84"/>
        <color rgb="FFF8696B"/>
      </colorScale>
    </cfRule>
  </conditionalFormatting>
  <conditionalFormatting sqref="J18:J29 J16 J31:J74">
    <cfRule type="colorScale" priority="893">
      <colorScale>
        <cfvo type="min"/>
        <cfvo type="percentile" val="50"/>
        <cfvo type="max"/>
        <color rgb="FF63BE7B"/>
        <color rgb="FFFFEB84"/>
        <color rgb="FFF8696B"/>
      </colorScale>
    </cfRule>
  </conditionalFormatting>
  <conditionalFormatting sqref="J7:J14 J16 J18:J29 J31:J74">
    <cfRule type="colorScale" priority="895">
      <colorScale>
        <cfvo type="min"/>
        <cfvo type="percentile" val="50"/>
        <cfvo type="max"/>
        <color rgb="FF63BE7B"/>
        <color rgb="FFFFEB84"/>
        <color rgb="FFF8696B"/>
      </colorScale>
    </cfRule>
  </conditionalFormatting>
  <conditionalFormatting sqref="M7:M72">
    <cfRule type="colorScale" priority="897">
      <colorScale>
        <cfvo type="min"/>
        <cfvo type="percentile" val="50"/>
        <cfvo type="max"/>
        <color rgb="FFF8696B"/>
        <color rgb="FFFFEB84"/>
        <color rgb="FF63BE7B"/>
      </colorScale>
    </cfRule>
  </conditionalFormatting>
  <conditionalFormatting sqref="L7:L14 L16 L18:L29 L31:L72">
    <cfRule type="colorScale" priority="899">
      <colorScale>
        <cfvo type="min"/>
        <cfvo type="percentile" val="50"/>
        <cfvo type="max"/>
        <color rgb="FF63BE7B"/>
        <color rgb="FFFFEB84"/>
        <color rgb="FFF8696B"/>
      </colorScale>
    </cfRule>
  </conditionalFormatting>
  <conditionalFormatting sqref="L7:L14 L16 F16 F18:F29 L18:L29 F31:F52 L31:L72 F8:F14 H8:H72">
    <cfRule type="colorScale" priority="901">
      <colorScale>
        <cfvo type="min"/>
        <cfvo type="percentile" val="50"/>
        <cfvo type="max"/>
        <color rgb="FF63BE7B"/>
        <color rgb="FFFFEB84"/>
        <color rgb="FFF8696B"/>
      </colorScale>
    </cfRule>
  </conditionalFormatting>
  <conditionalFormatting sqref="I15">
    <cfRule type="colorScale" priority="42">
      <colorScale>
        <cfvo type="min"/>
        <cfvo type="percentile" val="50"/>
        <cfvo type="max"/>
        <color rgb="FFF8696B"/>
        <color rgb="FFFFEB84"/>
        <color rgb="FF63BE7B"/>
      </colorScale>
    </cfRule>
  </conditionalFormatting>
  <conditionalFormatting sqref="I15:J15 F15">
    <cfRule type="colorScale" priority="44">
      <colorScale>
        <cfvo type="min"/>
        <cfvo type="percentile" val="50"/>
        <cfvo type="max"/>
        <color rgb="FF63BE7B"/>
        <color rgb="FFFFEB84"/>
        <color rgb="FFF8696B"/>
      </colorScale>
    </cfRule>
  </conditionalFormatting>
  <conditionalFormatting sqref="I15">
    <cfRule type="colorScale" priority="46">
      <colorScale>
        <cfvo type="min"/>
        <cfvo type="percentile" val="50"/>
        <cfvo type="max"/>
        <color rgb="FF63BE7B"/>
        <color rgb="FFFFEB84"/>
        <color rgb="FFF8696B"/>
      </colorScale>
    </cfRule>
  </conditionalFormatting>
  <conditionalFormatting sqref="I15:J15 F15">
    <cfRule type="colorScale" priority="47">
      <colorScale>
        <cfvo type="min"/>
        <cfvo type="percentile" val="50"/>
        <cfvo type="max"/>
        <color rgb="FF63BE7B"/>
        <color rgb="FFFFEB84"/>
        <color rgb="FFF8696B"/>
      </colorScale>
    </cfRule>
  </conditionalFormatting>
  <conditionalFormatting sqref="F15">
    <cfRule type="colorScale" priority="48">
      <colorScale>
        <cfvo type="min"/>
        <cfvo type="percentile" val="50"/>
        <cfvo type="max"/>
        <color rgb="FF63BE7B"/>
        <color rgb="FFFFEB84"/>
        <color rgb="FFF8696B"/>
      </colorScale>
    </cfRule>
  </conditionalFormatting>
  <conditionalFormatting sqref="I15">
    <cfRule type="colorScale" priority="50">
      <colorScale>
        <cfvo type="min"/>
        <cfvo type="percentile" val="50"/>
        <cfvo type="max"/>
        <color rgb="FF63BE7B"/>
        <color rgb="FFFFEB84"/>
        <color rgb="FFF8696B"/>
      </colorScale>
    </cfRule>
  </conditionalFormatting>
  <conditionalFormatting sqref="J15">
    <cfRule type="colorScale" priority="51">
      <colorScale>
        <cfvo type="min"/>
        <cfvo type="percentile" val="50"/>
        <cfvo type="max"/>
        <color rgb="FF63BE7B"/>
        <color rgb="FFFFEB84"/>
        <color rgb="FFF8696B"/>
      </colorScale>
    </cfRule>
  </conditionalFormatting>
  <conditionalFormatting sqref="L15">
    <cfRule type="colorScale" priority="53">
      <colorScale>
        <cfvo type="min"/>
        <cfvo type="percentile" val="50"/>
        <cfvo type="max"/>
        <color rgb="FF63BE7B"/>
        <color rgb="FFFFEB84"/>
        <color rgb="FFF8696B"/>
      </colorScale>
    </cfRule>
  </conditionalFormatting>
  <conditionalFormatting sqref="L15 F15">
    <cfRule type="colorScale" priority="54">
      <colorScale>
        <cfvo type="min"/>
        <cfvo type="percentile" val="50"/>
        <cfvo type="max"/>
        <color rgb="FF63BE7B"/>
        <color rgb="FFFFEB84"/>
        <color rgb="FFF8696B"/>
      </colorScale>
    </cfRule>
  </conditionalFormatting>
  <conditionalFormatting sqref="I17">
    <cfRule type="colorScale" priority="25">
      <colorScale>
        <cfvo type="min"/>
        <cfvo type="percentile" val="50"/>
        <cfvo type="max"/>
        <color rgb="FFF8696B"/>
        <color rgb="FFFFEB84"/>
        <color rgb="FF63BE7B"/>
      </colorScale>
    </cfRule>
  </conditionalFormatting>
  <conditionalFormatting sqref="I17:J17 F17">
    <cfRule type="colorScale" priority="27">
      <colorScale>
        <cfvo type="min"/>
        <cfvo type="percentile" val="50"/>
        <cfvo type="max"/>
        <color rgb="FF63BE7B"/>
        <color rgb="FFFFEB84"/>
        <color rgb="FFF8696B"/>
      </colorScale>
    </cfRule>
  </conditionalFormatting>
  <conditionalFormatting sqref="I17">
    <cfRule type="colorScale" priority="29">
      <colorScale>
        <cfvo type="min"/>
        <cfvo type="percentile" val="50"/>
        <cfvo type="max"/>
        <color rgb="FF63BE7B"/>
        <color rgb="FFFFEB84"/>
        <color rgb="FFF8696B"/>
      </colorScale>
    </cfRule>
  </conditionalFormatting>
  <conditionalFormatting sqref="I17:J17 F17">
    <cfRule type="colorScale" priority="30">
      <colorScale>
        <cfvo type="min"/>
        <cfvo type="percentile" val="50"/>
        <cfvo type="max"/>
        <color rgb="FF63BE7B"/>
        <color rgb="FFFFEB84"/>
        <color rgb="FFF8696B"/>
      </colorScale>
    </cfRule>
  </conditionalFormatting>
  <conditionalFormatting sqref="F17">
    <cfRule type="colorScale" priority="31">
      <colorScale>
        <cfvo type="min"/>
        <cfvo type="percentile" val="50"/>
        <cfvo type="max"/>
        <color rgb="FF63BE7B"/>
        <color rgb="FFFFEB84"/>
        <color rgb="FFF8696B"/>
      </colorScale>
    </cfRule>
  </conditionalFormatting>
  <conditionalFormatting sqref="F17">
    <cfRule type="colorScale" priority="32">
      <colorScale>
        <cfvo type="min"/>
        <cfvo type="percentile" val="50"/>
        <cfvo type="max"/>
        <color rgb="FF63BE7B"/>
        <color rgb="FFFFEB84"/>
        <color rgb="FFF8696B"/>
      </colorScale>
    </cfRule>
  </conditionalFormatting>
  <conditionalFormatting sqref="I17">
    <cfRule type="colorScale" priority="35">
      <colorScale>
        <cfvo type="min"/>
        <cfvo type="percentile" val="50"/>
        <cfvo type="max"/>
        <color rgb="FF63BE7B"/>
        <color rgb="FFFFEB84"/>
        <color rgb="FFF8696B"/>
      </colorScale>
    </cfRule>
  </conditionalFormatting>
  <conditionalFormatting sqref="I17">
    <cfRule type="colorScale" priority="36">
      <colorScale>
        <cfvo type="min"/>
        <cfvo type="percentile" val="50"/>
        <cfvo type="max"/>
        <color rgb="FF63BE7B"/>
        <color rgb="FFFFEB84"/>
        <color rgb="FFF8696B"/>
      </colorScale>
    </cfRule>
  </conditionalFormatting>
  <conditionalFormatting sqref="J17">
    <cfRule type="colorScale" priority="37">
      <colorScale>
        <cfvo type="min"/>
        <cfvo type="percentile" val="50"/>
        <cfvo type="max"/>
        <color rgb="FF63BE7B"/>
        <color rgb="FFFFEB84"/>
        <color rgb="FFF8696B"/>
      </colorScale>
    </cfRule>
  </conditionalFormatting>
  <conditionalFormatting sqref="J17">
    <cfRule type="colorScale" priority="38">
      <colorScale>
        <cfvo type="min"/>
        <cfvo type="percentile" val="50"/>
        <cfvo type="max"/>
        <color rgb="FF63BE7B"/>
        <color rgb="FFFFEB84"/>
        <color rgb="FFF8696B"/>
      </colorScale>
    </cfRule>
  </conditionalFormatting>
  <conditionalFormatting sqref="L17">
    <cfRule type="colorScale" priority="40">
      <colorScale>
        <cfvo type="min"/>
        <cfvo type="percentile" val="50"/>
        <cfvo type="max"/>
        <color rgb="FF63BE7B"/>
        <color rgb="FFFFEB84"/>
        <color rgb="FFF8696B"/>
      </colorScale>
    </cfRule>
  </conditionalFormatting>
  <conditionalFormatting sqref="L17 F17">
    <cfRule type="colorScale" priority="41">
      <colorScale>
        <cfvo type="min"/>
        <cfvo type="percentile" val="50"/>
        <cfvo type="max"/>
        <color rgb="FF63BE7B"/>
        <color rgb="FFFFEB84"/>
        <color rgb="FFF8696B"/>
      </colorScale>
    </cfRule>
  </conditionalFormatting>
  <conditionalFormatting sqref="I30">
    <cfRule type="colorScale" priority="8">
      <colorScale>
        <cfvo type="min"/>
        <cfvo type="percentile" val="50"/>
        <cfvo type="max"/>
        <color rgb="FFF8696B"/>
        <color rgb="FFFFEB84"/>
        <color rgb="FF63BE7B"/>
      </colorScale>
    </cfRule>
  </conditionalFormatting>
  <conditionalFormatting sqref="I30:J30 F30">
    <cfRule type="colorScale" priority="10">
      <colorScale>
        <cfvo type="min"/>
        <cfvo type="percentile" val="50"/>
        <cfvo type="max"/>
        <color rgb="FF63BE7B"/>
        <color rgb="FFFFEB84"/>
        <color rgb="FFF8696B"/>
      </colorScale>
    </cfRule>
  </conditionalFormatting>
  <conditionalFormatting sqref="I30">
    <cfRule type="colorScale" priority="12">
      <colorScale>
        <cfvo type="min"/>
        <cfvo type="percentile" val="50"/>
        <cfvo type="max"/>
        <color rgb="FF63BE7B"/>
        <color rgb="FFFFEB84"/>
        <color rgb="FFF8696B"/>
      </colorScale>
    </cfRule>
  </conditionalFormatting>
  <conditionalFormatting sqref="I30:J30">
    <cfRule type="colorScale" priority="13">
      <colorScale>
        <cfvo type="min"/>
        <cfvo type="percentile" val="50"/>
        <cfvo type="max"/>
        <color rgb="FF63BE7B"/>
        <color rgb="FFFFEB84"/>
        <color rgb="FFF8696B"/>
      </colorScale>
    </cfRule>
  </conditionalFormatting>
  <conditionalFormatting sqref="F30">
    <cfRule type="colorScale" priority="14">
      <colorScale>
        <cfvo type="min"/>
        <cfvo type="percentile" val="50"/>
        <cfvo type="max"/>
        <color rgb="FF63BE7B"/>
        <color rgb="FFFFEB84"/>
        <color rgb="FFF8696B"/>
      </colorScale>
    </cfRule>
  </conditionalFormatting>
  <conditionalFormatting sqref="F30">
    <cfRule type="colorScale" priority="15">
      <colorScale>
        <cfvo type="min"/>
        <cfvo type="percentile" val="50"/>
        <cfvo type="max"/>
        <color rgb="FF63BE7B"/>
        <color rgb="FFFFEB84"/>
        <color rgb="FFF8696B"/>
      </colorScale>
    </cfRule>
  </conditionalFormatting>
  <conditionalFormatting sqref="I30">
    <cfRule type="colorScale" priority="18">
      <colorScale>
        <cfvo type="min"/>
        <cfvo type="percentile" val="50"/>
        <cfvo type="max"/>
        <color rgb="FF63BE7B"/>
        <color rgb="FFFFEB84"/>
        <color rgb="FFF8696B"/>
      </colorScale>
    </cfRule>
  </conditionalFormatting>
  <conditionalFormatting sqref="I30">
    <cfRule type="colorScale" priority="19">
      <colorScale>
        <cfvo type="min"/>
        <cfvo type="percentile" val="50"/>
        <cfvo type="max"/>
        <color rgb="FF63BE7B"/>
        <color rgb="FFFFEB84"/>
        <color rgb="FFF8696B"/>
      </colorScale>
    </cfRule>
  </conditionalFormatting>
  <conditionalFormatting sqref="J30">
    <cfRule type="colorScale" priority="20">
      <colorScale>
        <cfvo type="min"/>
        <cfvo type="percentile" val="50"/>
        <cfvo type="max"/>
        <color rgb="FF63BE7B"/>
        <color rgb="FFFFEB84"/>
        <color rgb="FFF8696B"/>
      </colorScale>
    </cfRule>
  </conditionalFormatting>
  <conditionalFormatting sqref="J30">
    <cfRule type="colorScale" priority="21">
      <colorScale>
        <cfvo type="min"/>
        <cfvo type="percentile" val="50"/>
        <cfvo type="max"/>
        <color rgb="FF63BE7B"/>
        <color rgb="FFFFEB84"/>
        <color rgb="FFF8696B"/>
      </colorScale>
    </cfRule>
  </conditionalFormatting>
  <conditionalFormatting sqref="L30">
    <cfRule type="colorScale" priority="23">
      <colorScale>
        <cfvo type="min"/>
        <cfvo type="percentile" val="50"/>
        <cfvo type="max"/>
        <color rgb="FF63BE7B"/>
        <color rgb="FFFFEB84"/>
        <color rgb="FFF8696B"/>
      </colorScale>
    </cfRule>
  </conditionalFormatting>
  <conditionalFormatting sqref="L30 F30">
    <cfRule type="colorScale" priority="24">
      <colorScale>
        <cfvo type="min"/>
        <cfvo type="percentile" val="50"/>
        <cfvo type="max"/>
        <color rgb="FF63BE7B"/>
        <color rgb="FFFFEB84"/>
        <color rgb="FFF8696B"/>
      </colorScale>
    </cfRule>
  </conditionalFormatting>
  <conditionalFormatting sqref="L8:L72">
    <cfRule type="colorScale" priority="7">
      <colorScale>
        <cfvo type="min"/>
        <cfvo type="percentile" val="50"/>
        <cfvo type="max"/>
        <color rgb="FF63BE7B"/>
        <color rgb="FFFFEB84"/>
        <color rgb="FFF8696B"/>
      </colorScale>
    </cfRule>
  </conditionalFormatting>
  <conditionalFormatting sqref="H7:H72">
    <cfRule type="colorScale" priority="2">
      <colorScale>
        <cfvo type="min"/>
        <cfvo type="percentile" val="50"/>
        <cfvo type="max"/>
        <color rgb="FFF8696B"/>
        <color rgb="FFFFEB84"/>
        <color rgb="FF63BE7B"/>
      </colorScale>
    </cfRule>
  </conditionalFormatting>
  <conditionalFormatting sqref="F8:M72">
    <cfRule type="colorScale" priority="1">
      <colorScale>
        <cfvo type="min"/>
        <cfvo type="percentile" val="50"/>
        <cfvo type="max"/>
        <color rgb="FF63BE7B"/>
        <color rgb="FFFFEB84"/>
        <color rgb="FFF8696B"/>
      </colorScale>
    </cfRule>
  </conditionalFormatting>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E7E76-9023-47CE-8489-FAD3AB333A9F}">
  <sheetPr filterMode="1">
    <tabColor rgb="FF7030A0"/>
    <pageSetUpPr fitToPage="1"/>
  </sheetPr>
  <dimension ref="A1:U77"/>
  <sheetViews>
    <sheetView showGridLines="0" zoomScale="60" zoomScaleNormal="60" workbookViewId="0">
      <selection activeCell="F81" sqref="F81"/>
    </sheetView>
  </sheetViews>
  <sheetFormatPr defaultColWidth="8.73046875" defaultRowHeight="14.25" outlineLevelCol="1"/>
  <cols>
    <col min="1" max="1" width="39.53125" style="203" customWidth="1"/>
    <col min="2" max="3" width="9.1328125" style="203" hidden="1" customWidth="1" outlineLevel="1"/>
    <col min="4" max="4" width="9.796875" style="203" customWidth="1" collapsed="1"/>
    <col min="5" max="5" width="9.796875" style="203" customWidth="1"/>
    <col min="6" max="6" width="9.796875" style="210" customWidth="1"/>
    <col min="7" max="7" width="11.265625" style="203" customWidth="1"/>
    <col min="8" max="8" width="11.265625" style="203" hidden="1" customWidth="1" outlineLevel="1"/>
    <col min="9" max="9" width="11.265625" style="203" customWidth="1" collapsed="1"/>
    <col min="10" max="11" width="11.265625" style="203" customWidth="1"/>
    <col min="12" max="12" width="11.265625" style="203" hidden="1" customWidth="1" outlineLevel="1"/>
    <col min="13" max="13" width="11.265625" style="203" customWidth="1" collapsed="1"/>
    <col min="14" max="14" width="11.265625" style="203" customWidth="1"/>
    <col min="15" max="15" width="8.59765625" style="13" hidden="1" customWidth="1" outlineLevel="1"/>
    <col min="16" max="16" width="11.73046875" style="203" hidden="1" customWidth="1" collapsed="1"/>
    <col min="17" max="17" width="12.3984375" style="203" customWidth="1"/>
    <col min="18" max="18" width="44.73046875" style="93" customWidth="1"/>
    <col min="19" max="19" width="8.73046875" style="203" customWidth="1"/>
    <col min="20" max="20" width="8.73046875" style="476"/>
    <col min="21" max="21" width="23.3984375" style="203" customWidth="1"/>
    <col min="22" max="16384" width="8.73046875" style="203"/>
  </cols>
  <sheetData>
    <row r="1" spans="1:21" ht="18">
      <c r="A1" s="7" t="s">
        <v>21</v>
      </c>
      <c r="B1" s="429"/>
      <c r="C1" s="429"/>
      <c r="D1" s="429"/>
      <c r="E1" s="429"/>
      <c r="F1" s="406"/>
      <c r="G1" s="429"/>
      <c r="H1" s="429"/>
      <c r="I1" s="429"/>
      <c r="J1" s="429"/>
      <c r="K1" s="429"/>
      <c r="L1" s="429"/>
      <c r="M1" s="429"/>
      <c r="N1" s="429"/>
      <c r="P1" s="429"/>
      <c r="Q1" s="429"/>
      <c r="R1" s="464"/>
      <c r="S1" s="429"/>
      <c r="U1" s="429"/>
    </row>
    <row r="2" spans="1:21">
      <c r="A2" s="429" t="s">
        <v>22</v>
      </c>
      <c r="B2" s="429"/>
      <c r="C2" s="429"/>
      <c r="D2" s="429"/>
      <c r="E2" s="429"/>
      <c r="F2" s="406"/>
      <c r="G2" s="429"/>
      <c r="H2" s="429"/>
      <c r="I2" s="429"/>
      <c r="J2" s="429"/>
      <c r="K2" s="429"/>
      <c r="L2" s="429"/>
      <c r="M2" s="429"/>
      <c r="N2" s="429"/>
      <c r="P2" s="429"/>
      <c r="Q2" s="429"/>
      <c r="R2" s="464"/>
      <c r="S2" s="429"/>
      <c r="U2" s="429"/>
    </row>
    <row r="3" spans="1:21">
      <c r="A3" s="113" t="s">
        <v>761</v>
      </c>
      <c r="B3" s="429"/>
      <c r="C3" s="429"/>
      <c r="D3" s="429"/>
      <c r="E3" s="429"/>
      <c r="F3" s="406"/>
      <c r="G3" s="429"/>
      <c r="H3" s="429"/>
      <c r="I3" s="429"/>
      <c r="J3" s="429"/>
      <c r="K3" s="429"/>
      <c r="L3" s="429"/>
      <c r="M3" s="429"/>
      <c r="N3" s="429"/>
      <c r="P3" s="429"/>
      <c r="Q3" s="429"/>
      <c r="R3" s="464"/>
      <c r="S3" s="429"/>
      <c r="U3" s="429"/>
    </row>
    <row r="4" spans="1:21" ht="14.25" customHeight="1">
      <c r="A4" s="488" t="s">
        <v>139</v>
      </c>
      <c r="B4" s="429"/>
      <c r="C4" s="429"/>
      <c r="D4" s="113" t="s">
        <v>24</v>
      </c>
      <c r="E4" s="355" t="s">
        <v>25</v>
      </c>
      <c r="F4" s="111" t="s">
        <v>140</v>
      </c>
      <c r="G4" s="490" t="s">
        <v>26</v>
      </c>
      <c r="H4" s="491"/>
      <c r="I4" s="492"/>
      <c r="J4" s="493"/>
      <c r="K4" s="494"/>
      <c r="L4" s="491"/>
      <c r="M4" s="492"/>
      <c r="N4" s="494"/>
      <c r="P4" s="429"/>
      <c r="Q4" s="429"/>
      <c r="R4" s="464"/>
      <c r="S4" s="429"/>
      <c r="U4" s="429"/>
    </row>
    <row r="5" spans="1:21" ht="18.75" customHeight="1">
      <c r="A5" s="489"/>
      <c r="B5" s="98" t="s">
        <v>27</v>
      </c>
      <c r="C5" s="98"/>
      <c r="D5" s="115" t="s">
        <v>28</v>
      </c>
      <c r="E5" s="356" t="s">
        <v>28</v>
      </c>
      <c r="F5" s="251" t="s">
        <v>28</v>
      </c>
      <c r="G5" s="495" t="s">
        <v>29</v>
      </c>
      <c r="H5" s="496"/>
      <c r="I5" s="497"/>
      <c r="J5" s="497"/>
      <c r="K5" s="497"/>
      <c r="L5" s="496"/>
      <c r="M5" s="497"/>
      <c r="N5" s="498"/>
      <c r="O5" s="20"/>
      <c r="P5" s="10"/>
      <c r="Q5" s="8" t="s">
        <v>30</v>
      </c>
      <c r="R5" s="99"/>
      <c r="S5" s="4"/>
      <c r="U5" s="4"/>
    </row>
    <row r="6" spans="1:21" ht="96" customHeight="1">
      <c r="A6" s="114" t="s">
        <v>31</v>
      </c>
      <c r="B6" s="5" t="s">
        <v>32</v>
      </c>
      <c r="C6" s="5" t="s">
        <v>33</v>
      </c>
      <c r="D6" s="104" t="s">
        <v>34</v>
      </c>
      <c r="E6" s="107" t="s">
        <v>762</v>
      </c>
      <c r="F6" s="107" t="s">
        <v>763</v>
      </c>
      <c r="G6" s="346" t="s">
        <v>35</v>
      </c>
      <c r="H6" s="107"/>
      <c r="I6" s="346" t="s">
        <v>141</v>
      </c>
      <c r="J6" s="347" t="s">
        <v>37</v>
      </c>
      <c r="K6" s="346" t="s">
        <v>38</v>
      </c>
      <c r="L6" s="159" t="s">
        <v>39</v>
      </c>
      <c r="M6" s="346" t="s">
        <v>40</v>
      </c>
      <c r="N6" s="348" t="s">
        <v>41</v>
      </c>
      <c r="O6" s="19" t="s">
        <v>42</v>
      </c>
      <c r="P6" s="22" t="s">
        <v>43</v>
      </c>
      <c r="Q6" s="9" t="s">
        <v>44</v>
      </c>
      <c r="R6" s="100" t="s">
        <v>45</v>
      </c>
      <c r="S6" s="429" t="s">
        <v>46</v>
      </c>
      <c r="U6" s="4"/>
    </row>
    <row r="7" spans="1:21" ht="15" hidden="1" customHeight="1">
      <c r="A7" s="5" t="s">
        <v>47</v>
      </c>
      <c r="B7" s="4"/>
      <c r="C7" s="4"/>
      <c r="D7" s="89">
        <f>SUMIF('5_BUSBAR ALLOC_Adj_TPPFeb2020'!A:A,'Dashboard 2019RSP (Round 0 adj)'!A7,'5_BUSBAR ALLOC_Adj_TPPFeb2020'!I:I)</f>
        <v>0</v>
      </c>
      <c r="E7" s="89">
        <f>INDEX(SelectedPortfolio_2019RSP!N:N,MATCH(A7,SelectedPortfolio_2019RSP!H:H,0))</f>
        <v>0</v>
      </c>
      <c r="F7" s="241">
        <v>0</v>
      </c>
      <c r="G7" s="5"/>
      <c r="H7" s="5" t="s">
        <v>48</v>
      </c>
      <c r="I7" s="5">
        <v>1</v>
      </c>
      <c r="J7" s="5"/>
      <c r="K7" s="5"/>
      <c r="L7" s="11" t="s">
        <v>48</v>
      </c>
      <c r="M7" s="79" t="s">
        <v>48</v>
      </c>
      <c r="N7" s="5">
        <v>1</v>
      </c>
      <c r="O7" s="6"/>
      <c r="P7" s="6"/>
      <c r="Q7" s="5"/>
      <c r="R7" s="5"/>
      <c r="S7" s="429">
        <f>IF(OR(D7&gt;0,E7&gt;0),1,0)</f>
        <v>0</v>
      </c>
      <c r="T7" s="477"/>
      <c r="U7" s="4"/>
    </row>
    <row r="8" spans="1:21">
      <c r="A8" s="12" t="s">
        <v>49</v>
      </c>
      <c r="B8" s="4"/>
      <c r="C8" s="4"/>
      <c r="D8" s="89">
        <f>SUMIF('5_BUSBAR ALLOC_Adj_TPPFeb2020'!A:A,'Dashboard 2019RSP (Round 0 adj)'!A8,'5_BUSBAR ALLOC_Adj_TPPFeb2020'!I:I)</f>
        <v>1256</v>
      </c>
      <c r="E8" s="89">
        <f>INDEX(SelectedPortfolio_2019RSP!N:N,MATCH(A8,SelectedPortfolio_2019RSP!H:H,0))</f>
        <v>0</v>
      </c>
      <c r="F8" s="357">
        <v>0</v>
      </c>
      <c r="G8" s="79"/>
      <c r="H8" s="5" t="s">
        <v>50</v>
      </c>
      <c r="I8" s="249">
        <v>1</v>
      </c>
      <c r="J8" s="79"/>
      <c r="K8" s="79"/>
      <c r="L8" s="11">
        <v>1</v>
      </c>
      <c r="M8" s="79">
        <v>1</v>
      </c>
      <c r="N8" s="249">
        <v>3</v>
      </c>
      <c r="O8" s="80">
        <f>SUM(G8,I8,J8,K8,M8,N8)</f>
        <v>5</v>
      </c>
      <c r="P8" s="275"/>
      <c r="Q8" s="81"/>
      <c r="R8" s="73"/>
      <c r="S8" s="429">
        <f t="shared" ref="S8:S71" si="0">IF(OR(D8&gt;0,E8&gt;0),1,0)</f>
        <v>1</v>
      </c>
      <c r="U8" s="4"/>
    </row>
    <row r="9" spans="1:21" ht="15" hidden="1" customHeight="1">
      <c r="A9" s="5" t="s">
        <v>53</v>
      </c>
      <c r="B9" s="4"/>
      <c r="C9" s="4"/>
      <c r="D9" s="89">
        <f>SUMIF('5_BUSBAR ALLOC_Adj_TPPFeb2020'!A:A,'Dashboard 2019RSP (Round 0 adj)'!A9,'5_BUSBAR ALLOC_Adj_TPPFeb2020'!I:I)</f>
        <v>0</v>
      </c>
      <c r="E9" s="89">
        <f>INDEX(SelectedPortfolio_2019RSP!N:N,MATCH(A9,SelectedPortfolio_2019RSP!H:H,0))</f>
        <v>0</v>
      </c>
      <c r="F9" s="241">
        <v>0</v>
      </c>
      <c r="G9" s="5"/>
      <c r="H9" s="5" t="s">
        <v>50</v>
      </c>
      <c r="I9" s="5">
        <v>1</v>
      </c>
      <c r="J9" s="5"/>
      <c r="K9" s="5"/>
      <c r="L9" s="11">
        <v>1</v>
      </c>
      <c r="M9" s="79">
        <v>1</v>
      </c>
      <c r="N9" s="5">
        <v>1</v>
      </c>
      <c r="O9" s="6"/>
      <c r="P9" s="6"/>
      <c r="Q9" s="5"/>
      <c r="R9" s="5"/>
      <c r="S9" s="429">
        <f t="shared" si="0"/>
        <v>0</v>
      </c>
      <c r="T9" s="477"/>
      <c r="U9" s="4"/>
    </row>
    <row r="10" spans="1:21" hidden="1">
      <c r="A10" s="82" t="s">
        <v>54</v>
      </c>
      <c r="B10" s="4"/>
      <c r="C10" s="4"/>
      <c r="D10" s="89">
        <f>SUMIF('5_BUSBAR ALLOC_Adj_TPPFeb2020'!A:A,'Dashboard 2019RSP (Round 0 adj)'!A10,'5_BUSBAR ALLOC_Adj_TPPFeb2020'!I:I)</f>
        <v>0</v>
      </c>
      <c r="E10" s="89">
        <f>INDEX(SelectedPortfolio_2019RSP!N:N,MATCH("Northern_California_Ex_Geothermal",SelectedPortfolio_2019RSP!H:H,0))</f>
        <v>0</v>
      </c>
      <c r="F10" s="480">
        <v>0</v>
      </c>
      <c r="G10" s="79"/>
      <c r="H10" s="5" t="s">
        <v>50</v>
      </c>
      <c r="I10" s="5">
        <v>1</v>
      </c>
      <c r="J10" s="79"/>
      <c r="K10" s="79"/>
      <c r="L10" s="11">
        <v>1</v>
      </c>
      <c r="M10" s="79">
        <v>1</v>
      </c>
      <c r="N10" s="5" t="s">
        <v>48</v>
      </c>
      <c r="O10" s="80">
        <f>SUM(G10,I10,J10,K10,M10,N10)</f>
        <v>2</v>
      </c>
      <c r="P10" s="275"/>
      <c r="Q10" s="81"/>
      <c r="R10" s="73"/>
      <c r="S10" s="429">
        <f t="shared" si="0"/>
        <v>0</v>
      </c>
      <c r="U10" s="4"/>
    </row>
    <row r="11" spans="1:21" ht="15" hidden="1" customHeight="1">
      <c r="A11" s="5" t="s">
        <v>55</v>
      </c>
      <c r="B11" s="4"/>
      <c r="C11" s="4"/>
      <c r="D11" s="89">
        <f>SUMIF('5_BUSBAR ALLOC_Adj_TPPFeb2020'!A:A,'Dashboard 2019RSP (Round 0 adj)'!A11,'5_BUSBAR ALLOC_Adj_TPPFeb2020'!I:I)</f>
        <v>0</v>
      </c>
      <c r="E11" s="89">
        <f>INDEX(SelectedPortfolio_2019RSP!N:N,MATCH(A11,SelectedPortfolio_2019RSP!H:H,0))</f>
        <v>0</v>
      </c>
      <c r="F11" s="241">
        <v>0</v>
      </c>
      <c r="G11" s="5"/>
      <c r="H11" s="5" t="s">
        <v>50</v>
      </c>
      <c r="I11" s="5">
        <v>1</v>
      </c>
      <c r="J11" s="5"/>
      <c r="K11" s="5"/>
      <c r="L11" s="11" t="s">
        <v>48</v>
      </c>
      <c r="M11" s="79" t="s">
        <v>48</v>
      </c>
      <c r="N11" s="5">
        <v>1</v>
      </c>
      <c r="O11" s="6"/>
      <c r="P11" s="6"/>
      <c r="Q11" s="24"/>
      <c r="R11" s="5"/>
      <c r="S11" s="429">
        <f t="shared" si="0"/>
        <v>0</v>
      </c>
      <c r="T11" s="477"/>
      <c r="U11" s="4"/>
    </row>
    <row r="12" spans="1:21" ht="15" hidden="1" customHeight="1">
      <c r="A12" s="5" t="s">
        <v>56</v>
      </c>
      <c r="B12" s="4"/>
      <c r="C12" s="4"/>
      <c r="D12" s="89">
        <f>SUMIF('5_BUSBAR ALLOC_Adj_TPPFeb2020'!A:A,'Dashboard 2019RSP (Round 0 adj)'!A12,'5_BUSBAR ALLOC_Adj_TPPFeb2020'!I:I)</f>
        <v>0</v>
      </c>
      <c r="E12" s="89">
        <f>INDEX(SelectedPortfolio_2019RSP!N:N,MATCH(A12,SelectedPortfolio_2019RSP!H:H,0))</f>
        <v>0</v>
      </c>
      <c r="F12" s="241">
        <v>0</v>
      </c>
      <c r="G12" s="5"/>
      <c r="H12" s="5" t="s">
        <v>50</v>
      </c>
      <c r="I12" s="5">
        <v>1</v>
      </c>
      <c r="J12" s="5"/>
      <c r="K12" s="5"/>
      <c r="L12" s="11">
        <v>1</v>
      </c>
      <c r="M12" s="79">
        <v>1</v>
      </c>
      <c r="N12" s="5">
        <v>1</v>
      </c>
      <c r="O12" s="6"/>
      <c r="P12" s="6"/>
      <c r="Q12" s="24"/>
      <c r="R12" s="5"/>
      <c r="S12" s="429">
        <f t="shared" si="0"/>
        <v>0</v>
      </c>
      <c r="T12" s="477"/>
      <c r="U12" s="4"/>
    </row>
    <row r="13" spans="1:21" ht="15" hidden="1" customHeight="1">
      <c r="A13" s="5" t="s">
        <v>57</v>
      </c>
      <c r="B13" s="4"/>
      <c r="C13" s="4"/>
      <c r="D13" s="89">
        <f>SUMIF('5_BUSBAR ALLOC_Adj_TPPFeb2020'!A:A,'Dashboard 2019RSP (Round 0 adj)'!A13,'5_BUSBAR ALLOC_Adj_TPPFeb2020'!I:I)</f>
        <v>0</v>
      </c>
      <c r="E13" s="89">
        <f>INDEX(SelectedPortfolio_2019RSP!N:N,MATCH(A13,SelectedPortfolio_2019RSP!H:H,0))</f>
        <v>0</v>
      </c>
      <c r="F13" s="241">
        <v>0</v>
      </c>
      <c r="G13" s="5"/>
      <c r="H13" s="5" t="s">
        <v>50</v>
      </c>
      <c r="I13" s="5">
        <v>1</v>
      </c>
      <c r="J13" s="5"/>
      <c r="K13" s="5"/>
      <c r="L13" s="11">
        <v>1</v>
      </c>
      <c r="M13" s="79">
        <v>1</v>
      </c>
      <c r="N13" s="5">
        <v>1</v>
      </c>
      <c r="O13" s="6"/>
      <c r="P13" s="6"/>
      <c r="Q13" s="24"/>
      <c r="R13" s="5"/>
      <c r="S13" s="429">
        <f t="shared" si="0"/>
        <v>0</v>
      </c>
      <c r="T13" s="477"/>
      <c r="U13" s="4"/>
    </row>
    <row r="14" spans="1:21" ht="15" hidden="1" customHeight="1">
      <c r="A14" s="5" t="s">
        <v>58</v>
      </c>
      <c r="B14" s="4"/>
      <c r="C14" s="4"/>
      <c r="D14" s="89">
        <f>SUMIF('5_BUSBAR ALLOC_Adj_TPPFeb2020'!A:A,'Dashboard 2019RSP (Round 0 adj)'!A14,'5_BUSBAR ALLOC_Adj_TPPFeb2020'!I:I)</f>
        <v>0</v>
      </c>
      <c r="E14" s="89">
        <f>INDEX(SelectedPortfolio_2019RSP!N:N,MATCH(A14,SelectedPortfolio_2019RSP!H:H,0))</f>
        <v>0</v>
      </c>
      <c r="F14" s="241">
        <v>0</v>
      </c>
      <c r="G14" s="5"/>
      <c r="H14" s="5" t="s">
        <v>50</v>
      </c>
      <c r="I14" s="5">
        <v>1</v>
      </c>
      <c r="J14" s="5"/>
      <c r="K14" s="5"/>
      <c r="L14" s="11" t="s">
        <v>48</v>
      </c>
      <c r="M14" s="79" t="s">
        <v>48</v>
      </c>
      <c r="N14" s="5">
        <v>1</v>
      </c>
      <c r="O14" s="6"/>
      <c r="P14" s="6"/>
      <c r="Q14" s="24"/>
      <c r="R14" s="5"/>
      <c r="S14" s="429">
        <f t="shared" si="0"/>
        <v>0</v>
      </c>
      <c r="T14" s="477"/>
      <c r="U14" s="4"/>
    </row>
    <row r="15" spans="1:21" ht="15" hidden="1" customHeight="1">
      <c r="A15" s="5" t="s">
        <v>59</v>
      </c>
      <c r="B15" s="4"/>
      <c r="C15" s="4"/>
      <c r="D15" s="89">
        <f>SUMIF('5_BUSBAR ALLOC_Adj_TPPFeb2020'!A:A,'Dashboard 2019RSP (Round 0 adj)'!A15,'5_BUSBAR ALLOC_Adj_TPPFeb2020'!I:I)</f>
        <v>0</v>
      </c>
      <c r="E15" s="89">
        <f>INDEX(SelectedPortfolio_2019RSP!N:N,MATCH(A15,SelectedPortfolio_2019RSP!H:H,0))</f>
        <v>0</v>
      </c>
      <c r="F15" s="241">
        <v>0</v>
      </c>
      <c r="G15" s="5"/>
      <c r="H15" s="5" t="s">
        <v>50</v>
      </c>
      <c r="I15" s="5">
        <v>1</v>
      </c>
      <c r="J15" s="5"/>
      <c r="K15" s="5"/>
      <c r="L15" s="11">
        <v>1</v>
      </c>
      <c r="M15" s="79">
        <v>1</v>
      </c>
      <c r="N15" s="5">
        <v>1</v>
      </c>
      <c r="O15" s="6"/>
      <c r="P15" s="6"/>
      <c r="Q15" s="24"/>
      <c r="R15" s="5"/>
      <c r="S15" s="429">
        <f t="shared" si="0"/>
        <v>0</v>
      </c>
      <c r="T15" s="477"/>
      <c r="U15" s="4"/>
    </row>
    <row r="16" spans="1:21">
      <c r="A16" s="12" t="s">
        <v>60</v>
      </c>
      <c r="B16" s="4"/>
      <c r="C16" s="4"/>
      <c r="D16" s="89">
        <f>SUMIF('5_BUSBAR ALLOC_Adj_TPPFeb2020'!A:A,'Dashboard 2019RSP (Round 0 adj)'!A16,'5_BUSBAR ALLOC_Adj_TPPFeb2020'!I:I)</f>
        <v>160</v>
      </c>
      <c r="E16" s="89">
        <f>INDEX(SelectedPortfolio_2019RSP!N:N,MATCH(A16,SelectedPortfolio_2019RSP!H:H,0))</f>
        <v>287</v>
      </c>
      <c r="F16" s="357">
        <v>287</v>
      </c>
      <c r="G16" s="79"/>
      <c r="H16" s="5" t="s">
        <v>50</v>
      </c>
      <c r="I16" s="249">
        <v>1</v>
      </c>
      <c r="J16" s="79"/>
      <c r="K16" s="79"/>
      <c r="L16" s="11">
        <v>1</v>
      </c>
      <c r="M16" s="79">
        <v>1</v>
      </c>
      <c r="N16" s="249">
        <v>2</v>
      </c>
      <c r="O16" s="80">
        <f>SUM(G16,I16,J16,K16,M16,N16)</f>
        <v>4</v>
      </c>
      <c r="P16" s="275"/>
      <c r="Q16" s="81"/>
      <c r="R16" s="73"/>
      <c r="S16" s="429">
        <f t="shared" si="0"/>
        <v>1</v>
      </c>
      <c r="U16" s="4"/>
    </row>
    <row r="17" spans="1:21" ht="15" hidden="1" customHeight="1">
      <c r="A17" s="12" t="s">
        <v>62</v>
      </c>
      <c r="B17" s="4"/>
      <c r="C17" s="4"/>
      <c r="D17" s="89">
        <f>SUMIF('5_BUSBAR ALLOC_Adj_TPPFeb2020'!A:A,'Dashboard 2019RSP (Round 0 adj)'!A17,'5_BUSBAR ALLOC_Adj_TPPFeb2020'!I:I)</f>
        <v>0</v>
      </c>
      <c r="E17" s="89">
        <f>INDEX(SelectedPortfolio_2019RSP!N:N,MATCH(A17,SelectedPortfolio_2019RSP!H:H,0))</f>
        <v>0</v>
      </c>
      <c r="F17" s="357">
        <v>0</v>
      </c>
      <c r="G17" s="79"/>
      <c r="H17" s="5" t="s">
        <v>50</v>
      </c>
      <c r="I17" s="249">
        <v>1</v>
      </c>
      <c r="J17" s="79"/>
      <c r="K17" s="79"/>
      <c r="L17" s="11">
        <v>1</v>
      </c>
      <c r="M17" s="79">
        <v>1</v>
      </c>
      <c r="N17" s="249">
        <v>1</v>
      </c>
      <c r="O17" s="6"/>
      <c r="P17" s="6"/>
      <c r="Q17" s="81"/>
      <c r="R17" s="140"/>
      <c r="S17" s="429">
        <v>0</v>
      </c>
      <c r="T17" s="477"/>
      <c r="U17" s="4"/>
    </row>
    <row r="18" spans="1:21">
      <c r="A18" s="12" t="s">
        <v>63</v>
      </c>
      <c r="B18" s="4"/>
      <c r="C18" s="4"/>
      <c r="D18" s="89">
        <f>SUMIF('5_BUSBAR ALLOC_Adj_TPPFeb2020'!A:A,'Dashboard 2019RSP (Round 0 adj)'!A18,'5_BUSBAR ALLOC_Adj_TPPFeb2020'!I:I)</f>
        <v>146</v>
      </c>
      <c r="E18" s="89">
        <f>INDEX(SelectedPortfolio_2019RSP!N:N,MATCH(A18,SelectedPortfolio_2019RSP!H:H,0))</f>
        <v>173</v>
      </c>
      <c r="F18" s="357">
        <v>173</v>
      </c>
      <c r="G18" s="79"/>
      <c r="H18" s="5" t="s">
        <v>50</v>
      </c>
      <c r="I18" s="249">
        <v>1</v>
      </c>
      <c r="J18" s="79"/>
      <c r="K18" s="79"/>
      <c r="L18" s="11">
        <v>1</v>
      </c>
      <c r="M18" s="79">
        <v>1</v>
      </c>
      <c r="N18" s="249">
        <v>1</v>
      </c>
      <c r="O18" s="80">
        <f>SUM(G18,I18,J18,K18,M18,N18)</f>
        <v>3</v>
      </c>
      <c r="P18" s="275" t="s">
        <v>64</v>
      </c>
      <c r="Q18" s="81"/>
      <c r="R18" s="73"/>
      <c r="S18" s="429">
        <f t="shared" si="0"/>
        <v>1</v>
      </c>
      <c r="U18" s="4"/>
    </row>
    <row r="19" spans="1:21" ht="15" hidden="1" customHeight="1">
      <c r="A19" s="5" t="s">
        <v>65</v>
      </c>
      <c r="B19" s="4"/>
      <c r="C19" s="4"/>
      <c r="D19" s="89">
        <f>SUMIF('5_BUSBAR ALLOC_Adj_TPPFeb2020'!A:A,'Dashboard 2019RSP (Round 0 adj)'!A19,'5_BUSBAR ALLOC_Adj_TPPFeb2020'!I:I)</f>
        <v>0</v>
      </c>
      <c r="E19" s="89">
        <f>INDEX(SelectedPortfolio_2019RSP!N:N,MATCH(A19,SelectedPortfolio_2019RSP!H:H,0))</f>
        <v>0</v>
      </c>
      <c r="F19" s="241">
        <v>0</v>
      </c>
      <c r="G19" s="5"/>
      <c r="H19" s="5" t="s">
        <v>48</v>
      </c>
      <c r="I19" s="5">
        <v>1</v>
      </c>
      <c r="J19" s="5"/>
      <c r="K19" s="5"/>
      <c r="L19" s="11" t="s">
        <v>48</v>
      </c>
      <c r="M19" s="79" t="s">
        <v>48</v>
      </c>
      <c r="N19" s="5">
        <v>1</v>
      </c>
      <c r="O19" s="6"/>
      <c r="P19" s="6"/>
      <c r="Q19" s="24"/>
      <c r="R19" s="73"/>
      <c r="S19" s="429">
        <f t="shared" si="0"/>
        <v>0</v>
      </c>
      <c r="T19" s="477"/>
      <c r="U19" s="4"/>
    </row>
    <row r="20" spans="1:21" ht="15" hidden="1" customHeight="1">
      <c r="A20" s="5" t="s">
        <v>66</v>
      </c>
      <c r="B20" s="4"/>
      <c r="C20" s="4"/>
      <c r="D20" s="89">
        <f>SUMIF('5_BUSBAR ALLOC_Adj_TPPFeb2020'!A:A,'Dashboard 2019RSP (Round 0 adj)'!A20,'5_BUSBAR ALLOC_Adj_TPPFeb2020'!I:I)</f>
        <v>0</v>
      </c>
      <c r="E20" s="89">
        <f>INDEX(SelectedPortfolio_2019RSP!N:N,MATCH(A20,SelectedPortfolio_2019RSP!H:H,0))</f>
        <v>0</v>
      </c>
      <c r="F20" s="241">
        <v>0</v>
      </c>
      <c r="G20" s="5"/>
      <c r="H20" s="5" t="s">
        <v>48</v>
      </c>
      <c r="I20" s="5">
        <v>1</v>
      </c>
      <c r="J20" s="5"/>
      <c r="K20" s="5"/>
      <c r="L20" s="11" t="s">
        <v>48</v>
      </c>
      <c r="M20" s="79" t="s">
        <v>48</v>
      </c>
      <c r="N20" s="5">
        <v>1</v>
      </c>
      <c r="O20" s="6"/>
      <c r="P20" s="6"/>
      <c r="Q20" s="24"/>
      <c r="R20" s="73"/>
      <c r="S20" s="429">
        <f t="shared" si="0"/>
        <v>0</v>
      </c>
      <c r="T20" s="477"/>
      <c r="U20" s="4"/>
    </row>
    <row r="21" spans="1:21" ht="15" customHeight="1">
      <c r="A21" s="12" t="s">
        <v>67</v>
      </c>
      <c r="B21" s="4"/>
      <c r="C21" s="4"/>
      <c r="D21" s="89">
        <f>SUMIF('5_BUSBAR ALLOC_Adj_TPPFeb2020'!A:A,'Dashboard 2019RSP (Round 0 adj)'!A21,'5_BUSBAR ALLOC_Adj_TPPFeb2020'!I:I)</f>
        <v>0</v>
      </c>
      <c r="E21" s="89">
        <f>INDEX(SelectedPortfolio_2019RSP!N:N,MATCH(A21,SelectedPortfolio_2019RSP!H:H,0))</f>
        <v>547.9</v>
      </c>
      <c r="F21" s="357">
        <v>547.9</v>
      </c>
      <c r="G21" s="250"/>
      <c r="H21" s="5" t="s">
        <v>50</v>
      </c>
      <c r="I21" s="249">
        <v>1</v>
      </c>
      <c r="J21" s="250"/>
      <c r="K21" s="250"/>
      <c r="L21" s="11">
        <v>2</v>
      </c>
      <c r="M21" s="79">
        <v>2</v>
      </c>
      <c r="N21" s="249">
        <v>2</v>
      </c>
      <c r="O21" s="21">
        <f>SUM(G21,I21,J21,K21,M21,N21)</f>
        <v>5</v>
      </c>
      <c r="P21" s="275"/>
      <c r="Q21" s="81"/>
      <c r="R21" s="73"/>
      <c r="S21" s="429">
        <f t="shared" si="0"/>
        <v>1</v>
      </c>
      <c r="U21" s="4"/>
    </row>
    <row r="22" spans="1:21" ht="15" hidden="1" customHeight="1">
      <c r="A22" s="5" t="s">
        <v>70</v>
      </c>
      <c r="B22" s="4"/>
      <c r="C22" s="4"/>
      <c r="D22" s="89">
        <f>SUMIF('5_BUSBAR ALLOC_Adj_TPPFeb2020'!A:A,'Dashboard 2019RSP (Round 0 adj)'!A22,'5_BUSBAR ALLOC_Adj_TPPFeb2020'!I:I)</f>
        <v>0</v>
      </c>
      <c r="E22" s="89">
        <f>INDEX(SelectedPortfolio_2019RSP!N:N,MATCH(A22,SelectedPortfolio_2019RSP!H:H,0))</f>
        <v>0</v>
      </c>
      <c r="F22" s="241">
        <v>0</v>
      </c>
      <c r="G22" s="5"/>
      <c r="H22" s="5" t="s">
        <v>50</v>
      </c>
      <c r="I22" s="5">
        <v>1</v>
      </c>
      <c r="J22" s="5"/>
      <c r="K22" s="5"/>
      <c r="L22" s="11">
        <v>1</v>
      </c>
      <c r="M22" s="79">
        <v>1</v>
      </c>
      <c r="N22" s="5">
        <v>1</v>
      </c>
      <c r="O22" s="6"/>
      <c r="P22" s="6"/>
      <c r="Q22" s="24"/>
      <c r="R22" s="73"/>
      <c r="S22" s="429">
        <f t="shared" si="0"/>
        <v>0</v>
      </c>
      <c r="T22" s="477"/>
      <c r="U22" s="4"/>
    </row>
    <row r="23" spans="1:21" ht="15" hidden="1" customHeight="1">
      <c r="A23" s="5" t="s">
        <v>71</v>
      </c>
      <c r="B23" s="4"/>
      <c r="C23" s="4"/>
      <c r="D23" s="89">
        <f>SUMIF('5_BUSBAR ALLOC_Adj_TPPFeb2020'!A:A,'Dashboard 2019RSP (Round 0 adj)'!A23,'5_BUSBAR ALLOC_Adj_TPPFeb2020'!I:I)</f>
        <v>0</v>
      </c>
      <c r="E23" s="89">
        <f>INDEX(SelectedPortfolio_2019RSP!N:N,MATCH(A23,SelectedPortfolio_2019RSP!H:H,0))</f>
        <v>0</v>
      </c>
      <c r="F23" s="241">
        <v>0</v>
      </c>
      <c r="G23" s="5"/>
      <c r="H23" s="5" t="s">
        <v>50</v>
      </c>
      <c r="I23" s="5">
        <v>1</v>
      </c>
      <c r="J23" s="5"/>
      <c r="K23" s="5"/>
      <c r="L23" s="11">
        <v>1</v>
      </c>
      <c r="M23" s="79">
        <v>1</v>
      </c>
      <c r="N23" s="5">
        <v>1</v>
      </c>
      <c r="O23" s="6"/>
      <c r="P23" s="6"/>
      <c r="Q23" s="24"/>
      <c r="R23" s="73"/>
      <c r="S23" s="429">
        <f t="shared" si="0"/>
        <v>0</v>
      </c>
      <c r="T23" s="477"/>
      <c r="U23" s="4"/>
    </row>
    <row r="24" spans="1:21" ht="15" customHeight="1">
      <c r="A24" s="12" t="s">
        <v>72</v>
      </c>
      <c r="B24" s="4"/>
      <c r="C24" s="4"/>
      <c r="D24" s="89">
        <f>SUMIF('5_BUSBAR ALLOC_Adj_TPPFeb2020'!A:A,'Dashboard 2019RSP (Round 0 adj)'!A24,'5_BUSBAR ALLOC_Adj_TPPFeb2020'!I:I)</f>
        <v>0</v>
      </c>
      <c r="E24" s="89">
        <f>INDEX(SelectedPortfolio_2019RSP!N:N,MATCH(A24,SelectedPortfolio_2019RSP!H:H,0))</f>
        <v>34</v>
      </c>
      <c r="F24" s="357">
        <v>34</v>
      </c>
      <c r="G24" s="250"/>
      <c r="H24" s="5" t="s">
        <v>50</v>
      </c>
      <c r="I24" s="249">
        <v>1</v>
      </c>
      <c r="J24" s="250"/>
      <c r="K24" s="250"/>
      <c r="L24" s="11" t="s">
        <v>48</v>
      </c>
      <c r="M24" s="79" t="s">
        <v>48</v>
      </c>
      <c r="N24" s="249">
        <v>2</v>
      </c>
      <c r="O24" s="21">
        <f>SUM(G24,I24,J24,K24,M24,N24)</f>
        <v>3</v>
      </c>
      <c r="P24" s="275"/>
      <c r="Q24" s="244"/>
      <c r="R24" s="73"/>
      <c r="S24" s="429">
        <f t="shared" si="0"/>
        <v>1</v>
      </c>
      <c r="U24" s="4"/>
    </row>
    <row r="25" spans="1:21">
      <c r="A25" s="12" t="s">
        <v>73</v>
      </c>
      <c r="B25" s="4"/>
      <c r="C25" s="4"/>
      <c r="D25" s="89">
        <f>SUMIF('5_BUSBAR ALLOC_Adj_TPPFeb2020'!A:A,'Dashboard 2019RSP (Round 0 adj)'!A25,'5_BUSBAR ALLOC_Adj_TPPFeb2020'!I:I)</f>
        <v>554</v>
      </c>
      <c r="E25" s="89">
        <f>INDEX(SelectedPortfolio_2019RSP!N:N,MATCH(A25,SelectedPortfolio_2019RSP!H:H,0))</f>
        <v>97</v>
      </c>
      <c r="F25" s="357">
        <v>97</v>
      </c>
      <c r="G25" s="79"/>
      <c r="H25" s="5" t="s">
        <v>50</v>
      </c>
      <c r="I25" s="249">
        <v>1</v>
      </c>
      <c r="J25" s="79"/>
      <c r="K25" s="79"/>
      <c r="L25" s="11">
        <v>1</v>
      </c>
      <c r="M25" s="79">
        <v>1</v>
      </c>
      <c r="N25" s="249">
        <v>2</v>
      </c>
      <c r="O25" s="80">
        <f>SUM(G25,I25,J25,K25,M25,N25)</f>
        <v>4</v>
      </c>
      <c r="P25" s="275"/>
      <c r="Q25" s="81"/>
      <c r="R25" s="73"/>
      <c r="S25" s="429">
        <f t="shared" si="0"/>
        <v>1</v>
      </c>
      <c r="U25" s="4"/>
    </row>
    <row r="26" spans="1:21" ht="15" customHeight="1">
      <c r="A26" s="12" t="s">
        <v>75</v>
      </c>
      <c r="B26" s="4"/>
      <c r="C26" s="4"/>
      <c r="D26" s="89">
        <f>SUMIF('5_BUSBAR ALLOC_Adj_TPPFeb2020'!A:A,'Dashboard 2019RSP (Round 0 adj)'!A26,'5_BUSBAR ALLOC_Adj_TPPFeb2020'!I:I)</f>
        <v>0</v>
      </c>
      <c r="E26" s="89">
        <f>INDEX(SelectedPortfolio_2019RSP!N:N,MATCH(A26,SelectedPortfolio_2019RSP!H:H,0))</f>
        <v>241.66000000000003</v>
      </c>
      <c r="F26" s="357">
        <v>978.66000000000008</v>
      </c>
      <c r="G26" s="249"/>
      <c r="H26" s="5" t="s">
        <v>50</v>
      </c>
      <c r="I26" s="249">
        <v>3</v>
      </c>
      <c r="J26" s="249"/>
      <c r="K26" s="249"/>
      <c r="L26" s="11">
        <v>1</v>
      </c>
      <c r="M26" s="79">
        <v>1</v>
      </c>
      <c r="N26" s="249">
        <v>2</v>
      </c>
      <c r="O26" s="6"/>
      <c r="P26" s="6"/>
      <c r="Q26" s="443" t="s">
        <v>142</v>
      </c>
      <c r="R26" s="140" t="s">
        <v>143</v>
      </c>
      <c r="S26" s="429">
        <f t="shared" si="0"/>
        <v>1</v>
      </c>
      <c r="T26" s="477"/>
      <c r="U26" s="4"/>
    </row>
    <row r="27" spans="1:21" ht="15" customHeight="1">
      <c r="A27" s="12" t="s">
        <v>76</v>
      </c>
      <c r="B27" s="4"/>
      <c r="C27" s="4"/>
      <c r="D27" s="89">
        <f>SUMIF('5_BUSBAR ALLOC_Adj_TPPFeb2020'!A:A,'Dashboard 2019RSP (Round 0 adj)'!A27,'5_BUSBAR ALLOC_Adj_TPPFeb2020'!I:I)</f>
        <v>0</v>
      </c>
      <c r="E27" s="89">
        <f>INDEX(SelectedPortfolio_2019RSP!N:N,MATCH(A27,SelectedPortfolio_2019RSP!H:H,0))</f>
        <v>60</v>
      </c>
      <c r="F27" s="357">
        <v>60</v>
      </c>
      <c r="G27" s="250"/>
      <c r="H27" s="5" t="s">
        <v>50</v>
      </c>
      <c r="I27" s="249">
        <v>1</v>
      </c>
      <c r="J27" s="250"/>
      <c r="K27" s="250"/>
      <c r="L27" s="11">
        <v>1</v>
      </c>
      <c r="M27" s="79">
        <v>1</v>
      </c>
      <c r="N27" s="249">
        <v>2</v>
      </c>
      <c r="O27" s="21">
        <f>SUM(G27,I27,J27,K27,M27,N27)</f>
        <v>4</v>
      </c>
      <c r="P27" s="275"/>
      <c r="Q27" s="244"/>
      <c r="R27" s="73"/>
      <c r="S27" s="429">
        <f t="shared" si="0"/>
        <v>1</v>
      </c>
      <c r="T27" s="477"/>
      <c r="U27" s="4"/>
    </row>
    <row r="28" spans="1:21" ht="15" hidden="1" customHeight="1">
      <c r="A28" s="5" t="s">
        <v>77</v>
      </c>
      <c r="B28" s="4"/>
      <c r="C28" s="4"/>
      <c r="D28" s="89">
        <f>SUMIF('5_BUSBAR ALLOC_Adj_TPPFeb2020'!A:A,'Dashboard 2019RSP (Round 0 adj)'!A28,'5_BUSBAR ALLOC_Adj_TPPFeb2020'!I:I)</f>
        <v>0</v>
      </c>
      <c r="E28" s="89">
        <f>INDEX(SelectedPortfolio_2019RSP!N:N,MATCH(A28,SelectedPortfolio_2019RSP!H:H,0))</f>
        <v>0</v>
      </c>
      <c r="F28" s="241">
        <v>0</v>
      </c>
      <c r="G28" s="12"/>
      <c r="H28" s="5" t="s">
        <v>50</v>
      </c>
      <c r="I28" s="5">
        <v>1</v>
      </c>
      <c r="J28" s="12"/>
      <c r="K28" s="12"/>
      <c r="L28" s="11">
        <v>1</v>
      </c>
      <c r="M28" s="79">
        <v>1</v>
      </c>
      <c r="N28" s="5">
        <v>1</v>
      </c>
      <c r="O28" s="21">
        <f>SUM(G28,I28,J28,K28,M28,N28)</f>
        <v>3</v>
      </c>
      <c r="P28" s="275" t="s">
        <v>64</v>
      </c>
      <c r="Q28" s="74"/>
      <c r="R28" s="12"/>
      <c r="S28" s="429">
        <f t="shared" si="0"/>
        <v>0</v>
      </c>
      <c r="T28" s="477"/>
      <c r="U28" s="4"/>
    </row>
    <row r="29" spans="1:21" ht="15" hidden="1" customHeight="1">
      <c r="A29" s="5" t="s">
        <v>78</v>
      </c>
      <c r="B29" s="4"/>
      <c r="C29" s="4"/>
      <c r="D29" s="89">
        <f>SUMIF('5_BUSBAR ALLOC_Adj_TPPFeb2020'!A:A,'Dashboard 2019RSP (Round 0 adj)'!A29,'5_BUSBAR ALLOC_Adj_TPPFeb2020'!I:I)</f>
        <v>0</v>
      </c>
      <c r="E29" s="89">
        <f>INDEX(SelectedPortfolio_2019RSP!N:N,MATCH(A29,SelectedPortfolio_2019RSP!H:H,0))</f>
        <v>0</v>
      </c>
      <c r="F29" s="241">
        <v>0</v>
      </c>
      <c r="G29" s="5"/>
      <c r="H29" s="5" t="s">
        <v>50</v>
      </c>
      <c r="I29" s="5">
        <v>1</v>
      </c>
      <c r="J29" s="5"/>
      <c r="K29" s="5"/>
      <c r="L29" s="11">
        <v>1</v>
      </c>
      <c r="M29" s="79">
        <v>1</v>
      </c>
      <c r="N29" s="5">
        <v>1</v>
      </c>
      <c r="O29" s="6"/>
      <c r="P29" s="6"/>
      <c r="Q29" s="24"/>
      <c r="R29" s="5"/>
      <c r="S29" s="429">
        <f t="shared" si="0"/>
        <v>0</v>
      </c>
      <c r="T29" s="477"/>
      <c r="U29" s="4"/>
    </row>
    <row r="30" spans="1:21" ht="15" customHeight="1">
      <c r="A30" s="12" t="s">
        <v>79</v>
      </c>
      <c r="B30" s="4"/>
      <c r="C30" s="4"/>
      <c r="D30" s="89">
        <f>SUMIF('5_BUSBAR ALLOC_Adj_TPPFeb2020'!A:A,'Dashboard 2019RSP (Round 0 adj)'!A30,'5_BUSBAR ALLOC_Adj_TPPFeb2020'!I:I)</f>
        <v>0</v>
      </c>
      <c r="E30" s="89">
        <f>INDEX(SelectedPortfolio_2019RSP!N:N,MATCH(A30,SelectedPortfolio_2019RSP!H:H,0))</f>
        <v>248</v>
      </c>
      <c r="F30" s="357">
        <v>248</v>
      </c>
      <c r="G30" s="249"/>
      <c r="H30" s="5" t="s">
        <v>50</v>
      </c>
      <c r="I30" s="249">
        <v>3</v>
      </c>
      <c r="J30" s="249"/>
      <c r="K30" s="249"/>
      <c r="L30" s="11">
        <v>1</v>
      </c>
      <c r="M30" s="79">
        <v>1</v>
      </c>
      <c r="N30" s="249">
        <v>2</v>
      </c>
      <c r="O30" s="6"/>
      <c r="P30" s="6"/>
      <c r="Q30" s="443" t="s">
        <v>142</v>
      </c>
      <c r="R30" s="73" t="s">
        <v>144</v>
      </c>
      <c r="S30" s="429">
        <f t="shared" si="0"/>
        <v>1</v>
      </c>
      <c r="T30" s="478"/>
      <c r="U30" s="4"/>
    </row>
    <row r="31" spans="1:21" ht="15" customHeight="1">
      <c r="A31" s="12" t="s">
        <v>81</v>
      </c>
      <c r="B31" s="4"/>
      <c r="C31" s="4"/>
      <c r="D31" s="89">
        <f>SUMIF('5_BUSBAR ALLOC_Adj_TPPFeb2020'!A:A,'Dashboard 2019RSP (Round 0 adj)'!A31,'5_BUSBAR ALLOC_Adj_TPPFeb2020'!I:I)</f>
        <v>0</v>
      </c>
      <c r="E31" s="89">
        <f>INDEX(SelectedPortfolio_2019RSP!N:N,MATCH(A31,SelectedPortfolio_2019RSP!H:H,0))</f>
        <v>300</v>
      </c>
      <c r="F31" s="357">
        <v>300</v>
      </c>
      <c r="G31" s="250"/>
      <c r="H31" s="5" t="s">
        <v>50</v>
      </c>
      <c r="I31" s="249">
        <v>1</v>
      </c>
      <c r="J31" s="250"/>
      <c r="K31" s="250"/>
      <c r="L31" s="11">
        <v>1</v>
      </c>
      <c r="M31" s="79">
        <v>1</v>
      </c>
      <c r="N31" s="249">
        <v>2</v>
      </c>
      <c r="O31" s="21">
        <f>SUM(G31,I31,J31,K31,M31,N31)</f>
        <v>4</v>
      </c>
      <c r="P31" s="275"/>
      <c r="Q31" s="244"/>
      <c r="R31" s="73"/>
      <c r="S31" s="429">
        <f t="shared" si="0"/>
        <v>1</v>
      </c>
      <c r="T31" s="477"/>
      <c r="U31" s="4"/>
    </row>
    <row r="32" spans="1:21" ht="15" hidden="1" customHeight="1">
      <c r="A32" s="5" t="s">
        <v>82</v>
      </c>
      <c r="B32" s="4"/>
      <c r="C32" s="4"/>
      <c r="D32" s="89">
        <f>SUMIF('5_BUSBAR ALLOC_Adj_TPPFeb2020'!A:A,'Dashboard 2019RSP (Round 0 adj)'!A32,'5_BUSBAR ALLOC_Adj_TPPFeb2020'!I:I)</f>
        <v>0</v>
      </c>
      <c r="E32" s="89">
        <f>INDEX(SelectedPortfolio_2019RSP!N:N,MATCH(A32,SelectedPortfolio_2019RSP!H:H,0))</f>
        <v>0</v>
      </c>
      <c r="F32" s="241">
        <v>0</v>
      </c>
      <c r="G32" s="5"/>
      <c r="H32" s="5" t="s">
        <v>50</v>
      </c>
      <c r="I32" s="5">
        <v>1</v>
      </c>
      <c r="J32" s="5"/>
      <c r="K32" s="5"/>
      <c r="L32" s="11">
        <v>1</v>
      </c>
      <c r="M32" s="79">
        <v>1</v>
      </c>
      <c r="N32" s="5">
        <v>1</v>
      </c>
      <c r="O32" s="6"/>
      <c r="P32" s="6"/>
      <c r="Q32" s="24"/>
      <c r="R32" s="5"/>
      <c r="S32" s="429">
        <f t="shared" si="0"/>
        <v>0</v>
      </c>
      <c r="T32" s="477"/>
      <c r="U32" s="4"/>
    </row>
    <row r="33" spans="1:21" ht="15" customHeight="1">
      <c r="A33" s="12" t="s">
        <v>83</v>
      </c>
      <c r="B33" s="4"/>
      <c r="C33" s="4"/>
      <c r="D33" s="89">
        <f>SUMIF('5_BUSBAR ALLOC_Adj_TPPFeb2020'!A:A,'Dashboard 2019RSP (Round 0 adj)'!A33,'5_BUSBAR ALLOC_Adj_TPPFeb2020'!I:I)</f>
        <v>0</v>
      </c>
      <c r="E33" s="89">
        <f>INDEX(SelectedPortfolio_2019RSP!N:N,MATCH(A33,SelectedPortfolio_2019RSP!H:H,0))</f>
        <v>865.9</v>
      </c>
      <c r="F33" s="357">
        <v>865.9</v>
      </c>
      <c r="G33" s="250"/>
      <c r="H33" s="5" t="s">
        <v>50</v>
      </c>
      <c r="I33" s="249">
        <v>1</v>
      </c>
      <c r="J33" s="250"/>
      <c r="K33" s="250"/>
      <c r="L33" s="11">
        <v>1</v>
      </c>
      <c r="M33" s="79">
        <v>1</v>
      </c>
      <c r="N33" s="249">
        <v>2</v>
      </c>
      <c r="O33" s="21">
        <f>SUM(G33,I33,J33,K33,M33,N33)</f>
        <v>4</v>
      </c>
      <c r="P33" s="275" t="s">
        <v>64</v>
      </c>
      <c r="Q33" s="244" t="s">
        <v>84</v>
      </c>
      <c r="R33" s="73"/>
      <c r="S33" s="429">
        <f t="shared" si="0"/>
        <v>1</v>
      </c>
      <c r="U33" s="4"/>
    </row>
    <row r="34" spans="1:21" ht="15" hidden="1" customHeight="1">
      <c r="A34" s="5" t="s">
        <v>86</v>
      </c>
      <c r="B34" s="4"/>
      <c r="C34" s="4"/>
      <c r="D34" s="89">
        <f>SUMIF('5_BUSBAR ALLOC_Adj_TPPFeb2020'!A:A,'Dashboard 2019RSP (Round 0 adj)'!A34,'5_BUSBAR ALLOC_Adj_TPPFeb2020'!I:I)</f>
        <v>0</v>
      </c>
      <c r="E34" s="89">
        <f>INDEX(SelectedPortfolio_2019RSP!N:N,MATCH(A34,SelectedPortfolio_2019RSP!H:H,0))</f>
        <v>0</v>
      </c>
      <c r="F34" s="241">
        <v>0</v>
      </c>
      <c r="G34" s="5"/>
      <c r="H34" s="5" t="s">
        <v>50</v>
      </c>
      <c r="I34" s="5">
        <v>1</v>
      </c>
      <c r="J34" s="5"/>
      <c r="K34" s="5"/>
      <c r="L34" s="11" t="s">
        <v>48</v>
      </c>
      <c r="M34" s="79" t="s">
        <v>48</v>
      </c>
      <c r="N34" s="5">
        <v>1</v>
      </c>
      <c r="O34" s="6"/>
      <c r="P34" s="6"/>
      <c r="Q34" s="24"/>
      <c r="R34" s="5"/>
      <c r="S34" s="429">
        <f t="shared" si="0"/>
        <v>0</v>
      </c>
      <c r="T34" s="477"/>
      <c r="U34" s="4"/>
    </row>
    <row r="35" spans="1:21">
      <c r="A35" s="74" t="s">
        <v>87</v>
      </c>
      <c r="B35" s="4"/>
      <c r="C35" s="4"/>
      <c r="D35" s="89">
        <f>SUMIF('5_BUSBAR ALLOC_Adj_TPPFeb2020'!A:A,'Dashboard 2019RSP (Round 0 adj)'!A35,'5_BUSBAR ALLOC_Adj_TPPFeb2020'!I:I)</f>
        <v>1622</v>
      </c>
      <c r="E35" s="89">
        <f>INDEX(SelectedPortfolio_2019RSP!N:N,MATCH(A35,SelectedPortfolio_2019RSP!H:H,0))</f>
        <v>0</v>
      </c>
      <c r="F35" s="357">
        <v>1000</v>
      </c>
      <c r="G35" s="79"/>
      <c r="H35" s="5" t="s">
        <v>50</v>
      </c>
      <c r="I35" s="249">
        <v>3</v>
      </c>
      <c r="J35" s="79"/>
      <c r="K35" s="79"/>
      <c r="L35" s="11">
        <v>1</v>
      </c>
      <c r="M35" s="79">
        <v>1</v>
      </c>
      <c r="N35" s="249">
        <v>1</v>
      </c>
      <c r="O35" s="80">
        <f>SUM(G35,I35,J35,K35,M35,N35)</f>
        <v>5</v>
      </c>
      <c r="P35" s="275"/>
      <c r="Q35" s="443" t="s">
        <v>142</v>
      </c>
      <c r="R35" s="475" t="s">
        <v>746</v>
      </c>
      <c r="S35" s="429">
        <f t="shared" si="0"/>
        <v>1</v>
      </c>
      <c r="U35" s="4"/>
    </row>
    <row r="36" spans="1:21">
      <c r="A36" s="74" t="s">
        <v>89</v>
      </c>
      <c r="B36" s="4"/>
      <c r="C36" s="4"/>
      <c r="D36" s="202">
        <f>SUMIF('5_BUSBAR ALLOC_Adj_TPPFeb2020'!A:A,'Dashboard 2019RSP (Round 0 adj)'!A36,'5_BUSBAR ALLOC_Adj_TPPFeb2020'!I:I)</f>
        <v>42</v>
      </c>
      <c r="E36" s="345" t="s">
        <v>90</v>
      </c>
      <c r="F36" s="358" t="s">
        <v>90</v>
      </c>
      <c r="G36" s="79"/>
      <c r="H36" s="5" t="s">
        <v>50</v>
      </c>
      <c r="I36" s="249">
        <v>1</v>
      </c>
      <c r="J36" s="79"/>
      <c r="K36" s="79"/>
      <c r="L36" s="11">
        <v>1</v>
      </c>
      <c r="M36" s="79">
        <v>1</v>
      </c>
      <c r="N36" s="249" t="s">
        <v>48</v>
      </c>
      <c r="O36" s="80">
        <f>SUM(G36,I36,J36,K36,M36,N36)</f>
        <v>2</v>
      </c>
      <c r="P36" s="6"/>
      <c r="Q36" s="81"/>
      <c r="R36" s="73" t="s">
        <v>91</v>
      </c>
      <c r="S36" s="429">
        <f t="shared" si="0"/>
        <v>1</v>
      </c>
      <c r="T36" s="478"/>
      <c r="U36" s="243"/>
    </row>
    <row r="37" spans="1:21" hidden="1">
      <c r="A37" s="5" t="s">
        <v>92</v>
      </c>
      <c r="B37" s="4"/>
      <c r="C37" s="4"/>
      <c r="D37" s="89">
        <f>SUMIF('5_BUSBAR ALLOC_Adj_TPPFeb2020'!A:A,'Dashboard 2019RSP (Round 0 adj)'!A37,'5_BUSBAR ALLOC_Adj_TPPFeb2020'!I:I)</f>
        <v>0</v>
      </c>
      <c r="E37" s="89">
        <f>INDEX(SelectedPortfolio_2019RSP!N:N,MATCH(A37,SelectedPortfolio_2019RSP!H:H,0))</f>
        <v>0</v>
      </c>
      <c r="F37" s="241">
        <v>0</v>
      </c>
      <c r="G37" s="5"/>
      <c r="H37" s="5" t="s">
        <v>50</v>
      </c>
      <c r="I37" s="5">
        <v>1</v>
      </c>
      <c r="J37" s="5"/>
      <c r="K37" s="5"/>
      <c r="L37" s="11">
        <v>1</v>
      </c>
      <c r="M37" s="79">
        <v>1</v>
      </c>
      <c r="N37" s="5">
        <v>1</v>
      </c>
      <c r="O37" s="6"/>
      <c r="P37" s="6"/>
      <c r="Q37" s="24"/>
      <c r="R37" s="5"/>
      <c r="S37" s="429">
        <f t="shared" si="0"/>
        <v>0</v>
      </c>
      <c r="T37" s="477"/>
      <c r="U37" s="4"/>
    </row>
    <row r="38" spans="1:21" ht="15" hidden="1" customHeight="1">
      <c r="A38" s="5" t="s">
        <v>93</v>
      </c>
      <c r="B38" s="4"/>
      <c r="C38" s="4"/>
      <c r="D38" s="89">
        <f>SUMIF('5_BUSBAR ALLOC_Adj_TPPFeb2020'!A:A,'Dashboard 2019RSP (Round 0 adj)'!A38,'5_BUSBAR ALLOC_Adj_TPPFeb2020'!I:I)</f>
        <v>0</v>
      </c>
      <c r="E38" s="89">
        <f>INDEX(SelectedPortfolio_2019RSP!N:N,MATCH(A38,SelectedPortfolio_2019RSP!H:H,0))</f>
        <v>0</v>
      </c>
      <c r="F38" s="241">
        <v>0</v>
      </c>
      <c r="G38" s="5"/>
      <c r="H38" s="5" t="s">
        <v>50</v>
      </c>
      <c r="I38" s="5">
        <v>1</v>
      </c>
      <c r="J38" s="5"/>
      <c r="K38" s="5"/>
      <c r="L38" s="11">
        <v>1</v>
      </c>
      <c r="M38" s="79">
        <v>1</v>
      </c>
      <c r="N38" s="5">
        <v>1</v>
      </c>
      <c r="O38" s="6"/>
      <c r="P38" s="6"/>
      <c r="Q38" s="24"/>
      <c r="R38" s="5"/>
      <c r="S38" s="429">
        <f t="shared" si="0"/>
        <v>0</v>
      </c>
      <c r="T38" s="477"/>
      <c r="U38" s="4"/>
    </row>
    <row r="39" spans="1:21" ht="15" customHeight="1">
      <c r="A39" s="12" t="s">
        <v>94</v>
      </c>
      <c r="B39" s="4"/>
      <c r="C39" s="4"/>
      <c r="D39" s="89">
        <f>SUMIF('5_BUSBAR ALLOC_Adj_TPPFeb2020'!A:A,'Dashboard 2019RSP (Round 0 adj)'!A39,'5_BUSBAR ALLOC_Adj_TPPFeb2020'!I:I)</f>
        <v>0</v>
      </c>
      <c r="E39" s="89">
        <f>INDEX(SelectedPortfolio_2019RSP!N:N,MATCH(A39,SelectedPortfolio_2019RSP!H:H,0))</f>
        <v>330</v>
      </c>
      <c r="F39" s="357">
        <v>330</v>
      </c>
      <c r="G39" s="250"/>
      <c r="H39" s="5" t="s">
        <v>50</v>
      </c>
      <c r="I39" s="249">
        <v>1</v>
      </c>
      <c r="J39" s="250"/>
      <c r="K39" s="250"/>
      <c r="L39" s="11">
        <v>1</v>
      </c>
      <c r="M39" s="79">
        <v>1</v>
      </c>
      <c r="N39" s="249">
        <v>2</v>
      </c>
      <c r="O39" s="21">
        <f>SUM(G39,I39,J39,K39,M39,N39)</f>
        <v>4</v>
      </c>
      <c r="P39" s="275"/>
      <c r="Q39" s="244"/>
      <c r="R39" s="73"/>
      <c r="S39" s="429">
        <f t="shared" si="0"/>
        <v>1</v>
      </c>
      <c r="T39" s="478"/>
      <c r="U39" s="243"/>
    </row>
    <row r="40" spans="1:21" ht="15" hidden="1" customHeight="1">
      <c r="A40" s="5" t="s">
        <v>95</v>
      </c>
      <c r="B40" s="4"/>
      <c r="C40" s="4"/>
      <c r="D40" s="89">
        <f>SUMIF('5_BUSBAR ALLOC_Adj_TPPFeb2020'!A:A,'Dashboard 2019RSP (Round 0 adj)'!A40,'5_BUSBAR ALLOC_Adj_TPPFeb2020'!I:I)</f>
        <v>0</v>
      </c>
      <c r="E40" s="89">
        <f>INDEX(SelectedPortfolio_2019RSP!N:N,MATCH(A40,SelectedPortfolio_2019RSP!H:H,0))</f>
        <v>0</v>
      </c>
      <c r="F40" s="241">
        <v>0</v>
      </c>
      <c r="G40" s="5"/>
      <c r="H40" s="5" t="s">
        <v>50</v>
      </c>
      <c r="I40" s="5">
        <v>1</v>
      </c>
      <c r="J40" s="5"/>
      <c r="K40" s="5"/>
      <c r="L40" s="11">
        <v>1</v>
      </c>
      <c r="M40" s="79">
        <v>1</v>
      </c>
      <c r="N40" s="5">
        <v>1</v>
      </c>
      <c r="O40" s="6"/>
      <c r="P40" s="6"/>
      <c r="Q40" s="24"/>
      <c r="R40" s="5"/>
      <c r="S40" s="429">
        <f t="shared" si="0"/>
        <v>0</v>
      </c>
      <c r="T40" s="477"/>
      <c r="U40" s="4"/>
    </row>
    <row r="41" spans="1:21" ht="15" hidden="1" customHeight="1">
      <c r="A41" s="5" t="s">
        <v>96</v>
      </c>
      <c r="B41" s="4"/>
      <c r="C41" s="4"/>
      <c r="D41" s="89">
        <f>SUMIF('5_BUSBAR ALLOC_Adj_TPPFeb2020'!A:A,'Dashboard 2019RSP (Round 0 adj)'!A41,'5_BUSBAR ALLOC_Adj_TPPFeb2020'!I:I)</f>
        <v>0</v>
      </c>
      <c r="E41" s="89">
        <f>INDEX(SelectedPortfolio_2019RSP!N:N,MATCH(A41,SelectedPortfolio_2019RSP!H:H,0))</f>
        <v>0</v>
      </c>
      <c r="F41" s="241">
        <v>0</v>
      </c>
      <c r="G41" s="5"/>
      <c r="H41" s="5" t="s">
        <v>50</v>
      </c>
      <c r="I41" s="5">
        <v>1</v>
      </c>
      <c r="J41" s="5"/>
      <c r="K41" s="5"/>
      <c r="L41" s="11">
        <v>1</v>
      </c>
      <c r="M41" s="79">
        <v>1</v>
      </c>
      <c r="N41" s="5">
        <v>1</v>
      </c>
      <c r="O41" s="6"/>
      <c r="P41" s="6"/>
      <c r="Q41" s="24"/>
      <c r="R41" s="5"/>
      <c r="S41" s="429">
        <f t="shared" si="0"/>
        <v>0</v>
      </c>
      <c r="T41" s="477"/>
      <c r="U41" s="4"/>
    </row>
    <row r="42" spans="1:21" ht="15" hidden="1" customHeight="1">
      <c r="A42" s="5" t="s">
        <v>97</v>
      </c>
      <c r="B42" s="4"/>
      <c r="C42" s="4"/>
      <c r="D42" s="89">
        <f>SUMIF('5_BUSBAR ALLOC_Adj_TPPFeb2020'!A:A,'Dashboard 2019RSP (Round 0 adj)'!A42,'5_BUSBAR ALLOC_Adj_TPPFeb2020'!I:I)</f>
        <v>0</v>
      </c>
      <c r="E42" s="89">
        <f>INDEX(SelectedPortfolio_2019RSP!N:N,MATCH(A42,SelectedPortfolio_2019RSP!H:H,0))</f>
        <v>0</v>
      </c>
      <c r="F42" s="241">
        <v>0</v>
      </c>
      <c r="G42" s="5"/>
      <c r="H42" s="5" t="s">
        <v>50</v>
      </c>
      <c r="I42" s="5">
        <v>1</v>
      </c>
      <c r="J42" s="5"/>
      <c r="K42" s="5"/>
      <c r="L42" s="11">
        <v>1</v>
      </c>
      <c r="M42" s="79">
        <v>1</v>
      </c>
      <c r="N42" s="5">
        <v>1</v>
      </c>
      <c r="O42" s="6"/>
      <c r="P42" s="6"/>
      <c r="Q42" s="24"/>
      <c r="R42" s="5"/>
      <c r="S42" s="429">
        <f t="shared" si="0"/>
        <v>0</v>
      </c>
      <c r="T42" s="477"/>
      <c r="U42" s="4"/>
    </row>
    <row r="43" spans="1:21" ht="15" hidden="1" customHeight="1">
      <c r="A43" s="5" t="s">
        <v>98</v>
      </c>
      <c r="B43" s="4"/>
      <c r="C43" s="4"/>
      <c r="D43" s="89">
        <f>SUMIF('5_BUSBAR ALLOC_Adj_TPPFeb2020'!A:A,'Dashboard 2019RSP (Round 0 adj)'!A43,'5_BUSBAR ALLOC_Adj_TPPFeb2020'!I:I)</f>
        <v>0</v>
      </c>
      <c r="E43" s="89">
        <f>INDEX(SelectedPortfolio_2019RSP!N:N,MATCH(A43,SelectedPortfolio_2019RSP!H:H,0))</f>
        <v>0</v>
      </c>
      <c r="F43" s="241">
        <v>0</v>
      </c>
      <c r="G43" s="5"/>
      <c r="H43" s="5" t="s">
        <v>50</v>
      </c>
      <c r="I43" s="5">
        <v>1</v>
      </c>
      <c r="J43" s="5"/>
      <c r="K43" s="5"/>
      <c r="L43" s="11">
        <v>1</v>
      </c>
      <c r="M43" s="79">
        <v>1</v>
      </c>
      <c r="N43" s="5">
        <v>1</v>
      </c>
      <c r="O43" s="6"/>
      <c r="P43" s="6"/>
      <c r="Q43" s="24"/>
      <c r="R43" s="5"/>
      <c r="S43" s="429">
        <f t="shared" si="0"/>
        <v>0</v>
      </c>
      <c r="T43" s="477"/>
      <c r="U43" s="4"/>
    </row>
    <row r="44" spans="1:21" ht="15" customHeight="1">
      <c r="A44" s="12" t="s">
        <v>99</v>
      </c>
      <c r="B44" s="4"/>
      <c r="C44" s="4"/>
      <c r="D44" s="89">
        <f>SUMIF('5_BUSBAR ALLOC_Adj_TPPFeb2020'!A:A,'Dashboard 2019RSP (Round 0 adj)'!A44,'5_BUSBAR ALLOC_Adj_TPPFeb2020'!I:I)</f>
        <v>644</v>
      </c>
      <c r="E44" s="89">
        <f>INDEX(SelectedPortfolio_2019RSP!N:N,MATCH(A44,SelectedPortfolio_2019RSP!H:H,0))</f>
        <v>542</v>
      </c>
      <c r="F44" s="357">
        <v>542</v>
      </c>
      <c r="G44" s="79"/>
      <c r="H44" s="5" t="s">
        <v>50</v>
      </c>
      <c r="I44" s="249">
        <v>1</v>
      </c>
      <c r="J44" s="79"/>
      <c r="K44" s="79"/>
      <c r="L44" s="11">
        <v>1</v>
      </c>
      <c r="M44" s="79">
        <v>1</v>
      </c>
      <c r="N44" s="249">
        <v>1</v>
      </c>
      <c r="O44" s="80">
        <f>SUM(G44,I44,J44,K44,M44,N44)</f>
        <v>3</v>
      </c>
      <c r="P44" s="275"/>
      <c r="Q44" s="81"/>
      <c r="R44" s="73"/>
      <c r="S44" s="429">
        <f t="shared" si="0"/>
        <v>1</v>
      </c>
      <c r="U44" s="4"/>
    </row>
    <row r="45" spans="1:21">
      <c r="A45" s="12" t="s">
        <v>100</v>
      </c>
      <c r="B45" s="4"/>
      <c r="C45" s="4"/>
      <c r="D45" s="89">
        <f>SUMIF('5_BUSBAR ALLOC_Adj_TPPFeb2020'!A:A,'Dashboard 2019RSP (Round 0 adj)'!A45,'5_BUSBAR ALLOC_Adj_TPPFeb2020'!I:I)</f>
        <v>0</v>
      </c>
      <c r="E45" s="89">
        <f>INDEX(SelectedPortfolio_2019RSP!N:N,MATCH(A45,SelectedPortfolio_2019RSP!H:H,0))</f>
        <v>862</v>
      </c>
      <c r="F45" s="357">
        <v>0</v>
      </c>
      <c r="G45" s="249"/>
      <c r="H45" s="5" t="s">
        <v>50</v>
      </c>
      <c r="I45" s="249">
        <v>1</v>
      </c>
      <c r="J45" s="249"/>
      <c r="K45" s="249"/>
      <c r="L45" s="11">
        <v>1</v>
      </c>
      <c r="M45" s="79">
        <v>1</v>
      </c>
      <c r="N45" s="249">
        <v>1</v>
      </c>
      <c r="O45" s="6"/>
      <c r="P45" s="6"/>
      <c r="Q45" s="81"/>
      <c r="R45" s="73" t="s">
        <v>145</v>
      </c>
      <c r="S45" s="429">
        <f t="shared" si="0"/>
        <v>1</v>
      </c>
      <c r="T45" s="477"/>
      <c r="U45" s="4"/>
    </row>
    <row r="46" spans="1:21" ht="15" hidden="1" customHeight="1">
      <c r="A46" s="5" t="s">
        <v>102</v>
      </c>
      <c r="B46" s="4"/>
      <c r="C46" s="4"/>
      <c r="D46" s="89">
        <f>SUMIF('5_BUSBAR ALLOC_Adj_TPPFeb2020'!A:A,'Dashboard 2019RSP (Round 0 adj)'!A46,'5_BUSBAR ALLOC_Adj_TPPFeb2020'!I:I)</f>
        <v>0</v>
      </c>
      <c r="E46" s="89">
        <f>INDEX(SelectedPortfolio_2019RSP!N:N,MATCH(A46,SelectedPortfolio_2019RSP!H:H,0))</f>
        <v>0</v>
      </c>
      <c r="F46" s="241">
        <v>0</v>
      </c>
      <c r="G46" s="5"/>
      <c r="H46" s="5" t="s">
        <v>50</v>
      </c>
      <c r="I46" s="5">
        <v>1</v>
      </c>
      <c r="J46" s="5"/>
      <c r="K46" s="5"/>
      <c r="L46" s="11">
        <v>1</v>
      </c>
      <c r="M46" s="79">
        <v>1</v>
      </c>
      <c r="N46" s="5">
        <v>1</v>
      </c>
      <c r="O46" s="6"/>
      <c r="P46" s="6"/>
      <c r="Q46" s="24"/>
      <c r="R46" s="73"/>
      <c r="S46" s="429">
        <f t="shared" si="0"/>
        <v>0</v>
      </c>
      <c r="T46" s="477"/>
      <c r="U46" s="4"/>
    </row>
    <row r="47" spans="1:21" ht="15" customHeight="1">
      <c r="A47" s="12" t="s">
        <v>103</v>
      </c>
      <c r="B47" s="4"/>
      <c r="C47" s="4"/>
      <c r="D47" s="89">
        <f>SUMIF('5_BUSBAR ALLOC_Adj_TPPFeb2020'!A:A,'Dashboard 2019RSP (Round 0 adj)'!A47,'5_BUSBAR ALLOC_Adj_TPPFeb2020'!I:I)</f>
        <v>3006</v>
      </c>
      <c r="E47" s="89">
        <f>INDEX(SelectedPortfolio_2019RSP!N:N,MATCH(A47,SelectedPortfolio_2019RSP!H:H,0))</f>
        <v>0</v>
      </c>
      <c r="F47" s="357">
        <v>862</v>
      </c>
      <c r="G47" s="79"/>
      <c r="H47" s="5" t="s">
        <v>50</v>
      </c>
      <c r="I47" s="249">
        <v>3</v>
      </c>
      <c r="J47" s="79"/>
      <c r="K47" s="79"/>
      <c r="L47" s="11">
        <v>1</v>
      </c>
      <c r="M47" s="79">
        <v>1</v>
      </c>
      <c r="N47" s="249">
        <v>3</v>
      </c>
      <c r="O47" s="80">
        <f>SUM(G47,I47,J47,K47,M47,N47)</f>
        <v>7</v>
      </c>
      <c r="P47" s="6"/>
      <c r="Q47" s="443" t="s">
        <v>142</v>
      </c>
      <c r="R47" s="73" t="s">
        <v>146</v>
      </c>
      <c r="S47" s="429">
        <f t="shared" si="0"/>
        <v>1</v>
      </c>
      <c r="T47" s="479"/>
      <c r="U47" s="248"/>
    </row>
    <row r="48" spans="1:21" hidden="1">
      <c r="A48" s="5" t="s">
        <v>105</v>
      </c>
      <c r="B48" s="4"/>
      <c r="C48" s="4"/>
      <c r="D48" s="89">
        <f>SUMIF('5_BUSBAR ALLOC_Adj_TPPFeb2020'!A:A,'Dashboard 2019RSP (Round 0 adj)'!A48,'5_BUSBAR ALLOC_Adj_TPPFeb2020'!I:I)</f>
        <v>0</v>
      </c>
      <c r="E48" s="89">
        <f>INDEX(SelectedPortfolio_2019RSP!N:N,MATCH(A48,SelectedPortfolio_2019RSP!H:H,0))</f>
        <v>0</v>
      </c>
      <c r="F48" s="241">
        <v>0</v>
      </c>
      <c r="G48" s="5"/>
      <c r="H48" s="5" t="s">
        <v>50</v>
      </c>
      <c r="I48" s="5">
        <v>1</v>
      </c>
      <c r="J48" s="5"/>
      <c r="K48" s="5"/>
      <c r="L48" s="11" t="s">
        <v>48</v>
      </c>
      <c r="M48" s="79" t="s">
        <v>48</v>
      </c>
      <c r="N48" s="5">
        <v>1</v>
      </c>
      <c r="O48" s="6"/>
      <c r="P48" s="6"/>
      <c r="Q48" s="24"/>
      <c r="R48" s="73"/>
      <c r="S48" s="429">
        <f t="shared" si="0"/>
        <v>0</v>
      </c>
      <c r="T48" s="477"/>
      <c r="U48" s="4"/>
    </row>
    <row r="49" spans="1:21" ht="15" hidden="1" customHeight="1">
      <c r="A49" s="5" t="s">
        <v>106</v>
      </c>
      <c r="B49" s="4"/>
      <c r="C49" s="4"/>
      <c r="D49" s="89">
        <f>SUMIF('5_BUSBAR ALLOC_Adj_TPPFeb2020'!A:A,'Dashboard 2019RSP (Round 0 adj)'!A49,'5_BUSBAR ALLOC_Adj_TPPFeb2020'!I:I)</f>
        <v>0</v>
      </c>
      <c r="E49" s="89">
        <f>INDEX(SelectedPortfolio_2019RSP!N:N,MATCH(A49,SelectedPortfolio_2019RSP!H:H,0))</f>
        <v>0</v>
      </c>
      <c r="F49" s="241">
        <v>0</v>
      </c>
      <c r="G49" s="5"/>
      <c r="H49" s="5" t="s">
        <v>50</v>
      </c>
      <c r="I49" s="5">
        <v>1</v>
      </c>
      <c r="J49" s="5"/>
      <c r="K49" s="5"/>
      <c r="L49" s="11" t="s">
        <v>48</v>
      </c>
      <c r="M49" s="79" t="s">
        <v>48</v>
      </c>
      <c r="N49" s="5">
        <v>1</v>
      </c>
      <c r="O49" s="6"/>
      <c r="P49" s="6"/>
      <c r="Q49" s="24"/>
      <c r="R49" s="73"/>
      <c r="S49" s="429">
        <f t="shared" si="0"/>
        <v>0</v>
      </c>
      <c r="T49" s="477"/>
      <c r="U49" s="4"/>
    </row>
    <row r="50" spans="1:21" ht="15" customHeight="1">
      <c r="A50" s="12" t="s">
        <v>107</v>
      </c>
      <c r="B50" s="4"/>
      <c r="C50" s="4"/>
      <c r="D50" s="89">
        <f>SUMIF('5_BUSBAR ALLOC_Adj_TPPFeb2020'!A:A,'Dashboard 2019RSP (Round 0 adj)'!A50,'5_BUSBAR ALLOC_Adj_TPPFeb2020'!I:I)</f>
        <v>1153</v>
      </c>
      <c r="E50" s="89">
        <f>INDEX(SelectedPortfolio_2019RSP!N:N,MATCH(A50,SelectedPortfolio_2019RSP!H:H,0))</f>
        <v>4202</v>
      </c>
      <c r="F50" s="357">
        <v>3202</v>
      </c>
      <c r="G50" s="79"/>
      <c r="H50" s="5" t="s">
        <v>50</v>
      </c>
      <c r="I50" s="249">
        <v>1</v>
      </c>
      <c r="J50" s="79"/>
      <c r="K50" s="79"/>
      <c r="L50" s="11">
        <v>1</v>
      </c>
      <c r="M50" s="79">
        <v>1</v>
      </c>
      <c r="N50" s="249">
        <v>3</v>
      </c>
      <c r="O50" s="80">
        <f>SUM(G50,I50,J50,K50,M50,N50)</f>
        <v>5</v>
      </c>
      <c r="P50" s="275"/>
      <c r="Q50" s="81"/>
      <c r="R50" s="73" t="s">
        <v>147</v>
      </c>
      <c r="S50" s="429">
        <f t="shared" si="0"/>
        <v>1</v>
      </c>
      <c r="U50" s="4"/>
    </row>
    <row r="51" spans="1:21" hidden="1">
      <c r="A51" s="5" t="s">
        <v>109</v>
      </c>
      <c r="B51" s="4"/>
      <c r="C51" s="4"/>
      <c r="D51" s="89">
        <f>SUMIF('5_BUSBAR ALLOC_Adj_TPPFeb2020'!A:A,'Dashboard 2019RSP (Round 0 adj)'!A51,'5_BUSBAR ALLOC_Adj_TPPFeb2020'!I:I)</f>
        <v>0</v>
      </c>
      <c r="E51" s="89">
        <f>INDEX(SelectedPortfolio_2019RSP!N:N,MATCH(A51,SelectedPortfolio_2019RSP!H:H,0))</f>
        <v>0</v>
      </c>
      <c r="F51" s="241">
        <v>0</v>
      </c>
      <c r="G51" s="12"/>
      <c r="H51" s="5" t="s">
        <v>50</v>
      </c>
      <c r="I51" s="5">
        <v>1</v>
      </c>
      <c r="J51" s="12"/>
      <c r="K51" s="12"/>
      <c r="L51" s="11">
        <v>1</v>
      </c>
      <c r="M51" s="79">
        <v>1</v>
      </c>
      <c r="N51" s="5">
        <v>1</v>
      </c>
      <c r="O51" s="21">
        <f>SUM(G51,I51,J51,K51,M51,N51)</f>
        <v>3</v>
      </c>
      <c r="P51" s="275" t="s">
        <v>64</v>
      </c>
      <c r="Q51" s="74"/>
      <c r="R51" s="12"/>
      <c r="S51" s="429">
        <f t="shared" si="0"/>
        <v>0</v>
      </c>
      <c r="T51" s="477"/>
      <c r="U51" s="4"/>
    </row>
    <row r="52" spans="1:21" ht="15" customHeight="1">
      <c r="A52" s="12" t="s">
        <v>110</v>
      </c>
      <c r="B52" s="4"/>
      <c r="C52" s="4"/>
      <c r="D52" s="89">
        <f>SUMIF('5_BUSBAR ALLOC_Adj_TPPFeb2020'!A:A,'Dashboard 2019RSP (Round 0 adj)'!A52,'5_BUSBAR ALLOC_Adj_TPPFeb2020'!I:I)</f>
        <v>0</v>
      </c>
      <c r="E52" s="89">
        <f>INDEX(SelectedPortfolio_2019RSP!N:N,MATCH(A52,SelectedPortfolio_2019RSP!H:H,0))</f>
        <v>275</v>
      </c>
      <c r="F52" s="357">
        <v>275</v>
      </c>
      <c r="G52" s="79"/>
      <c r="H52" s="5" t="s">
        <v>50</v>
      </c>
      <c r="I52" s="249">
        <v>1</v>
      </c>
      <c r="J52" s="79"/>
      <c r="K52" s="79"/>
      <c r="L52" s="11">
        <v>1</v>
      </c>
      <c r="M52" s="79">
        <v>1</v>
      </c>
      <c r="N52" s="249">
        <v>2</v>
      </c>
      <c r="O52" s="80">
        <f>SUM(G52,I52,J52,K52,M52,N52)</f>
        <v>4</v>
      </c>
      <c r="P52" s="275"/>
      <c r="Q52" s="81"/>
      <c r="R52" s="73"/>
      <c r="S52" s="429">
        <f t="shared" si="0"/>
        <v>1</v>
      </c>
      <c r="U52" s="4"/>
    </row>
    <row r="53" spans="1:21">
      <c r="A53" s="12" t="s">
        <v>112</v>
      </c>
      <c r="B53" s="4"/>
      <c r="C53" s="4"/>
      <c r="D53" s="89">
        <f>SUMIF('5_BUSBAR ALLOC_Adj_TPPFeb2020'!A:A,'Dashboard 2019RSP (Round 0 adj)'!A53,'5_BUSBAR ALLOC_Adj_TPPFeb2020'!I:I)</f>
        <v>0</v>
      </c>
      <c r="E53" s="89">
        <f>INDEX(SelectedPortfolio_2019RSP!N:N,MATCH(A53,SelectedPortfolio_2019RSP!H:H,0))</f>
        <v>1778.57</v>
      </c>
      <c r="F53" s="357">
        <v>-0.43000000000006366</v>
      </c>
      <c r="G53" s="249"/>
      <c r="H53" s="5" t="s">
        <v>50</v>
      </c>
      <c r="I53" s="249">
        <v>1</v>
      </c>
      <c r="J53" s="249"/>
      <c r="K53" s="249"/>
      <c r="L53" s="11">
        <v>1</v>
      </c>
      <c r="M53" s="79">
        <v>1</v>
      </c>
      <c r="N53" s="249">
        <v>1</v>
      </c>
      <c r="O53" s="6"/>
      <c r="P53" s="6"/>
      <c r="Q53" s="81"/>
      <c r="R53" s="73" t="s">
        <v>148</v>
      </c>
      <c r="S53" s="429">
        <f t="shared" si="0"/>
        <v>1</v>
      </c>
      <c r="T53" s="478"/>
      <c r="U53" s="4"/>
    </row>
    <row r="54" spans="1:21" ht="15" hidden="1" customHeight="1">
      <c r="A54" s="5" t="s">
        <v>114</v>
      </c>
      <c r="B54" s="4"/>
      <c r="C54" s="4"/>
      <c r="D54" s="89">
        <f>SUMIF('5_BUSBAR ALLOC_Adj_TPPFeb2020'!A:A,'Dashboard 2019RSP (Round 0 adj)'!A54,'5_BUSBAR ALLOC_Adj_TPPFeb2020'!I:I)</f>
        <v>0</v>
      </c>
      <c r="E54" s="89">
        <f>INDEX(SelectedPortfolio_2019RSP!N:N,MATCH(A54,SelectedPortfolio_2019RSP!H:H,0))</f>
        <v>0</v>
      </c>
      <c r="F54" s="241">
        <v>0</v>
      </c>
      <c r="G54" s="5"/>
      <c r="H54" s="5" t="s">
        <v>50</v>
      </c>
      <c r="I54" s="5">
        <v>1</v>
      </c>
      <c r="J54" s="5"/>
      <c r="K54" s="5"/>
      <c r="L54" s="11">
        <v>1</v>
      </c>
      <c r="M54" s="79">
        <v>1</v>
      </c>
      <c r="N54" s="5">
        <v>1</v>
      </c>
      <c r="O54" s="6"/>
      <c r="P54" s="6"/>
      <c r="Q54" s="24"/>
      <c r="R54" s="73"/>
      <c r="S54" s="429">
        <f t="shared" si="0"/>
        <v>0</v>
      </c>
      <c r="T54" s="477"/>
      <c r="U54" s="4"/>
    </row>
    <row r="55" spans="1:21" ht="15" customHeight="1">
      <c r="A55" s="12" t="s">
        <v>115</v>
      </c>
      <c r="B55" s="4"/>
      <c r="C55" s="4"/>
      <c r="D55" s="89">
        <f>SUMIF('5_BUSBAR ALLOC_Adj_TPPFeb2020'!A:A,'Dashboard 2019RSP (Round 0 adj)'!A55,'5_BUSBAR ALLOC_Adj_TPPFeb2020'!I:I)</f>
        <v>0</v>
      </c>
      <c r="E55" s="89">
        <f>INDEX(SelectedPortfolio_2019RSP!N:N,MATCH(A55,SelectedPortfolio_2019RSP!H:H,0))</f>
        <v>58.21</v>
      </c>
      <c r="F55" s="357">
        <v>1099.21</v>
      </c>
      <c r="G55" s="249"/>
      <c r="H55" s="5" t="s">
        <v>50</v>
      </c>
      <c r="I55" s="249">
        <v>3</v>
      </c>
      <c r="J55" s="249"/>
      <c r="K55" s="249"/>
      <c r="L55" s="11">
        <v>3</v>
      </c>
      <c r="M55" s="79">
        <v>3</v>
      </c>
      <c r="N55" s="249">
        <v>3</v>
      </c>
      <c r="O55" s="6"/>
      <c r="P55" s="6"/>
      <c r="Q55" s="443" t="s">
        <v>142</v>
      </c>
      <c r="R55" s="73" t="s">
        <v>149</v>
      </c>
      <c r="S55" s="429">
        <f t="shared" si="0"/>
        <v>1</v>
      </c>
      <c r="U55" s="4"/>
    </row>
    <row r="56" spans="1:21" ht="15" hidden="1" customHeight="1">
      <c r="A56" s="5" t="s">
        <v>117</v>
      </c>
      <c r="B56" s="4"/>
      <c r="C56" s="4"/>
      <c r="D56" s="89">
        <f>SUMIF('5_BUSBAR ALLOC_Adj_TPPFeb2020'!A:A,'Dashboard 2019RSP (Round 0 adj)'!A56,'5_BUSBAR ALLOC_Adj_TPPFeb2020'!I:I)</f>
        <v>0</v>
      </c>
      <c r="E56" s="89">
        <f>INDEX(SelectedPortfolio_2019RSP!N:N,MATCH(A56,SelectedPortfolio_2019RSP!H:H,0))</f>
        <v>0</v>
      </c>
      <c r="F56" s="241">
        <v>0</v>
      </c>
      <c r="G56" s="5"/>
      <c r="H56" s="5" t="s">
        <v>48</v>
      </c>
      <c r="I56" s="5">
        <v>1</v>
      </c>
      <c r="J56" s="5"/>
      <c r="K56" s="5"/>
      <c r="L56" s="11" t="s">
        <v>48</v>
      </c>
      <c r="M56" s="79" t="s">
        <v>48</v>
      </c>
      <c r="N56" s="5">
        <v>1</v>
      </c>
      <c r="O56" s="6"/>
      <c r="P56" s="6"/>
      <c r="Q56" s="24"/>
      <c r="R56" s="5"/>
      <c r="S56" s="429">
        <f t="shared" si="0"/>
        <v>0</v>
      </c>
      <c r="T56" s="477"/>
      <c r="U56" s="4"/>
    </row>
    <row r="57" spans="1:21" ht="15" hidden="1" customHeight="1">
      <c r="A57" s="5" t="s">
        <v>118</v>
      </c>
      <c r="B57" s="4"/>
      <c r="C57" s="4"/>
      <c r="D57" s="89">
        <f>SUMIF('5_BUSBAR ALLOC_Adj_TPPFeb2020'!A:A,'Dashboard 2019RSP (Round 0 adj)'!A57,'5_BUSBAR ALLOC_Adj_TPPFeb2020'!I:I)</f>
        <v>0</v>
      </c>
      <c r="E57" s="89">
        <f>INDEX(SelectedPortfolio_2019RSP!N:N,MATCH(A57,SelectedPortfolio_2019RSP!H:H,0))</f>
        <v>0</v>
      </c>
      <c r="F57" s="241">
        <v>0</v>
      </c>
      <c r="G57" s="5"/>
      <c r="H57" s="5" t="s">
        <v>48</v>
      </c>
      <c r="I57" s="5">
        <v>1</v>
      </c>
      <c r="J57" s="5"/>
      <c r="K57" s="5"/>
      <c r="L57" s="11" t="s">
        <v>48</v>
      </c>
      <c r="M57" s="79" t="s">
        <v>48</v>
      </c>
      <c r="N57" s="5">
        <v>1</v>
      </c>
      <c r="O57" s="6"/>
      <c r="P57" s="6"/>
      <c r="Q57" s="24"/>
      <c r="R57" s="5"/>
      <c r="S57" s="429">
        <f t="shared" si="0"/>
        <v>0</v>
      </c>
      <c r="T57" s="477"/>
      <c r="U57" s="4"/>
    </row>
    <row r="58" spans="1:21" ht="15" hidden="1" customHeight="1">
      <c r="A58" s="5" t="s">
        <v>119</v>
      </c>
      <c r="B58" s="4"/>
      <c r="C58" s="4"/>
      <c r="D58" s="89">
        <f>SUMIF('5_BUSBAR ALLOC_Adj_TPPFeb2020'!A:A,'Dashboard 2019RSP (Round 0 adj)'!A58,'5_BUSBAR ALLOC_Adj_TPPFeb2020'!I:I)</f>
        <v>0</v>
      </c>
      <c r="E58" s="89">
        <f>INDEX(SelectedPortfolio_2019RSP!N:N,MATCH(A58,SelectedPortfolio_2019RSP!H:H,0))</f>
        <v>0</v>
      </c>
      <c r="F58" s="241">
        <v>0</v>
      </c>
      <c r="G58" s="5"/>
      <c r="H58" s="5" t="s">
        <v>48</v>
      </c>
      <c r="I58" s="5">
        <v>1</v>
      </c>
      <c r="J58" s="5"/>
      <c r="K58" s="5"/>
      <c r="L58" s="11" t="s">
        <v>48</v>
      </c>
      <c r="M58" s="79" t="s">
        <v>48</v>
      </c>
      <c r="N58" s="5">
        <v>1</v>
      </c>
      <c r="O58" s="6"/>
      <c r="P58" s="6"/>
      <c r="Q58" s="24"/>
      <c r="R58" s="5"/>
      <c r="S58" s="429">
        <f t="shared" si="0"/>
        <v>0</v>
      </c>
      <c r="T58" s="477"/>
      <c r="U58" s="4"/>
    </row>
    <row r="59" spans="1:21" ht="15" hidden="1" customHeight="1">
      <c r="A59" s="5" t="s">
        <v>120</v>
      </c>
      <c r="B59" s="4"/>
      <c r="C59" s="4"/>
      <c r="D59" s="89">
        <f>SUMIF('5_BUSBAR ALLOC_Adj_TPPFeb2020'!A:A,'Dashboard 2019RSP (Round 0 adj)'!A59,'5_BUSBAR ALLOC_Adj_TPPFeb2020'!I:I)</f>
        <v>0</v>
      </c>
      <c r="E59" s="89">
        <f>INDEX(SelectedPortfolio_2019RSP!N:N,MATCH(A59,SelectedPortfolio_2019RSP!H:H,0))</f>
        <v>0</v>
      </c>
      <c r="F59" s="241">
        <v>0</v>
      </c>
      <c r="G59" s="5"/>
      <c r="H59" s="5" t="s">
        <v>48</v>
      </c>
      <c r="I59" s="5">
        <v>1</v>
      </c>
      <c r="J59" s="5"/>
      <c r="K59" s="5"/>
      <c r="L59" s="11" t="s">
        <v>48</v>
      </c>
      <c r="M59" s="79" t="s">
        <v>48</v>
      </c>
      <c r="N59" s="5">
        <v>1</v>
      </c>
      <c r="O59" s="6"/>
      <c r="P59" s="6"/>
      <c r="Q59" s="24"/>
      <c r="R59" s="5"/>
      <c r="S59" s="429">
        <f t="shared" si="0"/>
        <v>0</v>
      </c>
      <c r="T59" s="477"/>
      <c r="U59" s="4"/>
    </row>
    <row r="60" spans="1:21" ht="15" hidden="1" customHeight="1">
      <c r="A60" s="5" t="s">
        <v>121</v>
      </c>
      <c r="B60" s="4"/>
      <c r="C60" s="4"/>
      <c r="D60" s="89">
        <f>SUMIF('5_BUSBAR ALLOC_Adj_TPPFeb2020'!A:A,'Dashboard 2019RSP (Round 0 adj)'!A60,'5_BUSBAR ALLOC_Adj_TPPFeb2020'!I:I)</f>
        <v>0</v>
      </c>
      <c r="E60" s="89">
        <f>INDEX(SelectedPortfolio_2019RSP!N:N,MATCH(A60,SelectedPortfolio_2019RSP!H:H,0))</f>
        <v>0</v>
      </c>
      <c r="F60" s="241">
        <v>0</v>
      </c>
      <c r="G60" s="5"/>
      <c r="H60" s="5" t="s">
        <v>50</v>
      </c>
      <c r="I60" s="5">
        <v>1</v>
      </c>
      <c r="J60" s="5"/>
      <c r="K60" s="5"/>
      <c r="L60" s="11" t="s">
        <v>48</v>
      </c>
      <c r="M60" s="79" t="s">
        <v>48</v>
      </c>
      <c r="N60" s="5">
        <v>1</v>
      </c>
      <c r="O60" s="6"/>
      <c r="P60" s="6"/>
      <c r="Q60" s="24"/>
      <c r="R60" s="5"/>
      <c r="S60" s="429">
        <f t="shared" si="0"/>
        <v>0</v>
      </c>
      <c r="T60" s="477"/>
      <c r="U60" s="4"/>
    </row>
    <row r="61" spans="1:21" ht="15" hidden="1" customHeight="1">
      <c r="A61" s="5" t="s">
        <v>122</v>
      </c>
      <c r="B61" s="4"/>
      <c r="C61" s="4"/>
      <c r="D61" s="89">
        <f>SUMIF('5_BUSBAR ALLOC_Adj_TPPFeb2020'!A:A,'Dashboard 2019RSP (Round 0 adj)'!A61,'5_BUSBAR ALLOC_Adj_TPPFeb2020'!I:I)</f>
        <v>0</v>
      </c>
      <c r="E61" s="89">
        <f>INDEX(SelectedPortfolio_2019RSP!N:N,MATCH(A61,SelectedPortfolio_2019RSP!H:H,0))</f>
        <v>0</v>
      </c>
      <c r="F61" s="241">
        <v>0</v>
      </c>
      <c r="G61" s="5"/>
      <c r="H61" s="5" t="s">
        <v>48</v>
      </c>
      <c r="I61" s="5">
        <v>1</v>
      </c>
      <c r="J61" s="5"/>
      <c r="K61" s="5"/>
      <c r="L61" s="11" t="s">
        <v>48</v>
      </c>
      <c r="M61" s="79" t="s">
        <v>48</v>
      </c>
      <c r="N61" s="5">
        <v>1</v>
      </c>
      <c r="O61" s="6"/>
      <c r="P61" s="6"/>
      <c r="Q61" s="24"/>
      <c r="R61" s="5"/>
      <c r="S61" s="429">
        <f t="shared" si="0"/>
        <v>0</v>
      </c>
      <c r="T61" s="477"/>
      <c r="U61" s="4"/>
    </row>
    <row r="62" spans="1:21" ht="15" hidden="1" customHeight="1">
      <c r="A62" s="5" t="s">
        <v>123</v>
      </c>
      <c r="B62" s="4"/>
      <c r="C62" s="4"/>
      <c r="D62" s="89">
        <f>SUMIF('5_BUSBAR ALLOC_Adj_TPPFeb2020'!A:A,'Dashboard 2019RSP (Round 0 adj)'!A62,'5_BUSBAR ALLOC_Adj_TPPFeb2020'!I:I)</f>
        <v>0</v>
      </c>
      <c r="E62" s="89">
        <f>INDEX(SelectedPortfolio_2019RSP!N:N,MATCH(A62,SelectedPortfolio_2019RSP!H:H,0))</f>
        <v>0</v>
      </c>
      <c r="F62" s="241">
        <v>0</v>
      </c>
      <c r="G62" s="5"/>
      <c r="H62" s="5" t="s">
        <v>48</v>
      </c>
      <c r="I62" s="5">
        <v>1</v>
      </c>
      <c r="J62" s="5"/>
      <c r="K62" s="5"/>
      <c r="L62" s="11" t="s">
        <v>48</v>
      </c>
      <c r="M62" s="79" t="s">
        <v>48</v>
      </c>
      <c r="N62" s="5">
        <v>1</v>
      </c>
      <c r="O62" s="6"/>
      <c r="P62" s="6"/>
      <c r="Q62" s="24"/>
      <c r="R62" s="5"/>
      <c r="S62" s="429">
        <f t="shared" si="0"/>
        <v>0</v>
      </c>
      <c r="T62" s="477"/>
      <c r="U62" s="4"/>
    </row>
    <row r="63" spans="1:21" ht="15" customHeight="1">
      <c r="A63" s="12" t="s">
        <v>124</v>
      </c>
      <c r="B63" s="4"/>
      <c r="C63" s="4"/>
      <c r="D63" s="89">
        <f>SUMIF('5_BUSBAR ALLOC_Adj_TPPFeb2020'!A:A,'Dashboard 2019RSP (Round 0 adj)'!A63,'5_BUSBAR ALLOC_Adj_TPPFeb2020'!I:I)</f>
        <v>428</v>
      </c>
      <c r="E63" s="89">
        <f>INDEX(SelectedPortfolio_2019RSP!N:N,MATCH(A63,SelectedPortfolio_2019RSP!H:H,0))</f>
        <v>2352.08</v>
      </c>
      <c r="F63" s="357">
        <v>2352.08</v>
      </c>
      <c r="G63" s="79"/>
      <c r="H63" s="5" t="s">
        <v>50</v>
      </c>
      <c r="I63" s="249">
        <v>1</v>
      </c>
      <c r="J63" s="79"/>
      <c r="K63" s="79"/>
      <c r="L63" s="11">
        <v>1</v>
      </c>
      <c r="M63" s="79">
        <v>1</v>
      </c>
      <c r="N63" s="249">
        <v>3</v>
      </c>
      <c r="O63" s="80">
        <f>SUM(G63,I63,J63,K63,M63,N63)</f>
        <v>5</v>
      </c>
      <c r="P63" s="275"/>
      <c r="Q63" s="81"/>
      <c r="R63" s="73"/>
      <c r="S63" s="429">
        <f t="shared" si="0"/>
        <v>1</v>
      </c>
      <c r="T63" s="478"/>
      <c r="U63" s="4"/>
    </row>
    <row r="64" spans="1:21" hidden="1">
      <c r="A64" s="5" t="s">
        <v>126</v>
      </c>
      <c r="B64" s="4"/>
      <c r="C64" s="4"/>
      <c r="D64" s="89">
        <f>SUMIF('5_BUSBAR ALLOC_Adj_TPPFeb2020'!A:A,'Dashboard 2019RSP (Round 0 adj)'!A64,'5_BUSBAR ALLOC_Adj_TPPFeb2020'!I:I)</f>
        <v>0</v>
      </c>
      <c r="E64" s="89">
        <f>INDEX(SelectedPortfolio_2019RSP!N:N,MATCH(A64,SelectedPortfolio_2019RSP!H:H,0))</f>
        <v>0</v>
      </c>
      <c r="F64" s="241">
        <v>0</v>
      </c>
      <c r="G64" s="5"/>
      <c r="H64" s="5" t="s">
        <v>50</v>
      </c>
      <c r="I64" s="5">
        <v>1</v>
      </c>
      <c r="J64" s="5"/>
      <c r="K64" s="5"/>
      <c r="L64" s="11" t="s">
        <v>48</v>
      </c>
      <c r="M64" s="79" t="s">
        <v>48</v>
      </c>
      <c r="N64" s="5">
        <v>1</v>
      </c>
      <c r="O64" s="6"/>
      <c r="P64" s="6"/>
      <c r="Q64" s="24"/>
      <c r="R64" s="5"/>
      <c r="S64" s="429">
        <f t="shared" si="0"/>
        <v>0</v>
      </c>
      <c r="T64" s="477"/>
      <c r="U64" s="4"/>
    </row>
    <row r="65" spans="1:21" hidden="1">
      <c r="A65" s="143" t="s">
        <v>127</v>
      </c>
      <c r="B65" s="4"/>
      <c r="C65" s="4"/>
      <c r="D65" s="89">
        <f>SUMIF('5_BUSBAR ALLOC_Adj_TPPFeb2020'!A:A,'Dashboard 2019RSP (Round 0 adj)'!A65,'5_BUSBAR ALLOC_Adj_TPPFeb2020'!I:I)</f>
        <v>0</v>
      </c>
      <c r="E65" s="89">
        <f>INDEX(SelectedPortfolio_2019RSP!N:N,MATCH(A65,SelectedPortfolio_2019RSP!H:H,0))</f>
        <v>0</v>
      </c>
      <c r="F65" s="241">
        <v>0</v>
      </c>
      <c r="G65" s="5"/>
      <c r="H65" s="5" t="s">
        <v>50</v>
      </c>
      <c r="I65" s="5">
        <v>1</v>
      </c>
      <c r="J65" s="5"/>
      <c r="K65" s="5"/>
      <c r="L65" s="11" t="s">
        <v>48</v>
      </c>
      <c r="M65" s="79" t="s">
        <v>48</v>
      </c>
      <c r="N65" s="5">
        <v>1</v>
      </c>
      <c r="O65" s="6"/>
      <c r="P65" s="6"/>
      <c r="Q65" s="24"/>
      <c r="R65" s="5"/>
      <c r="S65" s="429">
        <f t="shared" si="0"/>
        <v>0</v>
      </c>
      <c r="T65" s="477"/>
      <c r="U65" s="4"/>
    </row>
    <row r="66" spans="1:21" ht="15" customHeight="1">
      <c r="A66" s="12" t="s">
        <v>128</v>
      </c>
      <c r="B66" s="4"/>
      <c r="C66" s="4"/>
      <c r="D66" s="89">
        <f>SUMIF('5_BUSBAR ALLOC_Adj_TPPFeb2020'!A:A,'Dashboard 2019RSP (Round 0 adj)'!A66,'5_BUSBAR ALLOC_Adj_TPPFeb2020'!I:I)</f>
        <v>0</v>
      </c>
      <c r="E66" s="89">
        <f>INDEX(SelectedPortfolio_2019RSP!N:N,MATCH(A66,SelectedPortfolio_2019RSP!H:H,0))</f>
        <v>600</v>
      </c>
      <c r="F66" s="357">
        <v>600</v>
      </c>
      <c r="G66" s="250"/>
      <c r="H66" s="5" t="s">
        <v>50</v>
      </c>
      <c r="I66" s="249">
        <v>1</v>
      </c>
      <c r="J66" s="250"/>
      <c r="K66" s="250"/>
      <c r="L66" s="11">
        <v>1</v>
      </c>
      <c r="M66" s="79">
        <v>1</v>
      </c>
      <c r="N66" s="249">
        <v>2</v>
      </c>
      <c r="O66" s="21">
        <f>SUM(G66,I66,J66,K66,M66,N66)</f>
        <v>4</v>
      </c>
      <c r="P66" s="275"/>
      <c r="Q66" s="244"/>
      <c r="R66" s="73"/>
      <c r="S66" s="429">
        <f t="shared" si="0"/>
        <v>1</v>
      </c>
      <c r="T66" s="477"/>
      <c r="U66" s="4"/>
    </row>
    <row r="67" spans="1:21" ht="15" hidden="1" customHeight="1">
      <c r="A67" s="5" t="s">
        <v>130</v>
      </c>
      <c r="B67" s="4"/>
      <c r="C67" s="4"/>
      <c r="D67" s="89">
        <f>SUMIF('5_BUSBAR ALLOC_Adj_TPPFeb2020'!A:A,'Dashboard 2019RSP (Round 0 adj)'!A67,'5_BUSBAR ALLOC_Adj_TPPFeb2020'!I:I)</f>
        <v>0</v>
      </c>
      <c r="E67" s="89">
        <f>INDEX(SelectedPortfolio_2019RSP!N:N,MATCH(A67,SelectedPortfolio_2019RSP!H:H,0))</f>
        <v>0</v>
      </c>
      <c r="F67" s="241">
        <v>0</v>
      </c>
      <c r="G67" s="5"/>
      <c r="H67" s="5" t="s">
        <v>50</v>
      </c>
      <c r="I67" s="5">
        <v>1</v>
      </c>
      <c r="J67" s="5"/>
      <c r="K67" s="5"/>
      <c r="L67" s="11" t="s">
        <v>48</v>
      </c>
      <c r="M67" s="79" t="s">
        <v>48</v>
      </c>
      <c r="N67" s="5">
        <v>1</v>
      </c>
      <c r="O67" s="6"/>
      <c r="P67" s="6"/>
      <c r="Q67" s="24"/>
      <c r="R67" s="5"/>
      <c r="S67" s="429">
        <f t="shared" si="0"/>
        <v>0</v>
      </c>
      <c r="T67" s="477"/>
      <c r="U67" s="4"/>
    </row>
    <row r="68" spans="1:21" ht="15" hidden="1" customHeight="1">
      <c r="A68" s="5" t="s">
        <v>131</v>
      </c>
      <c r="B68" s="4"/>
      <c r="C68" s="4"/>
      <c r="D68" s="89">
        <f>SUMIF('5_BUSBAR ALLOC_Adj_TPPFeb2020'!A:A,'Dashboard 2019RSP (Round 0 adj)'!A68,'5_BUSBAR ALLOC_Adj_TPPFeb2020'!I:I)</f>
        <v>0</v>
      </c>
      <c r="E68" s="89">
        <f>INDEX(SelectedPortfolio_2019RSP!N:N,MATCH(A68,SelectedPortfolio_2019RSP!H:H,0))</f>
        <v>0</v>
      </c>
      <c r="F68" s="241">
        <v>0</v>
      </c>
      <c r="G68" s="5"/>
      <c r="H68" s="5" t="s">
        <v>48</v>
      </c>
      <c r="I68" s="5">
        <v>1</v>
      </c>
      <c r="J68" s="5"/>
      <c r="K68" s="5"/>
      <c r="L68" s="11" t="s">
        <v>48</v>
      </c>
      <c r="M68" s="79" t="s">
        <v>48</v>
      </c>
      <c r="N68" s="5">
        <v>1</v>
      </c>
      <c r="O68" s="6"/>
      <c r="P68" s="6"/>
      <c r="Q68" s="24"/>
      <c r="R68" s="5"/>
      <c r="S68" s="429">
        <f t="shared" si="0"/>
        <v>0</v>
      </c>
      <c r="T68" s="477"/>
      <c r="U68" s="4"/>
    </row>
    <row r="69" spans="1:21" ht="15" hidden="1" customHeight="1">
      <c r="A69" s="5" t="s">
        <v>132</v>
      </c>
      <c r="B69" s="4"/>
      <c r="C69" s="4"/>
      <c r="D69" s="89">
        <f>SUMIF('5_BUSBAR ALLOC_Adj_TPPFeb2020'!A:A,'Dashboard 2019RSP (Round 0 adj)'!A69,'5_BUSBAR ALLOC_Adj_TPPFeb2020'!I:I)</f>
        <v>0</v>
      </c>
      <c r="E69" s="89">
        <f>INDEX(SelectedPortfolio_2019RSP!N:N,MATCH(A69,SelectedPortfolio_2019RSP!H:H,0))</f>
        <v>0</v>
      </c>
      <c r="F69" s="241">
        <v>0</v>
      </c>
      <c r="G69" s="5"/>
      <c r="H69" s="5" t="s">
        <v>48</v>
      </c>
      <c r="I69" s="5">
        <v>1</v>
      </c>
      <c r="J69" s="5"/>
      <c r="K69" s="5"/>
      <c r="L69" s="11" t="s">
        <v>48</v>
      </c>
      <c r="M69" s="79" t="s">
        <v>48</v>
      </c>
      <c r="N69" s="5">
        <v>1</v>
      </c>
      <c r="O69" s="6"/>
      <c r="P69" s="6"/>
      <c r="Q69" s="24"/>
      <c r="R69" s="5"/>
      <c r="S69" s="429">
        <f t="shared" si="0"/>
        <v>0</v>
      </c>
      <c r="T69" s="477"/>
      <c r="U69" s="4"/>
    </row>
    <row r="70" spans="1:21" ht="15" hidden="1" customHeight="1">
      <c r="A70" s="5" t="s">
        <v>133</v>
      </c>
      <c r="B70" s="4"/>
      <c r="C70" s="4"/>
      <c r="D70" s="89">
        <f>SUMIF('5_BUSBAR ALLOC_Adj_TPPFeb2020'!A:A,'Dashboard 2019RSP (Round 0 adj)'!A70,'5_BUSBAR ALLOC_Adj_TPPFeb2020'!I:I)</f>
        <v>0</v>
      </c>
      <c r="E70" s="89">
        <f>INDEX(SelectedPortfolio_2019RSP!N:N,MATCH(A70,SelectedPortfolio_2019RSP!H:H,0))</f>
        <v>0</v>
      </c>
      <c r="F70" s="241">
        <v>0</v>
      </c>
      <c r="G70" s="5"/>
      <c r="H70" s="5" t="s">
        <v>50</v>
      </c>
      <c r="I70" s="5">
        <v>1</v>
      </c>
      <c r="J70" s="5"/>
      <c r="K70" s="5"/>
      <c r="L70" s="11" t="s">
        <v>48</v>
      </c>
      <c r="M70" s="79" t="s">
        <v>48</v>
      </c>
      <c r="N70" s="5">
        <v>1</v>
      </c>
      <c r="O70" s="6"/>
      <c r="P70" s="6"/>
      <c r="Q70" s="24"/>
      <c r="R70" s="5"/>
      <c r="S70" s="429">
        <f t="shared" si="0"/>
        <v>0</v>
      </c>
      <c r="T70" s="477"/>
      <c r="U70" s="4"/>
    </row>
    <row r="71" spans="1:21" ht="15" hidden="1" customHeight="1">
      <c r="A71" s="5" t="s">
        <v>134</v>
      </c>
      <c r="B71" s="4"/>
      <c r="C71" s="4"/>
      <c r="D71" s="89">
        <f>SUMIF('5_BUSBAR ALLOC_Adj_TPPFeb2020'!A:A,'Dashboard 2019RSP (Round 0 adj)'!A71,'5_BUSBAR ALLOC_Adj_TPPFeb2020'!I:I)</f>
        <v>0</v>
      </c>
      <c r="E71" s="89">
        <f>INDEX(SelectedPortfolio_2019RSP!N:N,MATCH(A71,SelectedPortfolio_2019RSP!H:H,0))</f>
        <v>0</v>
      </c>
      <c r="F71" s="241">
        <v>0</v>
      </c>
      <c r="G71" s="5"/>
      <c r="H71" s="5" t="s">
        <v>50</v>
      </c>
      <c r="I71" s="5">
        <v>1</v>
      </c>
      <c r="J71" s="5"/>
      <c r="K71" s="5"/>
      <c r="L71" s="11" t="s">
        <v>48</v>
      </c>
      <c r="M71" s="79" t="s">
        <v>48</v>
      </c>
      <c r="N71" s="5">
        <v>1</v>
      </c>
      <c r="O71" s="6"/>
      <c r="P71" s="6"/>
      <c r="Q71" s="24"/>
      <c r="R71" s="5"/>
      <c r="S71" s="429">
        <f t="shared" si="0"/>
        <v>0</v>
      </c>
      <c r="T71" s="477"/>
      <c r="U71" s="4"/>
    </row>
    <row r="72" spans="1:21" ht="15" customHeight="1">
      <c r="A72" s="12" t="s">
        <v>135</v>
      </c>
      <c r="B72" s="4"/>
      <c r="C72" s="4"/>
      <c r="D72" s="89">
        <f>SUMIF('5_BUSBAR ALLOC_Adj_TPPFeb2020'!A:A,'Dashboard 2019RSP (Round 0 adj)'!A72,'5_BUSBAR ALLOC_Adj_TPPFeb2020'!I:I)</f>
        <v>0</v>
      </c>
      <c r="E72" s="89">
        <f>INDEX(SelectedPortfolio_2019RSP!N:N,MATCH(A72,SelectedPortfolio_2019RSP!H:H,0))</f>
        <v>606.16999999999996</v>
      </c>
      <c r="F72" s="357">
        <v>606.16999999999996</v>
      </c>
      <c r="G72" s="249"/>
      <c r="H72" s="5" t="s">
        <v>50</v>
      </c>
      <c r="I72" s="249">
        <v>1</v>
      </c>
      <c r="J72" s="249"/>
      <c r="K72" s="249"/>
      <c r="L72" s="11">
        <v>1</v>
      </c>
      <c r="M72" s="79">
        <v>1</v>
      </c>
      <c r="N72" s="249">
        <v>2</v>
      </c>
      <c r="O72" s="6"/>
      <c r="P72" s="6"/>
      <c r="Q72" s="245"/>
      <c r="R72" s="73" t="s">
        <v>136</v>
      </c>
      <c r="S72" s="429">
        <f t="shared" ref="S72" si="1">IF(OR(D72&gt;0,E72&gt;0),1,0)</f>
        <v>1</v>
      </c>
      <c r="T72" s="478"/>
      <c r="U72" s="4"/>
    </row>
    <row r="73" spans="1:21" ht="15" customHeight="1">
      <c r="A73" s="343" t="s">
        <v>137</v>
      </c>
      <c r="B73" s="83"/>
      <c r="C73" s="83"/>
      <c r="D73" s="90">
        <f>SUM(D7:D72)</f>
        <v>9011</v>
      </c>
      <c r="E73" s="90">
        <f>SUM(E7:E72)</f>
        <v>14460.489999999998</v>
      </c>
      <c r="F73" s="242">
        <v>14459.490000000002</v>
      </c>
      <c r="G73" s="85"/>
      <c r="H73" s="85"/>
      <c r="I73" s="85"/>
      <c r="J73" s="85"/>
      <c r="K73" s="85"/>
      <c r="L73" s="86"/>
      <c r="M73" s="85"/>
      <c r="N73" s="85"/>
      <c r="O73" s="84"/>
      <c r="P73" s="86"/>
      <c r="Q73" s="94"/>
      <c r="R73" s="101"/>
      <c r="S73" s="429">
        <v>1</v>
      </c>
      <c r="U73" s="4"/>
    </row>
    <row r="74" spans="1:21">
      <c r="A74" s="344" t="s">
        <v>138</v>
      </c>
      <c r="B74" s="87"/>
      <c r="C74" s="87"/>
      <c r="D74" s="430">
        <f>D73</f>
        <v>9011</v>
      </c>
      <c r="E74" s="481">
        <f>E73</f>
        <v>14460.489999999998</v>
      </c>
      <c r="F74" s="482">
        <f>F73</f>
        <v>14459.490000000002</v>
      </c>
      <c r="G74" s="88"/>
      <c r="H74" s="88"/>
      <c r="I74" s="88"/>
      <c r="J74" s="88"/>
      <c r="K74" s="88"/>
      <c r="L74" s="87"/>
      <c r="M74" s="88"/>
      <c r="N74" s="88"/>
      <c r="O74" s="88"/>
      <c r="P74" s="87"/>
      <c r="Q74" s="96"/>
      <c r="R74" s="102"/>
      <c r="S74" s="429">
        <v>1</v>
      </c>
      <c r="T74" s="478"/>
      <c r="U74" s="429"/>
    </row>
    <row r="75" spans="1:21">
      <c r="A75" s="429"/>
      <c r="B75" s="429"/>
      <c r="C75" s="429"/>
      <c r="D75" s="429"/>
      <c r="E75" s="429"/>
      <c r="G75" s="429"/>
      <c r="H75" s="429"/>
      <c r="I75" s="429"/>
      <c r="J75" s="429"/>
      <c r="K75" s="429"/>
      <c r="L75" s="429"/>
      <c r="M75" s="429"/>
      <c r="N75" s="429"/>
      <c r="P75" s="429"/>
      <c r="Q75" s="429"/>
      <c r="R75" s="464"/>
      <c r="S75" s="429"/>
      <c r="T75" s="478"/>
      <c r="U75" s="429"/>
    </row>
    <row r="76" spans="1:21">
      <c r="A76" s="429"/>
      <c r="B76" s="429"/>
      <c r="C76" s="429"/>
      <c r="D76" s="429"/>
      <c r="E76" s="429"/>
      <c r="G76" s="429"/>
      <c r="H76" s="429"/>
      <c r="I76" s="429"/>
      <c r="J76" s="429"/>
      <c r="K76" s="429"/>
      <c r="L76" s="429"/>
      <c r="M76" s="429"/>
      <c r="N76" s="429"/>
      <c r="P76" s="429"/>
      <c r="Q76" s="429"/>
      <c r="R76" s="464"/>
      <c r="S76" s="429"/>
      <c r="U76" s="429"/>
    </row>
    <row r="77" spans="1:21">
      <c r="A77" s="429"/>
      <c r="B77" s="429"/>
      <c r="C77" s="429"/>
      <c r="D77" s="429"/>
      <c r="E77" s="429"/>
      <c r="G77" s="429"/>
      <c r="H77" s="429"/>
      <c r="I77" s="429"/>
      <c r="J77" s="429"/>
      <c r="K77" s="429"/>
      <c r="L77" s="429"/>
      <c r="M77" s="429"/>
      <c r="N77" s="429"/>
      <c r="P77" s="429"/>
      <c r="Q77" s="429"/>
      <c r="R77" s="464"/>
      <c r="S77" s="429"/>
      <c r="U77" s="429"/>
    </row>
  </sheetData>
  <autoFilter ref="A6:S74" xr:uid="{00000000-0009-0000-0000-000001000000}">
    <filterColumn colId="18">
      <filters>
        <filter val="1"/>
      </filters>
    </filterColumn>
  </autoFilter>
  <mergeCells count="3">
    <mergeCell ref="A4:A5"/>
    <mergeCell ref="G4:N4"/>
    <mergeCell ref="G5:N5"/>
  </mergeCells>
  <conditionalFormatting sqref="M73">
    <cfRule type="colorScale" priority="49">
      <colorScale>
        <cfvo type="min"/>
        <cfvo type="percentile" val="50"/>
        <cfvo type="max"/>
        <color rgb="FF63BE7B"/>
        <color rgb="FFFFEB84"/>
        <color rgb="FFF8696B"/>
      </colorScale>
    </cfRule>
  </conditionalFormatting>
  <conditionalFormatting sqref="M73">
    <cfRule type="colorScale" priority="50">
      <colorScale>
        <cfvo type="min"/>
        <cfvo type="percentile" val="50"/>
        <cfvo type="max"/>
        <color rgb="FF63BE7B"/>
        <color rgb="FFFFEB84"/>
        <color rgb="FFF8696B"/>
      </colorScale>
    </cfRule>
  </conditionalFormatting>
  <conditionalFormatting sqref="J8:J14 J75 J16 J18:J29 J31:J73">
    <cfRule type="colorScale" priority="51">
      <colorScale>
        <cfvo type="min"/>
        <cfvo type="percentile" val="50"/>
        <cfvo type="max"/>
        <color rgb="FFF8696B"/>
        <color rgb="FFFFEB84"/>
        <color rgb="FF63BE7B"/>
      </colorScale>
    </cfRule>
  </conditionalFormatting>
  <conditionalFormatting sqref="J74">
    <cfRule type="colorScale" priority="48">
      <colorScale>
        <cfvo type="min"/>
        <cfvo type="percentile" val="50"/>
        <cfvo type="max"/>
        <color rgb="FFF8696B"/>
        <color rgb="FFFFEB84"/>
        <color rgb="FF63BE7B"/>
      </colorScale>
    </cfRule>
  </conditionalFormatting>
  <conditionalFormatting sqref="N7:N73">
    <cfRule type="colorScale" priority="52">
      <colorScale>
        <cfvo type="min"/>
        <cfvo type="percentile" val="50"/>
        <cfvo type="max"/>
        <color rgb="FF63BE7B"/>
        <color rgb="FFFFEB84"/>
        <color rgb="FFF8696B"/>
      </colorScale>
    </cfRule>
  </conditionalFormatting>
  <conditionalFormatting sqref="G18:G29 G16 G31:G66 J31:K66 J18:K29 J16:K16 G8:G14 J9:K14 I9:I72 I8:K8 N7:N72">
    <cfRule type="colorScale" priority="53">
      <colorScale>
        <cfvo type="min"/>
        <cfvo type="percentile" val="50"/>
        <cfvo type="max"/>
        <color rgb="FF63BE7B"/>
        <color rgb="FFFFEB84"/>
        <color rgb="FFF8696B"/>
      </colorScale>
    </cfRule>
  </conditionalFormatting>
  <conditionalFormatting sqref="N7:N72">
    <cfRule type="colorScale" priority="54">
      <colorScale>
        <cfvo type="min"/>
        <cfvo type="percentile" val="50"/>
        <cfvo type="max"/>
        <color rgb="FF63BE7B"/>
        <color rgb="FFFFEB84"/>
        <color rgb="FFF8696B"/>
      </colorScale>
    </cfRule>
  </conditionalFormatting>
  <conditionalFormatting sqref="J8:J14 J16 J18:J29 J31:J66">
    <cfRule type="colorScale" priority="55">
      <colorScale>
        <cfvo type="min"/>
        <cfvo type="percentile" val="50"/>
        <cfvo type="max"/>
        <color rgb="FF63BE7B"/>
        <color rgb="FFFFEB84"/>
        <color rgb="FFF8696B"/>
      </colorScale>
    </cfRule>
  </conditionalFormatting>
  <conditionalFormatting sqref="O8:P66">
    <cfRule type="colorScale" priority="56">
      <colorScale>
        <cfvo type="min"/>
        <cfvo type="percentile" val="50"/>
        <cfvo type="max"/>
        <color rgb="FF63BE7B"/>
        <color rgb="FFFFEB84"/>
        <color rgb="FFF8696B"/>
      </colorScale>
    </cfRule>
  </conditionalFormatting>
  <conditionalFormatting sqref="G18:G29 G16 G31:G66 J31:K66 J18:K29 J16:K16 G8:G14 J9:K14 I9:I72 I8:K8">
    <cfRule type="colorScale" priority="57">
      <colorScale>
        <cfvo type="min"/>
        <cfvo type="percentile" val="50"/>
        <cfvo type="max"/>
        <color rgb="FF63BE7B"/>
        <color rgb="FFFFEB84"/>
        <color rgb="FFF8696B"/>
      </colorScale>
    </cfRule>
  </conditionalFormatting>
  <conditionalFormatting sqref="G18:G29 G16 G73:H73 G31:G72">
    <cfRule type="colorScale" priority="58">
      <colorScale>
        <cfvo type="min"/>
        <cfvo type="percentile" val="50"/>
        <cfvo type="max"/>
        <color rgb="FF63BE7B"/>
        <color rgb="FFFFEB84"/>
        <color rgb="FFF8696B"/>
      </colorScale>
    </cfRule>
  </conditionalFormatting>
  <conditionalFormatting sqref="G7:H7 G16 G18:G29 G73:H73 G31:G72 G8:G14 H8:H72">
    <cfRule type="colorScale" priority="59">
      <colorScale>
        <cfvo type="min"/>
        <cfvo type="percentile" val="50"/>
        <cfvo type="max"/>
        <color rgb="FF63BE7B"/>
        <color rgb="FFFFEB84"/>
        <color rgb="FFF8696B"/>
      </colorScale>
    </cfRule>
  </conditionalFormatting>
  <conditionalFormatting sqref="I73">
    <cfRule type="colorScale" priority="60">
      <colorScale>
        <cfvo type="min"/>
        <cfvo type="percentile" val="50"/>
        <cfvo type="max"/>
        <color rgb="FF63BE7B"/>
        <color rgb="FFFFEB84"/>
        <color rgb="FFF8696B"/>
      </colorScale>
    </cfRule>
  </conditionalFormatting>
  <conditionalFormatting sqref="I7:I73">
    <cfRule type="colorScale" priority="61">
      <colorScale>
        <cfvo type="min"/>
        <cfvo type="percentile" val="50"/>
        <cfvo type="max"/>
        <color rgb="FF63BE7B"/>
        <color rgb="FFFFEB84"/>
        <color rgb="FFF8696B"/>
      </colorScale>
    </cfRule>
  </conditionalFormatting>
  <conditionalFormatting sqref="J18:J29 J16 J31:J73">
    <cfRule type="colorScale" priority="62">
      <colorScale>
        <cfvo type="min"/>
        <cfvo type="percentile" val="50"/>
        <cfvo type="max"/>
        <color rgb="FF63BE7B"/>
        <color rgb="FFFFEB84"/>
        <color rgb="FFF8696B"/>
      </colorScale>
    </cfRule>
  </conditionalFormatting>
  <conditionalFormatting sqref="J7:J14 J16 J18:J29 J31:J73">
    <cfRule type="colorScale" priority="63">
      <colorScale>
        <cfvo type="min"/>
        <cfvo type="percentile" val="50"/>
        <cfvo type="max"/>
        <color rgb="FF63BE7B"/>
        <color rgb="FFFFEB84"/>
        <color rgb="FFF8696B"/>
      </colorScale>
    </cfRule>
  </conditionalFormatting>
  <conditionalFormatting sqref="K18:K29 K16 K31:K73">
    <cfRule type="colorScale" priority="64">
      <colorScale>
        <cfvo type="min"/>
        <cfvo type="percentile" val="50"/>
        <cfvo type="max"/>
        <color rgb="FF63BE7B"/>
        <color rgb="FFFFEB84"/>
        <color rgb="FFF8696B"/>
      </colorScale>
    </cfRule>
  </conditionalFormatting>
  <conditionalFormatting sqref="K7:K14 K16 K18:K29 K31:K73">
    <cfRule type="colorScale" priority="65">
      <colorScale>
        <cfvo type="min"/>
        <cfvo type="percentile" val="50"/>
        <cfvo type="max"/>
        <color rgb="FF63BE7B"/>
        <color rgb="FFFFEB84"/>
        <color rgb="FFF8696B"/>
      </colorScale>
    </cfRule>
  </conditionalFormatting>
  <conditionalFormatting sqref="N7:N72">
    <cfRule type="colorScale" priority="66">
      <colorScale>
        <cfvo type="min"/>
        <cfvo type="percentile" val="50"/>
        <cfvo type="max"/>
        <color rgb="FFF8696B"/>
        <color rgb="FFFFEB84"/>
        <color rgb="FF63BE7B"/>
      </colorScale>
    </cfRule>
  </conditionalFormatting>
  <conditionalFormatting sqref="M7:M14 M16 M18:M29 M31:M72">
    <cfRule type="colorScale" priority="67">
      <colorScale>
        <cfvo type="min"/>
        <cfvo type="percentile" val="50"/>
        <cfvo type="max"/>
        <color rgb="FF63BE7B"/>
        <color rgb="FFFFEB84"/>
        <color rgb="FFF8696B"/>
      </colorScale>
    </cfRule>
  </conditionalFormatting>
  <conditionalFormatting sqref="M7:M14 M16 G16 G18:G29 M18:M29 G31:G52 M31:M72 G8:G14 I8:I72">
    <cfRule type="colorScale" priority="68">
      <colorScale>
        <cfvo type="min"/>
        <cfvo type="percentile" val="50"/>
        <cfvo type="max"/>
        <color rgb="FF63BE7B"/>
        <color rgb="FFFFEB84"/>
        <color rgb="FFF8696B"/>
      </colorScale>
    </cfRule>
  </conditionalFormatting>
  <conditionalFormatting sqref="J15">
    <cfRule type="colorScale" priority="36">
      <colorScale>
        <cfvo type="min"/>
        <cfvo type="percentile" val="50"/>
        <cfvo type="max"/>
        <color rgb="FFF8696B"/>
        <color rgb="FFFFEB84"/>
        <color rgb="FF63BE7B"/>
      </colorScale>
    </cfRule>
  </conditionalFormatting>
  <conditionalFormatting sqref="J15:K15 G15">
    <cfRule type="colorScale" priority="38">
      <colorScale>
        <cfvo type="min"/>
        <cfvo type="percentile" val="50"/>
        <cfvo type="max"/>
        <color rgb="FF63BE7B"/>
        <color rgb="FFFFEB84"/>
        <color rgb="FFF8696B"/>
      </colorScale>
    </cfRule>
  </conditionalFormatting>
  <conditionalFormatting sqref="J15">
    <cfRule type="colorScale" priority="40">
      <colorScale>
        <cfvo type="min"/>
        <cfvo type="percentile" val="50"/>
        <cfvo type="max"/>
        <color rgb="FF63BE7B"/>
        <color rgb="FFFFEB84"/>
        <color rgb="FFF8696B"/>
      </colorScale>
    </cfRule>
  </conditionalFormatting>
  <conditionalFormatting sqref="J15:K15 G15">
    <cfRule type="colorScale" priority="41">
      <colorScale>
        <cfvo type="min"/>
        <cfvo type="percentile" val="50"/>
        <cfvo type="max"/>
        <color rgb="FF63BE7B"/>
        <color rgb="FFFFEB84"/>
        <color rgb="FFF8696B"/>
      </colorScale>
    </cfRule>
  </conditionalFormatting>
  <conditionalFormatting sqref="G15">
    <cfRule type="colorScale" priority="42">
      <colorScale>
        <cfvo type="min"/>
        <cfvo type="percentile" val="50"/>
        <cfvo type="max"/>
        <color rgb="FF63BE7B"/>
        <color rgb="FFFFEB84"/>
        <color rgb="FFF8696B"/>
      </colorScale>
    </cfRule>
  </conditionalFormatting>
  <conditionalFormatting sqref="J15">
    <cfRule type="colorScale" priority="43">
      <colorScale>
        <cfvo type="min"/>
        <cfvo type="percentile" val="50"/>
        <cfvo type="max"/>
        <color rgb="FF63BE7B"/>
        <color rgb="FFFFEB84"/>
        <color rgb="FFF8696B"/>
      </colorScale>
    </cfRule>
  </conditionalFormatting>
  <conditionalFormatting sqref="K15">
    <cfRule type="colorScale" priority="44">
      <colorScale>
        <cfvo type="min"/>
        <cfvo type="percentile" val="50"/>
        <cfvo type="max"/>
        <color rgb="FF63BE7B"/>
        <color rgb="FFFFEB84"/>
        <color rgb="FFF8696B"/>
      </colorScale>
    </cfRule>
  </conditionalFormatting>
  <conditionalFormatting sqref="M15">
    <cfRule type="colorScale" priority="46">
      <colorScale>
        <cfvo type="min"/>
        <cfvo type="percentile" val="50"/>
        <cfvo type="max"/>
        <color rgb="FF63BE7B"/>
        <color rgb="FFFFEB84"/>
        <color rgb="FFF8696B"/>
      </colorScale>
    </cfRule>
  </conditionalFormatting>
  <conditionalFormatting sqref="G15 M15">
    <cfRule type="colorScale" priority="47">
      <colorScale>
        <cfvo type="min"/>
        <cfvo type="percentile" val="50"/>
        <cfvo type="max"/>
        <color rgb="FF63BE7B"/>
        <color rgb="FFFFEB84"/>
        <color rgb="FFF8696B"/>
      </colorScale>
    </cfRule>
  </conditionalFormatting>
  <conditionalFormatting sqref="J17">
    <cfRule type="colorScale" priority="21">
      <colorScale>
        <cfvo type="min"/>
        <cfvo type="percentile" val="50"/>
        <cfvo type="max"/>
        <color rgb="FFF8696B"/>
        <color rgb="FFFFEB84"/>
        <color rgb="FF63BE7B"/>
      </colorScale>
    </cfRule>
  </conditionalFormatting>
  <conditionalFormatting sqref="J17:K17 G17">
    <cfRule type="colorScale" priority="23">
      <colorScale>
        <cfvo type="min"/>
        <cfvo type="percentile" val="50"/>
        <cfvo type="max"/>
        <color rgb="FF63BE7B"/>
        <color rgb="FFFFEB84"/>
        <color rgb="FFF8696B"/>
      </colorScale>
    </cfRule>
  </conditionalFormatting>
  <conditionalFormatting sqref="J17">
    <cfRule type="colorScale" priority="25">
      <colorScale>
        <cfvo type="min"/>
        <cfvo type="percentile" val="50"/>
        <cfvo type="max"/>
        <color rgb="FF63BE7B"/>
        <color rgb="FFFFEB84"/>
        <color rgb="FFF8696B"/>
      </colorScale>
    </cfRule>
  </conditionalFormatting>
  <conditionalFormatting sqref="J17:K17 G17">
    <cfRule type="colorScale" priority="26">
      <colorScale>
        <cfvo type="min"/>
        <cfvo type="percentile" val="50"/>
        <cfvo type="max"/>
        <color rgb="FF63BE7B"/>
        <color rgb="FFFFEB84"/>
        <color rgb="FFF8696B"/>
      </colorScale>
    </cfRule>
  </conditionalFormatting>
  <conditionalFormatting sqref="G17">
    <cfRule type="colorScale" priority="27">
      <colorScale>
        <cfvo type="min"/>
        <cfvo type="percentile" val="50"/>
        <cfvo type="max"/>
        <color rgb="FF63BE7B"/>
        <color rgb="FFFFEB84"/>
        <color rgb="FFF8696B"/>
      </colorScale>
    </cfRule>
  </conditionalFormatting>
  <conditionalFormatting sqref="G17">
    <cfRule type="colorScale" priority="28">
      <colorScale>
        <cfvo type="min"/>
        <cfvo type="percentile" val="50"/>
        <cfvo type="max"/>
        <color rgb="FF63BE7B"/>
        <color rgb="FFFFEB84"/>
        <color rgb="FFF8696B"/>
      </colorScale>
    </cfRule>
  </conditionalFormatting>
  <conditionalFormatting sqref="J17">
    <cfRule type="colorScale" priority="29">
      <colorScale>
        <cfvo type="min"/>
        <cfvo type="percentile" val="50"/>
        <cfvo type="max"/>
        <color rgb="FF63BE7B"/>
        <color rgb="FFFFEB84"/>
        <color rgb="FFF8696B"/>
      </colorScale>
    </cfRule>
  </conditionalFormatting>
  <conditionalFormatting sqref="J17">
    <cfRule type="colorScale" priority="30">
      <colorScale>
        <cfvo type="min"/>
        <cfvo type="percentile" val="50"/>
        <cfvo type="max"/>
        <color rgb="FF63BE7B"/>
        <color rgb="FFFFEB84"/>
        <color rgb="FFF8696B"/>
      </colorScale>
    </cfRule>
  </conditionalFormatting>
  <conditionalFormatting sqref="K17">
    <cfRule type="colorScale" priority="31">
      <colorScale>
        <cfvo type="min"/>
        <cfvo type="percentile" val="50"/>
        <cfvo type="max"/>
        <color rgb="FF63BE7B"/>
        <color rgb="FFFFEB84"/>
        <color rgb="FFF8696B"/>
      </colorScale>
    </cfRule>
  </conditionalFormatting>
  <conditionalFormatting sqref="K17">
    <cfRule type="colorScale" priority="32">
      <colorScale>
        <cfvo type="min"/>
        <cfvo type="percentile" val="50"/>
        <cfvo type="max"/>
        <color rgb="FF63BE7B"/>
        <color rgb="FFFFEB84"/>
        <color rgb="FFF8696B"/>
      </colorScale>
    </cfRule>
  </conditionalFormatting>
  <conditionalFormatting sqref="M17">
    <cfRule type="colorScale" priority="34">
      <colorScale>
        <cfvo type="min"/>
        <cfvo type="percentile" val="50"/>
        <cfvo type="max"/>
        <color rgb="FF63BE7B"/>
        <color rgb="FFFFEB84"/>
        <color rgb="FFF8696B"/>
      </colorScale>
    </cfRule>
  </conditionalFormatting>
  <conditionalFormatting sqref="M17 G17">
    <cfRule type="colorScale" priority="35">
      <colorScale>
        <cfvo type="min"/>
        <cfvo type="percentile" val="50"/>
        <cfvo type="max"/>
        <color rgb="FF63BE7B"/>
        <color rgb="FFFFEB84"/>
        <color rgb="FFF8696B"/>
      </colorScale>
    </cfRule>
  </conditionalFormatting>
  <conditionalFormatting sqref="J30">
    <cfRule type="colorScale" priority="9">
      <colorScale>
        <cfvo type="min"/>
        <cfvo type="percentile" val="50"/>
        <cfvo type="max"/>
        <color rgb="FFF8696B"/>
        <color rgb="FFFFEB84"/>
        <color rgb="FF63BE7B"/>
      </colorScale>
    </cfRule>
  </conditionalFormatting>
  <conditionalFormatting sqref="J30:K30 G30">
    <cfRule type="colorScale" priority="10">
      <colorScale>
        <cfvo type="min"/>
        <cfvo type="percentile" val="50"/>
        <cfvo type="max"/>
        <color rgb="FF63BE7B"/>
        <color rgb="FFFFEB84"/>
        <color rgb="FFF8696B"/>
      </colorScale>
    </cfRule>
  </conditionalFormatting>
  <conditionalFormatting sqref="J30">
    <cfRule type="colorScale" priority="11">
      <colorScale>
        <cfvo type="min"/>
        <cfvo type="percentile" val="50"/>
        <cfvo type="max"/>
        <color rgb="FF63BE7B"/>
        <color rgb="FFFFEB84"/>
        <color rgb="FFF8696B"/>
      </colorScale>
    </cfRule>
  </conditionalFormatting>
  <conditionalFormatting sqref="J30:K30">
    <cfRule type="colorScale" priority="12">
      <colorScale>
        <cfvo type="min"/>
        <cfvo type="percentile" val="50"/>
        <cfvo type="max"/>
        <color rgb="FF63BE7B"/>
        <color rgb="FFFFEB84"/>
        <color rgb="FFF8696B"/>
      </colorScale>
    </cfRule>
  </conditionalFormatting>
  <conditionalFormatting sqref="G30">
    <cfRule type="colorScale" priority="13">
      <colorScale>
        <cfvo type="min"/>
        <cfvo type="percentile" val="50"/>
        <cfvo type="max"/>
        <color rgb="FF63BE7B"/>
        <color rgb="FFFFEB84"/>
        <color rgb="FFF8696B"/>
      </colorScale>
    </cfRule>
  </conditionalFormatting>
  <conditionalFormatting sqref="G30">
    <cfRule type="colorScale" priority="14">
      <colorScale>
        <cfvo type="min"/>
        <cfvo type="percentile" val="50"/>
        <cfvo type="max"/>
        <color rgb="FF63BE7B"/>
        <color rgb="FFFFEB84"/>
        <color rgb="FFF8696B"/>
      </colorScale>
    </cfRule>
  </conditionalFormatting>
  <conditionalFormatting sqref="J30">
    <cfRule type="colorScale" priority="15">
      <colorScale>
        <cfvo type="min"/>
        <cfvo type="percentile" val="50"/>
        <cfvo type="max"/>
        <color rgb="FF63BE7B"/>
        <color rgb="FFFFEB84"/>
        <color rgb="FFF8696B"/>
      </colorScale>
    </cfRule>
  </conditionalFormatting>
  <conditionalFormatting sqref="J30">
    <cfRule type="colorScale" priority="16">
      <colorScale>
        <cfvo type="min"/>
        <cfvo type="percentile" val="50"/>
        <cfvo type="max"/>
        <color rgb="FF63BE7B"/>
        <color rgb="FFFFEB84"/>
        <color rgb="FFF8696B"/>
      </colorScale>
    </cfRule>
  </conditionalFormatting>
  <conditionalFormatting sqref="K30">
    <cfRule type="colorScale" priority="17">
      <colorScale>
        <cfvo type="min"/>
        <cfvo type="percentile" val="50"/>
        <cfvo type="max"/>
        <color rgb="FF63BE7B"/>
        <color rgb="FFFFEB84"/>
        <color rgb="FFF8696B"/>
      </colorScale>
    </cfRule>
  </conditionalFormatting>
  <conditionalFormatting sqref="K30">
    <cfRule type="colorScale" priority="18">
      <colorScale>
        <cfvo type="min"/>
        <cfvo type="percentile" val="50"/>
        <cfvo type="max"/>
        <color rgb="FF63BE7B"/>
        <color rgb="FFFFEB84"/>
        <color rgb="FFF8696B"/>
      </colorScale>
    </cfRule>
  </conditionalFormatting>
  <conditionalFormatting sqref="M30">
    <cfRule type="colorScale" priority="19">
      <colorScale>
        <cfvo type="min"/>
        <cfvo type="percentile" val="50"/>
        <cfvo type="max"/>
        <color rgb="FF63BE7B"/>
        <color rgb="FFFFEB84"/>
        <color rgb="FFF8696B"/>
      </colorScale>
    </cfRule>
  </conditionalFormatting>
  <conditionalFormatting sqref="M30 G30">
    <cfRule type="colorScale" priority="20">
      <colorScale>
        <cfvo type="min"/>
        <cfvo type="percentile" val="50"/>
        <cfvo type="max"/>
        <color rgb="FF63BE7B"/>
        <color rgb="FFFFEB84"/>
        <color rgb="FFF8696B"/>
      </colorScale>
    </cfRule>
  </conditionalFormatting>
  <conditionalFormatting sqref="M8:M72">
    <cfRule type="colorScale" priority="8">
      <colorScale>
        <cfvo type="min"/>
        <cfvo type="percentile" val="50"/>
        <cfvo type="max"/>
        <color rgb="FF63BE7B"/>
        <color rgb="FFFFEB84"/>
        <color rgb="FFF8696B"/>
      </colorScale>
    </cfRule>
  </conditionalFormatting>
  <conditionalFormatting sqref="I7:I72">
    <cfRule type="colorScale" priority="3">
      <colorScale>
        <cfvo type="min"/>
        <cfvo type="percentile" val="50"/>
        <cfvo type="max"/>
        <color rgb="FFF8696B"/>
        <color rgb="FFFFEB84"/>
        <color rgb="FF63BE7B"/>
      </colorScale>
    </cfRule>
  </conditionalFormatting>
  <conditionalFormatting sqref="G8:N72">
    <cfRule type="colorScale" priority="2">
      <colorScale>
        <cfvo type="min"/>
        <cfvo type="percentile" val="50"/>
        <cfvo type="max"/>
        <color rgb="FF63BE7B"/>
        <color rgb="FFFFEB84"/>
        <color rgb="FFF8696B"/>
      </colorScale>
    </cfRule>
  </conditionalFormatting>
  <conditionalFormatting sqref="G7:N72">
    <cfRule type="colorScale" priority="1">
      <colorScale>
        <cfvo type="min"/>
        <cfvo type="percentile" val="50"/>
        <cfvo type="max"/>
        <color rgb="FF63BE7B"/>
        <color rgb="FFFFEB84"/>
        <color rgb="FFF8696B"/>
      </colorScale>
    </cfRule>
  </conditionalFormatting>
  <pageMargins left="0.7" right="0.7" top="0.75" bottom="0.7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A127-C585-4150-A253-CE3C501CCFF4}">
  <sheetPr>
    <tabColor rgb="FF7030A0"/>
  </sheetPr>
  <dimension ref="A1:P33"/>
  <sheetViews>
    <sheetView showGridLines="0" zoomScale="60" zoomScaleNormal="60" workbookViewId="0">
      <selection activeCell="A38" sqref="A38"/>
    </sheetView>
  </sheetViews>
  <sheetFormatPr defaultRowHeight="14.25" outlineLevelCol="1"/>
  <cols>
    <col min="1" max="1" width="37.33203125" customWidth="1"/>
    <col min="2" max="2" width="9.265625" customWidth="1"/>
    <col min="3" max="4" width="10" customWidth="1"/>
    <col min="5" max="5" width="11.3984375" customWidth="1"/>
    <col min="6" max="6" width="11.3984375" style="340" hidden="1" customWidth="1" outlineLevel="1"/>
    <col min="7" max="7" width="11.3984375" customWidth="1" collapsed="1"/>
    <col min="8" max="8" width="11.3984375" style="338" customWidth="1"/>
    <col min="9" max="11" width="11.3984375" customWidth="1"/>
    <col min="12" max="12" width="13.265625" customWidth="1"/>
    <col min="13" max="13" width="53.3984375" style="383" customWidth="1"/>
    <col min="15" max="15" width="32.86328125" customWidth="1"/>
    <col min="16" max="16" width="8.73046875"/>
  </cols>
  <sheetData>
    <row r="1" spans="1:16" ht="18">
      <c r="A1" s="7" t="s">
        <v>21</v>
      </c>
      <c r="B1" s="429"/>
      <c r="C1" s="429"/>
      <c r="D1" s="406"/>
      <c r="E1" s="429"/>
      <c r="F1" s="429"/>
      <c r="G1" s="429"/>
      <c r="I1" s="429"/>
      <c r="J1" s="429"/>
      <c r="K1" s="429"/>
      <c r="L1" s="429"/>
      <c r="M1" s="464"/>
      <c r="N1" s="429"/>
      <c r="O1" s="429"/>
      <c r="P1" s="429"/>
    </row>
    <row r="2" spans="1:16">
      <c r="A2" s="429" t="s">
        <v>22</v>
      </c>
      <c r="B2" s="429"/>
      <c r="C2" s="429"/>
      <c r="D2" s="406"/>
      <c r="E2" s="429"/>
      <c r="F2" s="429"/>
      <c r="G2" s="429"/>
      <c r="I2" s="429"/>
      <c r="J2" s="429"/>
      <c r="K2" s="429"/>
      <c r="L2" s="429"/>
      <c r="M2" s="464"/>
      <c r="N2" s="429"/>
      <c r="O2" s="429"/>
      <c r="P2" s="429"/>
    </row>
    <row r="3" spans="1:16">
      <c r="A3" s="113" t="s">
        <v>761</v>
      </c>
      <c r="B3" s="429"/>
      <c r="C3" s="429"/>
      <c r="D3" s="406"/>
      <c r="E3" s="429"/>
      <c r="F3" s="429"/>
      <c r="G3" s="429"/>
      <c r="I3" s="429"/>
      <c r="J3" s="429"/>
      <c r="K3" s="429"/>
      <c r="L3" s="429"/>
      <c r="M3" s="464"/>
      <c r="N3" s="429"/>
      <c r="O3" s="429"/>
      <c r="P3" s="429"/>
    </row>
    <row r="4" spans="1:16">
      <c r="A4" s="113" t="s">
        <v>150</v>
      </c>
      <c r="B4" s="113" t="s">
        <v>24</v>
      </c>
      <c r="C4" s="355" t="s">
        <v>25</v>
      </c>
      <c r="D4" s="111" t="s">
        <v>140</v>
      </c>
      <c r="E4" s="493" t="s">
        <v>26</v>
      </c>
      <c r="F4" s="493"/>
      <c r="G4" s="493"/>
      <c r="H4" s="493"/>
      <c r="I4" s="493"/>
      <c r="J4" s="493"/>
      <c r="K4" s="494"/>
      <c r="L4" s="429"/>
      <c r="M4" s="464"/>
      <c r="N4" s="429"/>
      <c r="O4" s="429"/>
      <c r="P4" s="429"/>
    </row>
    <row r="5" spans="1:16">
      <c r="A5" s="116"/>
      <c r="B5" s="115" t="s">
        <v>28</v>
      </c>
      <c r="C5" s="356" t="s">
        <v>28</v>
      </c>
      <c r="D5" s="251" t="s">
        <v>28</v>
      </c>
      <c r="E5" s="499" t="s">
        <v>29</v>
      </c>
      <c r="F5" s="500"/>
      <c r="G5" s="500"/>
      <c r="H5" s="500"/>
      <c r="I5" s="500"/>
      <c r="J5" s="500"/>
      <c r="K5" s="501"/>
      <c r="L5" s="8" t="s">
        <v>30</v>
      </c>
      <c r="M5" s="99"/>
      <c r="N5" s="4"/>
      <c r="O5" s="429"/>
      <c r="P5" s="429"/>
    </row>
    <row r="6" spans="1:16" ht="57.75" customHeight="1">
      <c r="A6" s="114" t="s">
        <v>31</v>
      </c>
      <c r="B6" s="324" t="s">
        <v>34</v>
      </c>
      <c r="C6" s="107" t="s">
        <v>762</v>
      </c>
      <c r="D6" s="107" t="s">
        <v>763</v>
      </c>
      <c r="E6" s="346" t="s">
        <v>35</v>
      </c>
      <c r="F6" s="346"/>
      <c r="G6" s="346" t="s">
        <v>151</v>
      </c>
      <c r="H6" s="347" t="s">
        <v>37</v>
      </c>
      <c r="I6" s="346" t="s">
        <v>38</v>
      </c>
      <c r="J6" s="346" t="s">
        <v>40</v>
      </c>
      <c r="K6" s="348" t="s">
        <v>152</v>
      </c>
      <c r="L6" s="325" t="s">
        <v>44</v>
      </c>
      <c r="M6" s="326" t="s">
        <v>45</v>
      </c>
      <c r="N6" s="429" t="s">
        <v>46</v>
      </c>
      <c r="O6" s="429"/>
      <c r="P6" s="429"/>
    </row>
    <row r="7" spans="1:16">
      <c r="A7" s="12" t="s">
        <v>49</v>
      </c>
      <c r="B7" s="11">
        <v>1256</v>
      </c>
      <c r="C7" s="11">
        <f>INDEX(SelectedPortfolio_2019RSP!N:N,MATCH(A7,SelectedPortfolio_2019RSP!H:H,0))</f>
        <v>0</v>
      </c>
      <c r="D7" s="349">
        <v>0</v>
      </c>
      <c r="E7" s="250">
        <v>1</v>
      </c>
      <c r="F7" s="250" t="s">
        <v>50</v>
      </c>
      <c r="G7" s="249">
        <v>1</v>
      </c>
      <c r="H7" s="339">
        <v>1</v>
      </c>
      <c r="I7" s="250">
        <v>1</v>
      </c>
      <c r="J7" s="250">
        <v>1</v>
      </c>
      <c r="K7" s="250">
        <v>3</v>
      </c>
      <c r="L7" s="95" t="s">
        <v>51</v>
      </c>
      <c r="M7" s="73"/>
      <c r="N7" s="429">
        <v>1</v>
      </c>
      <c r="O7" s="429"/>
      <c r="P7" s="429"/>
    </row>
    <row r="8" spans="1:16">
      <c r="A8" s="12" t="s">
        <v>60</v>
      </c>
      <c r="B8" s="11">
        <v>160</v>
      </c>
      <c r="C8" s="11">
        <f>INDEX(SelectedPortfolio_2019RSP!N:N,MATCH(A8,SelectedPortfolio_2019RSP!H:H,0))</f>
        <v>287</v>
      </c>
      <c r="D8" s="349">
        <v>287</v>
      </c>
      <c r="E8" s="250">
        <v>1</v>
      </c>
      <c r="F8" s="250" t="s">
        <v>50</v>
      </c>
      <c r="G8" s="249">
        <v>1</v>
      </c>
      <c r="H8" s="339">
        <v>2</v>
      </c>
      <c r="I8" s="250">
        <v>2</v>
      </c>
      <c r="J8" s="250">
        <v>1</v>
      </c>
      <c r="K8" s="250">
        <v>2</v>
      </c>
      <c r="L8" s="95" t="s">
        <v>51</v>
      </c>
      <c r="M8" s="73" t="s">
        <v>153</v>
      </c>
      <c r="N8" s="429">
        <v>1</v>
      </c>
      <c r="O8" s="429"/>
      <c r="P8" s="429"/>
    </row>
    <row r="9" spans="1:16">
      <c r="A9" s="12" t="s">
        <v>63</v>
      </c>
      <c r="B9" s="11">
        <v>146</v>
      </c>
      <c r="C9" s="11">
        <f>INDEX(SelectedPortfolio_2019RSP!N:N,MATCH(A9,SelectedPortfolio_2019RSP!H:H,0))</f>
        <v>173</v>
      </c>
      <c r="D9" s="349">
        <v>173</v>
      </c>
      <c r="E9" s="250">
        <v>2</v>
      </c>
      <c r="F9" s="250" t="s">
        <v>50</v>
      </c>
      <c r="G9" s="249">
        <v>1</v>
      </c>
      <c r="H9" s="339">
        <v>2</v>
      </c>
      <c r="I9" s="250">
        <v>2</v>
      </c>
      <c r="J9" s="250">
        <v>1</v>
      </c>
      <c r="K9" s="250">
        <v>1</v>
      </c>
      <c r="L9" s="443" t="s">
        <v>142</v>
      </c>
      <c r="M9" s="73" t="s">
        <v>154</v>
      </c>
      <c r="N9" s="429">
        <v>1</v>
      </c>
      <c r="O9" s="429"/>
      <c r="P9" s="429"/>
    </row>
    <row r="10" spans="1:16">
      <c r="A10" s="12" t="s">
        <v>67</v>
      </c>
      <c r="B10" s="11">
        <v>0</v>
      </c>
      <c r="C10" s="11">
        <f>INDEX(SelectedPortfolio_2019RSP!N:N,MATCH(A10,SelectedPortfolio_2019RSP!H:H,0))</f>
        <v>547.9</v>
      </c>
      <c r="D10" s="349">
        <v>547.9</v>
      </c>
      <c r="E10" s="250">
        <v>1</v>
      </c>
      <c r="F10" s="250" t="s">
        <v>50</v>
      </c>
      <c r="G10" s="249">
        <v>1</v>
      </c>
      <c r="H10" s="339">
        <v>1</v>
      </c>
      <c r="I10" s="250">
        <v>1</v>
      </c>
      <c r="J10" s="250">
        <v>2</v>
      </c>
      <c r="K10" s="250">
        <v>2</v>
      </c>
      <c r="L10" s="95" t="s">
        <v>51</v>
      </c>
      <c r="M10" s="73"/>
      <c r="N10" s="429">
        <v>1</v>
      </c>
      <c r="O10" s="429"/>
      <c r="P10" s="429"/>
    </row>
    <row r="11" spans="1:16">
      <c r="A11" s="12" t="s">
        <v>72</v>
      </c>
      <c r="B11" s="11">
        <v>0</v>
      </c>
      <c r="C11" s="11">
        <f>INDEX(SelectedPortfolio_2019RSP!N:N,MATCH(A11,SelectedPortfolio_2019RSP!H:H,0))</f>
        <v>34</v>
      </c>
      <c r="D11" s="349">
        <v>34</v>
      </c>
      <c r="E11" s="250">
        <v>1</v>
      </c>
      <c r="F11" s="250" t="s">
        <v>50</v>
      </c>
      <c r="G11" s="249">
        <v>1</v>
      </c>
      <c r="H11" s="339">
        <v>2</v>
      </c>
      <c r="I11" s="250">
        <v>2</v>
      </c>
      <c r="J11" s="250" t="s">
        <v>48</v>
      </c>
      <c r="K11" s="250">
        <v>2</v>
      </c>
      <c r="L11" s="95" t="s">
        <v>51</v>
      </c>
      <c r="M11" s="73" t="s">
        <v>153</v>
      </c>
      <c r="N11" s="429">
        <v>1</v>
      </c>
      <c r="O11" s="429"/>
      <c r="P11" s="429"/>
    </row>
    <row r="12" spans="1:16">
      <c r="A12" s="12" t="s">
        <v>73</v>
      </c>
      <c r="B12" s="11">
        <v>554</v>
      </c>
      <c r="C12" s="11">
        <f>INDEX(SelectedPortfolio_2019RSP!N:N,MATCH(A12,SelectedPortfolio_2019RSP!H:H,0))</f>
        <v>97</v>
      </c>
      <c r="D12" s="349">
        <v>97</v>
      </c>
      <c r="E12" s="250">
        <v>1</v>
      </c>
      <c r="F12" s="250" t="s">
        <v>50</v>
      </c>
      <c r="G12" s="249">
        <v>1</v>
      </c>
      <c r="H12" s="339">
        <v>1</v>
      </c>
      <c r="I12" s="250">
        <v>1</v>
      </c>
      <c r="J12" s="250">
        <v>1</v>
      </c>
      <c r="K12" s="250">
        <v>2</v>
      </c>
      <c r="L12" s="95" t="s">
        <v>51</v>
      </c>
      <c r="M12" s="73"/>
      <c r="N12" s="429">
        <v>1</v>
      </c>
      <c r="O12" s="429"/>
      <c r="P12" s="429"/>
    </row>
    <row r="13" spans="1:16">
      <c r="A13" s="12" t="s">
        <v>75</v>
      </c>
      <c r="B13" s="11">
        <v>0</v>
      </c>
      <c r="C13" s="11">
        <f>INDEX(SelectedPortfolio_2019RSP!N:N,MATCH(A13,SelectedPortfolio_2019RSP!H:H,0))</f>
        <v>241.66000000000003</v>
      </c>
      <c r="D13" s="349">
        <v>978.66000000000008</v>
      </c>
      <c r="E13" s="250">
        <v>1</v>
      </c>
      <c r="F13" s="250" t="s">
        <v>50</v>
      </c>
      <c r="G13" s="249">
        <v>3</v>
      </c>
      <c r="H13" s="339">
        <v>1</v>
      </c>
      <c r="I13" s="250">
        <v>1</v>
      </c>
      <c r="J13" s="250">
        <v>1</v>
      </c>
      <c r="K13" s="250">
        <v>2</v>
      </c>
      <c r="L13" s="444" t="s">
        <v>142</v>
      </c>
      <c r="M13" s="73" t="s">
        <v>760</v>
      </c>
      <c r="N13" s="429">
        <v>1</v>
      </c>
      <c r="O13" s="429"/>
      <c r="P13" s="429"/>
    </row>
    <row r="14" spans="1:16">
      <c r="A14" s="12" t="s">
        <v>76</v>
      </c>
      <c r="B14" s="11">
        <v>0</v>
      </c>
      <c r="C14" s="11">
        <f>INDEX(SelectedPortfolio_2019RSP!N:N,MATCH(A14,SelectedPortfolio_2019RSP!H:H,0))</f>
        <v>60</v>
      </c>
      <c r="D14" s="349">
        <v>60</v>
      </c>
      <c r="E14" s="250">
        <v>2</v>
      </c>
      <c r="F14" s="250" t="s">
        <v>50</v>
      </c>
      <c r="G14" s="249">
        <v>1</v>
      </c>
      <c r="H14" s="339">
        <v>1</v>
      </c>
      <c r="I14" s="250">
        <v>1</v>
      </c>
      <c r="J14" s="250">
        <v>1</v>
      </c>
      <c r="K14" s="250">
        <v>2</v>
      </c>
      <c r="L14" s="444" t="s">
        <v>142</v>
      </c>
      <c r="M14" s="73" t="s">
        <v>155</v>
      </c>
      <c r="N14" s="429">
        <v>1</v>
      </c>
      <c r="O14" s="429"/>
      <c r="P14" s="429"/>
    </row>
    <row r="15" spans="1:16">
      <c r="A15" s="12" t="s">
        <v>79</v>
      </c>
      <c r="B15" s="11">
        <v>0</v>
      </c>
      <c r="C15" s="11">
        <f>INDEX(SelectedPortfolio_2019RSP!N:N,MATCH(A15,SelectedPortfolio_2019RSP!H:H,0))</f>
        <v>248</v>
      </c>
      <c r="D15" s="349">
        <v>248</v>
      </c>
      <c r="E15" s="250">
        <v>1</v>
      </c>
      <c r="F15" s="250" t="s">
        <v>50</v>
      </c>
      <c r="G15" s="249">
        <v>3</v>
      </c>
      <c r="H15" s="339">
        <v>1</v>
      </c>
      <c r="I15" s="250">
        <v>1</v>
      </c>
      <c r="J15" s="250">
        <v>1</v>
      </c>
      <c r="K15" s="250">
        <v>2</v>
      </c>
      <c r="L15" s="444" t="s">
        <v>142</v>
      </c>
      <c r="M15" s="73" t="s">
        <v>156</v>
      </c>
      <c r="N15" s="429">
        <v>1</v>
      </c>
      <c r="O15" s="429"/>
      <c r="P15" s="429"/>
    </row>
    <row r="16" spans="1:16">
      <c r="A16" s="12" t="s">
        <v>81</v>
      </c>
      <c r="B16" s="11">
        <v>0</v>
      </c>
      <c r="C16" s="11">
        <f>INDEX(SelectedPortfolio_2019RSP!N:N,MATCH(A16,SelectedPortfolio_2019RSP!H:H,0))</f>
        <v>300</v>
      </c>
      <c r="D16" s="349">
        <v>300</v>
      </c>
      <c r="E16" s="250">
        <v>1</v>
      </c>
      <c r="F16" s="250" t="s">
        <v>50</v>
      </c>
      <c r="G16" s="249">
        <v>1</v>
      </c>
      <c r="H16" s="339">
        <v>1</v>
      </c>
      <c r="I16" s="250">
        <v>1</v>
      </c>
      <c r="J16" s="250">
        <v>1</v>
      </c>
      <c r="K16" s="250">
        <v>2</v>
      </c>
      <c r="L16" s="445" t="s">
        <v>51</v>
      </c>
      <c r="M16" s="73"/>
      <c r="N16" s="429">
        <v>1</v>
      </c>
      <c r="O16" s="429"/>
      <c r="P16" s="429"/>
    </row>
    <row r="17" spans="1:16">
      <c r="A17" s="12" t="s">
        <v>83</v>
      </c>
      <c r="B17" s="11">
        <v>0</v>
      </c>
      <c r="C17" s="11">
        <f>INDEX(SelectedPortfolio_2019RSP!N:N,MATCH(A17,SelectedPortfolio_2019RSP!H:H,0))</f>
        <v>865.9</v>
      </c>
      <c r="D17" s="349">
        <v>865.9</v>
      </c>
      <c r="E17" s="250">
        <v>1</v>
      </c>
      <c r="F17" s="250" t="s">
        <v>50</v>
      </c>
      <c r="G17" s="249">
        <v>1</v>
      </c>
      <c r="H17" s="339">
        <v>2</v>
      </c>
      <c r="I17" s="250">
        <v>1</v>
      </c>
      <c r="J17" s="250">
        <v>1</v>
      </c>
      <c r="K17" s="250">
        <v>2</v>
      </c>
      <c r="L17" s="445" t="s">
        <v>51</v>
      </c>
      <c r="M17" s="73"/>
      <c r="N17" s="429">
        <v>1</v>
      </c>
      <c r="O17" s="429"/>
      <c r="P17" s="429"/>
    </row>
    <row r="18" spans="1:16">
      <c r="A18" s="74" t="s">
        <v>87</v>
      </c>
      <c r="B18" s="11">
        <v>1622</v>
      </c>
      <c r="C18" s="11">
        <f>INDEX(SelectedPortfolio_2019RSP!N:N,MATCH(A18,SelectedPortfolio_2019RSP!H:H,0))</f>
        <v>0</v>
      </c>
      <c r="D18" s="349">
        <v>1000</v>
      </c>
      <c r="E18" s="250">
        <v>1</v>
      </c>
      <c r="F18" s="250" t="s">
        <v>50</v>
      </c>
      <c r="G18" s="249">
        <v>3</v>
      </c>
      <c r="H18" s="339">
        <v>1</v>
      </c>
      <c r="I18" s="250">
        <v>1</v>
      </c>
      <c r="J18" s="250">
        <v>1</v>
      </c>
      <c r="K18" s="250">
        <v>1</v>
      </c>
      <c r="L18" s="443" t="s">
        <v>142</v>
      </c>
      <c r="M18" s="73" t="s">
        <v>745</v>
      </c>
      <c r="N18" s="429">
        <v>1</v>
      </c>
      <c r="O18" s="429"/>
      <c r="P18" s="429"/>
    </row>
    <row r="19" spans="1:16" s="252" customFormat="1">
      <c r="A19" s="74" t="s">
        <v>89</v>
      </c>
      <c r="B19" s="11">
        <v>42</v>
      </c>
      <c r="C19" s="11" t="e">
        <f>INDEX(SelectedPortfolio_2019RSP!N:N,MATCH(A19,SelectedPortfolio_2019RSP!H:H,0))</f>
        <v>#N/A</v>
      </c>
      <c r="D19" s="349" t="e">
        <v>#N/A</v>
      </c>
      <c r="E19" s="250"/>
      <c r="F19" s="250"/>
      <c r="G19" s="249"/>
      <c r="H19" s="339"/>
      <c r="I19" s="250"/>
      <c r="J19" s="250"/>
      <c r="K19" s="250" t="s">
        <v>48</v>
      </c>
      <c r="L19" s="95" t="s">
        <v>51</v>
      </c>
      <c r="M19" s="73" t="s">
        <v>91</v>
      </c>
      <c r="N19" s="429"/>
      <c r="O19" s="429"/>
      <c r="P19" s="429"/>
    </row>
    <row r="20" spans="1:16">
      <c r="A20" s="12" t="s">
        <v>94</v>
      </c>
      <c r="B20" s="11">
        <v>0</v>
      </c>
      <c r="C20" s="11">
        <f>INDEX(SelectedPortfolio_2019RSP!N:N,MATCH(A20,SelectedPortfolio_2019RSP!H:H,0))</f>
        <v>330</v>
      </c>
      <c r="D20" s="349">
        <v>330</v>
      </c>
      <c r="E20" s="250">
        <v>1</v>
      </c>
      <c r="F20" s="250" t="s">
        <v>50</v>
      </c>
      <c r="G20" s="249">
        <v>1</v>
      </c>
      <c r="H20" s="339">
        <v>1</v>
      </c>
      <c r="I20" s="250">
        <v>1</v>
      </c>
      <c r="J20" s="250">
        <v>1</v>
      </c>
      <c r="K20" s="250">
        <v>2</v>
      </c>
      <c r="L20" s="445" t="s">
        <v>51</v>
      </c>
      <c r="M20" s="73"/>
      <c r="N20" s="429">
        <v>1</v>
      </c>
      <c r="O20" s="429"/>
      <c r="P20" s="429"/>
    </row>
    <row r="21" spans="1:16">
      <c r="A21" s="12" t="s">
        <v>99</v>
      </c>
      <c r="B21" s="11">
        <v>644</v>
      </c>
      <c r="C21" s="11">
        <f>INDEX(SelectedPortfolio_2019RSP!N:N,MATCH(A21,SelectedPortfolio_2019RSP!H:H,0))</f>
        <v>542</v>
      </c>
      <c r="D21" s="349">
        <v>542</v>
      </c>
      <c r="E21" s="250">
        <v>1</v>
      </c>
      <c r="F21" s="250" t="s">
        <v>50</v>
      </c>
      <c r="G21" s="249">
        <v>1</v>
      </c>
      <c r="H21" s="339">
        <v>2</v>
      </c>
      <c r="I21" s="250">
        <v>2</v>
      </c>
      <c r="J21" s="250">
        <v>1</v>
      </c>
      <c r="K21" s="250">
        <v>1</v>
      </c>
      <c r="L21" s="95" t="s">
        <v>51</v>
      </c>
      <c r="M21" s="73" t="s">
        <v>157</v>
      </c>
      <c r="N21" s="429">
        <v>1</v>
      </c>
      <c r="O21" s="429"/>
      <c r="P21" s="429"/>
    </row>
    <row r="22" spans="1:16">
      <c r="A22" s="12" t="s">
        <v>100</v>
      </c>
      <c r="B22" s="11">
        <v>0</v>
      </c>
      <c r="C22" s="11">
        <f>INDEX(SelectedPortfolio_2019RSP!N:N,MATCH(A22,SelectedPortfolio_2019RSP!H:H,0))</f>
        <v>862</v>
      </c>
      <c r="D22" s="349">
        <v>0</v>
      </c>
      <c r="E22" s="250">
        <v>1</v>
      </c>
      <c r="F22" s="250" t="s">
        <v>50</v>
      </c>
      <c r="G22" s="249">
        <v>1</v>
      </c>
      <c r="H22" s="339">
        <v>1</v>
      </c>
      <c r="I22" s="250">
        <v>1</v>
      </c>
      <c r="J22" s="250">
        <v>1</v>
      </c>
      <c r="K22" s="250">
        <v>1</v>
      </c>
      <c r="L22" s="95" t="s">
        <v>51</v>
      </c>
      <c r="M22" s="73"/>
      <c r="N22" s="429">
        <v>1</v>
      </c>
      <c r="O22" s="429"/>
      <c r="P22" s="429"/>
    </row>
    <row r="23" spans="1:16">
      <c r="A23" s="12" t="s">
        <v>103</v>
      </c>
      <c r="B23" s="11">
        <v>3006</v>
      </c>
      <c r="C23" s="11">
        <f>INDEX(SelectedPortfolio_2019RSP!N:N,MATCH(A23,SelectedPortfolio_2019RSP!H:H,0))</f>
        <v>0</v>
      </c>
      <c r="D23" s="349">
        <v>862</v>
      </c>
      <c r="E23" s="250">
        <v>1</v>
      </c>
      <c r="F23" s="250" t="s">
        <v>50</v>
      </c>
      <c r="G23" s="249">
        <v>3</v>
      </c>
      <c r="H23" s="339">
        <v>1</v>
      </c>
      <c r="I23" s="250">
        <v>1</v>
      </c>
      <c r="J23" s="250">
        <v>1</v>
      </c>
      <c r="K23" s="250">
        <v>3</v>
      </c>
      <c r="L23" s="443" t="s">
        <v>142</v>
      </c>
      <c r="M23" s="73" t="s">
        <v>758</v>
      </c>
      <c r="N23" s="429">
        <v>1</v>
      </c>
      <c r="O23" s="429"/>
      <c r="P23" s="429"/>
    </row>
    <row r="24" spans="1:16">
      <c r="A24" s="12" t="s">
        <v>107</v>
      </c>
      <c r="B24" s="11">
        <v>1153</v>
      </c>
      <c r="C24" s="11">
        <f>INDEX(SelectedPortfolio_2019RSP!N:N,MATCH(A24,SelectedPortfolio_2019RSP!H:H,0))</f>
        <v>4202</v>
      </c>
      <c r="D24" s="349">
        <v>3202</v>
      </c>
      <c r="E24" s="250">
        <v>1</v>
      </c>
      <c r="F24" s="250" t="s">
        <v>50</v>
      </c>
      <c r="G24" s="249">
        <v>1</v>
      </c>
      <c r="H24" s="339">
        <v>1</v>
      </c>
      <c r="I24" s="250">
        <v>1</v>
      </c>
      <c r="J24" s="250">
        <v>1</v>
      </c>
      <c r="K24" s="250">
        <v>3</v>
      </c>
      <c r="L24" s="443" t="s">
        <v>142</v>
      </c>
      <c r="M24" s="73" t="s">
        <v>745</v>
      </c>
      <c r="N24" s="429">
        <v>1</v>
      </c>
      <c r="O24" s="429"/>
      <c r="P24" s="429"/>
    </row>
    <row r="25" spans="1:16">
      <c r="A25" s="12" t="s">
        <v>110</v>
      </c>
      <c r="B25" s="11">
        <v>0</v>
      </c>
      <c r="C25" s="11">
        <f>INDEX(SelectedPortfolio_2019RSP!N:N,MATCH(A25,SelectedPortfolio_2019RSP!H:H,0))</f>
        <v>275</v>
      </c>
      <c r="D25" s="349">
        <v>275</v>
      </c>
      <c r="E25" s="250">
        <v>1</v>
      </c>
      <c r="F25" s="250" t="s">
        <v>50</v>
      </c>
      <c r="G25" s="249">
        <v>1</v>
      </c>
      <c r="H25" s="339">
        <v>2</v>
      </c>
      <c r="I25" s="250">
        <v>1</v>
      </c>
      <c r="J25" s="250">
        <v>1</v>
      </c>
      <c r="K25" s="250">
        <v>2</v>
      </c>
      <c r="L25" s="95" t="s">
        <v>51</v>
      </c>
      <c r="M25" s="73" t="s">
        <v>157</v>
      </c>
      <c r="N25" s="429">
        <v>1</v>
      </c>
      <c r="O25" s="429"/>
      <c r="P25" s="429"/>
    </row>
    <row r="26" spans="1:16">
      <c r="A26" s="12" t="s">
        <v>112</v>
      </c>
      <c r="B26" s="11">
        <v>0</v>
      </c>
      <c r="C26" s="11">
        <f>INDEX(SelectedPortfolio_2019RSP!N:N,MATCH(A26,SelectedPortfolio_2019RSP!H:H,0))</f>
        <v>1778.57</v>
      </c>
      <c r="D26" s="349">
        <v>-0.43000000000006366</v>
      </c>
      <c r="E26" s="250">
        <v>1</v>
      </c>
      <c r="F26" s="250" t="s">
        <v>50</v>
      </c>
      <c r="G26" s="249">
        <v>1</v>
      </c>
      <c r="H26" s="339">
        <v>1</v>
      </c>
      <c r="I26" s="250">
        <v>1</v>
      </c>
      <c r="J26" s="250">
        <v>1</v>
      </c>
      <c r="K26" s="250">
        <v>1</v>
      </c>
      <c r="L26" s="95" t="s">
        <v>51</v>
      </c>
      <c r="M26" s="73"/>
      <c r="N26" s="429">
        <v>1</v>
      </c>
      <c r="O26" s="429"/>
      <c r="P26" s="429"/>
    </row>
    <row r="27" spans="1:16">
      <c r="A27" s="12" t="s">
        <v>115</v>
      </c>
      <c r="B27" s="11">
        <v>0</v>
      </c>
      <c r="C27" s="11">
        <f>INDEX(SelectedPortfolio_2019RSP!N:N,MATCH(A27,SelectedPortfolio_2019RSP!H:H,0))</f>
        <v>58.21</v>
      </c>
      <c r="D27" s="349">
        <v>1099.21</v>
      </c>
      <c r="E27" s="250">
        <v>1</v>
      </c>
      <c r="F27" s="250" t="s">
        <v>50</v>
      </c>
      <c r="G27" s="249">
        <v>3</v>
      </c>
      <c r="H27" s="339">
        <v>1</v>
      </c>
      <c r="I27" s="250">
        <v>1</v>
      </c>
      <c r="J27" s="250">
        <v>3</v>
      </c>
      <c r="K27" s="250">
        <v>3</v>
      </c>
      <c r="L27" s="443" t="s">
        <v>142</v>
      </c>
      <c r="M27" s="73" t="s">
        <v>747</v>
      </c>
      <c r="N27" s="429">
        <v>1</v>
      </c>
      <c r="O27" s="429"/>
      <c r="P27" s="429"/>
    </row>
    <row r="28" spans="1:16">
      <c r="A28" s="12" t="s">
        <v>124</v>
      </c>
      <c r="B28" s="11">
        <v>428</v>
      </c>
      <c r="C28" s="11">
        <f>INDEX(SelectedPortfolio_2019RSP!N:N,MATCH(A28,SelectedPortfolio_2019RSP!H:H,0))</f>
        <v>2352.08</v>
      </c>
      <c r="D28" s="349">
        <v>2352.08</v>
      </c>
      <c r="E28" s="250"/>
      <c r="F28" s="250" t="s">
        <v>50</v>
      </c>
      <c r="G28" s="249">
        <v>1</v>
      </c>
      <c r="H28" s="339"/>
      <c r="I28" s="250"/>
      <c r="J28" s="250">
        <v>1</v>
      </c>
      <c r="K28" s="250">
        <v>3</v>
      </c>
      <c r="L28" s="95" t="s">
        <v>51</v>
      </c>
      <c r="M28" s="73"/>
      <c r="N28" s="429">
        <v>1</v>
      </c>
      <c r="O28" s="429"/>
      <c r="P28" s="429"/>
    </row>
    <row r="29" spans="1:16">
      <c r="A29" s="12" t="s">
        <v>128</v>
      </c>
      <c r="B29" s="11">
        <v>0</v>
      </c>
      <c r="C29" s="11">
        <f>INDEX(SelectedPortfolio_2019RSP!N:N,MATCH(A29,SelectedPortfolio_2019RSP!H:H,0))</f>
        <v>600</v>
      </c>
      <c r="D29" s="349">
        <v>600</v>
      </c>
      <c r="E29" s="250"/>
      <c r="F29" s="250" t="s">
        <v>50</v>
      </c>
      <c r="G29" s="249">
        <v>1</v>
      </c>
      <c r="H29" s="250"/>
      <c r="I29" s="250"/>
      <c r="J29" s="250">
        <v>1</v>
      </c>
      <c r="K29" s="250">
        <v>2</v>
      </c>
      <c r="L29" s="445" t="s">
        <v>51</v>
      </c>
      <c r="M29" s="73"/>
      <c r="N29" s="429">
        <v>1</v>
      </c>
      <c r="O29" s="429"/>
      <c r="P29" s="429"/>
    </row>
    <row r="30" spans="1:16">
      <c r="A30" s="12" t="s">
        <v>135</v>
      </c>
      <c r="B30" s="11">
        <v>0</v>
      </c>
      <c r="C30" s="11">
        <f>INDEX(SelectedPortfolio_2019RSP!N:N,MATCH(A30,SelectedPortfolio_2019RSP!H:H,0))</f>
        <v>606.16999999999996</v>
      </c>
      <c r="D30" s="349">
        <v>606.16999999999996</v>
      </c>
      <c r="E30" s="250"/>
      <c r="F30" s="250" t="s">
        <v>50</v>
      </c>
      <c r="G30" s="249">
        <v>1</v>
      </c>
      <c r="H30" s="250"/>
      <c r="I30" s="250"/>
      <c r="J30" s="250"/>
      <c r="K30" s="250">
        <v>2</v>
      </c>
      <c r="L30" s="446" t="s">
        <v>51</v>
      </c>
      <c r="M30" s="73"/>
      <c r="N30" s="429">
        <v>1</v>
      </c>
      <c r="O30" s="429"/>
      <c r="P30" s="429"/>
    </row>
    <row r="31" spans="1:16">
      <c r="A31" s="343" t="s">
        <v>137</v>
      </c>
      <c r="B31" s="86">
        <f>SUM(B7:B30)</f>
        <v>9011</v>
      </c>
      <c r="C31" s="86">
        <f>SUM(C7:C18,C20:C30)</f>
        <v>14460.489999999998</v>
      </c>
      <c r="D31" s="86">
        <f>SUM(D7:D18,D20:D30)</f>
        <v>14459.490000000002</v>
      </c>
      <c r="E31" s="350"/>
      <c r="F31" s="350"/>
      <c r="G31" s="350"/>
      <c r="H31" s="350"/>
      <c r="I31" s="350"/>
      <c r="J31" s="350"/>
      <c r="K31" s="350"/>
      <c r="L31" s="447"/>
      <c r="M31" s="337"/>
      <c r="N31" s="429">
        <v>1</v>
      </c>
      <c r="O31" s="429"/>
      <c r="P31" s="429"/>
    </row>
    <row r="32" spans="1:16">
      <c r="A32" s="344" t="s">
        <v>138</v>
      </c>
      <c r="B32" s="430">
        <f>B31</f>
        <v>9011</v>
      </c>
      <c r="C32" s="430">
        <f>C31</f>
        <v>14460.489999999998</v>
      </c>
      <c r="D32" s="430">
        <f>D31</f>
        <v>14459.490000000002</v>
      </c>
      <c r="E32" s="352"/>
      <c r="F32" s="352"/>
      <c r="G32" s="352"/>
      <c r="H32" s="352"/>
      <c r="I32" s="352"/>
      <c r="J32" s="352"/>
      <c r="K32" s="352"/>
      <c r="L32" s="96"/>
      <c r="M32" s="102"/>
      <c r="N32" s="429">
        <v>1</v>
      </c>
      <c r="O32" s="429"/>
      <c r="P32" s="429"/>
    </row>
    <row r="33" spans="1:16">
      <c r="A33" s="429"/>
      <c r="B33" s="429"/>
      <c r="C33" s="429"/>
      <c r="D33" s="429"/>
      <c r="E33" s="429"/>
      <c r="F33" s="429"/>
      <c r="G33" s="429"/>
      <c r="I33" s="429"/>
      <c r="J33" s="429"/>
      <c r="K33" s="429"/>
      <c r="L33" s="429"/>
      <c r="M33" s="464"/>
      <c r="N33" s="429"/>
      <c r="O33" s="429"/>
      <c r="P33" s="429"/>
    </row>
  </sheetData>
  <mergeCells count="2">
    <mergeCell ref="E4:K4"/>
    <mergeCell ref="E5:K5"/>
  </mergeCells>
  <conditionalFormatting sqref="E15:F15">
    <cfRule type="colorScale" priority="71">
      <colorScale>
        <cfvo type="min"/>
        <cfvo type="percentile" val="50"/>
        <cfvo type="max"/>
        <color rgb="FF63BE7B"/>
        <color rgb="FFFFEB84"/>
        <color rgb="FFF8696B"/>
      </colorScale>
    </cfRule>
  </conditionalFormatting>
  <conditionalFormatting sqref="E15:F15">
    <cfRule type="colorScale" priority="72">
      <colorScale>
        <cfvo type="min"/>
        <cfvo type="percentile" val="50"/>
        <cfvo type="max"/>
        <color rgb="FF63BE7B"/>
        <color rgb="FFFFEB84"/>
        <color rgb="FFF8696B"/>
      </colorScale>
    </cfRule>
  </conditionalFormatting>
  <conditionalFormatting sqref="E15:F15">
    <cfRule type="colorScale" priority="73">
      <colorScale>
        <cfvo type="min"/>
        <cfvo type="percentile" val="50"/>
        <cfvo type="max"/>
        <color rgb="FF63BE7B"/>
        <color rgb="FFFFEB84"/>
        <color rgb="FFF8696B"/>
      </colorScale>
    </cfRule>
  </conditionalFormatting>
  <conditionalFormatting sqref="E15:F15 J15">
    <cfRule type="colorScale" priority="74">
      <colorScale>
        <cfvo type="min"/>
        <cfvo type="percentile" val="50"/>
        <cfvo type="max"/>
        <color rgb="FF63BE7B"/>
        <color rgb="FFFFEB84"/>
        <color rgb="FFF8696B"/>
      </colorScale>
    </cfRule>
  </conditionalFormatting>
  <conditionalFormatting sqref="J15">
    <cfRule type="colorScale" priority="63">
      <colorScale>
        <cfvo type="min"/>
        <cfvo type="percentile" val="50"/>
        <cfvo type="max"/>
        <color rgb="FF63BE7B"/>
        <color rgb="FFFFEB84"/>
        <color rgb="FFF8696B"/>
      </colorScale>
    </cfRule>
  </conditionalFormatting>
  <conditionalFormatting sqref="H32">
    <cfRule type="colorScale" priority="61">
      <colorScale>
        <cfvo type="min"/>
        <cfvo type="percentile" val="50"/>
        <cfvo type="max"/>
        <color rgb="FFF8696B"/>
        <color rgb="FFFFEB84"/>
        <color rgb="FF63BE7B"/>
      </colorScale>
    </cfRule>
  </conditionalFormatting>
  <conditionalFormatting sqref="G31">
    <cfRule type="colorScale" priority="62">
      <colorScale>
        <cfvo type="min"/>
        <cfvo type="percentile" val="50"/>
        <cfvo type="max"/>
        <color rgb="FF63BE7B"/>
        <color rgb="FFFFEB84"/>
        <color rgb="FFF8696B"/>
      </colorScale>
    </cfRule>
  </conditionalFormatting>
  <conditionalFormatting sqref="J31">
    <cfRule type="colorScale" priority="59">
      <colorScale>
        <cfvo type="min"/>
        <cfvo type="percentile" val="50"/>
        <cfvo type="max"/>
        <color rgb="FF63BE7B"/>
        <color rgb="FFFFEB84"/>
        <color rgb="FFF8696B"/>
      </colorScale>
    </cfRule>
  </conditionalFormatting>
  <conditionalFormatting sqref="J31">
    <cfRule type="colorScale" priority="60">
      <colorScale>
        <cfvo type="min"/>
        <cfvo type="percentile" val="50"/>
        <cfvo type="max"/>
        <color rgb="FF63BE7B"/>
        <color rgb="FFFFEB84"/>
        <color rgb="FFF8696B"/>
      </colorScale>
    </cfRule>
  </conditionalFormatting>
  <conditionalFormatting sqref="H15:H16">
    <cfRule type="colorScale" priority="39">
      <colorScale>
        <cfvo type="min"/>
        <cfvo type="percentile" val="50"/>
        <cfvo type="max"/>
        <color rgb="FF63BE7B"/>
        <color rgb="FFFFEB84"/>
        <color rgb="FFF8696B"/>
      </colorScale>
    </cfRule>
  </conditionalFormatting>
  <conditionalFormatting sqref="H15:H16">
    <cfRule type="colorScale" priority="40">
      <colorScale>
        <cfvo type="min"/>
        <cfvo type="percentile" val="50"/>
        <cfvo type="max"/>
        <color rgb="FF63BE7B"/>
        <color rgb="FFFFEB84"/>
        <color rgb="FFF8696B"/>
      </colorScale>
    </cfRule>
  </conditionalFormatting>
  <conditionalFormatting sqref="H15:H16">
    <cfRule type="colorScale" priority="36">
      <colorScale>
        <cfvo type="min"/>
        <cfvo type="percentile" val="50"/>
        <cfvo type="max"/>
        <color rgb="FFF8696B"/>
        <color rgb="FFFFEB84"/>
        <color rgb="FF63BE7B"/>
      </colorScale>
    </cfRule>
  </conditionalFormatting>
  <conditionalFormatting sqref="H15:H16">
    <cfRule type="colorScale" priority="37">
      <colorScale>
        <cfvo type="min"/>
        <cfvo type="percentile" val="50"/>
        <cfvo type="max"/>
        <color rgb="FF63BE7B"/>
        <color rgb="FFFFEB84"/>
        <color rgb="FFF8696B"/>
      </colorScale>
    </cfRule>
  </conditionalFormatting>
  <conditionalFormatting sqref="H15:H16">
    <cfRule type="colorScale" priority="38">
      <colorScale>
        <cfvo type="min"/>
        <cfvo type="percentile" val="50"/>
        <cfvo type="max"/>
        <color rgb="FF63BE7B"/>
        <color rgb="FFFFEB84"/>
        <color rgb="FFF8696B"/>
      </colorScale>
    </cfRule>
  </conditionalFormatting>
  <conditionalFormatting sqref="H15:H16">
    <cfRule type="colorScale" priority="35">
      <colorScale>
        <cfvo type="min"/>
        <cfvo type="percentile" val="50"/>
        <cfvo type="max"/>
        <color rgb="FF63BE7B"/>
        <color rgb="FFFFEB84"/>
        <color rgb="FFF8696B"/>
      </colorScale>
    </cfRule>
  </conditionalFormatting>
  <conditionalFormatting sqref="K7:K31">
    <cfRule type="colorScale" priority="972">
      <colorScale>
        <cfvo type="min"/>
        <cfvo type="percentile" val="50"/>
        <cfvo type="max"/>
        <color rgb="FF63BE7B"/>
        <color rgb="FFFFEB84"/>
        <color rgb="FFF8696B"/>
      </colorScale>
    </cfRule>
  </conditionalFormatting>
  <conditionalFormatting sqref="E16:F29 I16 E7:F14 F8:F30 H7:I14 K7:K30 H17:I29">
    <cfRule type="colorScale" priority="991">
      <colorScale>
        <cfvo type="min"/>
        <cfvo type="percentile" val="50"/>
        <cfvo type="max"/>
        <color rgb="FF63BE7B"/>
        <color rgb="FFFFEB84"/>
        <color rgb="FFF8696B"/>
      </colorScale>
    </cfRule>
  </conditionalFormatting>
  <conditionalFormatting sqref="E16:F29 I16 E7:F14 F8:F30 H7:I14 H17:I29">
    <cfRule type="colorScale" priority="1003">
      <colorScale>
        <cfvo type="min"/>
        <cfvo type="percentile" val="50"/>
        <cfvo type="max"/>
        <color rgb="FF63BE7B"/>
        <color rgb="FFFFEB84"/>
        <color rgb="FFF8696B"/>
      </colorScale>
    </cfRule>
  </conditionalFormatting>
  <conditionalFormatting sqref="E7:F14 F8:F30 E16:F31">
    <cfRule type="colorScale" priority="1013">
      <colorScale>
        <cfvo type="min"/>
        <cfvo type="percentile" val="50"/>
        <cfvo type="max"/>
        <color rgb="FF63BE7B"/>
        <color rgb="FFFFEB84"/>
        <color rgb="FFF8696B"/>
      </colorScale>
    </cfRule>
  </conditionalFormatting>
  <conditionalFormatting sqref="E16:F25 E7:F14 F8:F30 J7:J30">
    <cfRule type="colorScale" priority="1016">
      <colorScale>
        <cfvo type="min"/>
        <cfvo type="percentile" val="50"/>
        <cfvo type="max"/>
        <color rgb="FF63BE7B"/>
        <color rgb="FFFFEB84"/>
        <color rgb="FFF8696B"/>
      </colorScale>
    </cfRule>
  </conditionalFormatting>
  <conditionalFormatting sqref="H17:H29 H7:H14">
    <cfRule type="colorScale" priority="1028">
      <colorScale>
        <cfvo type="min"/>
        <cfvo type="percentile" val="50"/>
        <cfvo type="max"/>
        <color rgb="FF63BE7B"/>
        <color rgb="FFFFEB84"/>
        <color rgb="FFF8696B"/>
      </colorScale>
    </cfRule>
  </conditionalFormatting>
  <conditionalFormatting sqref="H17:H31 H7:H14">
    <cfRule type="colorScale" priority="1031">
      <colorScale>
        <cfvo type="min"/>
        <cfvo type="percentile" val="50"/>
        <cfvo type="max"/>
        <color rgb="FF63BE7B"/>
        <color rgb="FFFFEB84"/>
        <color rgb="FFF8696B"/>
      </colorScale>
    </cfRule>
  </conditionalFormatting>
  <conditionalFormatting sqref="I7:I14 I16:I31">
    <cfRule type="colorScale" priority="1034">
      <colorScale>
        <cfvo type="min"/>
        <cfvo type="percentile" val="50"/>
        <cfvo type="max"/>
        <color rgb="FF63BE7B"/>
        <color rgb="FFFFEB84"/>
        <color rgb="FFF8696B"/>
      </colorScale>
    </cfRule>
  </conditionalFormatting>
  <conditionalFormatting sqref="J7:J30">
    <cfRule type="colorScale" priority="1039">
      <colorScale>
        <cfvo type="min"/>
        <cfvo type="percentile" val="50"/>
        <cfvo type="max"/>
        <color rgb="FF63BE7B"/>
        <color rgb="FFFFEB84"/>
        <color rgb="FFF8696B"/>
      </colorScale>
    </cfRule>
  </conditionalFormatting>
  <conditionalFormatting sqref="E8:F14 E16:F31">
    <cfRule type="colorScale" priority="1042">
      <colorScale>
        <cfvo type="min"/>
        <cfvo type="percentile" val="50"/>
        <cfvo type="max"/>
        <color rgb="FF63BE7B"/>
        <color rgb="FFFFEB84"/>
        <color rgb="FFF8696B"/>
      </colorScale>
    </cfRule>
  </conditionalFormatting>
  <conditionalFormatting sqref="H17:H31">
    <cfRule type="colorScale" priority="1045">
      <colorScale>
        <cfvo type="min"/>
        <cfvo type="percentile" val="50"/>
        <cfvo type="max"/>
        <color rgb="FF63BE7B"/>
        <color rgb="FFFFEB84"/>
        <color rgb="FFF8696B"/>
      </colorScale>
    </cfRule>
  </conditionalFormatting>
  <conditionalFormatting sqref="I8:I14 I16:I31">
    <cfRule type="colorScale" priority="1048">
      <colorScale>
        <cfvo type="min"/>
        <cfvo type="percentile" val="50"/>
        <cfvo type="max"/>
        <color rgb="FF63BE7B"/>
        <color rgb="FFFFEB84"/>
        <color rgb="FFF8696B"/>
      </colorScale>
    </cfRule>
  </conditionalFormatting>
  <conditionalFormatting sqref="G31">
    <cfRule type="colorScale" priority="1051">
      <colorScale>
        <cfvo type="min"/>
        <cfvo type="percentile" val="50"/>
        <cfvo type="max"/>
        <color rgb="FF63BE7B"/>
        <color rgb="FFFFEB84"/>
        <color rgb="FFF8696B"/>
      </colorScale>
    </cfRule>
  </conditionalFormatting>
  <conditionalFormatting sqref="K7:K30">
    <cfRule type="colorScale" priority="1055">
      <colorScale>
        <cfvo type="min"/>
        <cfvo type="percentile" val="50"/>
        <cfvo type="max"/>
        <color rgb="FF63BE7B"/>
        <color rgb="FFFFEB84"/>
        <color rgb="FFF8696B"/>
      </colorScale>
    </cfRule>
  </conditionalFormatting>
  <conditionalFormatting sqref="K7:K30">
    <cfRule type="colorScale" priority="1057">
      <colorScale>
        <cfvo type="min"/>
        <cfvo type="percentile" val="50"/>
        <cfvo type="max"/>
        <color rgb="FFF8696B"/>
        <color rgb="FFFFEB84"/>
        <color rgb="FF63BE7B"/>
      </colorScale>
    </cfRule>
  </conditionalFormatting>
  <conditionalFormatting sqref="J7:J30">
    <cfRule type="colorScale" priority="1059">
      <colorScale>
        <cfvo type="min"/>
        <cfvo type="percentile" val="50"/>
        <cfvo type="max"/>
        <color rgb="FF63BE7B"/>
        <color rgb="FFFFEB84"/>
        <color rgb="FFF8696B"/>
      </colorScale>
    </cfRule>
  </conditionalFormatting>
  <conditionalFormatting sqref="E7:F31">
    <cfRule type="colorScale" priority="1061">
      <colorScale>
        <cfvo type="min"/>
        <cfvo type="percentile" val="50"/>
        <cfvo type="max"/>
        <color rgb="FF63BE7B"/>
        <color rgb="FFFFEB84"/>
        <color rgb="FFF8696B"/>
      </colorScale>
    </cfRule>
  </conditionalFormatting>
  <conditionalFormatting sqref="H7:H30">
    <cfRule type="colorScale" priority="1063">
      <colorScale>
        <cfvo type="min"/>
        <cfvo type="percentile" val="50"/>
        <cfvo type="max"/>
        <color rgb="FF63BE7B"/>
        <color rgb="FFFFEB84"/>
        <color rgb="FFF8696B"/>
      </colorScale>
    </cfRule>
  </conditionalFormatting>
  <conditionalFormatting sqref="I30">
    <cfRule type="colorScale" priority="26">
      <colorScale>
        <cfvo type="min"/>
        <cfvo type="percentile" val="50"/>
        <cfvo type="max"/>
        <color rgb="FF63BE7B"/>
        <color rgb="FFFFEB84"/>
        <color rgb="FFF8696B"/>
      </colorScale>
    </cfRule>
  </conditionalFormatting>
  <conditionalFormatting sqref="I30">
    <cfRule type="colorScale" priority="27">
      <colorScale>
        <cfvo type="min"/>
        <cfvo type="percentile" val="50"/>
        <cfvo type="max"/>
        <color rgb="FF63BE7B"/>
        <color rgb="FFFFEB84"/>
        <color rgb="FFF8696B"/>
      </colorScale>
    </cfRule>
  </conditionalFormatting>
  <conditionalFormatting sqref="I30">
    <cfRule type="colorScale" priority="20">
      <colorScale>
        <cfvo type="min"/>
        <cfvo type="percentile" val="50"/>
        <cfvo type="max"/>
        <color rgb="FF63BE7B"/>
        <color rgb="FFFFEB84"/>
        <color rgb="FFF8696B"/>
      </colorScale>
    </cfRule>
  </conditionalFormatting>
  <conditionalFormatting sqref="I30">
    <cfRule type="colorScale" priority="21">
      <colorScale>
        <cfvo type="min"/>
        <cfvo type="percentile" val="50"/>
        <cfvo type="max"/>
        <color rgb="FF63BE7B"/>
        <color rgb="FFFFEB84"/>
        <color rgb="FFF8696B"/>
      </colorScale>
    </cfRule>
  </conditionalFormatting>
  <conditionalFormatting sqref="I15">
    <cfRule type="colorScale" priority="12">
      <colorScale>
        <cfvo type="min"/>
        <cfvo type="percentile" val="50"/>
        <cfvo type="max"/>
        <color rgb="FF63BE7B"/>
        <color rgb="FFFFEB84"/>
        <color rgb="FFF8696B"/>
      </colorScale>
    </cfRule>
  </conditionalFormatting>
  <conditionalFormatting sqref="I15">
    <cfRule type="colorScale" priority="13">
      <colorScale>
        <cfvo type="min"/>
        <cfvo type="percentile" val="50"/>
        <cfvo type="max"/>
        <color rgb="FF63BE7B"/>
        <color rgb="FFFFEB84"/>
        <color rgb="FFF8696B"/>
      </colorScale>
    </cfRule>
  </conditionalFormatting>
  <conditionalFormatting sqref="I15">
    <cfRule type="colorScale" priority="14">
      <colorScale>
        <cfvo type="min"/>
        <cfvo type="percentile" val="50"/>
        <cfvo type="max"/>
        <color rgb="FF63BE7B"/>
        <color rgb="FFFFEB84"/>
        <color rgb="FFF8696B"/>
      </colorScale>
    </cfRule>
  </conditionalFormatting>
  <conditionalFormatting sqref="I15">
    <cfRule type="colorScale" priority="15">
      <colorScale>
        <cfvo type="min"/>
        <cfvo type="percentile" val="50"/>
        <cfvo type="max"/>
        <color rgb="FF63BE7B"/>
        <color rgb="FFFFEB84"/>
        <color rgb="FFF8696B"/>
      </colorScale>
    </cfRule>
  </conditionalFormatting>
  <conditionalFormatting sqref="H7:H30">
    <cfRule type="colorScale" priority="11">
      <colorScale>
        <cfvo type="min"/>
        <cfvo type="percentile" val="50"/>
        <cfvo type="max"/>
        <color rgb="FF63BE7B"/>
        <color rgb="FFFFEB84"/>
        <color rgb="FFF8696B"/>
      </colorScale>
    </cfRule>
  </conditionalFormatting>
  <conditionalFormatting sqref="E7:F30 H7:K30">
    <cfRule type="colorScale" priority="10">
      <colorScale>
        <cfvo type="min"/>
        <cfvo type="percentile" val="50"/>
        <cfvo type="max"/>
        <color rgb="FF63BE7B"/>
        <color rgb="FFFFEB84"/>
        <color rgb="FFF8696B"/>
      </colorScale>
    </cfRule>
  </conditionalFormatting>
  <conditionalFormatting sqref="G7:G30">
    <cfRule type="colorScale" priority="6">
      <colorScale>
        <cfvo type="min"/>
        <cfvo type="percentile" val="50"/>
        <cfvo type="max"/>
        <color rgb="FF63BE7B"/>
        <color rgb="FFFFEB84"/>
        <color rgb="FFF8696B"/>
      </colorScale>
    </cfRule>
  </conditionalFormatting>
  <conditionalFormatting sqref="G7:G30">
    <cfRule type="colorScale" priority="7">
      <colorScale>
        <cfvo type="min"/>
        <cfvo type="percentile" val="50"/>
        <cfvo type="max"/>
        <color rgb="FF63BE7B"/>
        <color rgb="FFFFEB84"/>
        <color rgb="FFF8696B"/>
      </colorScale>
    </cfRule>
  </conditionalFormatting>
  <conditionalFormatting sqref="G7:G30">
    <cfRule type="colorScale" priority="8">
      <colorScale>
        <cfvo type="min"/>
        <cfvo type="percentile" val="50"/>
        <cfvo type="max"/>
        <color rgb="FF63BE7B"/>
        <color rgb="FFFFEB84"/>
        <color rgb="FFF8696B"/>
      </colorScale>
    </cfRule>
  </conditionalFormatting>
  <conditionalFormatting sqref="G7:G30">
    <cfRule type="colorScale" priority="9">
      <colorScale>
        <cfvo type="min"/>
        <cfvo type="percentile" val="50"/>
        <cfvo type="max"/>
        <color rgb="FF63BE7B"/>
        <color rgb="FFFFEB84"/>
        <color rgb="FFF8696B"/>
      </colorScale>
    </cfRule>
  </conditionalFormatting>
  <conditionalFormatting sqref="G7:G30">
    <cfRule type="colorScale" priority="5">
      <colorScale>
        <cfvo type="min"/>
        <cfvo type="percentile" val="50"/>
        <cfvo type="max"/>
        <color rgb="FFF8696B"/>
        <color rgb="FFFFEB84"/>
        <color rgb="FF63BE7B"/>
      </colorScale>
    </cfRule>
  </conditionalFormatting>
  <conditionalFormatting sqref="G7:G30">
    <cfRule type="colorScale" priority="4">
      <colorScale>
        <cfvo type="min"/>
        <cfvo type="percentile" val="50"/>
        <cfvo type="max"/>
        <color rgb="FF63BE7B"/>
        <color rgb="FFFFEB84"/>
        <color rgb="FFF8696B"/>
      </colorScale>
    </cfRule>
  </conditionalFormatting>
  <conditionalFormatting sqref="E7:K30">
    <cfRule type="colorScale" priority="3">
      <colorScale>
        <cfvo type="min"/>
        <cfvo type="percentile" val="50"/>
        <cfvo type="max"/>
        <color rgb="FF63BE7B"/>
        <color rgb="FFFFEB84"/>
        <color rgb="FFF8696B"/>
      </colorScale>
    </cfRule>
  </conditionalFormatting>
  <conditionalFormatting sqref="H17:H31 H7:H14">
    <cfRule type="colorScale" priority="1064">
      <colorScale>
        <cfvo type="min"/>
        <cfvo type="percentile" val="50"/>
        <cfvo type="max"/>
        <color rgb="FFF8696B"/>
        <color rgb="FFFFEB84"/>
        <color rgb="FF63BE7B"/>
      </colorScale>
    </cfRule>
  </conditionalFormatting>
  <conditionalFormatting sqref="E30">
    <cfRule type="colorScale" priority="1">
      <colorScale>
        <cfvo type="min"/>
        <cfvo type="percentile" val="50"/>
        <cfvo type="max"/>
        <color rgb="FF63BE7B"/>
        <color rgb="FFFFEB84"/>
        <color rgb="FFF8696B"/>
      </colorScale>
    </cfRule>
  </conditionalFormatting>
  <conditionalFormatting sqref="E30">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0C81-5C0A-4BD1-829A-F036C5F1598F}">
  <sheetPr>
    <tabColor rgb="FF7030A0"/>
  </sheetPr>
  <dimension ref="A1:Q33"/>
  <sheetViews>
    <sheetView showGridLines="0" tabSelected="1" zoomScale="60" zoomScaleNormal="60" workbookViewId="0">
      <selection activeCell="A43" sqref="A43"/>
    </sheetView>
  </sheetViews>
  <sheetFormatPr defaultColWidth="8.73046875" defaultRowHeight="14.25" outlineLevelCol="1"/>
  <cols>
    <col min="1" max="1" width="36" style="340" customWidth="1"/>
    <col min="2" max="2" width="35" style="429" customWidth="1" outlineLevel="1"/>
    <col min="3" max="5" width="10.59765625" style="340" customWidth="1"/>
    <col min="6" max="6" width="12.3984375" style="340" customWidth="1"/>
    <col min="7" max="7" width="12.3984375" style="340" hidden="1" customWidth="1" outlineLevel="1"/>
    <col min="8" max="8" width="12.3984375" style="340" customWidth="1" collapsed="1"/>
    <col min="9" max="9" width="12.3984375" style="338" customWidth="1"/>
    <col min="10" max="12" width="12.3984375" style="340" customWidth="1"/>
    <col min="13" max="13" width="13.265625" style="340" customWidth="1"/>
    <col min="14" max="14" width="71" style="340" customWidth="1"/>
    <col min="15" max="15" width="8.73046875" style="340"/>
    <col min="16" max="16" width="32.86328125" style="340" customWidth="1"/>
    <col min="17" max="16384" width="8.73046875" style="340"/>
  </cols>
  <sheetData>
    <row r="1" spans="1:17" ht="18">
      <c r="A1" s="7" t="s">
        <v>21</v>
      </c>
      <c r="B1" s="7"/>
      <c r="C1" s="429"/>
      <c r="D1" s="429"/>
      <c r="E1" s="406"/>
      <c r="F1" s="429"/>
      <c r="G1" s="429"/>
      <c r="H1" s="429"/>
      <c r="J1" s="429"/>
      <c r="K1" s="429"/>
      <c r="L1" s="429"/>
      <c r="M1" s="429"/>
      <c r="N1" s="464"/>
      <c r="O1" s="429"/>
      <c r="P1" s="464"/>
      <c r="Q1" s="429"/>
    </row>
    <row r="2" spans="1:17">
      <c r="A2" s="429" t="s">
        <v>22</v>
      </c>
      <c r="C2" s="429"/>
      <c r="D2" s="429"/>
      <c r="E2" s="406"/>
      <c r="F2" s="429"/>
      <c r="G2" s="429"/>
      <c r="H2" s="429"/>
      <c r="J2" s="429"/>
      <c r="K2" s="429"/>
      <c r="L2" s="429"/>
      <c r="M2" s="429"/>
      <c r="N2" s="464"/>
      <c r="O2" s="429"/>
      <c r="P2" s="464"/>
      <c r="Q2" s="429"/>
    </row>
    <row r="3" spans="1:17">
      <c r="A3" s="113" t="s">
        <v>761</v>
      </c>
      <c r="B3" s="442"/>
      <c r="C3" s="429"/>
      <c r="D3" s="429"/>
      <c r="E3" s="406"/>
      <c r="F3" s="429"/>
      <c r="G3" s="429"/>
      <c r="H3" s="429"/>
      <c r="J3" s="429"/>
      <c r="K3" s="429"/>
      <c r="L3" s="429"/>
      <c r="M3" s="429"/>
      <c r="N3" s="464"/>
      <c r="O3" s="429"/>
      <c r="P3" s="464"/>
      <c r="Q3" s="429"/>
    </row>
    <row r="4" spans="1:17">
      <c r="A4" s="113" t="s">
        <v>158</v>
      </c>
      <c r="B4" s="113"/>
      <c r="C4" s="113" t="s">
        <v>24</v>
      </c>
      <c r="D4" s="355" t="s">
        <v>25</v>
      </c>
      <c r="E4" s="111" t="s">
        <v>140</v>
      </c>
      <c r="F4" s="492" t="s">
        <v>26</v>
      </c>
      <c r="G4" s="493"/>
      <c r="H4" s="493"/>
      <c r="I4" s="493"/>
      <c r="J4" s="493"/>
      <c r="K4" s="493"/>
      <c r="L4" s="494"/>
      <c r="M4" s="429"/>
      <c r="N4" s="464"/>
      <c r="O4" s="429"/>
      <c r="P4" s="464"/>
      <c r="Q4" s="429"/>
    </row>
    <row r="5" spans="1:17">
      <c r="A5" s="116"/>
      <c r="B5" s="116"/>
      <c r="C5" s="115" t="s">
        <v>28</v>
      </c>
      <c r="D5" s="356" t="s">
        <v>28</v>
      </c>
      <c r="E5" s="251" t="s">
        <v>28</v>
      </c>
      <c r="F5" s="105" t="s">
        <v>29</v>
      </c>
      <c r="G5" s="106"/>
      <c r="H5" s="158"/>
      <c r="I5" s="460"/>
      <c r="J5" s="161"/>
      <c r="K5" s="112"/>
      <c r="L5" s="110"/>
      <c r="M5" s="8" t="s">
        <v>30</v>
      </c>
      <c r="N5" s="99"/>
      <c r="O5" s="4"/>
      <c r="P5" s="464"/>
      <c r="Q5" s="429"/>
    </row>
    <row r="6" spans="1:17" ht="57.75" customHeight="1">
      <c r="A6" s="114" t="s">
        <v>31</v>
      </c>
      <c r="B6" s="114" t="str">
        <f>SelectedPortfolio_2019RSP!C6</f>
        <v>Tx Zone</v>
      </c>
      <c r="C6" s="324" t="s">
        <v>34</v>
      </c>
      <c r="D6" s="107" t="s">
        <v>762</v>
      </c>
      <c r="E6" s="107" t="s">
        <v>763</v>
      </c>
      <c r="F6" s="346" t="s">
        <v>35</v>
      </c>
      <c r="G6" s="346"/>
      <c r="H6" s="346" t="s">
        <v>151</v>
      </c>
      <c r="I6" s="347" t="s">
        <v>37</v>
      </c>
      <c r="J6" s="346" t="s">
        <v>38</v>
      </c>
      <c r="K6" s="346" t="s">
        <v>40</v>
      </c>
      <c r="L6" s="348" t="s">
        <v>152</v>
      </c>
      <c r="M6" s="325" t="s">
        <v>44</v>
      </c>
      <c r="N6" s="326" t="s">
        <v>45</v>
      </c>
      <c r="O6" s="429"/>
      <c r="P6" s="464"/>
      <c r="Q6" s="429"/>
    </row>
    <row r="7" spans="1:17">
      <c r="A7" s="12" t="s">
        <v>49</v>
      </c>
      <c r="B7" s="12" t="str">
        <f>INDEX(SelectedPortfolio_2019RSP!C:C,MATCH(A7,SelectedPortfolio_2019RSP!B:B,0))</f>
        <v>SCADSNV-Greater_Imperial</v>
      </c>
      <c r="C7" s="11">
        <f>SUMIF('5_BUSBAR ALLOC_Adj_TPPFeb2020'!A:A,'Dashboard 2019RSP (Round 2)'!A7,'5_BUSBAR ALLOC_Adj_TPPFeb2020'!I:I)</f>
        <v>1256</v>
      </c>
      <c r="D7" s="11">
        <f>INDEX(SelectedPortfolio_2019RSP!N:N,MATCH(A7,SelectedPortfolio_2019RSP!H:H,0))</f>
        <v>0</v>
      </c>
      <c r="E7" s="349">
        <f>INDEX(SelectedPortfolio_2019RSP!O:O,MATCH(A7,SelectedPortfolio_2019RSP!B:B,0))</f>
        <v>0</v>
      </c>
      <c r="F7" s="250">
        <v>1</v>
      </c>
      <c r="G7" s="250" t="str">
        <f>INDEX('2_TxCapability'!AA:AA,MATCH(A7,'2_TxCapability'!O:O,0))</f>
        <v>ok</v>
      </c>
      <c r="H7" s="249">
        <f t="shared" ref="H7:H30" si="0">IF(G7="ok",1,IF(G7="",1,3))</f>
        <v>1</v>
      </c>
      <c r="I7" s="339">
        <v>1</v>
      </c>
      <c r="J7" s="250">
        <v>1</v>
      </c>
      <c r="K7" s="250">
        <f>INDEX('4_CommercialInterest'!V:V,MATCH(A7,'4_CommercialInterest'!F:F,0))</f>
        <v>1</v>
      </c>
      <c r="L7" s="250">
        <f>IFERROR(INDEX('5b_ComparToPrevYr'!K:K,MATCH(A7,'5b_ComparToPrevYr'!A:A,0)),"")</f>
        <v>3</v>
      </c>
      <c r="M7" s="81" t="s">
        <v>51</v>
      </c>
      <c r="N7" s="73" t="s">
        <v>159</v>
      </c>
      <c r="O7" s="429"/>
      <c r="P7" s="464"/>
      <c r="Q7" s="429"/>
    </row>
    <row r="8" spans="1:17">
      <c r="A8" s="12" t="s">
        <v>60</v>
      </c>
      <c r="B8" s="12" t="str">
        <f>INDEX(SelectedPortfolio_2019RSP!C:C,MATCH(A8,SelectedPortfolio_2019RSP!B:B,0))</f>
        <v>Carrizo-Kern_Greater_Carrizo-SPGE</v>
      </c>
      <c r="C8" s="11">
        <f>SUMIF('5_BUSBAR ALLOC_Adj_TPPFeb2020'!A:A,'Dashboard 2019RSP (Round 2)'!A8,'5_BUSBAR ALLOC_Adj_TPPFeb2020'!I:I)</f>
        <v>160</v>
      </c>
      <c r="D8" s="11">
        <f>INDEX(SelectedPortfolio_2019RSP!N:N,MATCH(A8,SelectedPortfolio_2019RSP!H:H,0))</f>
        <v>287</v>
      </c>
      <c r="E8" s="349">
        <f>INDEX(SelectedPortfolio_2019RSP!O:O,MATCH(A8,SelectedPortfolio_2019RSP!B:B,0))</f>
        <v>287</v>
      </c>
      <c r="F8" s="250">
        <v>1</v>
      </c>
      <c r="G8" s="250" t="str">
        <f>INDEX('2_TxCapability'!AA:AA,MATCH(A8,'2_TxCapability'!O:O,0))</f>
        <v>ok</v>
      </c>
      <c r="H8" s="249">
        <f t="shared" si="0"/>
        <v>1</v>
      </c>
      <c r="I8" s="339">
        <f>INDEX('3.2_SUM WIND RESOURCE ACRES'!S:S,MATCH(A8,'3.2_SUM WIND RESOURCE ACRES'!R:R,0))</f>
        <v>2</v>
      </c>
      <c r="J8" s="250">
        <f>IF(E8=0,1,INDEX('3.2_SUM WIND RESOURCE ACRES'!T:T,MATCH(A8,'3.2_SUM WIND RESOURCE ACRES'!R:R,0)))</f>
        <v>2</v>
      </c>
      <c r="K8" s="250">
        <f>INDEX('4_CommercialInterest'!V:V,MATCH(A8,'4_CommercialInterest'!F:F,0))</f>
        <v>1</v>
      </c>
      <c r="L8" s="250">
        <f>IFERROR(INDEX('5b_ComparToPrevYr'!K:K,MATCH(A8,'5b_ComparToPrevYr'!A:A,0)),"")</f>
        <v>2</v>
      </c>
      <c r="M8" s="81" t="s">
        <v>51</v>
      </c>
      <c r="N8" s="73"/>
      <c r="O8" s="429"/>
      <c r="P8" s="464"/>
      <c r="Q8" s="429"/>
    </row>
    <row r="9" spans="1:17">
      <c r="A9" s="12" t="s">
        <v>63</v>
      </c>
      <c r="B9" s="12" t="str">
        <f>INDEX(SelectedPortfolio_2019RSP!C:C,MATCH(A9,SelectedPortfolio_2019RSP!B:B,0))</f>
        <v>Central_Valley_North_Los_Banos-SPGE</v>
      </c>
      <c r="C9" s="11">
        <f>SUMIF('5_BUSBAR ALLOC_Adj_TPPFeb2020'!A:A,'Dashboard 2019RSP (Round 2)'!A9,'5_BUSBAR ALLOC_Adj_TPPFeb2020'!I:I)</f>
        <v>146</v>
      </c>
      <c r="D9" s="11">
        <f>INDEX(SelectedPortfolio_2019RSP!N:N,MATCH(A9,SelectedPortfolio_2019RSP!H:H,0))</f>
        <v>173</v>
      </c>
      <c r="E9" s="349">
        <f>INDEX(SelectedPortfolio_2019RSP!O:O,MATCH(A9,SelectedPortfolio_2019RSP!B:B,0))</f>
        <v>173</v>
      </c>
      <c r="F9" s="250">
        <v>1</v>
      </c>
      <c r="G9" s="250" t="str">
        <f>INDEX('2_TxCapability'!AA:AA,MATCH(A9,'2_TxCapability'!O:O,0))</f>
        <v>ok</v>
      </c>
      <c r="H9" s="249">
        <f t="shared" si="0"/>
        <v>1</v>
      </c>
      <c r="I9" s="339">
        <f>INDEX('3.2_SUM WIND RESOURCE ACRES'!S:S,MATCH(A9,'3.2_SUM WIND RESOURCE ACRES'!R:R,0))</f>
        <v>2</v>
      </c>
      <c r="J9" s="250">
        <f>IF(E9=0,1,INDEX('3.2_SUM WIND RESOURCE ACRES'!T:T,MATCH(A9,'3.2_SUM WIND RESOURCE ACRES'!R:R,0)))</f>
        <v>2</v>
      </c>
      <c r="K9" s="250">
        <f>INDEX('4_CommercialInterest'!V:V,MATCH(A9,'4_CommercialInterest'!F:F,0))</f>
        <v>1</v>
      </c>
      <c r="L9" s="250">
        <f>IFERROR(INDEX('5b_ComparToPrevYr'!K:K,MATCH(A9,'5b_ComparToPrevYr'!A:A,0)),"")</f>
        <v>1</v>
      </c>
      <c r="M9" s="81" t="s">
        <v>51</v>
      </c>
      <c r="N9" s="73" t="s">
        <v>160</v>
      </c>
      <c r="O9" s="429"/>
      <c r="P9" s="464"/>
      <c r="Q9" s="429"/>
    </row>
    <row r="10" spans="1:17">
      <c r="A10" s="12" t="s">
        <v>67</v>
      </c>
      <c r="B10" s="12" t="str">
        <f>INDEX(SelectedPortfolio_2019RSP!C:C,MATCH(A10,SelectedPortfolio_2019RSP!B:B,0))</f>
        <v>SCADSNV-Greater_Imperial</v>
      </c>
      <c r="C10" s="11">
        <f>SUMIF('5_BUSBAR ALLOC_Adj_TPPFeb2020'!A:A,'Dashboard 2019RSP (Round 2)'!A10,'5_BUSBAR ALLOC_Adj_TPPFeb2020'!I:I)</f>
        <v>0</v>
      </c>
      <c r="D10" s="11">
        <f>INDEX(SelectedPortfolio_2019RSP!N:N,MATCH(A10,SelectedPortfolio_2019RSP!H:H,0))</f>
        <v>547.9</v>
      </c>
      <c r="E10" s="349">
        <f>INDEX(SelectedPortfolio_2019RSP!O:O,MATCH(A10,SelectedPortfolio_2019RSP!B:B,0))</f>
        <v>547.9</v>
      </c>
      <c r="F10" s="250">
        <v>1</v>
      </c>
      <c r="G10" s="250" t="str">
        <f>INDEX('2_TxCapability'!AA:AA,MATCH(A10,'2_TxCapability'!O:O,0))</f>
        <v>ok</v>
      </c>
      <c r="H10" s="249">
        <f t="shared" si="0"/>
        <v>1</v>
      </c>
      <c r="I10" s="339">
        <f>IF(E10&lt;1,1,INDEX('3.2_SUM SOLAR RESOURCE ACRES'!X:X,MATCH(A10,'3.2_SUM SOLAR RESOURCE ACRES'!W:W,0)))</f>
        <v>1</v>
      </c>
      <c r="J10" s="250">
        <f>IF(E10&lt;1,1,INDEX('3.1_SUM SOLAR RESOURCE ACRES'!Y:Y,MATCH(A10,'3.1_SUM SOLAR RESOURCE ACRES'!W:W,0)))</f>
        <v>1</v>
      </c>
      <c r="K10" s="250">
        <f>INDEX('4_CommercialInterest'!V:V,MATCH(A10,'4_CommercialInterest'!F:F,0))</f>
        <v>2</v>
      </c>
      <c r="L10" s="250">
        <f>IFERROR(INDEX('5b_ComparToPrevYr'!K:K,MATCH(A10,'5b_ComparToPrevYr'!A:A,0)),"")</f>
        <v>2</v>
      </c>
      <c r="M10" s="81" t="s">
        <v>51</v>
      </c>
      <c r="N10" s="73"/>
      <c r="O10" s="429"/>
      <c r="P10" s="243"/>
      <c r="Q10" s="429"/>
    </row>
    <row r="11" spans="1:17">
      <c r="A11" s="12" t="s">
        <v>72</v>
      </c>
      <c r="B11" s="12" t="str">
        <f>INDEX(SelectedPortfolio_2019RSP!C:C,MATCH(A11,SelectedPortfolio_2019RSP!B:B,0))</f>
        <v>Humboldt-Sacramento_River</v>
      </c>
      <c r="C11" s="11">
        <f>SUMIF('5_BUSBAR ALLOC_Adj_TPPFeb2020'!A:A,'Dashboard 2019RSP (Round 2)'!A11,'5_BUSBAR ALLOC_Adj_TPPFeb2020'!I:I)</f>
        <v>0</v>
      </c>
      <c r="D11" s="11">
        <f>INDEX(SelectedPortfolio_2019RSP!N:N,MATCH(A11,SelectedPortfolio_2019RSP!H:H,0))</f>
        <v>34</v>
      </c>
      <c r="E11" s="349">
        <f>INDEX(SelectedPortfolio_2019RSP!O:O,MATCH(A11,SelectedPortfolio_2019RSP!B:B,0))</f>
        <v>34</v>
      </c>
      <c r="F11" s="250">
        <v>1</v>
      </c>
      <c r="G11" s="250" t="str">
        <f>INDEX('2_TxCapability'!AA:AA,MATCH(A11,'2_TxCapability'!O:O,0))</f>
        <v>ok</v>
      </c>
      <c r="H11" s="249">
        <f t="shared" si="0"/>
        <v>1</v>
      </c>
      <c r="I11" s="339">
        <f>INDEX('3.2_SUM WIND RESOURCE ACRES'!S:S,MATCH(A11,'3.2_SUM WIND RESOURCE ACRES'!R:R,0))</f>
        <v>2</v>
      </c>
      <c r="J11" s="250">
        <f>IF(E11=0,1,INDEX('3.2_SUM WIND RESOURCE ACRES'!T:T,MATCH(A11,'3.2_SUM WIND RESOURCE ACRES'!R:R,0)))</f>
        <v>2</v>
      </c>
      <c r="K11" s="250" t="str">
        <f>INDEX('4_CommercialInterest'!V:V,MATCH(A11,'4_CommercialInterest'!F:F,0))</f>
        <v/>
      </c>
      <c r="L11" s="250">
        <f>IFERROR(INDEX('5b_ComparToPrevYr'!K:K,MATCH(A11,'5b_ComparToPrevYr'!A:A,0)),"")</f>
        <v>2</v>
      </c>
      <c r="M11" s="81" t="s">
        <v>51</v>
      </c>
      <c r="N11" s="73" t="s">
        <v>161</v>
      </c>
      <c r="O11" s="429"/>
      <c r="P11" s="464"/>
      <c r="Q11" s="429"/>
    </row>
    <row r="12" spans="1:17">
      <c r="A12" s="12" t="s">
        <v>73</v>
      </c>
      <c r="B12" s="12" t="str">
        <f>INDEX(SelectedPortfolio_2019RSP!C:C,MATCH(A12,SelectedPortfolio_2019RSP!B:B,0))</f>
        <v>Inyokern_North_Kramer-Greater_Kramer</v>
      </c>
      <c r="C12" s="11">
        <f>SUMIF('5_BUSBAR ALLOC_Adj_TPPFeb2020'!A:A,'Dashboard 2019RSP (Round 2)'!A12,'5_BUSBAR ALLOC_Adj_TPPFeb2020'!I:I)</f>
        <v>554</v>
      </c>
      <c r="D12" s="11">
        <f>INDEX(SelectedPortfolio_2019RSP!N:N,MATCH(A12,SelectedPortfolio_2019RSP!H:H,0))</f>
        <v>97</v>
      </c>
      <c r="E12" s="349">
        <f>INDEX(SelectedPortfolio_2019RSP!O:O,MATCH(A12,SelectedPortfolio_2019RSP!B:B,0))</f>
        <v>97</v>
      </c>
      <c r="F12" s="250">
        <v>1</v>
      </c>
      <c r="G12" s="250" t="str">
        <f>INDEX('2_TxCapability'!AA:AA,MATCH(A12,'2_TxCapability'!O:O,0))</f>
        <v>ok</v>
      </c>
      <c r="H12" s="249">
        <f t="shared" si="0"/>
        <v>1</v>
      </c>
      <c r="I12" s="339">
        <f>IF(E12&lt;1,1,INDEX('3.2_SUM SOLAR RESOURCE ACRES'!X:X,MATCH(A12,'3.2_SUM SOLAR RESOURCE ACRES'!W:W,0)))</f>
        <v>1</v>
      </c>
      <c r="J12" s="250">
        <f>IF(E12&lt;1,1,INDEX('3.1_SUM SOLAR RESOURCE ACRES'!Y:Y,MATCH(A12,'3.1_SUM SOLAR RESOURCE ACRES'!W:W,0)))</f>
        <v>1</v>
      </c>
      <c r="K12" s="250">
        <f>INDEX('4_CommercialInterest'!V:V,MATCH(A12,'4_CommercialInterest'!F:F,0))</f>
        <v>1</v>
      </c>
      <c r="L12" s="250">
        <f>IFERROR(INDEX('5b_ComparToPrevYr'!K:K,MATCH(A12,'5b_ComparToPrevYr'!A:A,0)),"")</f>
        <v>2</v>
      </c>
      <c r="M12" s="81" t="s">
        <v>51</v>
      </c>
      <c r="N12" s="73"/>
      <c r="O12" s="429"/>
      <c r="P12" s="243"/>
      <c r="Q12" s="429"/>
    </row>
    <row r="13" spans="1:17">
      <c r="A13" s="12" t="s">
        <v>75</v>
      </c>
      <c r="B13" s="12" t="str">
        <f>INDEX(SelectedPortfolio_2019RSP!C:C,MATCH(A13,SelectedPortfolio_2019RSP!B:B,0))</f>
        <v>Kern_Greater_Carrizo-SPGE</v>
      </c>
      <c r="C13" s="11">
        <f>SUMIF('5_BUSBAR ALLOC_Adj_TPPFeb2020'!A:A,'Dashboard 2019RSP (Round 2)'!A13,'5_BUSBAR ALLOC_Adj_TPPFeb2020'!I:I)</f>
        <v>0</v>
      </c>
      <c r="D13" s="11">
        <f>INDEX(SelectedPortfolio_2019RSP!N:N,MATCH(A13,SelectedPortfolio_2019RSP!H:H,0))</f>
        <v>241.66000000000003</v>
      </c>
      <c r="E13" s="349">
        <f>INDEX(SelectedPortfolio_2019RSP!O:O,MATCH(A13,SelectedPortfolio_2019RSP!B:B,0))</f>
        <v>241.66000000000003</v>
      </c>
      <c r="F13" s="250">
        <v>1</v>
      </c>
      <c r="G13" s="250" t="str">
        <f>INDEX('2_TxCapability'!AA:AA,MATCH(A13,'2_TxCapability'!O:O,0))</f>
        <v>ok</v>
      </c>
      <c r="H13" s="249">
        <f t="shared" si="0"/>
        <v>1</v>
      </c>
      <c r="I13" s="339">
        <f>IF(E13&lt;1,1,INDEX('3.2_SUM SOLAR RESOURCE ACRES'!X:X,MATCH(A13,'3.2_SUM SOLAR RESOURCE ACRES'!W:W,0)))</f>
        <v>1</v>
      </c>
      <c r="J13" s="250">
        <f>IF(E13=0,1,INDEX('3.1_SUM SOLAR RESOURCE ACRES'!Y:Y,MATCH(A13,'3.1_SUM SOLAR RESOURCE ACRES'!W:W,0)))</f>
        <v>1</v>
      </c>
      <c r="K13" s="250">
        <f>INDEX('4_CommercialInterest'!V:V,MATCH(A13,'4_CommercialInterest'!F:F,0))</f>
        <v>1</v>
      </c>
      <c r="L13" s="250">
        <f>IFERROR(INDEX('5b_ComparToPrevYr'!K:K,MATCH(A13,'5b_ComparToPrevYr'!A:A,0)),"")</f>
        <v>2</v>
      </c>
      <c r="M13" s="81" t="s">
        <v>51</v>
      </c>
      <c r="N13" s="74" t="s">
        <v>162</v>
      </c>
      <c r="O13" s="429"/>
      <c r="P13" s="464"/>
      <c r="Q13" s="429"/>
    </row>
    <row r="14" spans="1:17">
      <c r="A14" s="12" t="s">
        <v>76</v>
      </c>
      <c r="B14" s="12" t="str">
        <f>INDEX(SelectedPortfolio_2019RSP!C:C,MATCH(A14,SelectedPortfolio_2019RSP!B:B,0))</f>
        <v>Kern_Greater_Carrizo-SPGE</v>
      </c>
      <c r="C14" s="11">
        <f>SUMIF('5_BUSBAR ALLOC_Adj_TPPFeb2020'!A:A,'Dashboard 2019RSP (Round 2)'!A14,'5_BUSBAR ALLOC_Adj_TPPFeb2020'!I:I)</f>
        <v>0</v>
      </c>
      <c r="D14" s="11">
        <f>INDEX(SelectedPortfolio_2019RSP!N:N,MATCH(A14,SelectedPortfolio_2019RSP!H:H,0))</f>
        <v>60</v>
      </c>
      <c r="E14" s="349">
        <f>INDEX(SelectedPortfolio_2019RSP!O:O,MATCH(A14,SelectedPortfolio_2019RSP!B:B,0))</f>
        <v>60</v>
      </c>
      <c r="F14" s="250">
        <v>1</v>
      </c>
      <c r="G14" s="250" t="str">
        <f>INDEX('2_TxCapability'!AA:AA,MATCH(A14,'2_TxCapability'!O:O,0))</f>
        <v>ok</v>
      </c>
      <c r="H14" s="249">
        <f t="shared" si="0"/>
        <v>1</v>
      </c>
      <c r="I14" s="339">
        <f>INDEX('3.2_SUM WIND RESOURCE ACRES'!S:S,MATCH(A14,'3.2_SUM WIND RESOURCE ACRES'!R:R,0))</f>
        <v>1</v>
      </c>
      <c r="J14" s="250">
        <f>IF(E14=0,1,INDEX('3.2_SUM WIND RESOURCE ACRES'!T:T,MATCH(A14,'3.2_SUM WIND RESOURCE ACRES'!R:R,0)))</f>
        <v>1</v>
      </c>
      <c r="K14" s="250">
        <f>INDEX('4_CommercialInterest'!V:V,MATCH(A14,'4_CommercialInterest'!F:F,0))</f>
        <v>1</v>
      </c>
      <c r="L14" s="250">
        <f>IFERROR(INDEX('5b_ComparToPrevYr'!K:K,MATCH(A14,'5b_ComparToPrevYr'!A:A,0)),"")</f>
        <v>2</v>
      </c>
      <c r="M14" s="81" t="s">
        <v>51</v>
      </c>
      <c r="N14" s="73" t="s">
        <v>160</v>
      </c>
      <c r="O14" s="429"/>
      <c r="P14" s="464"/>
      <c r="Q14" s="429"/>
    </row>
    <row r="15" spans="1:17">
      <c r="A15" s="12" t="s">
        <v>79</v>
      </c>
      <c r="B15" s="12" t="str">
        <f>INDEX(SelectedPortfolio_2019RSP!C:C,MATCH(A15,SelectedPortfolio_2019RSP!B:B,0))</f>
        <v>N/A</v>
      </c>
      <c r="C15" s="11">
        <f>SUMIF('5_BUSBAR ALLOC_Adj_TPPFeb2020'!A:A,'Dashboard 2019RSP (Round 2)'!A15,'5_BUSBAR ALLOC_Adj_TPPFeb2020'!I:I)</f>
        <v>0</v>
      </c>
      <c r="D15" s="11">
        <f>INDEX(SelectedPortfolio_2019RSP!N:N,MATCH(A15,SelectedPortfolio_2019RSP!H:H,0))</f>
        <v>248</v>
      </c>
      <c r="E15" s="349">
        <f>INDEX(SelectedPortfolio_2019RSP!O:O,MATCH(A15,SelectedPortfolio_2019RSP!B:B,0))</f>
        <v>248</v>
      </c>
      <c r="F15" s="250">
        <v>1</v>
      </c>
      <c r="G15" s="250" t="str">
        <f>INDEX('2_TxCapability'!AA:AA,MATCH(A15,'2_TxCapability'!O:O,0))</f>
        <v>ok</v>
      </c>
      <c r="H15" s="249">
        <f t="shared" si="0"/>
        <v>1</v>
      </c>
      <c r="I15" s="339">
        <f>IF(E15&lt;1,1,INDEX('3.2_SUM SOLAR RESOURCE ACRES'!X:X,MATCH(A15,'3.2_SUM SOLAR RESOURCE ACRES'!W:W,0)))</f>
        <v>1</v>
      </c>
      <c r="J15" s="250">
        <f>IF(E15&lt;1,1,INDEX('3.1_SUM SOLAR RESOURCE ACRES'!Y:Y,MATCH(A15,'3.1_SUM SOLAR RESOURCE ACRES'!W:W,0)))</f>
        <v>1</v>
      </c>
      <c r="K15" s="250">
        <f>INDEX('4_CommercialInterest'!V:V,MATCH(A15,'4_CommercialInterest'!F:F,0))</f>
        <v>1</v>
      </c>
      <c r="L15" s="250">
        <f>IFERROR(INDEX('5b_ComparToPrevYr'!K:K,MATCH(A15,'5b_ComparToPrevYr'!A:A,0)),"")</f>
        <v>2</v>
      </c>
      <c r="M15" s="81" t="s">
        <v>51</v>
      </c>
      <c r="N15" s="359"/>
      <c r="O15" s="429"/>
      <c r="P15" s="406"/>
      <c r="Q15" s="429"/>
    </row>
    <row r="16" spans="1:17">
      <c r="A16" s="12" t="s">
        <v>81</v>
      </c>
      <c r="B16" s="12" t="str">
        <f>INDEX(SelectedPortfolio_2019RSP!C:C,MATCH(A16,SelectedPortfolio_2019RSP!B:B,0))</f>
        <v>North_Victor-Greater_Kramer</v>
      </c>
      <c r="C16" s="11">
        <f>SUMIF('5_BUSBAR ALLOC_Adj_TPPFeb2020'!A:A,'Dashboard 2019RSP (Round 2)'!A16,'5_BUSBAR ALLOC_Adj_TPPFeb2020'!I:I)</f>
        <v>0</v>
      </c>
      <c r="D16" s="11">
        <f>INDEX(SelectedPortfolio_2019RSP!N:N,MATCH(A16,SelectedPortfolio_2019RSP!H:H,0))</f>
        <v>300</v>
      </c>
      <c r="E16" s="349">
        <f>INDEX(SelectedPortfolio_2019RSP!O:O,MATCH(A16,SelectedPortfolio_2019RSP!B:B,0))</f>
        <v>300</v>
      </c>
      <c r="F16" s="250">
        <v>1</v>
      </c>
      <c r="G16" s="250" t="str">
        <f>INDEX('2_TxCapability'!AA:AA,MATCH(A16,'2_TxCapability'!O:O,0))</f>
        <v>ok</v>
      </c>
      <c r="H16" s="249">
        <f t="shared" si="0"/>
        <v>1</v>
      </c>
      <c r="I16" s="339">
        <f>IF(E16&lt;1,1,INDEX('3.2_SUM SOLAR RESOURCE ACRES'!X:X,MATCH(A16,'3.2_SUM SOLAR RESOURCE ACRES'!W:W,0)))</f>
        <v>1</v>
      </c>
      <c r="J16" s="250">
        <f>IF(E16&lt;1,1,INDEX('3.1_SUM SOLAR RESOURCE ACRES'!Y:Y,MATCH(A16,'3.1_SUM SOLAR RESOURCE ACRES'!W:W,0)))</f>
        <v>1</v>
      </c>
      <c r="K16" s="250">
        <f>INDEX('4_CommercialInterest'!V:V,MATCH(A16,'4_CommercialInterest'!F:F,0))</f>
        <v>1</v>
      </c>
      <c r="L16" s="250">
        <f>IFERROR(INDEX('5b_ComparToPrevYr'!K:K,MATCH(A16,'5b_ComparToPrevYr'!A:A,0)),"")</f>
        <v>2</v>
      </c>
      <c r="M16" s="244" t="s">
        <v>51</v>
      </c>
      <c r="N16" s="73"/>
      <c r="O16" s="429"/>
      <c r="P16" s="4"/>
      <c r="Q16" s="429"/>
    </row>
    <row r="17" spans="1:17">
      <c r="A17" s="12" t="s">
        <v>83</v>
      </c>
      <c r="B17" s="12" t="str">
        <f>INDEX(SelectedPortfolio_2019RSP!C:C,MATCH(A17,SelectedPortfolio_2019RSP!B:B,0))</f>
        <v>Sacramento_River</v>
      </c>
      <c r="C17" s="11">
        <f>SUMIF('5_BUSBAR ALLOC_Adj_TPPFeb2020'!A:A,'Dashboard 2019RSP (Round 2)'!A17,'5_BUSBAR ALLOC_Adj_TPPFeb2020'!I:I)</f>
        <v>0</v>
      </c>
      <c r="D17" s="11">
        <f>INDEX(SelectedPortfolio_2019RSP!N:N,MATCH(A17,SelectedPortfolio_2019RSP!H:H,0))</f>
        <v>865.9</v>
      </c>
      <c r="E17" s="349">
        <f>INDEX(SelectedPortfolio_2019RSP!O:O,MATCH(A17,SelectedPortfolio_2019RSP!B:B,0))</f>
        <v>865.9</v>
      </c>
      <c r="F17" s="250">
        <v>1</v>
      </c>
      <c r="G17" s="250" t="str">
        <f>INDEX('2_TxCapability'!AA:AA,MATCH(A17,'2_TxCapability'!O:O,0))</f>
        <v>ok</v>
      </c>
      <c r="H17" s="249">
        <f t="shared" si="0"/>
        <v>1</v>
      </c>
      <c r="I17" s="339">
        <f>INDEX('3.2_SUM WIND RESOURCE ACRES'!S:S,MATCH(A17,'3.2_SUM WIND RESOURCE ACRES'!R:R,0))</f>
        <v>2</v>
      </c>
      <c r="J17" s="250">
        <f>IF(E17=0,1,INDEX('3.2_SUM WIND RESOURCE ACRES'!T:T,MATCH(A17,'3.2_SUM WIND RESOURCE ACRES'!R:R,0)))</f>
        <v>1</v>
      </c>
      <c r="K17" s="250">
        <f>INDEX('4_CommercialInterest'!V:V,MATCH(A17,'4_CommercialInterest'!F:F,0))</f>
        <v>1</v>
      </c>
      <c r="L17" s="250">
        <f>IFERROR(INDEX('5b_ComparToPrevYr'!K:K,MATCH(A17,'5b_ComparToPrevYr'!A:A,0)),"")</f>
        <v>2</v>
      </c>
      <c r="M17" s="244" t="s">
        <v>51</v>
      </c>
      <c r="N17" s="73"/>
      <c r="O17" s="429"/>
      <c r="P17" s="243"/>
      <c r="Q17" s="429"/>
    </row>
    <row r="18" spans="1:17">
      <c r="A18" s="74" t="s">
        <v>87</v>
      </c>
      <c r="B18" s="12" t="str">
        <f>INDEX(SelectedPortfolio_2019RSP!C:C,MATCH(A18,SelectedPortfolio_2019RSP!B:B,0))</f>
        <v>SCADSNV-Riverside_Palm_Springs</v>
      </c>
      <c r="C18" s="11">
        <f>SUMIF('5_BUSBAR ALLOC_Adj_TPPFeb2020'!A:A,'Dashboard 2019RSP (Round 2)'!A18,'5_BUSBAR ALLOC_Adj_TPPFeb2020'!I:I)</f>
        <v>1622</v>
      </c>
      <c r="D18" s="11">
        <f>INDEX(SelectedPortfolio_2019RSP!N:N,MATCH(A18,SelectedPortfolio_2019RSP!H:H,0))</f>
        <v>0</v>
      </c>
      <c r="E18" s="349">
        <f>INDEX(SelectedPortfolio_2019RSP!O:O,MATCH(A18,SelectedPortfolio_2019RSP!B:B,0))</f>
        <v>0</v>
      </c>
      <c r="F18" s="250">
        <v>1</v>
      </c>
      <c r="G18" s="250" t="str">
        <f>INDEX('2_TxCapability'!AA:AA,MATCH(A18,'2_TxCapability'!O:O,0))</f>
        <v>ok</v>
      </c>
      <c r="H18" s="249">
        <f t="shared" si="0"/>
        <v>1</v>
      </c>
      <c r="I18" s="339">
        <f>IF(E18&lt;1,1,INDEX(#REF!,MATCH(A18,#REF!,0)))</f>
        <v>1</v>
      </c>
      <c r="J18" s="250">
        <f>IF(E18&lt;1,1,INDEX('3.1_SUM SOLAR RESOURCE ACRES'!Y:Y,MATCH(A18,'3.1_SUM SOLAR RESOURCE ACRES'!W:W,0)))</f>
        <v>1</v>
      </c>
      <c r="K18" s="250">
        <f>INDEX('4_CommercialInterest'!V:V,MATCH(A18,'4_CommercialInterest'!F:F,0))</f>
        <v>2</v>
      </c>
      <c r="L18" s="250">
        <f>IFERROR(INDEX('5b_ComparToPrevYr'!K:K,MATCH(A18,'5b_ComparToPrevYr'!A:A,0)),"")</f>
        <v>3</v>
      </c>
      <c r="M18" s="244" t="s">
        <v>51</v>
      </c>
      <c r="N18" s="73" t="s">
        <v>748</v>
      </c>
      <c r="O18" s="429"/>
      <c r="P18" s="243"/>
      <c r="Q18" s="429"/>
    </row>
    <row r="19" spans="1:17">
      <c r="A19" s="74" t="s">
        <v>89</v>
      </c>
      <c r="B19" s="12"/>
      <c r="C19" s="11">
        <f>SUMIF('5_BUSBAR ALLOC_Adj_TPPFeb2020'!A:A,'Dashboard 2019RSP (Round 2)'!A19,'5_BUSBAR ALLOC_Adj_TPPFeb2020'!I:I)</f>
        <v>42</v>
      </c>
      <c r="D19" s="11" t="e">
        <f>INDEX(SelectedPortfolio_2019RSP!N:N,MATCH(A19,SelectedPortfolio_2019RSP!H:H,0))</f>
        <v>#N/A</v>
      </c>
      <c r="E19" s="349" t="e">
        <f>INDEX(SelectedPortfolio_2019RSP!O:O,MATCH(A19,SelectedPortfolio_2019RSP!B:B,0))</f>
        <v>#N/A</v>
      </c>
      <c r="F19" s="250"/>
      <c r="G19" s="250"/>
      <c r="H19" s="249"/>
      <c r="I19" s="339"/>
      <c r="J19" s="250"/>
      <c r="K19" s="250"/>
      <c r="L19" s="250" t="str">
        <f>IFERROR(INDEX('5b_ComparToPrevYr'!K:K,MATCH(A19,'5b_ComparToPrevYr'!A:A,0)),"")</f>
        <v/>
      </c>
      <c r="M19" s="408"/>
      <c r="N19" s="73" t="s">
        <v>163</v>
      </c>
      <c r="O19" s="429"/>
      <c r="P19" s="243"/>
      <c r="Q19" s="429"/>
    </row>
    <row r="20" spans="1:17">
      <c r="A20" s="12" t="s">
        <v>94</v>
      </c>
      <c r="B20" s="12" t="str">
        <f>INDEX(SelectedPortfolio_2019RSP!C:C,MATCH(A20,SelectedPortfolio_2019RSP!B:B,0))</f>
        <v>SCADSNV</v>
      </c>
      <c r="C20" s="11">
        <f>SUMIF('5_BUSBAR ALLOC_Adj_TPPFeb2020'!A:A,'Dashboard 2019RSP (Round 2)'!A20,'5_BUSBAR ALLOC_Adj_TPPFeb2020'!I:I)</f>
        <v>0</v>
      </c>
      <c r="D20" s="11">
        <f>INDEX(SelectedPortfolio_2019RSP!N:N,MATCH(A20,SelectedPortfolio_2019RSP!H:H,0))</f>
        <v>330</v>
      </c>
      <c r="E20" s="349">
        <f>INDEX(SelectedPortfolio_2019RSP!O:O,MATCH(A20,SelectedPortfolio_2019RSP!B:B,0))</f>
        <v>330</v>
      </c>
      <c r="F20" s="250">
        <v>1</v>
      </c>
      <c r="G20" s="250" t="str">
        <f>INDEX('2_TxCapability'!AA:AA,MATCH(A20,'2_TxCapability'!O:O,0))</f>
        <v>ok</v>
      </c>
      <c r="H20" s="249">
        <f t="shared" si="0"/>
        <v>1</v>
      </c>
      <c r="I20" s="339">
        <f>IF(E20&lt;1,1,INDEX('3.2_SUM SOLAR RESOURCE ACRES'!X:X,MATCH(A20,'3.2_SUM SOLAR RESOURCE ACRES'!W:W,0)))</f>
        <v>1</v>
      </c>
      <c r="J20" s="250">
        <f>IF(E20&lt;1,1,INDEX('3.1_SUM SOLAR RESOURCE ACRES'!Y:Y,MATCH(A20,'3.1_SUM SOLAR RESOURCE ACRES'!W:W,0)))</f>
        <v>1</v>
      </c>
      <c r="K20" s="250">
        <f>INDEX('4_CommercialInterest'!V:V,MATCH(A20,'4_CommercialInterest'!F:F,0))</f>
        <v>1</v>
      </c>
      <c r="L20" s="250">
        <f>IFERROR(INDEX('5b_ComparToPrevYr'!K:K,MATCH(A20,'5b_ComparToPrevYr'!A:A,0)),"")</f>
        <v>2</v>
      </c>
      <c r="M20" s="244" t="s">
        <v>51</v>
      </c>
      <c r="N20" s="73"/>
      <c r="O20" s="429"/>
      <c r="P20" s="406"/>
      <c r="Q20" s="429"/>
    </row>
    <row r="21" spans="1:17">
      <c r="A21" s="12" t="s">
        <v>99</v>
      </c>
      <c r="B21" s="12" t="str">
        <f>INDEX(SelectedPortfolio_2019RSP!C:C,MATCH(A21,SelectedPortfolio_2019RSP!B:B,0))</f>
        <v>Sacramento_River-Solano</v>
      </c>
      <c r="C21" s="11">
        <f>SUMIF('5_BUSBAR ALLOC_Adj_TPPFeb2020'!A:A,'Dashboard 2019RSP (Round 2)'!A21,'5_BUSBAR ALLOC_Adj_TPPFeb2020'!I:I)</f>
        <v>644</v>
      </c>
      <c r="D21" s="11">
        <f>INDEX(SelectedPortfolio_2019RSP!N:N,MATCH(A21,SelectedPortfolio_2019RSP!H:H,0))</f>
        <v>542</v>
      </c>
      <c r="E21" s="349">
        <f>INDEX(SelectedPortfolio_2019RSP!O:O,MATCH(A21,SelectedPortfolio_2019RSP!B:B,0))</f>
        <v>542</v>
      </c>
      <c r="F21" s="250">
        <v>1</v>
      </c>
      <c r="G21" s="250" t="str">
        <f>INDEX('2_TxCapability'!AA:AA,MATCH(A21,'2_TxCapability'!O:O,0))</f>
        <v>ok</v>
      </c>
      <c r="H21" s="249">
        <f t="shared" si="0"/>
        <v>1</v>
      </c>
      <c r="I21" s="339">
        <f>INDEX('3.2_SUM WIND RESOURCE ACRES'!S:S,MATCH(A21,'3.2_SUM WIND RESOURCE ACRES'!R:R,0))</f>
        <v>2</v>
      </c>
      <c r="J21" s="250">
        <f>IF(E21=0,1,INDEX('3.2_SUM WIND RESOURCE ACRES'!T:T,MATCH(A21,'3.2_SUM WIND RESOURCE ACRES'!R:R,0)))</f>
        <v>2</v>
      </c>
      <c r="K21" s="250">
        <f>INDEX('4_CommercialInterest'!V:V,MATCH(A21,'4_CommercialInterest'!F:F,0))</f>
        <v>1</v>
      </c>
      <c r="L21" s="250">
        <f>IFERROR(INDEX('5b_ComparToPrevYr'!K:K,MATCH(A21,'5b_ComparToPrevYr'!A:A,0)),"")</f>
        <v>1</v>
      </c>
      <c r="M21" s="81" t="s">
        <v>51</v>
      </c>
      <c r="N21" s="73"/>
      <c r="O21" s="429"/>
      <c r="P21" s="464"/>
      <c r="Q21" s="429"/>
    </row>
    <row r="22" spans="1:17">
      <c r="A22" s="12" t="s">
        <v>100</v>
      </c>
      <c r="B22" s="12" t="str">
        <f>INDEX(SelectedPortfolio_2019RSP!C:C,MATCH(A22,SelectedPortfolio_2019RSP!B:B,0))</f>
        <v>Southern_California_Desert_Ex</v>
      </c>
      <c r="C22" s="11">
        <f>SUMIF('5_BUSBAR ALLOC_Adj_TPPFeb2020'!A:A,'Dashboard 2019RSP (Round 2)'!A22,'5_BUSBAR ALLOC_Adj_TPPFeb2020'!I:I)</f>
        <v>0</v>
      </c>
      <c r="D22" s="11">
        <f>INDEX(SelectedPortfolio_2019RSP!N:N,MATCH(A22,SelectedPortfolio_2019RSP!H:H,0))</f>
        <v>862</v>
      </c>
      <c r="E22" s="349">
        <f>INDEX(SelectedPortfolio_2019RSP!O:O,MATCH(A22,SelectedPortfolio_2019RSP!B:B,0))</f>
        <v>0</v>
      </c>
      <c r="F22" s="250">
        <v>1</v>
      </c>
      <c r="G22" s="250" t="str">
        <f>INDEX('2_TxCapability'!AA:AA,MATCH(A22,'2_TxCapability'!O:O,0))</f>
        <v>ok</v>
      </c>
      <c r="H22" s="249">
        <f t="shared" si="0"/>
        <v>1</v>
      </c>
      <c r="I22" s="339">
        <f>IF(E22&lt;1,1,INDEX(#REF!,MATCH(A22,#REF!,0)))</f>
        <v>1</v>
      </c>
      <c r="J22" s="250">
        <f>IF(E22&lt;1,1,INDEX('3.1_SUM SOLAR RESOURCE ACRES'!Y:Y,MATCH(A22,'3.1_SUM SOLAR RESOURCE ACRES'!W:W,0)))</f>
        <v>1</v>
      </c>
      <c r="K22" s="250">
        <f>INDEX('4_CommercialInterest'!V:V,MATCH(A22,'4_CommercialInterest'!F:F,0))</f>
        <v>1</v>
      </c>
      <c r="L22" s="250">
        <f>IFERROR(INDEX('5b_ComparToPrevYr'!K:K,MATCH(A22,'5b_ComparToPrevYr'!A:A,0)),"")</f>
        <v>1</v>
      </c>
      <c r="M22" s="81" t="s">
        <v>51</v>
      </c>
      <c r="N22" s="336"/>
      <c r="O22" s="429"/>
      <c r="P22" s="4"/>
      <c r="Q22" s="429"/>
    </row>
    <row r="23" spans="1:17">
      <c r="A23" s="12" t="s">
        <v>103</v>
      </c>
      <c r="B23" s="12" t="str">
        <f>INDEX(SelectedPortfolio_2019RSP!C:C,MATCH(A23,SelectedPortfolio_2019RSP!B:B,0))</f>
        <v>SCADSNV-GLW_VEA</v>
      </c>
      <c r="C23" s="11">
        <f>SUMIF('5_BUSBAR ALLOC_Adj_TPPFeb2020'!A:A,'Dashboard 2019RSP (Round 2)'!A23,'5_BUSBAR ALLOC_Adj_TPPFeb2020'!I:I)</f>
        <v>3006</v>
      </c>
      <c r="D23" s="11">
        <f>INDEX(SelectedPortfolio_2019RSP!N:N,MATCH(A23,SelectedPortfolio_2019RSP!H:H,0))</f>
        <v>0</v>
      </c>
      <c r="E23" s="349">
        <f>INDEX(SelectedPortfolio_2019RSP!O:O,MATCH(A23,SelectedPortfolio_2019RSP!B:B,0))</f>
        <v>862</v>
      </c>
      <c r="F23" s="250">
        <v>1</v>
      </c>
      <c r="G23" s="250" t="str">
        <f>INDEX('2_TxCapability'!AA:AA,MATCH(A23,'2_TxCapability'!O:O,0))</f>
        <v>ok</v>
      </c>
      <c r="H23" s="249">
        <f t="shared" si="0"/>
        <v>1</v>
      </c>
      <c r="I23" s="339">
        <f>IF(E23&lt;1,1,INDEX('3.2_SUM SOLAR RESOURCE ACRES'!X:X,MATCH(A23,'3.2_SUM SOLAR RESOURCE ACRES'!W:W,0)))</f>
        <v>1</v>
      </c>
      <c r="J23" s="250">
        <f>IF(E23&lt;1,1,INDEX('3.1_SUM SOLAR RESOURCE ACRES'!Y:Y,MATCH(A23,'3.1_SUM SOLAR RESOURCE ACRES'!W:W,0)))</f>
        <v>1</v>
      </c>
      <c r="K23" s="250">
        <f>INDEX('4_CommercialInterest'!V:V,MATCH(A23,'4_CommercialInterest'!F:F,0))</f>
        <v>1</v>
      </c>
      <c r="L23" s="250">
        <f>IFERROR(INDEX('5b_ComparToPrevYr'!K:K,MATCH(A23,'5b_ComparToPrevYr'!A:A,0)),"")</f>
        <v>3</v>
      </c>
      <c r="M23" s="408" t="s">
        <v>51</v>
      </c>
      <c r="N23" s="73" t="s">
        <v>164</v>
      </c>
      <c r="O23" s="429"/>
      <c r="P23" s="247"/>
      <c r="Q23" s="429"/>
    </row>
    <row r="24" spans="1:17">
      <c r="A24" s="12" t="s">
        <v>107</v>
      </c>
      <c r="B24" s="12" t="str">
        <f>INDEX(SelectedPortfolio_2019RSP!C:C,MATCH(A24,SelectedPortfolio_2019RSP!B:B,0))</f>
        <v>Tehachapi</v>
      </c>
      <c r="C24" s="11">
        <f>SUMIF('5_BUSBAR ALLOC_Adj_TPPFeb2020'!A:A,'Dashboard 2019RSP (Round 2)'!A24,'5_BUSBAR ALLOC_Adj_TPPFeb2020'!I:I)</f>
        <v>1153</v>
      </c>
      <c r="D24" s="11">
        <f>INDEX(SelectedPortfolio_2019RSP!N:N,MATCH(A24,SelectedPortfolio_2019RSP!H:H,0))</f>
        <v>4202</v>
      </c>
      <c r="E24" s="349">
        <f>INDEX(SelectedPortfolio_2019RSP!O:O,MATCH(A24,SelectedPortfolio_2019RSP!B:B,0))</f>
        <v>4202</v>
      </c>
      <c r="F24" s="250">
        <v>1</v>
      </c>
      <c r="G24" s="250" t="str">
        <f>INDEX('2_TxCapability'!AA:AA,MATCH(A24,'2_TxCapability'!O:O,0))</f>
        <v>ok</v>
      </c>
      <c r="H24" s="249">
        <f t="shared" si="0"/>
        <v>1</v>
      </c>
      <c r="I24" s="339">
        <f>IF(E24&lt;1,1,INDEX('3.2_SUM SOLAR RESOURCE ACRES'!X:X,MATCH(A24,'3.2_SUM SOLAR RESOURCE ACRES'!W:W,0)))</f>
        <v>1</v>
      </c>
      <c r="J24" s="250">
        <f>IF(E24&lt;1,1,INDEX('3.1_SUM SOLAR RESOURCE ACRES'!Y:Y,MATCH(A24,'3.1_SUM SOLAR RESOURCE ACRES'!W:W,0)))</f>
        <v>1</v>
      </c>
      <c r="K24" s="250">
        <f>INDEX('4_CommercialInterest'!V:V,MATCH(A24,'4_CommercialInterest'!F:F,0))</f>
        <v>1</v>
      </c>
      <c r="L24" s="250">
        <f>IFERROR(INDEX('5b_ComparToPrevYr'!K:K,MATCH(A24,'5b_ComparToPrevYr'!A:A,0)),"")</f>
        <v>3</v>
      </c>
      <c r="M24" s="408" t="s">
        <v>51</v>
      </c>
      <c r="N24" s="73" t="s">
        <v>165</v>
      </c>
      <c r="O24" s="429"/>
      <c r="P24" s="464"/>
      <c r="Q24" s="429"/>
    </row>
    <row r="25" spans="1:17">
      <c r="A25" s="12" t="s">
        <v>110</v>
      </c>
      <c r="B25" s="12" t="str">
        <f>INDEX(SelectedPortfolio_2019RSP!C:C,MATCH(A25,SelectedPortfolio_2019RSP!B:B,0))</f>
        <v>Tehachapi</v>
      </c>
      <c r="C25" s="11">
        <f>SUMIF('5_BUSBAR ALLOC_Adj_TPPFeb2020'!A:A,'Dashboard 2019RSP (Round 2)'!A25,'5_BUSBAR ALLOC_Adj_TPPFeb2020'!I:I)</f>
        <v>0</v>
      </c>
      <c r="D25" s="11">
        <f>INDEX(SelectedPortfolio_2019RSP!N:N,MATCH(A25,SelectedPortfolio_2019RSP!H:H,0))</f>
        <v>275</v>
      </c>
      <c r="E25" s="349">
        <f>INDEX(SelectedPortfolio_2019RSP!O:O,MATCH(A25,SelectedPortfolio_2019RSP!B:B,0))</f>
        <v>275</v>
      </c>
      <c r="F25" s="250">
        <v>1</v>
      </c>
      <c r="G25" s="250" t="str">
        <f>INDEX('2_TxCapability'!AA:AA,MATCH(A25,'2_TxCapability'!O:O,0))</f>
        <v>ok</v>
      </c>
      <c r="H25" s="249">
        <f t="shared" si="0"/>
        <v>1</v>
      </c>
      <c r="I25" s="339">
        <f>INDEX('3.2_SUM WIND RESOURCE ACRES'!S:S,MATCH(A25,'3.2_SUM WIND RESOURCE ACRES'!R:R,0))</f>
        <v>2</v>
      </c>
      <c r="J25" s="250">
        <f>IF(E25=0,1,INDEX('3.2_SUM WIND RESOURCE ACRES'!T:T,MATCH(A25,'3.2_SUM WIND RESOURCE ACRES'!R:R,0)))</f>
        <v>1</v>
      </c>
      <c r="K25" s="250">
        <f>INDEX('4_CommercialInterest'!V:V,MATCH(A25,'4_CommercialInterest'!F:F,0))</f>
        <v>1</v>
      </c>
      <c r="L25" s="250">
        <f>IFERROR(INDEX('5b_ComparToPrevYr'!K:K,MATCH(A25,'5b_ComparToPrevYr'!A:A,0)),"")</f>
        <v>2</v>
      </c>
      <c r="M25" s="408" t="s">
        <v>51</v>
      </c>
      <c r="N25" s="73"/>
      <c r="O25" s="429"/>
      <c r="P25" s="464"/>
      <c r="Q25" s="429"/>
    </row>
    <row r="26" spans="1:17">
      <c r="A26" s="12" t="s">
        <v>112</v>
      </c>
      <c r="B26" s="12" t="str">
        <f>INDEX(SelectedPortfolio_2019RSP!C:C,MATCH(A26,SelectedPortfolio_2019RSP!B:B,0))</f>
        <v>Westlands_Ex</v>
      </c>
      <c r="C26" s="11">
        <f>SUMIF('5_BUSBAR ALLOC_Adj_TPPFeb2020'!A:A,'Dashboard 2019RSP (Round 2)'!A26,'5_BUSBAR ALLOC_Adj_TPPFeb2020'!I:I)</f>
        <v>0</v>
      </c>
      <c r="D26" s="11">
        <f>INDEX(SelectedPortfolio_2019RSP!N:N,MATCH(A26,SelectedPortfolio_2019RSP!H:H,0))</f>
        <v>1778.57</v>
      </c>
      <c r="E26" s="349">
        <f>INDEX(SelectedPortfolio_2019RSP!O:O,MATCH(A26,SelectedPortfolio_2019RSP!B:B,0))</f>
        <v>-0.43000000000006366</v>
      </c>
      <c r="F26" s="250">
        <v>1</v>
      </c>
      <c r="G26" s="250" t="str">
        <f>INDEX('2_TxCapability'!AA:AA,MATCH(A26,'2_TxCapability'!O:O,0))</f>
        <v>ok</v>
      </c>
      <c r="H26" s="249">
        <f t="shared" si="0"/>
        <v>1</v>
      </c>
      <c r="I26" s="339">
        <f>IF(E26&lt;1,1,INDEX(#REF!,MATCH(A26,#REF!,0)))</f>
        <v>1</v>
      </c>
      <c r="J26" s="250">
        <f>IF(E26&lt;1,1,INDEX('3.1_SUM SOLAR RESOURCE ACRES'!Y:Y,MATCH(A26,'3.1_SUM SOLAR RESOURCE ACRES'!W:W,0)))</f>
        <v>1</v>
      </c>
      <c r="K26" s="250">
        <f>INDEX('4_CommercialInterest'!V:V,MATCH(A26,'4_CommercialInterest'!F:F,0))</f>
        <v>1</v>
      </c>
      <c r="L26" s="250">
        <f>IFERROR(INDEX('5b_ComparToPrevYr'!K:K,MATCH(A26,'5b_ComparToPrevYr'!A:A,0)),"")</f>
        <v>1</v>
      </c>
      <c r="M26" s="408" t="s">
        <v>51</v>
      </c>
      <c r="N26" s="336"/>
      <c r="O26" s="429"/>
      <c r="P26" s="406"/>
      <c r="Q26" s="429"/>
    </row>
    <row r="27" spans="1:17" ht="13.5" customHeight="1">
      <c r="A27" s="12" t="s">
        <v>115</v>
      </c>
      <c r="B27" s="12" t="str">
        <f>INDEX(SelectedPortfolio_2019RSP!C:C,MATCH(A27,SelectedPortfolio_2019RSP!B:B,0))</f>
        <v>Central_Valley_North_Los_Banos-SPGE</v>
      </c>
      <c r="C27" s="11">
        <f>SUMIF('5_BUSBAR ALLOC_Adj_TPPFeb2020'!A:A,'Dashboard 2019RSP (Round 2)'!A27,'5_BUSBAR ALLOC_Adj_TPPFeb2020'!I:I)</f>
        <v>0</v>
      </c>
      <c r="D27" s="11">
        <f>INDEX(SelectedPortfolio_2019RSP!N:N,MATCH(A27,SelectedPortfolio_2019RSP!H:H,0))</f>
        <v>58.21</v>
      </c>
      <c r="E27" s="349">
        <f>INDEX(SelectedPortfolio_2019RSP!O:O,MATCH(A27,SelectedPortfolio_2019RSP!B:B,0))</f>
        <v>1836.21</v>
      </c>
      <c r="F27" s="250">
        <v>1</v>
      </c>
      <c r="G27" s="250" t="str">
        <f>INDEX('2_TxCapability'!AA:AA,MATCH(A27,'2_TxCapability'!O:O,0))</f>
        <v>breach</v>
      </c>
      <c r="H27" s="250">
        <f t="shared" si="0"/>
        <v>3</v>
      </c>
      <c r="I27" s="339">
        <f>IF(E27&lt;1,1,INDEX('3.2_SUM SOLAR RESOURCE ACRES'!X:X,MATCH(A27,'3.2_SUM SOLAR RESOURCE ACRES'!W:W,0)))</f>
        <v>1</v>
      </c>
      <c r="J27" s="250">
        <f>IF(E27&lt;1,1,INDEX('3.1_SUM SOLAR RESOURCE ACRES'!Y:Y,MATCH(A27,'3.1_SUM SOLAR RESOURCE ACRES'!W:W,0)))</f>
        <v>1</v>
      </c>
      <c r="K27" s="250">
        <f>INDEX('4_CommercialInterest'!V:V,MATCH(A27,'4_CommercialInterest'!F:F,0))</f>
        <v>3</v>
      </c>
      <c r="L27" s="250">
        <f>IFERROR(INDEX('5b_ComparToPrevYr'!K:K,MATCH(A27,'5b_ComparToPrevYr'!A:A,0)),"")</f>
        <v>3</v>
      </c>
      <c r="M27" s="408" t="s">
        <v>51</v>
      </c>
      <c r="N27" s="74" t="s">
        <v>166</v>
      </c>
      <c r="O27" s="429"/>
      <c r="P27" s="243"/>
      <c r="Q27" s="429"/>
    </row>
    <row r="28" spans="1:17">
      <c r="A28" s="12" t="s">
        <v>124</v>
      </c>
      <c r="B28" s="12" t="str">
        <f>INDEX(SelectedPortfolio_2019RSP!C:C,MATCH(A28,SelectedPortfolio_2019RSP!B:B,0))</f>
        <v>SCADSNV-Riverside_Palm_Springs</v>
      </c>
      <c r="C28" s="11">
        <f>SUMIF('5_BUSBAR ALLOC_Adj_TPPFeb2020'!A:A,'Dashboard 2019RSP (Round 2)'!A28,'5_BUSBAR ALLOC_Adj_TPPFeb2020'!I:I)</f>
        <v>428</v>
      </c>
      <c r="D28" s="11">
        <f>INDEX(SelectedPortfolio_2019RSP!N:N,MATCH(A28,SelectedPortfolio_2019RSP!H:H,0))</f>
        <v>2352.08</v>
      </c>
      <c r="E28" s="349">
        <f>INDEX(SelectedPortfolio_2019RSP!O:O,MATCH(A28,SelectedPortfolio_2019RSP!B:B,0))</f>
        <v>2352.08</v>
      </c>
      <c r="F28" s="250"/>
      <c r="G28" s="250" t="str">
        <f>INDEX('2_TxCapability'!AA:AA,MATCH(A28,'2_TxCapability'!O:O,0))</f>
        <v>ok</v>
      </c>
      <c r="H28" s="249">
        <f t="shared" si="0"/>
        <v>1</v>
      </c>
      <c r="I28" s="339"/>
      <c r="J28" s="250"/>
      <c r="K28" s="250">
        <f>INDEX('4_CommercialInterest'!V:V,MATCH(A28,'4_CommercialInterest'!F:F,0))</f>
        <v>1</v>
      </c>
      <c r="L28" s="250">
        <f>IFERROR(INDEX('5b_ComparToPrevYr'!K:K,MATCH(A28,'5b_ComparToPrevYr'!A:A,0)),"")</f>
        <v>3</v>
      </c>
      <c r="M28" s="81" t="s">
        <v>51</v>
      </c>
      <c r="N28" s="73" t="s">
        <v>167</v>
      </c>
      <c r="O28" s="429"/>
      <c r="P28" s="406"/>
      <c r="Q28" s="429"/>
    </row>
    <row r="29" spans="1:17">
      <c r="A29" s="12" t="s">
        <v>128</v>
      </c>
      <c r="B29" s="12" t="str">
        <f>INDEX(SelectedPortfolio_2019RSP!C:C,MATCH(A29,SelectedPortfolio_2019RSP!B:B,0))</f>
        <v>SCADSNV-Greater_Imperial</v>
      </c>
      <c r="C29" s="11">
        <f>SUMIF('5_BUSBAR ALLOC_Adj_TPPFeb2020'!A:A,'Dashboard 2019RSP (Round 2)'!A29,'5_BUSBAR ALLOC_Adj_TPPFeb2020'!I:I)</f>
        <v>0</v>
      </c>
      <c r="D29" s="11">
        <f>INDEX(SelectedPortfolio_2019RSP!N:N,MATCH(A29,SelectedPortfolio_2019RSP!H:H,0))</f>
        <v>600</v>
      </c>
      <c r="E29" s="349">
        <f>INDEX(SelectedPortfolio_2019RSP!O:O,MATCH(A29,SelectedPortfolio_2019RSP!B:B,0))</f>
        <v>600</v>
      </c>
      <c r="F29" s="250"/>
      <c r="G29" s="250" t="str">
        <f>INDEX('2_TxCapability'!AA:AA,MATCH(A29,'2_TxCapability'!O:O,0))</f>
        <v>ok</v>
      </c>
      <c r="H29" s="249">
        <f t="shared" si="0"/>
        <v>1</v>
      </c>
      <c r="I29" s="250"/>
      <c r="J29" s="250"/>
      <c r="K29" s="250">
        <f>INDEX('4_CommercialInterest'!V:V,MATCH(A29,'4_CommercialInterest'!F:F,0))</f>
        <v>1</v>
      </c>
      <c r="L29" s="250">
        <f>IFERROR(INDEX('5b_ComparToPrevYr'!K:K,MATCH(A29,'5b_ComparToPrevYr'!A:A,0)),"")</f>
        <v>2</v>
      </c>
      <c r="M29" s="244" t="s">
        <v>51</v>
      </c>
      <c r="N29" s="73"/>
      <c r="O29" s="429"/>
      <c r="P29" s="4"/>
      <c r="Q29" s="429"/>
    </row>
    <row r="30" spans="1:17">
      <c r="A30" s="12" t="s">
        <v>135</v>
      </c>
      <c r="B30" s="12" t="str">
        <f>INDEX(SelectedPortfolio_2019RSP!C:C,MATCH(A30,SelectedPortfolio_2019RSP!B:B,0))</f>
        <v>SCADSNV-Riverside_Palm_Springs</v>
      </c>
      <c r="C30" s="11">
        <f>SUMIF('5_BUSBAR ALLOC_Adj_TPPFeb2020'!A:A,'Dashboard 2019RSP (Round 2)'!A30,'5_BUSBAR ALLOC_Adj_TPPFeb2020'!I:I)</f>
        <v>0</v>
      </c>
      <c r="D30" s="11">
        <f>INDEX(SelectedPortfolio_2019RSP!N:N,MATCH(A30,SelectedPortfolio_2019RSP!H:H,0))</f>
        <v>606.16999999999996</v>
      </c>
      <c r="E30" s="349">
        <f>INDEX(SelectedPortfolio_2019RSP!O:O,MATCH(A30,SelectedPortfolio_2019RSP!B:B,0))</f>
        <v>606.16999999999996</v>
      </c>
      <c r="F30" s="250"/>
      <c r="G30" s="250" t="str">
        <f>INDEX('2_TxCapability'!AA:AA,MATCH(A30,'2_TxCapability'!O:O,0))</f>
        <v>ok</v>
      </c>
      <c r="H30" s="249">
        <f t="shared" si="0"/>
        <v>1</v>
      </c>
      <c r="I30" s="250"/>
      <c r="J30" s="250"/>
      <c r="K30" s="250"/>
      <c r="L30" s="250">
        <f>IFERROR(INDEX('5b_ComparToPrevYr'!K:K,MATCH(A30,'5b_ComparToPrevYr'!A:A,0)),"")</f>
        <v>2</v>
      </c>
      <c r="M30" s="245" t="s">
        <v>51</v>
      </c>
      <c r="N30" s="73" t="s">
        <v>168</v>
      </c>
      <c r="O30" s="429"/>
      <c r="P30" s="406"/>
      <c r="Q30" s="429"/>
    </row>
    <row r="31" spans="1:17">
      <c r="A31" s="343" t="s">
        <v>137</v>
      </c>
      <c r="B31" s="343"/>
      <c r="C31" s="86">
        <f>SUM(C7:C30)</f>
        <v>9011</v>
      </c>
      <c r="D31" s="86">
        <f>SUM(D7:D18,D20:D30)</f>
        <v>14460.489999999998</v>
      </c>
      <c r="E31" s="86">
        <f>SUM(E7:E18,E20:E30)</f>
        <v>14459.489999999998</v>
      </c>
      <c r="F31" s="350"/>
      <c r="G31" s="350"/>
      <c r="H31" s="350"/>
      <c r="I31" s="350"/>
      <c r="J31" s="350"/>
      <c r="K31" s="350"/>
      <c r="L31" s="250" t="str">
        <f>IFERROR(INDEX('5b_ComparToPrevYr'!K:K,MATCH(A31,'5b_ComparToPrevYr'!A:A,0)),"")</f>
        <v/>
      </c>
      <c r="M31" s="94"/>
      <c r="N31" s="337"/>
      <c r="O31" s="429"/>
      <c r="P31" s="464"/>
      <c r="Q31" s="429"/>
    </row>
    <row r="32" spans="1:17">
      <c r="A32" s="74" t="s">
        <v>169</v>
      </c>
      <c r="B32" s="74"/>
      <c r="C32" s="11">
        <v>0</v>
      </c>
      <c r="D32" s="11">
        <v>973</v>
      </c>
      <c r="E32" s="349">
        <f>INDEX(SelectedPortfolio_2019RSP!O:O,MATCH(A32,SelectedPortfolio_2019RSP!B:B,0))</f>
        <v>974</v>
      </c>
      <c r="F32" s="351">
        <v>1</v>
      </c>
      <c r="G32" s="250" t="str">
        <f>INDEX('2_TxCapability'!AA:AA,MATCH(A32,'2_TxCapability'!O:O,0))</f>
        <v>breach</v>
      </c>
      <c r="H32" s="250">
        <v>1</v>
      </c>
      <c r="I32" s="351"/>
      <c r="J32" s="351"/>
      <c r="K32" s="250">
        <f>INDEX('4_CommercialInterest'!V:V,MATCH(A32,'4_CommercialInterest'!F:F,0))</f>
        <v>1</v>
      </c>
      <c r="L32" s="250">
        <f>IFERROR(INDEX('5b_ComparToPrevYr'!K:K,MATCH(A32,'5b_ComparToPrevYr'!A:A,0)),"")</f>
        <v>2</v>
      </c>
      <c r="M32" s="244" t="s">
        <v>51</v>
      </c>
      <c r="N32" s="74" t="s">
        <v>170</v>
      </c>
      <c r="O32" s="429"/>
      <c r="P32" s="429"/>
      <c r="Q32" s="429"/>
    </row>
    <row r="33" spans="1:17">
      <c r="A33" s="344" t="s">
        <v>138</v>
      </c>
      <c r="B33" s="344"/>
      <c r="C33" s="430">
        <f>C31+C32</f>
        <v>9011</v>
      </c>
      <c r="D33" s="430">
        <f>D31+D32</f>
        <v>15433.489999999998</v>
      </c>
      <c r="E33" s="430">
        <f>E31+E32</f>
        <v>15433.489999999998</v>
      </c>
      <c r="F33" s="352"/>
      <c r="G33" s="352"/>
      <c r="H33" s="352"/>
      <c r="I33" s="352"/>
      <c r="J33" s="352"/>
      <c r="K33" s="352"/>
      <c r="L33" s="352"/>
      <c r="M33" s="96"/>
      <c r="N33" s="102"/>
      <c r="O33" s="429"/>
      <c r="P33" s="429"/>
      <c r="Q33" s="429"/>
    </row>
  </sheetData>
  <mergeCells count="1">
    <mergeCell ref="F4:L4"/>
  </mergeCells>
  <conditionalFormatting sqref="F15:G15">
    <cfRule type="colorScale" priority="553">
      <colorScale>
        <cfvo type="min"/>
        <cfvo type="percentile" val="50"/>
        <cfvo type="max"/>
        <color rgb="FF63BE7B"/>
        <color rgb="FFFFEB84"/>
        <color rgb="FFF8696B"/>
      </colorScale>
    </cfRule>
  </conditionalFormatting>
  <conditionalFormatting sqref="F15:G15">
    <cfRule type="colorScale" priority="554">
      <colorScale>
        <cfvo type="min"/>
        <cfvo type="percentile" val="50"/>
        <cfvo type="max"/>
        <color rgb="FF63BE7B"/>
        <color rgb="FFFFEB84"/>
        <color rgb="FFF8696B"/>
      </colorScale>
    </cfRule>
  </conditionalFormatting>
  <conditionalFormatting sqref="F15:G15">
    <cfRule type="colorScale" priority="555">
      <colorScale>
        <cfvo type="min"/>
        <cfvo type="percentile" val="50"/>
        <cfvo type="max"/>
        <color rgb="FF63BE7B"/>
        <color rgb="FFFFEB84"/>
        <color rgb="FFF8696B"/>
      </colorScale>
    </cfRule>
  </conditionalFormatting>
  <conditionalFormatting sqref="F15:G15">
    <cfRule type="colorScale" priority="556">
      <colorScale>
        <cfvo type="min"/>
        <cfvo type="percentile" val="50"/>
        <cfvo type="max"/>
        <color rgb="FF63BE7B"/>
        <color rgb="FFFFEB84"/>
        <color rgb="FFF8696B"/>
      </colorScale>
    </cfRule>
  </conditionalFormatting>
  <conditionalFormatting sqref="I33">
    <cfRule type="colorScale" priority="550">
      <colorScale>
        <cfvo type="min"/>
        <cfvo type="percentile" val="50"/>
        <cfvo type="max"/>
        <color rgb="FFF8696B"/>
        <color rgb="FFFFEB84"/>
        <color rgb="FF63BE7B"/>
      </colorScale>
    </cfRule>
  </conditionalFormatting>
  <conditionalFormatting sqref="H31">
    <cfRule type="colorScale" priority="551">
      <colorScale>
        <cfvo type="min"/>
        <cfvo type="percentile" val="50"/>
        <cfvo type="max"/>
        <color rgb="FF63BE7B"/>
        <color rgb="FFFFEB84"/>
        <color rgb="FFF8696B"/>
      </colorScale>
    </cfRule>
  </conditionalFormatting>
  <conditionalFormatting sqref="K31">
    <cfRule type="colorScale" priority="548">
      <colorScale>
        <cfvo type="min"/>
        <cfvo type="percentile" val="50"/>
        <cfvo type="max"/>
        <color rgb="FF63BE7B"/>
        <color rgb="FFFFEB84"/>
        <color rgb="FFF8696B"/>
      </colorScale>
    </cfRule>
  </conditionalFormatting>
  <conditionalFormatting sqref="K31">
    <cfRule type="colorScale" priority="549">
      <colorScale>
        <cfvo type="min"/>
        <cfvo type="percentile" val="50"/>
        <cfvo type="max"/>
        <color rgb="FF63BE7B"/>
        <color rgb="FFFFEB84"/>
        <color rgb="FFF8696B"/>
      </colorScale>
    </cfRule>
  </conditionalFormatting>
  <conditionalFormatting sqref="F16:G29 F7:G14 G15 G30 I7:J7 I19 I29:J29 J28">
    <cfRule type="colorScale" priority="558">
      <colorScale>
        <cfvo type="min"/>
        <cfvo type="percentile" val="50"/>
        <cfvo type="max"/>
        <color rgb="FF63BE7B"/>
        <color rgb="FFFFEB84"/>
        <color rgb="FFF8696B"/>
      </colorScale>
    </cfRule>
  </conditionalFormatting>
  <conditionalFormatting sqref="F16:G29">
    <cfRule type="colorScale" priority="559">
      <colorScale>
        <cfvo type="min"/>
        <cfvo type="percentile" val="50"/>
        <cfvo type="max"/>
        <color rgb="FF63BE7B"/>
        <color rgb="FFFFEB84"/>
        <color rgb="FFF8696B"/>
      </colorScale>
    </cfRule>
  </conditionalFormatting>
  <conditionalFormatting sqref="F16:G31 F7:G14 G15">
    <cfRule type="colorScale" priority="560">
      <colorScale>
        <cfvo type="min"/>
        <cfvo type="percentile" val="50"/>
        <cfvo type="max"/>
        <color rgb="FF63BE7B"/>
        <color rgb="FFFFEB84"/>
        <color rgb="FFF8696B"/>
      </colorScale>
    </cfRule>
  </conditionalFormatting>
  <conditionalFormatting sqref="F16:G25 F7:G14 G15 G26:G30 K30">
    <cfRule type="colorScale" priority="561">
      <colorScale>
        <cfvo type="min"/>
        <cfvo type="percentile" val="50"/>
        <cfvo type="max"/>
        <color rgb="FF63BE7B"/>
        <color rgb="FFFFEB84"/>
        <color rgb="FFF8696B"/>
      </colorScale>
    </cfRule>
  </conditionalFormatting>
  <conditionalFormatting sqref="I19 I7 I29:I32">
    <cfRule type="colorScale" priority="562">
      <colorScale>
        <cfvo type="min"/>
        <cfvo type="percentile" val="50"/>
        <cfvo type="max"/>
        <color rgb="FFF8696B"/>
        <color rgb="FFFFEB84"/>
        <color rgb="FF63BE7B"/>
      </colorScale>
    </cfRule>
  </conditionalFormatting>
  <conditionalFormatting sqref="I19 I7 I29">
    <cfRule type="colorScale" priority="563">
      <colorScale>
        <cfvo type="min"/>
        <cfvo type="percentile" val="50"/>
        <cfvo type="max"/>
        <color rgb="FF63BE7B"/>
        <color rgb="FFFFEB84"/>
        <color rgb="FFF8696B"/>
      </colorScale>
    </cfRule>
  </conditionalFormatting>
  <conditionalFormatting sqref="I19 I7 I29:I31">
    <cfRule type="colorScale" priority="564">
      <colorScale>
        <cfvo type="min"/>
        <cfvo type="percentile" val="50"/>
        <cfvo type="max"/>
        <color rgb="FF63BE7B"/>
        <color rgb="FFFFEB84"/>
        <color rgb="FFF8696B"/>
      </colorScale>
    </cfRule>
  </conditionalFormatting>
  <conditionalFormatting sqref="J28:J31 J7">
    <cfRule type="colorScale" priority="565">
      <colorScale>
        <cfvo type="min"/>
        <cfvo type="percentile" val="50"/>
        <cfvo type="max"/>
        <color rgb="FF63BE7B"/>
        <color rgb="FFFFEB84"/>
        <color rgb="FFF8696B"/>
      </colorScale>
    </cfRule>
  </conditionalFormatting>
  <conditionalFormatting sqref="K30">
    <cfRule type="colorScale" priority="566">
      <colorScale>
        <cfvo type="min"/>
        <cfvo type="percentile" val="50"/>
        <cfvo type="max"/>
        <color rgb="FF63BE7B"/>
        <color rgb="FFFFEB84"/>
        <color rgb="FFF8696B"/>
      </colorScale>
    </cfRule>
  </conditionalFormatting>
  <conditionalFormatting sqref="F16:G31 F8:G14">
    <cfRule type="colorScale" priority="567">
      <colorScale>
        <cfvo type="min"/>
        <cfvo type="percentile" val="50"/>
        <cfvo type="max"/>
        <color rgb="FF63BE7B"/>
        <color rgb="FFFFEB84"/>
        <color rgb="FFF8696B"/>
      </colorScale>
    </cfRule>
  </conditionalFormatting>
  <conditionalFormatting sqref="I29:I31 I19">
    <cfRule type="colorScale" priority="568">
      <colorScale>
        <cfvo type="min"/>
        <cfvo type="percentile" val="50"/>
        <cfvo type="max"/>
        <color rgb="FF63BE7B"/>
        <color rgb="FFFFEB84"/>
        <color rgb="FFF8696B"/>
      </colorScale>
    </cfRule>
  </conditionalFormatting>
  <conditionalFormatting sqref="J28:J31">
    <cfRule type="colorScale" priority="569">
      <colorScale>
        <cfvo type="min"/>
        <cfvo type="percentile" val="50"/>
        <cfvo type="max"/>
        <color rgb="FF63BE7B"/>
        <color rgb="FFFFEB84"/>
        <color rgb="FFF8696B"/>
      </colorScale>
    </cfRule>
  </conditionalFormatting>
  <conditionalFormatting sqref="H31">
    <cfRule type="colorScale" priority="570">
      <colorScale>
        <cfvo type="min"/>
        <cfvo type="percentile" val="50"/>
        <cfvo type="max"/>
        <color rgb="FF63BE7B"/>
        <color rgb="FFFFEB84"/>
        <color rgb="FFF8696B"/>
      </colorScale>
    </cfRule>
  </conditionalFormatting>
  <conditionalFormatting sqref="K30">
    <cfRule type="colorScale" priority="573">
      <colorScale>
        <cfvo type="min"/>
        <cfvo type="percentile" val="50"/>
        <cfvo type="max"/>
        <color rgb="FF63BE7B"/>
        <color rgb="FFFFEB84"/>
        <color rgb="FFF8696B"/>
      </colorScale>
    </cfRule>
  </conditionalFormatting>
  <conditionalFormatting sqref="F7:G31">
    <cfRule type="colorScale" priority="574">
      <colorScale>
        <cfvo type="min"/>
        <cfvo type="percentile" val="50"/>
        <cfvo type="max"/>
        <color rgb="FF63BE7B"/>
        <color rgb="FFFFEB84"/>
        <color rgb="FFF8696B"/>
      </colorScale>
    </cfRule>
  </conditionalFormatting>
  <conditionalFormatting sqref="I19 I7 I29:I30">
    <cfRule type="colorScale" priority="575">
      <colorScale>
        <cfvo type="min"/>
        <cfvo type="percentile" val="50"/>
        <cfvo type="max"/>
        <color rgb="FF63BE7B"/>
        <color rgb="FFFFEB84"/>
        <color rgb="FFF8696B"/>
      </colorScale>
    </cfRule>
  </conditionalFormatting>
  <conditionalFormatting sqref="J30">
    <cfRule type="colorScale" priority="540">
      <colorScale>
        <cfvo type="min"/>
        <cfvo type="percentile" val="50"/>
        <cfvo type="max"/>
        <color rgb="FF63BE7B"/>
        <color rgb="FFFFEB84"/>
        <color rgb="FFF8696B"/>
      </colorScale>
    </cfRule>
  </conditionalFormatting>
  <conditionalFormatting sqref="J30">
    <cfRule type="colorScale" priority="541">
      <colorScale>
        <cfvo type="min"/>
        <cfvo type="percentile" val="50"/>
        <cfvo type="max"/>
        <color rgb="FF63BE7B"/>
        <color rgb="FFFFEB84"/>
        <color rgb="FFF8696B"/>
      </colorScale>
    </cfRule>
  </conditionalFormatting>
  <conditionalFormatting sqref="J30">
    <cfRule type="colorScale" priority="538">
      <colorScale>
        <cfvo type="min"/>
        <cfvo type="percentile" val="50"/>
        <cfvo type="max"/>
        <color rgb="FF63BE7B"/>
        <color rgb="FFFFEB84"/>
        <color rgb="FFF8696B"/>
      </colorScale>
    </cfRule>
  </conditionalFormatting>
  <conditionalFormatting sqref="J30">
    <cfRule type="colorScale" priority="539">
      <colorScale>
        <cfvo type="min"/>
        <cfvo type="percentile" val="50"/>
        <cfvo type="max"/>
        <color rgb="FF63BE7B"/>
        <color rgb="FFFFEB84"/>
        <color rgb="FFF8696B"/>
      </colorScale>
    </cfRule>
  </conditionalFormatting>
  <conditionalFormatting sqref="I19">
    <cfRule type="colorScale" priority="533">
      <colorScale>
        <cfvo type="min"/>
        <cfvo type="percentile" val="50"/>
        <cfvo type="max"/>
        <color rgb="FF63BE7B"/>
        <color rgb="FFFFEB84"/>
        <color rgb="FFF8696B"/>
      </colorScale>
    </cfRule>
  </conditionalFormatting>
  <conditionalFormatting sqref="F7:G30 I7:J7 I19 I30:K30 J28 I29:J29">
    <cfRule type="colorScale" priority="532">
      <colorScale>
        <cfvo type="min"/>
        <cfvo type="percentile" val="50"/>
        <cfvo type="max"/>
        <color rgb="FF63BE7B"/>
        <color rgb="FFFFEB84"/>
        <color rgb="FFF8696B"/>
      </colorScale>
    </cfRule>
  </conditionalFormatting>
  <conditionalFormatting sqref="H7:H30">
    <cfRule type="colorScale" priority="528">
      <colorScale>
        <cfvo type="min"/>
        <cfvo type="percentile" val="50"/>
        <cfvo type="max"/>
        <color rgb="FF63BE7B"/>
        <color rgb="FFFFEB84"/>
        <color rgb="FFF8696B"/>
      </colorScale>
    </cfRule>
  </conditionalFormatting>
  <conditionalFormatting sqref="H7:H30">
    <cfRule type="colorScale" priority="529">
      <colorScale>
        <cfvo type="min"/>
        <cfvo type="percentile" val="50"/>
        <cfvo type="max"/>
        <color rgb="FF63BE7B"/>
        <color rgb="FFFFEB84"/>
        <color rgb="FFF8696B"/>
      </colorScale>
    </cfRule>
  </conditionalFormatting>
  <conditionalFormatting sqref="H7:H30">
    <cfRule type="colorScale" priority="530">
      <colorScale>
        <cfvo type="min"/>
        <cfvo type="percentile" val="50"/>
        <cfvo type="max"/>
        <color rgb="FF63BE7B"/>
        <color rgb="FFFFEB84"/>
        <color rgb="FFF8696B"/>
      </colorScale>
    </cfRule>
  </conditionalFormatting>
  <conditionalFormatting sqref="H7:H30">
    <cfRule type="colorScale" priority="531">
      <colorScale>
        <cfvo type="min"/>
        <cfvo type="percentile" val="50"/>
        <cfvo type="max"/>
        <color rgb="FF63BE7B"/>
        <color rgb="FFFFEB84"/>
        <color rgb="FFF8696B"/>
      </colorScale>
    </cfRule>
  </conditionalFormatting>
  <conditionalFormatting sqref="H7:H30">
    <cfRule type="colorScale" priority="527">
      <colorScale>
        <cfvo type="min"/>
        <cfvo type="percentile" val="50"/>
        <cfvo type="max"/>
        <color rgb="FFF8696B"/>
        <color rgb="FFFFEB84"/>
        <color rgb="FF63BE7B"/>
      </colorScale>
    </cfRule>
  </conditionalFormatting>
  <conditionalFormatting sqref="H7:H30">
    <cfRule type="colorScale" priority="526">
      <colorScale>
        <cfvo type="min"/>
        <cfvo type="percentile" val="50"/>
        <cfvo type="max"/>
        <color rgb="FF63BE7B"/>
        <color rgb="FFFFEB84"/>
        <color rgb="FFF8696B"/>
      </colorScale>
    </cfRule>
  </conditionalFormatting>
  <conditionalFormatting sqref="F7:F32">
    <cfRule type="colorScale" priority="525">
      <colorScale>
        <cfvo type="min"/>
        <cfvo type="percentile" val="50"/>
        <cfvo type="max"/>
        <color rgb="FFF8696B"/>
        <color rgb="FFFFEB84"/>
        <color rgb="FF63BE7B"/>
      </colorScale>
    </cfRule>
  </conditionalFormatting>
  <conditionalFormatting sqref="G32">
    <cfRule type="colorScale" priority="519">
      <colorScale>
        <cfvo type="min"/>
        <cfvo type="percentile" val="50"/>
        <cfvo type="max"/>
        <color rgb="FF63BE7B"/>
        <color rgb="FFFFEB84"/>
        <color rgb="FFF8696B"/>
      </colorScale>
    </cfRule>
  </conditionalFormatting>
  <conditionalFormatting sqref="G32">
    <cfRule type="colorScale" priority="520">
      <colorScale>
        <cfvo type="min"/>
        <cfvo type="percentile" val="50"/>
        <cfvo type="max"/>
        <color rgb="FF63BE7B"/>
        <color rgb="FFFFEB84"/>
        <color rgb="FFF8696B"/>
      </colorScale>
    </cfRule>
  </conditionalFormatting>
  <conditionalFormatting sqref="G32">
    <cfRule type="colorScale" priority="521">
      <colorScale>
        <cfvo type="min"/>
        <cfvo type="percentile" val="50"/>
        <cfvo type="max"/>
        <color rgb="FF63BE7B"/>
        <color rgb="FFFFEB84"/>
        <color rgb="FFF8696B"/>
      </colorScale>
    </cfRule>
  </conditionalFormatting>
  <conditionalFormatting sqref="G32">
    <cfRule type="colorScale" priority="522">
      <colorScale>
        <cfvo type="min"/>
        <cfvo type="percentile" val="50"/>
        <cfvo type="max"/>
        <color rgb="FF63BE7B"/>
        <color rgb="FFFFEB84"/>
        <color rgb="FFF8696B"/>
      </colorScale>
    </cfRule>
  </conditionalFormatting>
  <conditionalFormatting sqref="G32">
    <cfRule type="colorScale" priority="523">
      <colorScale>
        <cfvo type="min"/>
        <cfvo type="percentile" val="50"/>
        <cfvo type="max"/>
        <color rgb="FF63BE7B"/>
        <color rgb="FFFFEB84"/>
        <color rgb="FFF8696B"/>
      </colorScale>
    </cfRule>
  </conditionalFormatting>
  <conditionalFormatting sqref="G32">
    <cfRule type="colorScale" priority="524">
      <colorScale>
        <cfvo type="min"/>
        <cfvo type="percentile" val="50"/>
        <cfvo type="max"/>
        <color rgb="FF63BE7B"/>
        <color rgb="FFFFEB84"/>
        <color rgb="FFF8696B"/>
      </colorScale>
    </cfRule>
  </conditionalFormatting>
  <conditionalFormatting sqref="G32">
    <cfRule type="colorScale" priority="518">
      <colorScale>
        <cfvo type="min"/>
        <cfvo type="percentile" val="50"/>
        <cfvo type="max"/>
        <color rgb="FF63BE7B"/>
        <color rgb="FFFFEB84"/>
        <color rgb="FFF8696B"/>
      </colorScale>
    </cfRule>
  </conditionalFormatting>
  <conditionalFormatting sqref="H32">
    <cfRule type="colorScale" priority="514">
      <colorScale>
        <cfvo type="min"/>
        <cfvo type="percentile" val="50"/>
        <cfvo type="max"/>
        <color rgb="FF63BE7B"/>
        <color rgb="FFFFEB84"/>
        <color rgb="FFF8696B"/>
      </colorScale>
    </cfRule>
  </conditionalFormatting>
  <conditionalFormatting sqref="H32">
    <cfRule type="colorScale" priority="515">
      <colorScale>
        <cfvo type="min"/>
        <cfvo type="percentile" val="50"/>
        <cfvo type="max"/>
        <color rgb="FF63BE7B"/>
        <color rgb="FFFFEB84"/>
        <color rgb="FFF8696B"/>
      </colorScale>
    </cfRule>
  </conditionalFormatting>
  <conditionalFormatting sqref="H32">
    <cfRule type="colorScale" priority="516">
      <colorScale>
        <cfvo type="min"/>
        <cfvo type="percentile" val="50"/>
        <cfvo type="max"/>
        <color rgb="FF63BE7B"/>
        <color rgb="FFFFEB84"/>
        <color rgb="FFF8696B"/>
      </colorScale>
    </cfRule>
  </conditionalFormatting>
  <conditionalFormatting sqref="H32">
    <cfRule type="colorScale" priority="517">
      <colorScale>
        <cfvo type="min"/>
        <cfvo type="percentile" val="50"/>
        <cfvo type="max"/>
        <color rgb="FF63BE7B"/>
        <color rgb="FFFFEB84"/>
        <color rgb="FFF8696B"/>
      </colorScale>
    </cfRule>
  </conditionalFormatting>
  <conditionalFormatting sqref="H32">
    <cfRule type="colorScale" priority="513">
      <colorScale>
        <cfvo type="min"/>
        <cfvo type="percentile" val="50"/>
        <cfvo type="max"/>
        <color rgb="FFF8696B"/>
        <color rgb="FFFFEB84"/>
        <color rgb="FF63BE7B"/>
      </colorScale>
    </cfRule>
  </conditionalFormatting>
  <conditionalFormatting sqref="H32">
    <cfRule type="colorScale" priority="512">
      <colorScale>
        <cfvo type="min"/>
        <cfvo type="percentile" val="50"/>
        <cfvo type="max"/>
        <color rgb="FF63BE7B"/>
        <color rgb="FFFFEB84"/>
        <color rgb="FFF8696B"/>
      </colorScale>
    </cfRule>
  </conditionalFormatting>
  <conditionalFormatting sqref="I23">
    <cfRule type="colorScale" priority="426">
      <colorScale>
        <cfvo type="min"/>
        <cfvo type="percentile" val="50"/>
        <cfvo type="max"/>
        <color rgb="FF63BE7B"/>
        <color rgb="FFFFEB84"/>
        <color rgb="FFF8696B"/>
      </colorScale>
    </cfRule>
  </conditionalFormatting>
  <conditionalFormatting sqref="I23">
    <cfRule type="colorScale" priority="427">
      <colorScale>
        <cfvo type="min"/>
        <cfvo type="percentile" val="50"/>
        <cfvo type="max"/>
        <color rgb="FF63BE7B"/>
        <color rgb="FFFFEB84"/>
        <color rgb="FFF8696B"/>
      </colorScale>
    </cfRule>
  </conditionalFormatting>
  <conditionalFormatting sqref="I23">
    <cfRule type="colorScale" priority="428">
      <colorScale>
        <cfvo type="min"/>
        <cfvo type="percentile" val="50"/>
        <cfvo type="max"/>
        <color rgb="FFF8696B"/>
        <color rgb="FFFFEB84"/>
        <color rgb="FF63BE7B"/>
      </colorScale>
    </cfRule>
  </conditionalFormatting>
  <conditionalFormatting sqref="I23">
    <cfRule type="colorScale" priority="429">
      <colorScale>
        <cfvo type="min"/>
        <cfvo type="percentile" val="50"/>
        <cfvo type="max"/>
        <color rgb="FF63BE7B"/>
        <color rgb="FFFFEB84"/>
        <color rgb="FFF8696B"/>
      </colorScale>
    </cfRule>
  </conditionalFormatting>
  <conditionalFormatting sqref="I23">
    <cfRule type="colorScale" priority="430">
      <colorScale>
        <cfvo type="min"/>
        <cfvo type="percentile" val="50"/>
        <cfvo type="max"/>
        <color rgb="FF63BE7B"/>
        <color rgb="FFFFEB84"/>
        <color rgb="FFF8696B"/>
      </colorScale>
    </cfRule>
  </conditionalFormatting>
  <conditionalFormatting sqref="I23">
    <cfRule type="colorScale" priority="431">
      <colorScale>
        <cfvo type="min"/>
        <cfvo type="percentile" val="50"/>
        <cfvo type="max"/>
        <color rgb="FF63BE7B"/>
        <color rgb="FFFFEB84"/>
        <color rgb="FFF8696B"/>
      </colorScale>
    </cfRule>
  </conditionalFormatting>
  <conditionalFormatting sqref="I23">
    <cfRule type="colorScale" priority="425">
      <colorScale>
        <cfvo type="min"/>
        <cfvo type="percentile" val="50"/>
        <cfvo type="max"/>
        <color rgb="FF63BE7B"/>
        <color rgb="FFFFEB84"/>
        <color rgb="FFF8696B"/>
      </colorScale>
    </cfRule>
  </conditionalFormatting>
  <conditionalFormatting sqref="I23">
    <cfRule type="colorScale" priority="424">
      <colorScale>
        <cfvo type="min"/>
        <cfvo type="percentile" val="50"/>
        <cfvo type="max"/>
        <color rgb="FF63BE7B"/>
        <color rgb="FFFFEB84"/>
        <color rgb="FFF8696B"/>
      </colorScale>
    </cfRule>
  </conditionalFormatting>
  <conditionalFormatting sqref="I26">
    <cfRule type="colorScale" priority="410">
      <colorScale>
        <cfvo type="min"/>
        <cfvo type="percentile" val="50"/>
        <cfvo type="max"/>
        <color rgb="FF63BE7B"/>
        <color rgb="FFFFEB84"/>
        <color rgb="FFF8696B"/>
      </colorScale>
    </cfRule>
  </conditionalFormatting>
  <conditionalFormatting sqref="I26">
    <cfRule type="colorScale" priority="411">
      <colorScale>
        <cfvo type="min"/>
        <cfvo type="percentile" val="50"/>
        <cfvo type="max"/>
        <color rgb="FF63BE7B"/>
        <color rgb="FFFFEB84"/>
        <color rgb="FFF8696B"/>
      </colorScale>
    </cfRule>
  </conditionalFormatting>
  <conditionalFormatting sqref="I26">
    <cfRule type="colorScale" priority="412">
      <colorScale>
        <cfvo type="min"/>
        <cfvo type="percentile" val="50"/>
        <cfvo type="max"/>
        <color rgb="FFF8696B"/>
        <color rgb="FFFFEB84"/>
        <color rgb="FF63BE7B"/>
      </colorScale>
    </cfRule>
  </conditionalFormatting>
  <conditionalFormatting sqref="I26">
    <cfRule type="colorScale" priority="413">
      <colorScale>
        <cfvo type="min"/>
        <cfvo type="percentile" val="50"/>
        <cfvo type="max"/>
        <color rgb="FF63BE7B"/>
        <color rgb="FFFFEB84"/>
        <color rgb="FFF8696B"/>
      </colorScale>
    </cfRule>
  </conditionalFormatting>
  <conditionalFormatting sqref="I26">
    <cfRule type="colorScale" priority="414">
      <colorScale>
        <cfvo type="min"/>
        <cfvo type="percentile" val="50"/>
        <cfvo type="max"/>
        <color rgb="FF63BE7B"/>
        <color rgb="FFFFEB84"/>
        <color rgb="FFF8696B"/>
      </colorScale>
    </cfRule>
  </conditionalFormatting>
  <conditionalFormatting sqref="I26">
    <cfRule type="colorScale" priority="415">
      <colorScale>
        <cfvo type="min"/>
        <cfvo type="percentile" val="50"/>
        <cfvo type="max"/>
        <color rgb="FF63BE7B"/>
        <color rgb="FFFFEB84"/>
        <color rgb="FFF8696B"/>
      </colorScale>
    </cfRule>
  </conditionalFormatting>
  <conditionalFormatting sqref="I26">
    <cfRule type="colorScale" priority="409">
      <colorScale>
        <cfvo type="min"/>
        <cfvo type="percentile" val="50"/>
        <cfvo type="max"/>
        <color rgb="FF63BE7B"/>
        <color rgb="FFFFEB84"/>
        <color rgb="FFF8696B"/>
      </colorScale>
    </cfRule>
  </conditionalFormatting>
  <conditionalFormatting sqref="I26">
    <cfRule type="colorScale" priority="408">
      <colorScale>
        <cfvo type="min"/>
        <cfvo type="percentile" val="50"/>
        <cfvo type="max"/>
        <color rgb="FF63BE7B"/>
        <color rgb="FFFFEB84"/>
        <color rgb="FFF8696B"/>
      </colorScale>
    </cfRule>
  </conditionalFormatting>
  <conditionalFormatting sqref="I28">
    <cfRule type="colorScale" priority="394">
      <colorScale>
        <cfvo type="min"/>
        <cfvo type="percentile" val="50"/>
        <cfvo type="max"/>
        <color rgb="FF63BE7B"/>
        <color rgb="FFFFEB84"/>
        <color rgb="FFF8696B"/>
      </colorScale>
    </cfRule>
  </conditionalFormatting>
  <conditionalFormatting sqref="I28">
    <cfRule type="colorScale" priority="395">
      <colorScale>
        <cfvo type="min"/>
        <cfvo type="percentile" val="50"/>
        <cfvo type="max"/>
        <color rgb="FF63BE7B"/>
        <color rgb="FFFFEB84"/>
        <color rgb="FFF8696B"/>
      </colorScale>
    </cfRule>
  </conditionalFormatting>
  <conditionalFormatting sqref="I28">
    <cfRule type="colorScale" priority="396">
      <colorScale>
        <cfvo type="min"/>
        <cfvo type="percentile" val="50"/>
        <cfvo type="max"/>
        <color rgb="FFF8696B"/>
        <color rgb="FFFFEB84"/>
        <color rgb="FF63BE7B"/>
      </colorScale>
    </cfRule>
  </conditionalFormatting>
  <conditionalFormatting sqref="I28">
    <cfRule type="colorScale" priority="397">
      <colorScale>
        <cfvo type="min"/>
        <cfvo type="percentile" val="50"/>
        <cfvo type="max"/>
        <color rgb="FF63BE7B"/>
        <color rgb="FFFFEB84"/>
        <color rgb="FFF8696B"/>
      </colorScale>
    </cfRule>
  </conditionalFormatting>
  <conditionalFormatting sqref="I28">
    <cfRule type="colorScale" priority="398">
      <colorScale>
        <cfvo type="min"/>
        <cfvo type="percentile" val="50"/>
        <cfvo type="max"/>
        <color rgb="FF63BE7B"/>
        <color rgb="FFFFEB84"/>
        <color rgb="FFF8696B"/>
      </colorScale>
    </cfRule>
  </conditionalFormatting>
  <conditionalFormatting sqref="I28">
    <cfRule type="colorScale" priority="399">
      <colorScale>
        <cfvo type="min"/>
        <cfvo type="percentile" val="50"/>
        <cfvo type="max"/>
        <color rgb="FF63BE7B"/>
        <color rgb="FFFFEB84"/>
        <color rgb="FFF8696B"/>
      </colorScale>
    </cfRule>
  </conditionalFormatting>
  <conditionalFormatting sqref="I28">
    <cfRule type="colorScale" priority="393">
      <colorScale>
        <cfvo type="min"/>
        <cfvo type="percentile" val="50"/>
        <cfvo type="max"/>
        <color rgb="FF63BE7B"/>
        <color rgb="FFFFEB84"/>
        <color rgb="FFF8696B"/>
      </colorScale>
    </cfRule>
  </conditionalFormatting>
  <conditionalFormatting sqref="I28">
    <cfRule type="colorScale" priority="392">
      <colorScale>
        <cfvo type="min"/>
        <cfvo type="percentile" val="50"/>
        <cfvo type="max"/>
        <color rgb="FF63BE7B"/>
        <color rgb="FFFFEB84"/>
        <color rgb="FFF8696B"/>
      </colorScale>
    </cfRule>
  </conditionalFormatting>
  <conditionalFormatting sqref="I8">
    <cfRule type="colorScale" priority="386">
      <colorScale>
        <cfvo type="min"/>
        <cfvo type="percentile" val="50"/>
        <cfvo type="max"/>
        <color rgb="FF63BE7B"/>
        <color rgb="FFFFEB84"/>
        <color rgb="FFF8696B"/>
      </colorScale>
    </cfRule>
  </conditionalFormatting>
  <conditionalFormatting sqref="I8">
    <cfRule type="colorScale" priority="387">
      <colorScale>
        <cfvo type="min"/>
        <cfvo type="percentile" val="50"/>
        <cfvo type="max"/>
        <color rgb="FF63BE7B"/>
        <color rgb="FFFFEB84"/>
        <color rgb="FFF8696B"/>
      </colorScale>
    </cfRule>
  </conditionalFormatting>
  <conditionalFormatting sqref="I8">
    <cfRule type="colorScale" priority="388">
      <colorScale>
        <cfvo type="min"/>
        <cfvo type="percentile" val="50"/>
        <cfvo type="max"/>
        <color rgb="FFF8696B"/>
        <color rgb="FFFFEB84"/>
        <color rgb="FF63BE7B"/>
      </colorScale>
    </cfRule>
  </conditionalFormatting>
  <conditionalFormatting sqref="I8">
    <cfRule type="colorScale" priority="389">
      <colorScale>
        <cfvo type="min"/>
        <cfvo type="percentile" val="50"/>
        <cfvo type="max"/>
        <color rgb="FF63BE7B"/>
        <color rgb="FFFFEB84"/>
        <color rgb="FFF8696B"/>
      </colorScale>
    </cfRule>
  </conditionalFormatting>
  <conditionalFormatting sqref="I8">
    <cfRule type="colorScale" priority="390">
      <colorScale>
        <cfvo type="min"/>
        <cfvo type="percentile" val="50"/>
        <cfvo type="max"/>
        <color rgb="FF63BE7B"/>
        <color rgb="FFFFEB84"/>
        <color rgb="FFF8696B"/>
      </colorScale>
    </cfRule>
  </conditionalFormatting>
  <conditionalFormatting sqref="I8">
    <cfRule type="colorScale" priority="391">
      <colorScale>
        <cfvo type="min"/>
        <cfvo type="percentile" val="50"/>
        <cfvo type="max"/>
        <color rgb="FF63BE7B"/>
        <color rgb="FFFFEB84"/>
        <color rgb="FFF8696B"/>
      </colorScale>
    </cfRule>
  </conditionalFormatting>
  <conditionalFormatting sqref="I8">
    <cfRule type="colorScale" priority="385">
      <colorScale>
        <cfvo type="min"/>
        <cfvo type="percentile" val="50"/>
        <cfvo type="max"/>
        <color rgb="FF63BE7B"/>
        <color rgb="FFFFEB84"/>
        <color rgb="FFF8696B"/>
      </colorScale>
    </cfRule>
  </conditionalFormatting>
  <conditionalFormatting sqref="I8">
    <cfRule type="colorScale" priority="384">
      <colorScale>
        <cfvo type="min"/>
        <cfvo type="percentile" val="50"/>
        <cfvo type="max"/>
        <color rgb="FF63BE7B"/>
        <color rgb="FFFFEB84"/>
        <color rgb="FFF8696B"/>
      </colorScale>
    </cfRule>
  </conditionalFormatting>
  <conditionalFormatting sqref="I9">
    <cfRule type="colorScale" priority="378">
      <colorScale>
        <cfvo type="min"/>
        <cfvo type="percentile" val="50"/>
        <cfvo type="max"/>
        <color rgb="FF63BE7B"/>
        <color rgb="FFFFEB84"/>
        <color rgb="FFF8696B"/>
      </colorScale>
    </cfRule>
  </conditionalFormatting>
  <conditionalFormatting sqref="I9">
    <cfRule type="colorScale" priority="379">
      <colorScale>
        <cfvo type="min"/>
        <cfvo type="percentile" val="50"/>
        <cfvo type="max"/>
        <color rgb="FF63BE7B"/>
        <color rgb="FFFFEB84"/>
        <color rgb="FFF8696B"/>
      </colorScale>
    </cfRule>
  </conditionalFormatting>
  <conditionalFormatting sqref="I9">
    <cfRule type="colorScale" priority="380">
      <colorScale>
        <cfvo type="min"/>
        <cfvo type="percentile" val="50"/>
        <cfvo type="max"/>
        <color rgb="FFF8696B"/>
        <color rgb="FFFFEB84"/>
        <color rgb="FF63BE7B"/>
      </colorScale>
    </cfRule>
  </conditionalFormatting>
  <conditionalFormatting sqref="I9">
    <cfRule type="colorScale" priority="381">
      <colorScale>
        <cfvo type="min"/>
        <cfvo type="percentile" val="50"/>
        <cfvo type="max"/>
        <color rgb="FF63BE7B"/>
        <color rgb="FFFFEB84"/>
        <color rgb="FFF8696B"/>
      </colorScale>
    </cfRule>
  </conditionalFormatting>
  <conditionalFormatting sqref="I9">
    <cfRule type="colorScale" priority="382">
      <colorScale>
        <cfvo type="min"/>
        <cfvo type="percentile" val="50"/>
        <cfvo type="max"/>
        <color rgb="FF63BE7B"/>
        <color rgb="FFFFEB84"/>
        <color rgb="FFF8696B"/>
      </colorScale>
    </cfRule>
  </conditionalFormatting>
  <conditionalFormatting sqref="I9">
    <cfRule type="colorScale" priority="383">
      <colorScale>
        <cfvo type="min"/>
        <cfvo type="percentile" val="50"/>
        <cfvo type="max"/>
        <color rgb="FF63BE7B"/>
        <color rgb="FFFFEB84"/>
        <color rgb="FFF8696B"/>
      </colorScale>
    </cfRule>
  </conditionalFormatting>
  <conditionalFormatting sqref="I9">
    <cfRule type="colorScale" priority="377">
      <colorScale>
        <cfvo type="min"/>
        <cfvo type="percentile" val="50"/>
        <cfvo type="max"/>
        <color rgb="FF63BE7B"/>
        <color rgb="FFFFEB84"/>
        <color rgb="FFF8696B"/>
      </colorScale>
    </cfRule>
  </conditionalFormatting>
  <conditionalFormatting sqref="I9">
    <cfRule type="colorScale" priority="376">
      <colorScale>
        <cfvo type="min"/>
        <cfvo type="percentile" val="50"/>
        <cfvo type="max"/>
        <color rgb="FF63BE7B"/>
        <color rgb="FFFFEB84"/>
        <color rgb="FFF8696B"/>
      </colorScale>
    </cfRule>
  </conditionalFormatting>
  <conditionalFormatting sqref="I11">
    <cfRule type="colorScale" priority="370">
      <colorScale>
        <cfvo type="min"/>
        <cfvo type="percentile" val="50"/>
        <cfvo type="max"/>
        <color rgb="FF63BE7B"/>
        <color rgb="FFFFEB84"/>
        <color rgb="FFF8696B"/>
      </colorScale>
    </cfRule>
  </conditionalFormatting>
  <conditionalFormatting sqref="I11">
    <cfRule type="colorScale" priority="371">
      <colorScale>
        <cfvo type="min"/>
        <cfvo type="percentile" val="50"/>
        <cfvo type="max"/>
        <color rgb="FF63BE7B"/>
        <color rgb="FFFFEB84"/>
        <color rgb="FFF8696B"/>
      </colorScale>
    </cfRule>
  </conditionalFormatting>
  <conditionalFormatting sqref="I11">
    <cfRule type="colorScale" priority="372">
      <colorScale>
        <cfvo type="min"/>
        <cfvo type="percentile" val="50"/>
        <cfvo type="max"/>
        <color rgb="FFF8696B"/>
        <color rgb="FFFFEB84"/>
        <color rgb="FF63BE7B"/>
      </colorScale>
    </cfRule>
  </conditionalFormatting>
  <conditionalFormatting sqref="I11">
    <cfRule type="colorScale" priority="373">
      <colorScale>
        <cfvo type="min"/>
        <cfvo type="percentile" val="50"/>
        <cfvo type="max"/>
        <color rgb="FF63BE7B"/>
        <color rgb="FFFFEB84"/>
        <color rgb="FFF8696B"/>
      </colorScale>
    </cfRule>
  </conditionalFormatting>
  <conditionalFormatting sqref="I11">
    <cfRule type="colorScale" priority="374">
      <colorScale>
        <cfvo type="min"/>
        <cfvo type="percentile" val="50"/>
        <cfvo type="max"/>
        <color rgb="FF63BE7B"/>
        <color rgb="FFFFEB84"/>
        <color rgb="FFF8696B"/>
      </colorScale>
    </cfRule>
  </conditionalFormatting>
  <conditionalFormatting sqref="I11">
    <cfRule type="colorScale" priority="375">
      <colorScale>
        <cfvo type="min"/>
        <cfvo type="percentile" val="50"/>
        <cfvo type="max"/>
        <color rgb="FF63BE7B"/>
        <color rgb="FFFFEB84"/>
        <color rgb="FFF8696B"/>
      </colorScale>
    </cfRule>
  </conditionalFormatting>
  <conditionalFormatting sqref="I11">
    <cfRule type="colorScale" priority="369">
      <colorScale>
        <cfvo type="min"/>
        <cfvo type="percentile" val="50"/>
        <cfvo type="max"/>
        <color rgb="FF63BE7B"/>
        <color rgb="FFFFEB84"/>
        <color rgb="FFF8696B"/>
      </colorScale>
    </cfRule>
  </conditionalFormatting>
  <conditionalFormatting sqref="I11">
    <cfRule type="colorScale" priority="368">
      <colorScale>
        <cfvo type="min"/>
        <cfvo type="percentile" val="50"/>
        <cfvo type="max"/>
        <color rgb="FF63BE7B"/>
        <color rgb="FFFFEB84"/>
        <color rgb="FFF8696B"/>
      </colorScale>
    </cfRule>
  </conditionalFormatting>
  <conditionalFormatting sqref="I14">
    <cfRule type="colorScale" priority="362">
      <colorScale>
        <cfvo type="min"/>
        <cfvo type="percentile" val="50"/>
        <cfvo type="max"/>
        <color rgb="FF63BE7B"/>
        <color rgb="FFFFEB84"/>
        <color rgb="FFF8696B"/>
      </colorScale>
    </cfRule>
  </conditionalFormatting>
  <conditionalFormatting sqref="I14">
    <cfRule type="colorScale" priority="363">
      <colorScale>
        <cfvo type="min"/>
        <cfvo type="percentile" val="50"/>
        <cfvo type="max"/>
        <color rgb="FF63BE7B"/>
        <color rgb="FFFFEB84"/>
        <color rgb="FFF8696B"/>
      </colorScale>
    </cfRule>
  </conditionalFormatting>
  <conditionalFormatting sqref="I14">
    <cfRule type="colorScale" priority="364">
      <colorScale>
        <cfvo type="min"/>
        <cfvo type="percentile" val="50"/>
        <cfvo type="max"/>
        <color rgb="FFF8696B"/>
        <color rgb="FFFFEB84"/>
        <color rgb="FF63BE7B"/>
      </colorScale>
    </cfRule>
  </conditionalFormatting>
  <conditionalFormatting sqref="I14">
    <cfRule type="colorScale" priority="365">
      <colorScale>
        <cfvo type="min"/>
        <cfvo type="percentile" val="50"/>
        <cfvo type="max"/>
        <color rgb="FF63BE7B"/>
        <color rgb="FFFFEB84"/>
        <color rgb="FFF8696B"/>
      </colorScale>
    </cfRule>
  </conditionalFormatting>
  <conditionalFormatting sqref="I14">
    <cfRule type="colorScale" priority="366">
      <colorScale>
        <cfvo type="min"/>
        <cfvo type="percentile" val="50"/>
        <cfvo type="max"/>
        <color rgb="FF63BE7B"/>
        <color rgb="FFFFEB84"/>
        <color rgb="FFF8696B"/>
      </colorScale>
    </cfRule>
  </conditionalFormatting>
  <conditionalFormatting sqref="I14">
    <cfRule type="colorScale" priority="367">
      <colorScale>
        <cfvo type="min"/>
        <cfvo type="percentile" val="50"/>
        <cfvo type="max"/>
        <color rgb="FF63BE7B"/>
        <color rgb="FFFFEB84"/>
        <color rgb="FFF8696B"/>
      </colorScale>
    </cfRule>
  </conditionalFormatting>
  <conditionalFormatting sqref="I14">
    <cfRule type="colorScale" priority="361">
      <colorScale>
        <cfvo type="min"/>
        <cfvo type="percentile" val="50"/>
        <cfvo type="max"/>
        <color rgb="FF63BE7B"/>
        <color rgb="FFFFEB84"/>
        <color rgb="FFF8696B"/>
      </colorScale>
    </cfRule>
  </conditionalFormatting>
  <conditionalFormatting sqref="I14">
    <cfRule type="colorScale" priority="360">
      <colorScale>
        <cfvo type="min"/>
        <cfvo type="percentile" val="50"/>
        <cfvo type="max"/>
        <color rgb="FF63BE7B"/>
        <color rgb="FFFFEB84"/>
        <color rgb="FFF8696B"/>
      </colorScale>
    </cfRule>
  </conditionalFormatting>
  <conditionalFormatting sqref="I17">
    <cfRule type="colorScale" priority="354">
      <colorScale>
        <cfvo type="min"/>
        <cfvo type="percentile" val="50"/>
        <cfvo type="max"/>
        <color rgb="FF63BE7B"/>
        <color rgb="FFFFEB84"/>
        <color rgb="FFF8696B"/>
      </colorScale>
    </cfRule>
  </conditionalFormatting>
  <conditionalFormatting sqref="I17">
    <cfRule type="colorScale" priority="355">
      <colorScale>
        <cfvo type="min"/>
        <cfvo type="percentile" val="50"/>
        <cfvo type="max"/>
        <color rgb="FF63BE7B"/>
        <color rgb="FFFFEB84"/>
        <color rgb="FFF8696B"/>
      </colorScale>
    </cfRule>
  </conditionalFormatting>
  <conditionalFormatting sqref="I17">
    <cfRule type="colorScale" priority="356">
      <colorScale>
        <cfvo type="min"/>
        <cfvo type="percentile" val="50"/>
        <cfvo type="max"/>
        <color rgb="FFF8696B"/>
        <color rgb="FFFFEB84"/>
        <color rgb="FF63BE7B"/>
      </colorScale>
    </cfRule>
  </conditionalFormatting>
  <conditionalFormatting sqref="I17">
    <cfRule type="colorScale" priority="357">
      <colorScale>
        <cfvo type="min"/>
        <cfvo type="percentile" val="50"/>
        <cfvo type="max"/>
        <color rgb="FF63BE7B"/>
        <color rgb="FFFFEB84"/>
        <color rgb="FFF8696B"/>
      </colorScale>
    </cfRule>
  </conditionalFormatting>
  <conditionalFormatting sqref="I17">
    <cfRule type="colorScale" priority="358">
      <colorScale>
        <cfvo type="min"/>
        <cfvo type="percentile" val="50"/>
        <cfvo type="max"/>
        <color rgb="FF63BE7B"/>
        <color rgb="FFFFEB84"/>
        <color rgb="FFF8696B"/>
      </colorScale>
    </cfRule>
  </conditionalFormatting>
  <conditionalFormatting sqref="I17">
    <cfRule type="colorScale" priority="359">
      <colorScale>
        <cfvo type="min"/>
        <cfvo type="percentile" val="50"/>
        <cfvo type="max"/>
        <color rgb="FF63BE7B"/>
        <color rgb="FFFFEB84"/>
        <color rgb="FFF8696B"/>
      </colorScale>
    </cfRule>
  </conditionalFormatting>
  <conditionalFormatting sqref="I17">
    <cfRule type="colorScale" priority="353">
      <colorScale>
        <cfvo type="min"/>
        <cfvo type="percentile" val="50"/>
        <cfvo type="max"/>
        <color rgb="FF63BE7B"/>
        <color rgb="FFFFEB84"/>
        <color rgb="FFF8696B"/>
      </colorScale>
    </cfRule>
  </conditionalFormatting>
  <conditionalFormatting sqref="I17">
    <cfRule type="colorScale" priority="352">
      <colorScale>
        <cfvo type="min"/>
        <cfvo type="percentile" val="50"/>
        <cfvo type="max"/>
        <color rgb="FF63BE7B"/>
        <color rgb="FFFFEB84"/>
        <color rgb="FFF8696B"/>
      </colorScale>
    </cfRule>
  </conditionalFormatting>
  <conditionalFormatting sqref="I21">
    <cfRule type="colorScale" priority="346">
      <colorScale>
        <cfvo type="min"/>
        <cfvo type="percentile" val="50"/>
        <cfvo type="max"/>
        <color rgb="FF63BE7B"/>
        <color rgb="FFFFEB84"/>
        <color rgb="FFF8696B"/>
      </colorScale>
    </cfRule>
  </conditionalFormatting>
  <conditionalFormatting sqref="I21">
    <cfRule type="colorScale" priority="347">
      <colorScale>
        <cfvo type="min"/>
        <cfvo type="percentile" val="50"/>
        <cfvo type="max"/>
        <color rgb="FF63BE7B"/>
        <color rgb="FFFFEB84"/>
        <color rgb="FFF8696B"/>
      </colorScale>
    </cfRule>
  </conditionalFormatting>
  <conditionalFormatting sqref="I21">
    <cfRule type="colorScale" priority="348">
      <colorScale>
        <cfvo type="min"/>
        <cfvo type="percentile" val="50"/>
        <cfvo type="max"/>
        <color rgb="FFF8696B"/>
        <color rgb="FFFFEB84"/>
        <color rgb="FF63BE7B"/>
      </colorScale>
    </cfRule>
  </conditionalFormatting>
  <conditionalFormatting sqref="I21">
    <cfRule type="colorScale" priority="349">
      <colorScale>
        <cfvo type="min"/>
        <cfvo type="percentile" val="50"/>
        <cfvo type="max"/>
        <color rgb="FF63BE7B"/>
        <color rgb="FFFFEB84"/>
        <color rgb="FFF8696B"/>
      </colorScale>
    </cfRule>
  </conditionalFormatting>
  <conditionalFormatting sqref="I21">
    <cfRule type="colorScale" priority="350">
      <colorScale>
        <cfvo type="min"/>
        <cfvo type="percentile" val="50"/>
        <cfvo type="max"/>
        <color rgb="FF63BE7B"/>
        <color rgb="FFFFEB84"/>
        <color rgb="FFF8696B"/>
      </colorScale>
    </cfRule>
  </conditionalFormatting>
  <conditionalFormatting sqref="I21">
    <cfRule type="colorScale" priority="351">
      <colorScale>
        <cfvo type="min"/>
        <cfvo type="percentile" val="50"/>
        <cfvo type="max"/>
        <color rgb="FF63BE7B"/>
        <color rgb="FFFFEB84"/>
        <color rgb="FFF8696B"/>
      </colorScale>
    </cfRule>
  </conditionalFormatting>
  <conditionalFormatting sqref="I21">
    <cfRule type="colorScale" priority="345">
      <colorScale>
        <cfvo type="min"/>
        <cfvo type="percentile" val="50"/>
        <cfvo type="max"/>
        <color rgb="FF63BE7B"/>
        <color rgb="FFFFEB84"/>
        <color rgb="FFF8696B"/>
      </colorScale>
    </cfRule>
  </conditionalFormatting>
  <conditionalFormatting sqref="I21">
    <cfRule type="colorScale" priority="344">
      <colorScale>
        <cfvo type="min"/>
        <cfvo type="percentile" val="50"/>
        <cfvo type="max"/>
        <color rgb="FF63BE7B"/>
        <color rgb="FFFFEB84"/>
        <color rgb="FFF8696B"/>
      </colorScale>
    </cfRule>
  </conditionalFormatting>
  <conditionalFormatting sqref="I25">
    <cfRule type="colorScale" priority="338">
      <colorScale>
        <cfvo type="min"/>
        <cfvo type="percentile" val="50"/>
        <cfvo type="max"/>
        <color rgb="FF63BE7B"/>
        <color rgb="FFFFEB84"/>
        <color rgb="FFF8696B"/>
      </colorScale>
    </cfRule>
  </conditionalFormatting>
  <conditionalFormatting sqref="I25">
    <cfRule type="colorScale" priority="339">
      <colorScale>
        <cfvo type="min"/>
        <cfvo type="percentile" val="50"/>
        <cfvo type="max"/>
        <color rgb="FF63BE7B"/>
        <color rgb="FFFFEB84"/>
        <color rgb="FFF8696B"/>
      </colorScale>
    </cfRule>
  </conditionalFormatting>
  <conditionalFormatting sqref="I25">
    <cfRule type="colorScale" priority="340">
      <colorScale>
        <cfvo type="min"/>
        <cfvo type="percentile" val="50"/>
        <cfvo type="max"/>
        <color rgb="FFF8696B"/>
        <color rgb="FFFFEB84"/>
        <color rgb="FF63BE7B"/>
      </colorScale>
    </cfRule>
  </conditionalFormatting>
  <conditionalFormatting sqref="I25">
    <cfRule type="colorScale" priority="341">
      <colorScale>
        <cfvo type="min"/>
        <cfvo type="percentile" val="50"/>
        <cfvo type="max"/>
        <color rgb="FF63BE7B"/>
        <color rgb="FFFFEB84"/>
        <color rgb="FFF8696B"/>
      </colorScale>
    </cfRule>
  </conditionalFormatting>
  <conditionalFormatting sqref="I25">
    <cfRule type="colorScale" priority="342">
      <colorScale>
        <cfvo type="min"/>
        <cfvo type="percentile" val="50"/>
        <cfvo type="max"/>
        <color rgb="FF63BE7B"/>
        <color rgb="FFFFEB84"/>
        <color rgb="FFF8696B"/>
      </colorScale>
    </cfRule>
  </conditionalFormatting>
  <conditionalFormatting sqref="I25">
    <cfRule type="colorScale" priority="343">
      <colorScale>
        <cfvo type="min"/>
        <cfvo type="percentile" val="50"/>
        <cfvo type="max"/>
        <color rgb="FF63BE7B"/>
        <color rgb="FFFFEB84"/>
        <color rgb="FFF8696B"/>
      </colorScale>
    </cfRule>
  </conditionalFormatting>
  <conditionalFormatting sqref="I25">
    <cfRule type="colorScale" priority="337">
      <colorScale>
        <cfvo type="min"/>
        <cfvo type="percentile" val="50"/>
        <cfvo type="max"/>
        <color rgb="FF63BE7B"/>
        <color rgb="FFFFEB84"/>
        <color rgb="FFF8696B"/>
      </colorScale>
    </cfRule>
  </conditionalFormatting>
  <conditionalFormatting sqref="I25">
    <cfRule type="colorScale" priority="336">
      <colorScale>
        <cfvo type="min"/>
        <cfvo type="percentile" val="50"/>
        <cfvo type="max"/>
        <color rgb="FF63BE7B"/>
        <color rgb="FFFFEB84"/>
        <color rgb="FFF8696B"/>
      </colorScale>
    </cfRule>
  </conditionalFormatting>
  <conditionalFormatting sqref="J8">
    <cfRule type="colorScale" priority="332">
      <colorScale>
        <cfvo type="min"/>
        <cfvo type="percentile" val="50"/>
        <cfvo type="max"/>
        <color rgb="FF63BE7B"/>
        <color rgb="FFFFEB84"/>
        <color rgb="FFF8696B"/>
      </colorScale>
    </cfRule>
  </conditionalFormatting>
  <conditionalFormatting sqref="J8">
    <cfRule type="colorScale" priority="333">
      <colorScale>
        <cfvo type="min"/>
        <cfvo type="percentile" val="50"/>
        <cfvo type="max"/>
        <color rgb="FF63BE7B"/>
        <color rgb="FFFFEB84"/>
        <color rgb="FFF8696B"/>
      </colorScale>
    </cfRule>
  </conditionalFormatting>
  <conditionalFormatting sqref="J8">
    <cfRule type="colorScale" priority="334">
      <colorScale>
        <cfvo type="min"/>
        <cfvo type="percentile" val="50"/>
        <cfvo type="max"/>
        <color rgb="FF63BE7B"/>
        <color rgb="FFFFEB84"/>
        <color rgb="FFF8696B"/>
      </colorScale>
    </cfRule>
  </conditionalFormatting>
  <conditionalFormatting sqref="J8">
    <cfRule type="colorScale" priority="335">
      <colorScale>
        <cfvo type="min"/>
        <cfvo type="percentile" val="50"/>
        <cfvo type="max"/>
        <color rgb="FF63BE7B"/>
        <color rgb="FFFFEB84"/>
        <color rgb="FFF8696B"/>
      </colorScale>
    </cfRule>
  </conditionalFormatting>
  <conditionalFormatting sqref="J8">
    <cfRule type="colorScale" priority="331">
      <colorScale>
        <cfvo type="min"/>
        <cfvo type="percentile" val="50"/>
        <cfvo type="max"/>
        <color rgb="FF63BE7B"/>
        <color rgb="FFFFEB84"/>
        <color rgb="FFF8696B"/>
      </colorScale>
    </cfRule>
  </conditionalFormatting>
  <conditionalFormatting sqref="J19">
    <cfRule type="colorScale" priority="307">
      <colorScale>
        <cfvo type="min"/>
        <cfvo type="percentile" val="50"/>
        <cfvo type="max"/>
        <color rgb="FF63BE7B"/>
        <color rgb="FFFFEB84"/>
        <color rgb="FFF8696B"/>
      </colorScale>
    </cfRule>
  </conditionalFormatting>
  <conditionalFormatting sqref="J19">
    <cfRule type="colorScale" priority="308">
      <colorScale>
        <cfvo type="min"/>
        <cfvo type="percentile" val="50"/>
        <cfvo type="max"/>
        <color rgb="FF63BE7B"/>
        <color rgb="FFFFEB84"/>
        <color rgb="FFF8696B"/>
      </colorScale>
    </cfRule>
  </conditionalFormatting>
  <conditionalFormatting sqref="J19">
    <cfRule type="colorScale" priority="309">
      <colorScale>
        <cfvo type="min"/>
        <cfvo type="percentile" val="50"/>
        <cfvo type="max"/>
        <color rgb="FF63BE7B"/>
        <color rgb="FFFFEB84"/>
        <color rgb="FFF8696B"/>
      </colorScale>
    </cfRule>
  </conditionalFormatting>
  <conditionalFormatting sqref="J19">
    <cfRule type="colorScale" priority="310">
      <colorScale>
        <cfvo type="min"/>
        <cfvo type="percentile" val="50"/>
        <cfvo type="max"/>
        <color rgb="FF63BE7B"/>
        <color rgb="FFFFEB84"/>
        <color rgb="FFF8696B"/>
      </colorScale>
    </cfRule>
  </conditionalFormatting>
  <conditionalFormatting sqref="J19">
    <cfRule type="colorScale" priority="306">
      <colorScale>
        <cfvo type="min"/>
        <cfvo type="percentile" val="50"/>
        <cfvo type="max"/>
        <color rgb="FF63BE7B"/>
        <color rgb="FFFFEB84"/>
        <color rgb="FFF8696B"/>
      </colorScale>
    </cfRule>
  </conditionalFormatting>
  <conditionalFormatting sqref="J9">
    <cfRule type="colorScale" priority="292">
      <colorScale>
        <cfvo type="min"/>
        <cfvo type="percentile" val="50"/>
        <cfvo type="max"/>
        <color rgb="FF63BE7B"/>
        <color rgb="FFFFEB84"/>
        <color rgb="FFF8696B"/>
      </colorScale>
    </cfRule>
  </conditionalFormatting>
  <conditionalFormatting sqref="J9">
    <cfRule type="colorScale" priority="293">
      <colorScale>
        <cfvo type="min"/>
        <cfvo type="percentile" val="50"/>
        <cfvo type="max"/>
        <color rgb="FF63BE7B"/>
        <color rgb="FFFFEB84"/>
        <color rgb="FFF8696B"/>
      </colorScale>
    </cfRule>
  </conditionalFormatting>
  <conditionalFormatting sqref="J9">
    <cfRule type="colorScale" priority="294">
      <colorScale>
        <cfvo type="min"/>
        <cfvo type="percentile" val="50"/>
        <cfvo type="max"/>
        <color rgb="FF63BE7B"/>
        <color rgb="FFFFEB84"/>
        <color rgb="FFF8696B"/>
      </colorScale>
    </cfRule>
  </conditionalFormatting>
  <conditionalFormatting sqref="J9">
    <cfRule type="colorScale" priority="295">
      <colorScale>
        <cfvo type="min"/>
        <cfvo type="percentile" val="50"/>
        <cfvo type="max"/>
        <color rgb="FF63BE7B"/>
        <color rgb="FFFFEB84"/>
        <color rgb="FFF8696B"/>
      </colorScale>
    </cfRule>
  </conditionalFormatting>
  <conditionalFormatting sqref="J9">
    <cfRule type="colorScale" priority="291">
      <colorScale>
        <cfvo type="min"/>
        <cfvo type="percentile" val="50"/>
        <cfvo type="max"/>
        <color rgb="FF63BE7B"/>
        <color rgb="FFFFEB84"/>
        <color rgb="FFF8696B"/>
      </colorScale>
    </cfRule>
  </conditionalFormatting>
  <conditionalFormatting sqref="J11">
    <cfRule type="colorScale" priority="287">
      <colorScale>
        <cfvo type="min"/>
        <cfvo type="percentile" val="50"/>
        <cfvo type="max"/>
        <color rgb="FF63BE7B"/>
        <color rgb="FFFFEB84"/>
        <color rgb="FFF8696B"/>
      </colorScale>
    </cfRule>
  </conditionalFormatting>
  <conditionalFormatting sqref="J11">
    <cfRule type="colorScale" priority="288">
      <colorScale>
        <cfvo type="min"/>
        <cfvo type="percentile" val="50"/>
        <cfvo type="max"/>
        <color rgb="FF63BE7B"/>
        <color rgb="FFFFEB84"/>
        <color rgb="FFF8696B"/>
      </colorScale>
    </cfRule>
  </conditionalFormatting>
  <conditionalFormatting sqref="J11">
    <cfRule type="colorScale" priority="289">
      <colorScale>
        <cfvo type="min"/>
        <cfvo type="percentile" val="50"/>
        <cfvo type="max"/>
        <color rgb="FF63BE7B"/>
        <color rgb="FFFFEB84"/>
        <color rgb="FFF8696B"/>
      </colorScale>
    </cfRule>
  </conditionalFormatting>
  <conditionalFormatting sqref="J11">
    <cfRule type="colorScale" priority="290">
      <colorScale>
        <cfvo type="min"/>
        <cfvo type="percentile" val="50"/>
        <cfvo type="max"/>
        <color rgb="FF63BE7B"/>
        <color rgb="FFFFEB84"/>
        <color rgb="FFF8696B"/>
      </colorScale>
    </cfRule>
  </conditionalFormatting>
  <conditionalFormatting sqref="J11">
    <cfRule type="colorScale" priority="286">
      <colorScale>
        <cfvo type="min"/>
        <cfvo type="percentile" val="50"/>
        <cfvo type="max"/>
        <color rgb="FF63BE7B"/>
        <color rgb="FFFFEB84"/>
        <color rgb="FFF8696B"/>
      </colorScale>
    </cfRule>
  </conditionalFormatting>
  <conditionalFormatting sqref="J14">
    <cfRule type="colorScale" priority="282">
      <colorScale>
        <cfvo type="min"/>
        <cfvo type="percentile" val="50"/>
        <cfvo type="max"/>
        <color rgb="FF63BE7B"/>
        <color rgb="FFFFEB84"/>
        <color rgb="FFF8696B"/>
      </colorScale>
    </cfRule>
  </conditionalFormatting>
  <conditionalFormatting sqref="J14">
    <cfRule type="colorScale" priority="283">
      <colorScale>
        <cfvo type="min"/>
        <cfvo type="percentile" val="50"/>
        <cfvo type="max"/>
        <color rgb="FF63BE7B"/>
        <color rgb="FFFFEB84"/>
        <color rgb="FFF8696B"/>
      </colorScale>
    </cfRule>
  </conditionalFormatting>
  <conditionalFormatting sqref="J14">
    <cfRule type="colorScale" priority="284">
      <colorScale>
        <cfvo type="min"/>
        <cfvo type="percentile" val="50"/>
        <cfvo type="max"/>
        <color rgb="FF63BE7B"/>
        <color rgb="FFFFEB84"/>
        <color rgb="FFF8696B"/>
      </colorScale>
    </cfRule>
  </conditionalFormatting>
  <conditionalFormatting sqref="J14">
    <cfRule type="colorScale" priority="285">
      <colorScale>
        <cfvo type="min"/>
        <cfvo type="percentile" val="50"/>
        <cfvo type="max"/>
        <color rgb="FF63BE7B"/>
        <color rgb="FFFFEB84"/>
        <color rgb="FFF8696B"/>
      </colorScale>
    </cfRule>
  </conditionalFormatting>
  <conditionalFormatting sqref="J14">
    <cfRule type="colorScale" priority="281">
      <colorScale>
        <cfvo type="min"/>
        <cfvo type="percentile" val="50"/>
        <cfvo type="max"/>
        <color rgb="FF63BE7B"/>
        <color rgb="FFFFEB84"/>
        <color rgb="FFF8696B"/>
      </colorScale>
    </cfRule>
  </conditionalFormatting>
  <conditionalFormatting sqref="J17">
    <cfRule type="colorScale" priority="277">
      <colorScale>
        <cfvo type="min"/>
        <cfvo type="percentile" val="50"/>
        <cfvo type="max"/>
        <color rgb="FF63BE7B"/>
        <color rgb="FFFFEB84"/>
        <color rgb="FFF8696B"/>
      </colorScale>
    </cfRule>
  </conditionalFormatting>
  <conditionalFormatting sqref="J17">
    <cfRule type="colorScale" priority="278">
      <colorScale>
        <cfvo type="min"/>
        <cfvo type="percentile" val="50"/>
        <cfvo type="max"/>
        <color rgb="FF63BE7B"/>
        <color rgb="FFFFEB84"/>
        <color rgb="FFF8696B"/>
      </colorScale>
    </cfRule>
  </conditionalFormatting>
  <conditionalFormatting sqref="J17">
    <cfRule type="colorScale" priority="279">
      <colorScale>
        <cfvo type="min"/>
        <cfvo type="percentile" val="50"/>
        <cfvo type="max"/>
        <color rgb="FF63BE7B"/>
        <color rgb="FFFFEB84"/>
        <color rgb="FFF8696B"/>
      </colorScale>
    </cfRule>
  </conditionalFormatting>
  <conditionalFormatting sqref="J17">
    <cfRule type="colorScale" priority="280">
      <colorScale>
        <cfvo type="min"/>
        <cfvo type="percentile" val="50"/>
        <cfvo type="max"/>
        <color rgb="FF63BE7B"/>
        <color rgb="FFFFEB84"/>
        <color rgb="FFF8696B"/>
      </colorScale>
    </cfRule>
  </conditionalFormatting>
  <conditionalFormatting sqref="J17">
    <cfRule type="colorScale" priority="276">
      <colorScale>
        <cfvo type="min"/>
        <cfvo type="percentile" val="50"/>
        <cfvo type="max"/>
        <color rgb="FF63BE7B"/>
        <color rgb="FFFFEB84"/>
        <color rgb="FFF8696B"/>
      </colorScale>
    </cfRule>
  </conditionalFormatting>
  <conditionalFormatting sqref="J21">
    <cfRule type="colorScale" priority="272">
      <colorScale>
        <cfvo type="min"/>
        <cfvo type="percentile" val="50"/>
        <cfvo type="max"/>
        <color rgb="FF63BE7B"/>
        <color rgb="FFFFEB84"/>
        <color rgb="FFF8696B"/>
      </colorScale>
    </cfRule>
  </conditionalFormatting>
  <conditionalFormatting sqref="J21">
    <cfRule type="colorScale" priority="273">
      <colorScale>
        <cfvo type="min"/>
        <cfvo type="percentile" val="50"/>
        <cfvo type="max"/>
        <color rgb="FF63BE7B"/>
        <color rgb="FFFFEB84"/>
        <color rgb="FFF8696B"/>
      </colorScale>
    </cfRule>
  </conditionalFormatting>
  <conditionalFormatting sqref="J21">
    <cfRule type="colorScale" priority="274">
      <colorScale>
        <cfvo type="min"/>
        <cfvo type="percentile" val="50"/>
        <cfvo type="max"/>
        <color rgb="FF63BE7B"/>
        <color rgb="FFFFEB84"/>
        <color rgb="FFF8696B"/>
      </colorScale>
    </cfRule>
  </conditionalFormatting>
  <conditionalFormatting sqref="J21">
    <cfRule type="colorScale" priority="275">
      <colorScale>
        <cfvo type="min"/>
        <cfvo type="percentile" val="50"/>
        <cfvo type="max"/>
        <color rgb="FF63BE7B"/>
        <color rgb="FFFFEB84"/>
        <color rgb="FFF8696B"/>
      </colorScale>
    </cfRule>
  </conditionalFormatting>
  <conditionalFormatting sqref="J21">
    <cfRule type="colorScale" priority="271">
      <colorScale>
        <cfvo type="min"/>
        <cfvo type="percentile" val="50"/>
        <cfvo type="max"/>
        <color rgb="FF63BE7B"/>
        <color rgb="FFFFEB84"/>
        <color rgb="FFF8696B"/>
      </colorScale>
    </cfRule>
  </conditionalFormatting>
  <conditionalFormatting sqref="J25">
    <cfRule type="colorScale" priority="267">
      <colorScale>
        <cfvo type="min"/>
        <cfvo type="percentile" val="50"/>
        <cfvo type="max"/>
        <color rgb="FF63BE7B"/>
        <color rgb="FFFFEB84"/>
        <color rgb="FFF8696B"/>
      </colorScale>
    </cfRule>
  </conditionalFormatting>
  <conditionalFormatting sqref="J25">
    <cfRule type="colorScale" priority="268">
      <colorScale>
        <cfvo type="min"/>
        <cfvo type="percentile" val="50"/>
        <cfvo type="max"/>
        <color rgb="FF63BE7B"/>
        <color rgb="FFFFEB84"/>
        <color rgb="FFF8696B"/>
      </colorScale>
    </cfRule>
  </conditionalFormatting>
  <conditionalFormatting sqref="J25">
    <cfRule type="colorScale" priority="269">
      <colorScale>
        <cfvo type="min"/>
        <cfvo type="percentile" val="50"/>
        <cfvo type="max"/>
        <color rgb="FF63BE7B"/>
        <color rgb="FFFFEB84"/>
        <color rgb="FFF8696B"/>
      </colorScale>
    </cfRule>
  </conditionalFormatting>
  <conditionalFormatting sqref="J25">
    <cfRule type="colorScale" priority="270">
      <colorScale>
        <cfvo type="min"/>
        <cfvo type="percentile" val="50"/>
        <cfvo type="max"/>
        <color rgb="FF63BE7B"/>
        <color rgb="FFFFEB84"/>
        <color rgb="FFF8696B"/>
      </colorScale>
    </cfRule>
  </conditionalFormatting>
  <conditionalFormatting sqref="J25">
    <cfRule type="colorScale" priority="266">
      <colorScale>
        <cfvo type="min"/>
        <cfvo type="percentile" val="50"/>
        <cfvo type="max"/>
        <color rgb="FF63BE7B"/>
        <color rgb="FFFFEB84"/>
        <color rgb="FFF8696B"/>
      </colorScale>
    </cfRule>
  </conditionalFormatting>
  <conditionalFormatting sqref="J10">
    <cfRule type="colorScale" priority="262">
      <colorScale>
        <cfvo type="min"/>
        <cfvo type="percentile" val="50"/>
        <cfvo type="max"/>
        <color rgb="FF63BE7B"/>
        <color rgb="FFFFEB84"/>
        <color rgb="FFF8696B"/>
      </colorScale>
    </cfRule>
  </conditionalFormatting>
  <conditionalFormatting sqref="J10">
    <cfRule type="colorScale" priority="263">
      <colorScale>
        <cfvo type="min"/>
        <cfvo type="percentile" val="50"/>
        <cfvo type="max"/>
        <color rgb="FF63BE7B"/>
        <color rgb="FFFFEB84"/>
        <color rgb="FFF8696B"/>
      </colorScale>
    </cfRule>
  </conditionalFormatting>
  <conditionalFormatting sqref="J10">
    <cfRule type="colorScale" priority="264">
      <colorScale>
        <cfvo type="min"/>
        <cfvo type="percentile" val="50"/>
        <cfvo type="max"/>
        <color rgb="FF63BE7B"/>
        <color rgb="FFFFEB84"/>
        <color rgb="FFF8696B"/>
      </colorScale>
    </cfRule>
  </conditionalFormatting>
  <conditionalFormatting sqref="J10">
    <cfRule type="colorScale" priority="265">
      <colorScale>
        <cfvo type="min"/>
        <cfvo type="percentile" val="50"/>
        <cfvo type="max"/>
        <color rgb="FF63BE7B"/>
        <color rgb="FFFFEB84"/>
        <color rgb="FFF8696B"/>
      </colorScale>
    </cfRule>
  </conditionalFormatting>
  <conditionalFormatting sqref="J10">
    <cfRule type="colorScale" priority="261">
      <colorScale>
        <cfvo type="min"/>
        <cfvo type="percentile" val="50"/>
        <cfvo type="max"/>
        <color rgb="FF63BE7B"/>
        <color rgb="FFFFEB84"/>
        <color rgb="FFF8696B"/>
      </colorScale>
    </cfRule>
  </conditionalFormatting>
  <conditionalFormatting sqref="J13">
    <cfRule type="colorScale" priority="252">
      <colorScale>
        <cfvo type="min"/>
        <cfvo type="percentile" val="50"/>
        <cfvo type="max"/>
        <color rgb="FF63BE7B"/>
        <color rgb="FFFFEB84"/>
        <color rgb="FFF8696B"/>
      </colorScale>
    </cfRule>
  </conditionalFormatting>
  <conditionalFormatting sqref="J13">
    <cfRule type="colorScale" priority="253">
      <colorScale>
        <cfvo type="min"/>
        <cfvo type="percentile" val="50"/>
        <cfvo type="max"/>
        <color rgb="FF63BE7B"/>
        <color rgb="FFFFEB84"/>
        <color rgb="FFF8696B"/>
      </colorScale>
    </cfRule>
  </conditionalFormatting>
  <conditionalFormatting sqref="J13">
    <cfRule type="colorScale" priority="254">
      <colorScale>
        <cfvo type="min"/>
        <cfvo type="percentile" val="50"/>
        <cfvo type="max"/>
        <color rgb="FF63BE7B"/>
        <color rgb="FFFFEB84"/>
        <color rgb="FFF8696B"/>
      </colorScale>
    </cfRule>
  </conditionalFormatting>
  <conditionalFormatting sqref="J13">
    <cfRule type="colorScale" priority="255">
      <colorScale>
        <cfvo type="min"/>
        <cfvo type="percentile" val="50"/>
        <cfvo type="max"/>
        <color rgb="FF63BE7B"/>
        <color rgb="FFFFEB84"/>
        <color rgb="FFF8696B"/>
      </colorScale>
    </cfRule>
  </conditionalFormatting>
  <conditionalFormatting sqref="J13">
    <cfRule type="colorScale" priority="251">
      <colorScale>
        <cfvo type="min"/>
        <cfvo type="percentile" val="50"/>
        <cfvo type="max"/>
        <color rgb="FF63BE7B"/>
        <color rgb="FFFFEB84"/>
        <color rgb="FFF8696B"/>
      </colorScale>
    </cfRule>
  </conditionalFormatting>
  <conditionalFormatting sqref="J12">
    <cfRule type="colorScale" priority="207">
      <colorScale>
        <cfvo type="min"/>
        <cfvo type="percentile" val="50"/>
        <cfvo type="max"/>
        <color rgb="FF63BE7B"/>
        <color rgb="FFFFEB84"/>
        <color rgb="FFF8696B"/>
      </colorScale>
    </cfRule>
  </conditionalFormatting>
  <conditionalFormatting sqref="J12">
    <cfRule type="colorScale" priority="208">
      <colorScale>
        <cfvo type="min"/>
        <cfvo type="percentile" val="50"/>
        <cfvo type="max"/>
        <color rgb="FF63BE7B"/>
        <color rgb="FFFFEB84"/>
        <color rgb="FFF8696B"/>
      </colorScale>
    </cfRule>
  </conditionalFormatting>
  <conditionalFormatting sqref="J12">
    <cfRule type="colorScale" priority="209">
      <colorScale>
        <cfvo type="min"/>
        <cfvo type="percentile" val="50"/>
        <cfvo type="max"/>
        <color rgb="FF63BE7B"/>
        <color rgb="FFFFEB84"/>
        <color rgb="FFF8696B"/>
      </colorScale>
    </cfRule>
  </conditionalFormatting>
  <conditionalFormatting sqref="J12">
    <cfRule type="colorScale" priority="210">
      <colorScale>
        <cfvo type="min"/>
        <cfvo type="percentile" val="50"/>
        <cfvo type="max"/>
        <color rgb="FF63BE7B"/>
        <color rgb="FFFFEB84"/>
        <color rgb="FFF8696B"/>
      </colorScale>
    </cfRule>
  </conditionalFormatting>
  <conditionalFormatting sqref="J12">
    <cfRule type="colorScale" priority="206">
      <colorScale>
        <cfvo type="min"/>
        <cfvo type="percentile" val="50"/>
        <cfvo type="max"/>
        <color rgb="FF63BE7B"/>
        <color rgb="FFFFEB84"/>
        <color rgb="FFF8696B"/>
      </colorScale>
    </cfRule>
  </conditionalFormatting>
  <conditionalFormatting sqref="J15">
    <cfRule type="colorScale" priority="202">
      <colorScale>
        <cfvo type="min"/>
        <cfvo type="percentile" val="50"/>
        <cfvo type="max"/>
        <color rgb="FF63BE7B"/>
        <color rgb="FFFFEB84"/>
        <color rgb="FFF8696B"/>
      </colorScale>
    </cfRule>
  </conditionalFormatting>
  <conditionalFormatting sqref="J15">
    <cfRule type="colorScale" priority="203">
      <colorScale>
        <cfvo type="min"/>
        <cfvo type="percentile" val="50"/>
        <cfvo type="max"/>
        <color rgb="FF63BE7B"/>
        <color rgb="FFFFEB84"/>
        <color rgb="FFF8696B"/>
      </colorScale>
    </cfRule>
  </conditionalFormatting>
  <conditionalFormatting sqref="J15">
    <cfRule type="colorScale" priority="204">
      <colorScale>
        <cfvo type="min"/>
        <cfvo type="percentile" val="50"/>
        <cfvo type="max"/>
        <color rgb="FF63BE7B"/>
        <color rgb="FFFFEB84"/>
        <color rgb="FFF8696B"/>
      </colorScale>
    </cfRule>
  </conditionalFormatting>
  <conditionalFormatting sqref="J15">
    <cfRule type="colorScale" priority="205">
      <colorScale>
        <cfvo type="min"/>
        <cfvo type="percentile" val="50"/>
        <cfvo type="max"/>
        <color rgb="FF63BE7B"/>
        <color rgb="FFFFEB84"/>
        <color rgb="FFF8696B"/>
      </colorScale>
    </cfRule>
  </conditionalFormatting>
  <conditionalFormatting sqref="J15">
    <cfRule type="colorScale" priority="201">
      <colorScale>
        <cfvo type="min"/>
        <cfvo type="percentile" val="50"/>
        <cfvo type="max"/>
        <color rgb="FF63BE7B"/>
        <color rgb="FFFFEB84"/>
        <color rgb="FFF8696B"/>
      </colorScale>
    </cfRule>
  </conditionalFormatting>
  <conditionalFormatting sqref="J16">
    <cfRule type="colorScale" priority="197">
      <colorScale>
        <cfvo type="min"/>
        <cfvo type="percentile" val="50"/>
        <cfvo type="max"/>
        <color rgb="FF63BE7B"/>
        <color rgb="FFFFEB84"/>
        <color rgb="FFF8696B"/>
      </colorScale>
    </cfRule>
  </conditionalFormatting>
  <conditionalFormatting sqref="J16">
    <cfRule type="colorScale" priority="198">
      <colorScale>
        <cfvo type="min"/>
        <cfvo type="percentile" val="50"/>
        <cfvo type="max"/>
        <color rgb="FF63BE7B"/>
        <color rgb="FFFFEB84"/>
        <color rgb="FFF8696B"/>
      </colorScale>
    </cfRule>
  </conditionalFormatting>
  <conditionalFormatting sqref="J16">
    <cfRule type="colorScale" priority="199">
      <colorScale>
        <cfvo type="min"/>
        <cfvo type="percentile" val="50"/>
        <cfvo type="max"/>
        <color rgb="FF63BE7B"/>
        <color rgb="FFFFEB84"/>
        <color rgb="FFF8696B"/>
      </colorScale>
    </cfRule>
  </conditionalFormatting>
  <conditionalFormatting sqref="J16">
    <cfRule type="colorScale" priority="200">
      <colorScale>
        <cfvo type="min"/>
        <cfvo type="percentile" val="50"/>
        <cfvo type="max"/>
        <color rgb="FF63BE7B"/>
        <color rgb="FFFFEB84"/>
        <color rgb="FFF8696B"/>
      </colorScale>
    </cfRule>
  </conditionalFormatting>
  <conditionalFormatting sqref="J16">
    <cfRule type="colorScale" priority="196">
      <colorScale>
        <cfvo type="min"/>
        <cfvo type="percentile" val="50"/>
        <cfvo type="max"/>
        <color rgb="FF63BE7B"/>
        <color rgb="FFFFEB84"/>
        <color rgb="FFF8696B"/>
      </colorScale>
    </cfRule>
  </conditionalFormatting>
  <conditionalFormatting sqref="J18">
    <cfRule type="colorScale" priority="192">
      <colorScale>
        <cfvo type="min"/>
        <cfvo type="percentile" val="50"/>
        <cfvo type="max"/>
        <color rgb="FF63BE7B"/>
        <color rgb="FFFFEB84"/>
        <color rgb="FFF8696B"/>
      </colorScale>
    </cfRule>
  </conditionalFormatting>
  <conditionalFormatting sqref="J18">
    <cfRule type="colorScale" priority="193">
      <colorScale>
        <cfvo type="min"/>
        <cfvo type="percentile" val="50"/>
        <cfvo type="max"/>
        <color rgb="FF63BE7B"/>
        <color rgb="FFFFEB84"/>
        <color rgb="FFF8696B"/>
      </colorScale>
    </cfRule>
  </conditionalFormatting>
  <conditionalFormatting sqref="J18">
    <cfRule type="colorScale" priority="194">
      <colorScale>
        <cfvo type="min"/>
        <cfvo type="percentile" val="50"/>
        <cfvo type="max"/>
        <color rgb="FF63BE7B"/>
        <color rgb="FFFFEB84"/>
        <color rgb="FFF8696B"/>
      </colorScale>
    </cfRule>
  </conditionalFormatting>
  <conditionalFormatting sqref="J18">
    <cfRule type="colorScale" priority="195">
      <colorScale>
        <cfvo type="min"/>
        <cfvo type="percentile" val="50"/>
        <cfvo type="max"/>
        <color rgb="FF63BE7B"/>
        <color rgb="FFFFEB84"/>
        <color rgb="FFF8696B"/>
      </colorScale>
    </cfRule>
  </conditionalFormatting>
  <conditionalFormatting sqref="J18">
    <cfRule type="colorScale" priority="191">
      <colorScale>
        <cfvo type="min"/>
        <cfvo type="percentile" val="50"/>
        <cfvo type="max"/>
        <color rgb="FF63BE7B"/>
        <color rgb="FFFFEB84"/>
        <color rgb="FFF8696B"/>
      </colorScale>
    </cfRule>
  </conditionalFormatting>
  <conditionalFormatting sqref="J20">
    <cfRule type="colorScale" priority="187">
      <colorScale>
        <cfvo type="min"/>
        <cfvo type="percentile" val="50"/>
        <cfvo type="max"/>
        <color rgb="FF63BE7B"/>
        <color rgb="FFFFEB84"/>
        <color rgb="FFF8696B"/>
      </colorScale>
    </cfRule>
  </conditionalFormatting>
  <conditionalFormatting sqref="J20">
    <cfRule type="colorScale" priority="188">
      <colorScale>
        <cfvo type="min"/>
        <cfvo type="percentile" val="50"/>
        <cfvo type="max"/>
        <color rgb="FF63BE7B"/>
        <color rgb="FFFFEB84"/>
        <color rgb="FFF8696B"/>
      </colorScale>
    </cfRule>
  </conditionalFormatting>
  <conditionalFormatting sqref="J20">
    <cfRule type="colorScale" priority="189">
      <colorScale>
        <cfvo type="min"/>
        <cfvo type="percentile" val="50"/>
        <cfvo type="max"/>
        <color rgb="FF63BE7B"/>
        <color rgb="FFFFEB84"/>
        <color rgb="FFF8696B"/>
      </colorScale>
    </cfRule>
  </conditionalFormatting>
  <conditionalFormatting sqref="J20">
    <cfRule type="colorScale" priority="190">
      <colorScale>
        <cfvo type="min"/>
        <cfvo type="percentile" val="50"/>
        <cfvo type="max"/>
        <color rgb="FF63BE7B"/>
        <color rgb="FFFFEB84"/>
        <color rgb="FFF8696B"/>
      </colorScale>
    </cfRule>
  </conditionalFormatting>
  <conditionalFormatting sqref="J20">
    <cfRule type="colorScale" priority="186">
      <colorScale>
        <cfvo type="min"/>
        <cfvo type="percentile" val="50"/>
        <cfvo type="max"/>
        <color rgb="FF63BE7B"/>
        <color rgb="FFFFEB84"/>
        <color rgb="FFF8696B"/>
      </colorScale>
    </cfRule>
  </conditionalFormatting>
  <conditionalFormatting sqref="J22">
    <cfRule type="colorScale" priority="182">
      <colorScale>
        <cfvo type="min"/>
        <cfvo type="percentile" val="50"/>
        <cfvo type="max"/>
        <color rgb="FF63BE7B"/>
        <color rgb="FFFFEB84"/>
        <color rgb="FFF8696B"/>
      </colorScale>
    </cfRule>
  </conditionalFormatting>
  <conditionalFormatting sqref="J22">
    <cfRule type="colorScale" priority="183">
      <colorScale>
        <cfvo type="min"/>
        <cfvo type="percentile" val="50"/>
        <cfvo type="max"/>
        <color rgb="FF63BE7B"/>
        <color rgb="FFFFEB84"/>
        <color rgb="FFF8696B"/>
      </colorScale>
    </cfRule>
  </conditionalFormatting>
  <conditionalFormatting sqref="J22">
    <cfRule type="colorScale" priority="184">
      <colorScale>
        <cfvo type="min"/>
        <cfvo type="percentile" val="50"/>
        <cfvo type="max"/>
        <color rgb="FF63BE7B"/>
        <color rgb="FFFFEB84"/>
        <color rgb="FFF8696B"/>
      </colorScale>
    </cfRule>
  </conditionalFormatting>
  <conditionalFormatting sqref="J22">
    <cfRule type="colorScale" priority="185">
      <colorScale>
        <cfvo type="min"/>
        <cfvo type="percentile" val="50"/>
        <cfvo type="max"/>
        <color rgb="FF63BE7B"/>
        <color rgb="FFFFEB84"/>
        <color rgb="FFF8696B"/>
      </colorScale>
    </cfRule>
  </conditionalFormatting>
  <conditionalFormatting sqref="J22">
    <cfRule type="colorScale" priority="181">
      <colorScale>
        <cfvo type="min"/>
        <cfvo type="percentile" val="50"/>
        <cfvo type="max"/>
        <color rgb="FF63BE7B"/>
        <color rgb="FFFFEB84"/>
        <color rgb="FFF8696B"/>
      </colorScale>
    </cfRule>
  </conditionalFormatting>
  <conditionalFormatting sqref="J23">
    <cfRule type="colorScale" priority="177">
      <colorScale>
        <cfvo type="min"/>
        <cfvo type="percentile" val="50"/>
        <cfvo type="max"/>
        <color rgb="FF63BE7B"/>
        <color rgb="FFFFEB84"/>
        <color rgb="FFF8696B"/>
      </colorScale>
    </cfRule>
  </conditionalFormatting>
  <conditionalFormatting sqref="J23">
    <cfRule type="colorScale" priority="178">
      <colorScale>
        <cfvo type="min"/>
        <cfvo type="percentile" val="50"/>
        <cfvo type="max"/>
        <color rgb="FF63BE7B"/>
        <color rgb="FFFFEB84"/>
        <color rgb="FFF8696B"/>
      </colorScale>
    </cfRule>
  </conditionalFormatting>
  <conditionalFormatting sqref="J23">
    <cfRule type="colorScale" priority="179">
      <colorScale>
        <cfvo type="min"/>
        <cfvo type="percentile" val="50"/>
        <cfvo type="max"/>
        <color rgb="FF63BE7B"/>
        <color rgb="FFFFEB84"/>
        <color rgb="FFF8696B"/>
      </colorScale>
    </cfRule>
  </conditionalFormatting>
  <conditionalFormatting sqref="J23">
    <cfRule type="colorScale" priority="180">
      <colorScale>
        <cfvo type="min"/>
        <cfvo type="percentile" val="50"/>
        <cfvo type="max"/>
        <color rgb="FF63BE7B"/>
        <color rgb="FFFFEB84"/>
        <color rgb="FFF8696B"/>
      </colorScale>
    </cfRule>
  </conditionalFormatting>
  <conditionalFormatting sqref="J23">
    <cfRule type="colorScale" priority="176">
      <colorScale>
        <cfvo type="min"/>
        <cfvo type="percentile" val="50"/>
        <cfvo type="max"/>
        <color rgb="FF63BE7B"/>
        <color rgb="FFFFEB84"/>
        <color rgb="FFF8696B"/>
      </colorScale>
    </cfRule>
  </conditionalFormatting>
  <conditionalFormatting sqref="J24">
    <cfRule type="colorScale" priority="172">
      <colorScale>
        <cfvo type="min"/>
        <cfvo type="percentile" val="50"/>
        <cfvo type="max"/>
        <color rgb="FF63BE7B"/>
        <color rgb="FFFFEB84"/>
        <color rgb="FFF8696B"/>
      </colorScale>
    </cfRule>
  </conditionalFormatting>
  <conditionalFormatting sqref="J24">
    <cfRule type="colorScale" priority="173">
      <colorScale>
        <cfvo type="min"/>
        <cfvo type="percentile" val="50"/>
        <cfvo type="max"/>
        <color rgb="FF63BE7B"/>
        <color rgb="FFFFEB84"/>
        <color rgb="FFF8696B"/>
      </colorScale>
    </cfRule>
  </conditionalFormatting>
  <conditionalFormatting sqref="J24">
    <cfRule type="colorScale" priority="174">
      <colorScale>
        <cfvo type="min"/>
        <cfvo type="percentile" val="50"/>
        <cfvo type="max"/>
        <color rgb="FF63BE7B"/>
        <color rgb="FFFFEB84"/>
        <color rgb="FFF8696B"/>
      </colorScale>
    </cfRule>
  </conditionalFormatting>
  <conditionalFormatting sqref="J24">
    <cfRule type="colorScale" priority="175">
      <colorScale>
        <cfvo type="min"/>
        <cfvo type="percentile" val="50"/>
        <cfvo type="max"/>
        <color rgb="FF63BE7B"/>
        <color rgb="FFFFEB84"/>
        <color rgb="FFF8696B"/>
      </colorScale>
    </cfRule>
  </conditionalFormatting>
  <conditionalFormatting sqref="J24">
    <cfRule type="colorScale" priority="171">
      <colorScale>
        <cfvo type="min"/>
        <cfvo type="percentile" val="50"/>
        <cfvo type="max"/>
        <color rgb="FF63BE7B"/>
        <color rgb="FFFFEB84"/>
        <color rgb="FFF8696B"/>
      </colorScale>
    </cfRule>
  </conditionalFormatting>
  <conditionalFormatting sqref="J26">
    <cfRule type="colorScale" priority="167">
      <colorScale>
        <cfvo type="min"/>
        <cfvo type="percentile" val="50"/>
        <cfvo type="max"/>
        <color rgb="FF63BE7B"/>
        <color rgb="FFFFEB84"/>
        <color rgb="FFF8696B"/>
      </colorScale>
    </cfRule>
  </conditionalFormatting>
  <conditionalFormatting sqref="J26">
    <cfRule type="colorScale" priority="168">
      <colorScale>
        <cfvo type="min"/>
        <cfvo type="percentile" val="50"/>
        <cfvo type="max"/>
        <color rgb="FF63BE7B"/>
        <color rgb="FFFFEB84"/>
        <color rgb="FFF8696B"/>
      </colorScale>
    </cfRule>
  </conditionalFormatting>
  <conditionalFormatting sqref="J26">
    <cfRule type="colorScale" priority="169">
      <colorScale>
        <cfvo type="min"/>
        <cfvo type="percentile" val="50"/>
        <cfvo type="max"/>
        <color rgb="FF63BE7B"/>
        <color rgb="FFFFEB84"/>
        <color rgb="FFF8696B"/>
      </colorScale>
    </cfRule>
  </conditionalFormatting>
  <conditionalFormatting sqref="J26">
    <cfRule type="colorScale" priority="170">
      <colorScale>
        <cfvo type="min"/>
        <cfvo type="percentile" val="50"/>
        <cfvo type="max"/>
        <color rgb="FF63BE7B"/>
        <color rgb="FFFFEB84"/>
        <color rgb="FFF8696B"/>
      </colorScale>
    </cfRule>
  </conditionalFormatting>
  <conditionalFormatting sqref="J26">
    <cfRule type="colorScale" priority="166">
      <colorScale>
        <cfvo type="min"/>
        <cfvo type="percentile" val="50"/>
        <cfvo type="max"/>
        <color rgb="FF63BE7B"/>
        <color rgb="FFFFEB84"/>
        <color rgb="FFF8696B"/>
      </colorScale>
    </cfRule>
  </conditionalFormatting>
  <conditionalFormatting sqref="J27">
    <cfRule type="colorScale" priority="162">
      <colorScale>
        <cfvo type="min"/>
        <cfvo type="percentile" val="50"/>
        <cfvo type="max"/>
        <color rgb="FF63BE7B"/>
        <color rgb="FFFFEB84"/>
        <color rgb="FFF8696B"/>
      </colorScale>
    </cfRule>
  </conditionalFormatting>
  <conditionalFormatting sqref="J27">
    <cfRule type="colorScale" priority="163">
      <colorScale>
        <cfvo type="min"/>
        <cfvo type="percentile" val="50"/>
        <cfvo type="max"/>
        <color rgb="FF63BE7B"/>
        <color rgb="FFFFEB84"/>
        <color rgb="FFF8696B"/>
      </colorScale>
    </cfRule>
  </conditionalFormatting>
  <conditionalFormatting sqref="J27">
    <cfRule type="colorScale" priority="164">
      <colorScale>
        <cfvo type="min"/>
        <cfvo type="percentile" val="50"/>
        <cfvo type="max"/>
        <color rgb="FF63BE7B"/>
        <color rgb="FFFFEB84"/>
        <color rgb="FFF8696B"/>
      </colorScale>
    </cfRule>
  </conditionalFormatting>
  <conditionalFormatting sqref="J27">
    <cfRule type="colorScale" priority="165">
      <colorScale>
        <cfvo type="min"/>
        <cfvo type="percentile" val="50"/>
        <cfvo type="max"/>
        <color rgb="FF63BE7B"/>
        <color rgb="FFFFEB84"/>
        <color rgb="FFF8696B"/>
      </colorScale>
    </cfRule>
  </conditionalFormatting>
  <conditionalFormatting sqref="J27">
    <cfRule type="colorScale" priority="161">
      <colorScale>
        <cfvo type="min"/>
        <cfvo type="percentile" val="50"/>
        <cfvo type="max"/>
        <color rgb="FF63BE7B"/>
        <color rgb="FFFFEB84"/>
        <color rgb="FFF8696B"/>
      </colorScale>
    </cfRule>
  </conditionalFormatting>
  <conditionalFormatting sqref="I27">
    <cfRule type="colorScale" priority="155">
      <colorScale>
        <cfvo type="min"/>
        <cfvo type="percentile" val="50"/>
        <cfvo type="max"/>
        <color rgb="FF63BE7B"/>
        <color rgb="FFFFEB84"/>
        <color rgb="FFF8696B"/>
      </colorScale>
    </cfRule>
  </conditionalFormatting>
  <conditionalFormatting sqref="I27">
    <cfRule type="colorScale" priority="156">
      <colorScale>
        <cfvo type="min"/>
        <cfvo type="percentile" val="50"/>
        <cfvo type="max"/>
        <color rgb="FF63BE7B"/>
        <color rgb="FFFFEB84"/>
        <color rgb="FFF8696B"/>
      </colorScale>
    </cfRule>
  </conditionalFormatting>
  <conditionalFormatting sqref="I27">
    <cfRule type="colorScale" priority="157">
      <colorScale>
        <cfvo type="min"/>
        <cfvo type="percentile" val="50"/>
        <cfvo type="max"/>
        <color rgb="FFF8696B"/>
        <color rgb="FFFFEB84"/>
        <color rgb="FF63BE7B"/>
      </colorScale>
    </cfRule>
  </conditionalFormatting>
  <conditionalFormatting sqref="I27">
    <cfRule type="colorScale" priority="158">
      <colorScale>
        <cfvo type="min"/>
        <cfvo type="percentile" val="50"/>
        <cfvo type="max"/>
        <color rgb="FF63BE7B"/>
        <color rgb="FFFFEB84"/>
        <color rgb="FFF8696B"/>
      </colorScale>
    </cfRule>
  </conditionalFormatting>
  <conditionalFormatting sqref="I27">
    <cfRule type="colorScale" priority="159">
      <colorScale>
        <cfvo type="min"/>
        <cfvo type="percentile" val="50"/>
        <cfvo type="max"/>
        <color rgb="FF63BE7B"/>
        <color rgb="FFFFEB84"/>
        <color rgb="FFF8696B"/>
      </colorScale>
    </cfRule>
  </conditionalFormatting>
  <conditionalFormatting sqref="I27">
    <cfRule type="colorScale" priority="160">
      <colorScale>
        <cfvo type="min"/>
        <cfvo type="percentile" val="50"/>
        <cfvo type="max"/>
        <color rgb="FF63BE7B"/>
        <color rgb="FFFFEB84"/>
        <color rgb="FFF8696B"/>
      </colorScale>
    </cfRule>
  </conditionalFormatting>
  <conditionalFormatting sqref="I27">
    <cfRule type="colorScale" priority="154">
      <colorScale>
        <cfvo type="min"/>
        <cfvo type="percentile" val="50"/>
        <cfvo type="max"/>
        <color rgb="FF63BE7B"/>
        <color rgb="FFFFEB84"/>
        <color rgb="FFF8696B"/>
      </colorScale>
    </cfRule>
  </conditionalFormatting>
  <conditionalFormatting sqref="I27">
    <cfRule type="colorScale" priority="153">
      <colorScale>
        <cfvo type="min"/>
        <cfvo type="percentile" val="50"/>
        <cfvo type="max"/>
        <color rgb="FF63BE7B"/>
        <color rgb="FFFFEB84"/>
        <color rgb="FFF8696B"/>
      </colorScale>
    </cfRule>
  </conditionalFormatting>
  <conditionalFormatting sqref="I24">
    <cfRule type="colorScale" priority="147">
      <colorScale>
        <cfvo type="min"/>
        <cfvo type="percentile" val="50"/>
        <cfvo type="max"/>
        <color rgb="FF63BE7B"/>
        <color rgb="FFFFEB84"/>
        <color rgb="FFF8696B"/>
      </colorScale>
    </cfRule>
  </conditionalFormatting>
  <conditionalFormatting sqref="I24">
    <cfRule type="colorScale" priority="148">
      <colorScale>
        <cfvo type="min"/>
        <cfvo type="percentile" val="50"/>
        <cfvo type="max"/>
        <color rgb="FF63BE7B"/>
        <color rgb="FFFFEB84"/>
        <color rgb="FFF8696B"/>
      </colorScale>
    </cfRule>
  </conditionalFormatting>
  <conditionalFormatting sqref="I24">
    <cfRule type="colorScale" priority="149">
      <colorScale>
        <cfvo type="min"/>
        <cfvo type="percentile" val="50"/>
        <cfvo type="max"/>
        <color rgb="FFF8696B"/>
        <color rgb="FFFFEB84"/>
        <color rgb="FF63BE7B"/>
      </colorScale>
    </cfRule>
  </conditionalFormatting>
  <conditionalFormatting sqref="I24">
    <cfRule type="colorScale" priority="150">
      <colorScale>
        <cfvo type="min"/>
        <cfvo type="percentile" val="50"/>
        <cfvo type="max"/>
        <color rgb="FF63BE7B"/>
        <color rgb="FFFFEB84"/>
        <color rgb="FFF8696B"/>
      </colorScale>
    </cfRule>
  </conditionalFormatting>
  <conditionalFormatting sqref="I24">
    <cfRule type="colorScale" priority="151">
      <colorScale>
        <cfvo type="min"/>
        <cfvo type="percentile" val="50"/>
        <cfvo type="max"/>
        <color rgb="FF63BE7B"/>
        <color rgb="FFFFEB84"/>
        <color rgb="FFF8696B"/>
      </colorScale>
    </cfRule>
  </conditionalFormatting>
  <conditionalFormatting sqref="I24">
    <cfRule type="colorScale" priority="152">
      <colorScale>
        <cfvo type="min"/>
        <cfvo type="percentile" val="50"/>
        <cfvo type="max"/>
        <color rgb="FF63BE7B"/>
        <color rgb="FFFFEB84"/>
        <color rgb="FFF8696B"/>
      </colorScale>
    </cfRule>
  </conditionalFormatting>
  <conditionalFormatting sqref="I24">
    <cfRule type="colorScale" priority="146">
      <colorScale>
        <cfvo type="min"/>
        <cfvo type="percentile" val="50"/>
        <cfvo type="max"/>
        <color rgb="FF63BE7B"/>
        <color rgb="FFFFEB84"/>
        <color rgb="FFF8696B"/>
      </colorScale>
    </cfRule>
  </conditionalFormatting>
  <conditionalFormatting sqref="I24">
    <cfRule type="colorScale" priority="145">
      <colorScale>
        <cfvo type="min"/>
        <cfvo type="percentile" val="50"/>
        <cfvo type="max"/>
        <color rgb="FF63BE7B"/>
        <color rgb="FFFFEB84"/>
        <color rgb="FFF8696B"/>
      </colorScale>
    </cfRule>
  </conditionalFormatting>
  <conditionalFormatting sqref="I22">
    <cfRule type="colorScale" priority="139">
      <colorScale>
        <cfvo type="min"/>
        <cfvo type="percentile" val="50"/>
        <cfvo type="max"/>
        <color rgb="FF63BE7B"/>
        <color rgb="FFFFEB84"/>
        <color rgb="FFF8696B"/>
      </colorScale>
    </cfRule>
  </conditionalFormatting>
  <conditionalFormatting sqref="I22">
    <cfRule type="colorScale" priority="140">
      <colorScale>
        <cfvo type="min"/>
        <cfvo type="percentile" val="50"/>
        <cfvo type="max"/>
        <color rgb="FF63BE7B"/>
        <color rgb="FFFFEB84"/>
        <color rgb="FFF8696B"/>
      </colorScale>
    </cfRule>
  </conditionalFormatting>
  <conditionalFormatting sqref="I22">
    <cfRule type="colorScale" priority="141">
      <colorScale>
        <cfvo type="min"/>
        <cfvo type="percentile" val="50"/>
        <cfvo type="max"/>
        <color rgb="FFF8696B"/>
        <color rgb="FFFFEB84"/>
        <color rgb="FF63BE7B"/>
      </colorScale>
    </cfRule>
  </conditionalFormatting>
  <conditionalFormatting sqref="I22">
    <cfRule type="colorScale" priority="142">
      <colorScale>
        <cfvo type="min"/>
        <cfvo type="percentile" val="50"/>
        <cfvo type="max"/>
        <color rgb="FF63BE7B"/>
        <color rgb="FFFFEB84"/>
        <color rgb="FFF8696B"/>
      </colorScale>
    </cfRule>
  </conditionalFormatting>
  <conditionalFormatting sqref="I22">
    <cfRule type="colorScale" priority="143">
      <colorScale>
        <cfvo type="min"/>
        <cfvo type="percentile" val="50"/>
        <cfvo type="max"/>
        <color rgb="FF63BE7B"/>
        <color rgb="FFFFEB84"/>
        <color rgb="FFF8696B"/>
      </colorScale>
    </cfRule>
  </conditionalFormatting>
  <conditionalFormatting sqref="I22">
    <cfRule type="colorScale" priority="144">
      <colorScale>
        <cfvo type="min"/>
        <cfvo type="percentile" val="50"/>
        <cfvo type="max"/>
        <color rgb="FF63BE7B"/>
        <color rgb="FFFFEB84"/>
        <color rgb="FFF8696B"/>
      </colorScale>
    </cfRule>
  </conditionalFormatting>
  <conditionalFormatting sqref="I22">
    <cfRule type="colorScale" priority="138">
      <colorScale>
        <cfvo type="min"/>
        <cfvo type="percentile" val="50"/>
        <cfvo type="max"/>
        <color rgb="FF63BE7B"/>
        <color rgb="FFFFEB84"/>
        <color rgb="FFF8696B"/>
      </colorScale>
    </cfRule>
  </conditionalFormatting>
  <conditionalFormatting sqref="I22">
    <cfRule type="colorScale" priority="137">
      <colorScale>
        <cfvo type="min"/>
        <cfvo type="percentile" val="50"/>
        <cfvo type="max"/>
        <color rgb="FF63BE7B"/>
        <color rgb="FFFFEB84"/>
        <color rgb="FFF8696B"/>
      </colorScale>
    </cfRule>
  </conditionalFormatting>
  <conditionalFormatting sqref="I20">
    <cfRule type="colorScale" priority="131">
      <colorScale>
        <cfvo type="min"/>
        <cfvo type="percentile" val="50"/>
        <cfvo type="max"/>
        <color rgb="FF63BE7B"/>
        <color rgb="FFFFEB84"/>
        <color rgb="FFF8696B"/>
      </colorScale>
    </cfRule>
  </conditionalFormatting>
  <conditionalFormatting sqref="I20">
    <cfRule type="colorScale" priority="132">
      <colorScale>
        <cfvo type="min"/>
        <cfvo type="percentile" val="50"/>
        <cfvo type="max"/>
        <color rgb="FF63BE7B"/>
        <color rgb="FFFFEB84"/>
        <color rgb="FFF8696B"/>
      </colorScale>
    </cfRule>
  </conditionalFormatting>
  <conditionalFormatting sqref="I20">
    <cfRule type="colorScale" priority="133">
      <colorScale>
        <cfvo type="min"/>
        <cfvo type="percentile" val="50"/>
        <cfvo type="max"/>
        <color rgb="FFF8696B"/>
        <color rgb="FFFFEB84"/>
        <color rgb="FF63BE7B"/>
      </colorScale>
    </cfRule>
  </conditionalFormatting>
  <conditionalFormatting sqref="I20">
    <cfRule type="colorScale" priority="134">
      <colorScale>
        <cfvo type="min"/>
        <cfvo type="percentile" val="50"/>
        <cfvo type="max"/>
        <color rgb="FF63BE7B"/>
        <color rgb="FFFFEB84"/>
        <color rgb="FFF8696B"/>
      </colorScale>
    </cfRule>
  </conditionalFormatting>
  <conditionalFormatting sqref="I20">
    <cfRule type="colorScale" priority="135">
      <colorScale>
        <cfvo type="min"/>
        <cfvo type="percentile" val="50"/>
        <cfvo type="max"/>
        <color rgb="FF63BE7B"/>
        <color rgb="FFFFEB84"/>
        <color rgb="FFF8696B"/>
      </colorScale>
    </cfRule>
  </conditionalFormatting>
  <conditionalFormatting sqref="I20">
    <cfRule type="colorScale" priority="136">
      <colorScale>
        <cfvo type="min"/>
        <cfvo type="percentile" val="50"/>
        <cfvo type="max"/>
        <color rgb="FF63BE7B"/>
        <color rgb="FFFFEB84"/>
        <color rgb="FFF8696B"/>
      </colorScale>
    </cfRule>
  </conditionalFormatting>
  <conditionalFormatting sqref="I20">
    <cfRule type="colorScale" priority="130">
      <colorScale>
        <cfvo type="min"/>
        <cfvo type="percentile" val="50"/>
        <cfvo type="max"/>
        <color rgb="FF63BE7B"/>
        <color rgb="FFFFEB84"/>
        <color rgb="FFF8696B"/>
      </colorScale>
    </cfRule>
  </conditionalFormatting>
  <conditionalFormatting sqref="I20">
    <cfRule type="colorScale" priority="129">
      <colorScale>
        <cfvo type="min"/>
        <cfvo type="percentile" val="50"/>
        <cfvo type="max"/>
        <color rgb="FF63BE7B"/>
        <color rgb="FFFFEB84"/>
        <color rgb="FFF8696B"/>
      </colorScale>
    </cfRule>
  </conditionalFormatting>
  <conditionalFormatting sqref="I18">
    <cfRule type="colorScale" priority="123">
      <colorScale>
        <cfvo type="min"/>
        <cfvo type="percentile" val="50"/>
        <cfvo type="max"/>
        <color rgb="FF63BE7B"/>
        <color rgb="FFFFEB84"/>
        <color rgb="FFF8696B"/>
      </colorScale>
    </cfRule>
  </conditionalFormatting>
  <conditionalFormatting sqref="I18">
    <cfRule type="colorScale" priority="124">
      <colorScale>
        <cfvo type="min"/>
        <cfvo type="percentile" val="50"/>
        <cfvo type="max"/>
        <color rgb="FF63BE7B"/>
        <color rgb="FFFFEB84"/>
        <color rgb="FFF8696B"/>
      </colorScale>
    </cfRule>
  </conditionalFormatting>
  <conditionalFormatting sqref="I18">
    <cfRule type="colorScale" priority="125">
      <colorScale>
        <cfvo type="min"/>
        <cfvo type="percentile" val="50"/>
        <cfvo type="max"/>
        <color rgb="FFF8696B"/>
        <color rgb="FFFFEB84"/>
        <color rgb="FF63BE7B"/>
      </colorScale>
    </cfRule>
  </conditionalFormatting>
  <conditionalFormatting sqref="I18">
    <cfRule type="colorScale" priority="126">
      <colorScale>
        <cfvo type="min"/>
        <cfvo type="percentile" val="50"/>
        <cfvo type="max"/>
        <color rgb="FF63BE7B"/>
        <color rgb="FFFFEB84"/>
        <color rgb="FFF8696B"/>
      </colorScale>
    </cfRule>
  </conditionalFormatting>
  <conditionalFormatting sqref="I18">
    <cfRule type="colorScale" priority="127">
      <colorScale>
        <cfvo type="min"/>
        <cfvo type="percentile" val="50"/>
        <cfvo type="max"/>
        <color rgb="FF63BE7B"/>
        <color rgb="FFFFEB84"/>
        <color rgb="FFF8696B"/>
      </colorScale>
    </cfRule>
  </conditionalFormatting>
  <conditionalFormatting sqref="I18">
    <cfRule type="colorScale" priority="128">
      <colorScale>
        <cfvo type="min"/>
        <cfvo type="percentile" val="50"/>
        <cfvo type="max"/>
        <color rgb="FF63BE7B"/>
        <color rgb="FFFFEB84"/>
        <color rgb="FFF8696B"/>
      </colorScale>
    </cfRule>
  </conditionalFormatting>
  <conditionalFormatting sqref="I18">
    <cfRule type="colorScale" priority="122">
      <colorScale>
        <cfvo type="min"/>
        <cfvo type="percentile" val="50"/>
        <cfvo type="max"/>
        <color rgb="FF63BE7B"/>
        <color rgb="FFFFEB84"/>
        <color rgb="FFF8696B"/>
      </colorScale>
    </cfRule>
  </conditionalFormatting>
  <conditionalFormatting sqref="I18">
    <cfRule type="colorScale" priority="121">
      <colorScale>
        <cfvo type="min"/>
        <cfvo type="percentile" val="50"/>
        <cfvo type="max"/>
        <color rgb="FF63BE7B"/>
        <color rgb="FFFFEB84"/>
        <color rgb="FFF8696B"/>
      </colorScale>
    </cfRule>
  </conditionalFormatting>
  <conditionalFormatting sqref="I16">
    <cfRule type="colorScale" priority="115">
      <colorScale>
        <cfvo type="min"/>
        <cfvo type="percentile" val="50"/>
        <cfvo type="max"/>
        <color rgb="FF63BE7B"/>
        <color rgb="FFFFEB84"/>
        <color rgb="FFF8696B"/>
      </colorScale>
    </cfRule>
  </conditionalFormatting>
  <conditionalFormatting sqref="I16">
    <cfRule type="colorScale" priority="116">
      <colorScale>
        <cfvo type="min"/>
        <cfvo type="percentile" val="50"/>
        <cfvo type="max"/>
        <color rgb="FF63BE7B"/>
        <color rgb="FFFFEB84"/>
        <color rgb="FFF8696B"/>
      </colorScale>
    </cfRule>
  </conditionalFormatting>
  <conditionalFormatting sqref="I16">
    <cfRule type="colorScale" priority="117">
      <colorScale>
        <cfvo type="min"/>
        <cfvo type="percentile" val="50"/>
        <cfvo type="max"/>
        <color rgb="FFF8696B"/>
        <color rgb="FFFFEB84"/>
        <color rgb="FF63BE7B"/>
      </colorScale>
    </cfRule>
  </conditionalFormatting>
  <conditionalFormatting sqref="I16">
    <cfRule type="colorScale" priority="118">
      <colorScale>
        <cfvo type="min"/>
        <cfvo type="percentile" val="50"/>
        <cfvo type="max"/>
        <color rgb="FF63BE7B"/>
        <color rgb="FFFFEB84"/>
        <color rgb="FFF8696B"/>
      </colorScale>
    </cfRule>
  </conditionalFormatting>
  <conditionalFormatting sqref="I16">
    <cfRule type="colorScale" priority="119">
      <colorScale>
        <cfvo type="min"/>
        <cfvo type="percentile" val="50"/>
        <cfvo type="max"/>
        <color rgb="FF63BE7B"/>
        <color rgb="FFFFEB84"/>
        <color rgb="FFF8696B"/>
      </colorScale>
    </cfRule>
  </conditionalFormatting>
  <conditionalFormatting sqref="I16">
    <cfRule type="colorScale" priority="120">
      <colorScale>
        <cfvo type="min"/>
        <cfvo type="percentile" val="50"/>
        <cfvo type="max"/>
        <color rgb="FF63BE7B"/>
        <color rgb="FFFFEB84"/>
        <color rgb="FFF8696B"/>
      </colorScale>
    </cfRule>
  </conditionalFormatting>
  <conditionalFormatting sqref="I16">
    <cfRule type="colorScale" priority="114">
      <colorScale>
        <cfvo type="min"/>
        <cfvo type="percentile" val="50"/>
        <cfvo type="max"/>
        <color rgb="FF63BE7B"/>
        <color rgb="FFFFEB84"/>
        <color rgb="FFF8696B"/>
      </colorScale>
    </cfRule>
  </conditionalFormatting>
  <conditionalFormatting sqref="I16">
    <cfRule type="colorScale" priority="113">
      <colorScale>
        <cfvo type="min"/>
        <cfvo type="percentile" val="50"/>
        <cfvo type="max"/>
        <color rgb="FF63BE7B"/>
        <color rgb="FFFFEB84"/>
        <color rgb="FFF8696B"/>
      </colorScale>
    </cfRule>
  </conditionalFormatting>
  <conditionalFormatting sqref="I15">
    <cfRule type="colorScale" priority="107">
      <colorScale>
        <cfvo type="min"/>
        <cfvo type="percentile" val="50"/>
        <cfvo type="max"/>
        <color rgb="FF63BE7B"/>
        <color rgb="FFFFEB84"/>
        <color rgb="FFF8696B"/>
      </colorScale>
    </cfRule>
  </conditionalFormatting>
  <conditionalFormatting sqref="I15">
    <cfRule type="colorScale" priority="108">
      <colorScale>
        <cfvo type="min"/>
        <cfvo type="percentile" val="50"/>
        <cfvo type="max"/>
        <color rgb="FF63BE7B"/>
        <color rgb="FFFFEB84"/>
        <color rgb="FFF8696B"/>
      </colorScale>
    </cfRule>
  </conditionalFormatting>
  <conditionalFormatting sqref="I15">
    <cfRule type="colorScale" priority="109">
      <colorScale>
        <cfvo type="min"/>
        <cfvo type="percentile" val="50"/>
        <cfvo type="max"/>
        <color rgb="FFF8696B"/>
        <color rgb="FFFFEB84"/>
        <color rgb="FF63BE7B"/>
      </colorScale>
    </cfRule>
  </conditionalFormatting>
  <conditionalFormatting sqref="I15">
    <cfRule type="colorScale" priority="110">
      <colorScale>
        <cfvo type="min"/>
        <cfvo type="percentile" val="50"/>
        <cfvo type="max"/>
        <color rgb="FF63BE7B"/>
        <color rgb="FFFFEB84"/>
        <color rgb="FFF8696B"/>
      </colorScale>
    </cfRule>
  </conditionalFormatting>
  <conditionalFormatting sqref="I15">
    <cfRule type="colorScale" priority="111">
      <colorScale>
        <cfvo type="min"/>
        <cfvo type="percentile" val="50"/>
        <cfvo type="max"/>
        <color rgb="FF63BE7B"/>
        <color rgb="FFFFEB84"/>
        <color rgb="FFF8696B"/>
      </colorScale>
    </cfRule>
  </conditionalFormatting>
  <conditionalFormatting sqref="I15">
    <cfRule type="colorScale" priority="112">
      <colorScale>
        <cfvo type="min"/>
        <cfvo type="percentile" val="50"/>
        <cfvo type="max"/>
        <color rgb="FF63BE7B"/>
        <color rgb="FFFFEB84"/>
        <color rgb="FFF8696B"/>
      </colorScale>
    </cfRule>
  </conditionalFormatting>
  <conditionalFormatting sqref="I15">
    <cfRule type="colorScale" priority="106">
      <colorScale>
        <cfvo type="min"/>
        <cfvo type="percentile" val="50"/>
        <cfvo type="max"/>
        <color rgb="FF63BE7B"/>
        <color rgb="FFFFEB84"/>
        <color rgb="FFF8696B"/>
      </colorScale>
    </cfRule>
  </conditionalFormatting>
  <conditionalFormatting sqref="I15">
    <cfRule type="colorScale" priority="105">
      <colorScale>
        <cfvo type="min"/>
        <cfvo type="percentile" val="50"/>
        <cfvo type="max"/>
        <color rgb="FF63BE7B"/>
        <color rgb="FFFFEB84"/>
        <color rgb="FFF8696B"/>
      </colorScale>
    </cfRule>
  </conditionalFormatting>
  <conditionalFormatting sqref="I13">
    <cfRule type="colorScale" priority="99">
      <colorScale>
        <cfvo type="min"/>
        <cfvo type="percentile" val="50"/>
        <cfvo type="max"/>
        <color rgb="FF63BE7B"/>
        <color rgb="FFFFEB84"/>
        <color rgb="FFF8696B"/>
      </colorScale>
    </cfRule>
  </conditionalFormatting>
  <conditionalFormatting sqref="I13">
    <cfRule type="colorScale" priority="100">
      <colorScale>
        <cfvo type="min"/>
        <cfvo type="percentile" val="50"/>
        <cfvo type="max"/>
        <color rgb="FF63BE7B"/>
        <color rgb="FFFFEB84"/>
        <color rgb="FFF8696B"/>
      </colorScale>
    </cfRule>
  </conditionalFormatting>
  <conditionalFormatting sqref="I13">
    <cfRule type="colorScale" priority="101">
      <colorScale>
        <cfvo type="min"/>
        <cfvo type="percentile" val="50"/>
        <cfvo type="max"/>
        <color rgb="FFF8696B"/>
        <color rgb="FFFFEB84"/>
        <color rgb="FF63BE7B"/>
      </colorScale>
    </cfRule>
  </conditionalFormatting>
  <conditionalFormatting sqref="I13">
    <cfRule type="colorScale" priority="102">
      <colorScale>
        <cfvo type="min"/>
        <cfvo type="percentile" val="50"/>
        <cfvo type="max"/>
        <color rgb="FF63BE7B"/>
        <color rgb="FFFFEB84"/>
        <color rgb="FFF8696B"/>
      </colorScale>
    </cfRule>
  </conditionalFormatting>
  <conditionalFormatting sqref="I13">
    <cfRule type="colorScale" priority="103">
      <colorScale>
        <cfvo type="min"/>
        <cfvo type="percentile" val="50"/>
        <cfvo type="max"/>
        <color rgb="FF63BE7B"/>
        <color rgb="FFFFEB84"/>
        <color rgb="FFF8696B"/>
      </colorScale>
    </cfRule>
  </conditionalFormatting>
  <conditionalFormatting sqref="I13">
    <cfRule type="colorScale" priority="104">
      <colorScale>
        <cfvo type="min"/>
        <cfvo type="percentile" val="50"/>
        <cfvo type="max"/>
        <color rgb="FF63BE7B"/>
        <color rgb="FFFFEB84"/>
        <color rgb="FFF8696B"/>
      </colorScale>
    </cfRule>
  </conditionalFormatting>
  <conditionalFormatting sqref="I13">
    <cfRule type="colorScale" priority="98">
      <colorScale>
        <cfvo type="min"/>
        <cfvo type="percentile" val="50"/>
        <cfvo type="max"/>
        <color rgb="FF63BE7B"/>
        <color rgb="FFFFEB84"/>
        <color rgb="FFF8696B"/>
      </colorScale>
    </cfRule>
  </conditionalFormatting>
  <conditionalFormatting sqref="I13">
    <cfRule type="colorScale" priority="97">
      <colorScale>
        <cfvo type="min"/>
        <cfvo type="percentile" val="50"/>
        <cfvo type="max"/>
        <color rgb="FF63BE7B"/>
        <color rgb="FFFFEB84"/>
        <color rgb="FFF8696B"/>
      </colorScale>
    </cfRule>
  </conditionalFormatting>
  <conditionalFormatting sqref="I12">
    <cfRule type="colorScale" priority="91">
      <colorScale>
        <cfvo type="min"/>
        <cfvo type="percentile" val="50"/>
        <cfvo type="max"/>
        <color rgb="FF63BE7B"/>
        <color rgb="FFFFEB84"/>
        <color rgb="FFF8696B"/>
      </colorScale>
    </cfRule>
  </conditionalFormatting>
  <conditionalFormatting sqref="I12">
    <cfRule type="colorScale" priority="92">
      <colorScale>
        <cfvo type="min"/>
        <cfvo type="percentile" val="50"/>
        <cfvo type="max"/>
        <color rgb="FF63BE7B"/>
        <color rgb="FFFFEB84"/>
        <color rgb="FFF8696B"/>
      </colorScale>
    </cfRule>
  </conditionalFormatting>
  <conditionalFormatting sqref="I12">
    <cfRule type="colorScale" priority="93">
      <colorScale>
        <cfvo type="min"/>
        <cfvo type="percentile" val="50"/>
        <cfvo type="max"/>
        <color rgb="FFF8696B"/>
        <color rgb="FFFFEB84"/>
        <color rgb="FF63BE7B"/>
      </colorScale>
    </cfRule>
  </conditionalFormatting>
  <conditionalFormatting sqref="I12">
    <cfRule type="colorScale" priority="94">
      <colorScale>
        <cfvo type="min"/>
        <cfvo type="percentile" val="50"/>
        <cfvo type="max"/>
        <color rgb="FF63BE7B"/>
        <color rgb="FFFFEB84"/>
        <color rgb="FFF8696B"/>
      </colorScale>
    </cfRule>
  </conditionalFormatting>
  <conditionalFormatting sqref="I12">
    <cfRule type="colorScale" priority="95">
      <colorScale>
        <cfvo type="min"/>
        <cfvo type="percentile" val="50"/>
        <cfvo type="max"/>
        <color rgb="FF63BE7B"/>
        <color rgb="FFFFEB84"/>
        <color rgb="FFF8696B"/>
      </colorScale>
    </cfRule>
  </conditionalFormatting>
  <conditionalFormatting sqref="I12">
    <cfRule type="colorScale" priority="96">
      <colorScale>
        <cfvo type="min"/>
        <cfvo type="percentile" val="50"/>
        <cfvo type="max"/>
        <color rgb="FF63BE7B"/>
        <color rgb="FFFFEB84"/>
        <color rgb="FFF8696B"/>
      </colorScale>
    </cfRule>
  </conditionalFormatting>
  <conditionalFormatting sqref="I12">
    <cfRule type="colorScale" priority="90">
      <colorScale>
        <cfvo type="min"/>
        <cfvo type="percentile" val="50"/>
        <cfvo type="max"/>
        <color rgb="FF63BE7B"/>
        <color rgb="FFFFEB84"/>
        <color rgb="FFF8696B"/>
      </colorScale>
    </cfRule>
  </conditionalFormatting>
  <conditionalFormatting sqref="I12">
    <cfRule type="colorScale" priority="89">
      <colorScale>
        <cfvo type="min"/>
        <cfvo type="percentile" val="50"/>
        <cfvo type="max"/>
        <color rgb="FF63BE7B"/>
        <color rgb="FFFFEB84"/>
        <color rgb="FFF8696B"/>
      </colorScale>
    </cfRule>
  </conditionalFormatting>
  <conditionalFormatting sqref="I10">
    <cfRule type="colorScale" priority="83">
      <colorScale>
        <cfvo type="min"/>
        <cfvo type="percentile" val="50"/>
        <cfvo type="max"/>
        <color rgb="FF63BE7B"/>
        <color rgb="FFFFEB84"/>
        <color rgb="FFF8696B"/>
      </colorScale>
    </cfRule>
  </conditionalFormatting>
  <conditionalFormatting sqref="I10">
    <cfRule type="colorScale" priority="84">
      <colorScale>
        <cfvo type="min"/>
        <cfvo type="percentile" val="50"/>
        <cfvo type="max"/>
        <color rgb="FF63BE7B"/>
        <color rgb="FFFFEB84"/>
        <color rgb="FFF8696B"/>
      </colorScale>
    </cfRule>
  </conditionalFormatting>
  <conditionalFormatting sqref="I10">
    <cfRule type="colorScale" priority="85">
      <colorScale>
        <cfvo type="min"/>
        <cfvo type="percentile" val="50"/>
        <cfvo type="max"/>
        <color rgb="FFF8696B"/>
        <color rgb="FFFFEB84"/>
        <color rgb="FF63BE7B"/>
      </colorScale>
    </cfRule>
  </conditionalFormatting>
  <conditionalFormatting sqref="I10">
    <cfRule type="colorScale" priority="86">
      <colorScale>
        <cfvo type="min"/>
        <cfvo type="percentile" val="50"/>
        <cfvo type="max"/>
        <color rgb="FF63BE7B"/>
        <color rgb="FFFFEB84"/>
        <color rgb="FFF8696B"/>
      </colorScale>
    </cfRule>
  </conditionalFormatting>
  <conditionalFormatting sqref="I10">
    <cfRule type="colorScale" priority="87">
      <colorScale>
        <cfvo type="min"/>
        <cfvo type="percentile" val="50"/>
        <cfvo type="max"/>
        <color rgb="FF63BE7B"/>
        <color rgb="FFFFEB84"/>
        <color rgb="FFF8696B"/>
      </colorScale>
    </cfRule>
  </conditionalFormatting>
  <conditionalFormatting sqref="I10">
    <cfRule type="colorScale" priority="88">
      <colorScale>
        <cfvo type="min"/>
        <cfvo type="percentile" val="50"/>
        <cfvo type="max"/>
        <color rgb="FF63BE7B"/>
        <color rgb="FFFFEB84"/>
        <color rgb="FFF8696B"/>
      </colorScale>
    </cfRule>
  </conditionalFormatting>
  <conditionalFormatting sqref="I10">
    <cfRule type="colorScale" priority="82">
      <colorScale>
        <cfvo type="min"/>
        <cfvo type="percentile" val="50"/>
        <cfvo type="max"/>
        <color rgb="FF63BE7B"/>
        <color rgb="FFFFEB84"/>
        <color rgb="FFF8696B"/>
      </colorScale>
    </cfRule>
  </conditionalFormatting>
  <conditionalFormatting sqref="I10">
    <cfRule type="colorScale" priority="81">
      <colorScale>
        <cfvo type="min"/>
        <cfvo type="percentile" val="50"/>
        <cfvo type="max"/>
        <color rgb="FF63BE7B"/>
        <color rgb="FFFFEB84"/>
        <color rgb="FFF8696B"/>
      </colorScale>
    </cfRule>
  </conditionalFormatting>
  <conditionalFormatting sqref="H7:J32">
    <cfRule type="colorScale" priority="80">
      <colorScale>
        <cfvo type="min"/>
        <cfvo type="percentile" val="50"/>
        <cfvo type="max"/>
        <color rgb="FF63BE7B"/>
        <color rgb="FFFFEB84"/>
        <color rgb="FFF8696B"/>
      </colorScale>
    </cfRule>
  </conditionalFormatting>
  <conditionalFormatting sqref="K7:K29">
    <cfRule type="colorScale" priority="77">
      <colorScale>
        <cfvo type="min"/>
        <cfvo type="percentile" val="50"/>
        <cfvo type="max"/>
        <color rgb="FF63BE7B"/>
        <color rgb="FFFFEB84"/>
        <color rgb="FFF8696B"/>
      </colorScale>
    </cfRule>
  </conditionalFormatting>
  <conditionalFormatting sqref="K7:K29">
    <cfRule type="colorScale" priority="78">
      <colorScale>
        <cfvo type="min"/>
        <cfvo type="percentile" val="50"/>
        <cfvo type="max"/>
        <color rgb="FF63BE7B"/>
        <color rgb="FFFFEB84"/>
        <color rgb="FFF8696B"/>
      </colorScale>
    </cfRule>
  </conditionalFormatting>
  <conditionalFormatting sqref="K7:K29">
    <cfRule type="colorScale" priority="79">
      <colorScale>
        <cfvo type="min"/>
        <cfvo type="percentile" val="50"/>
        <cfvo type="max"/>
        <color rgb="FF63BE7B"/>
        <color rgb="FFFFEB84"/>
        <color rgb="FFF8696B"/>
      </colorScale>
    </cfRule>
  </conditionalFormatting>
  <conditionalFormatting sqref="K7:K29">
    <cfRule type="colorScale" priority="76">
      <colorScale>
        <cfvo type="min"/>
        <cfvo type="percentile" val="50"/>
        <cfvo type="max"/>
        <color rgb="FF63BE7B"/>
        <color rgb="FFFFEB84"/>
        <color rgb="FFF8696B"/>
      </colorScale>
    </cfRule>
  </conditionalFormatting>
  <conditionalFormatting sqref="K32">
    <cfRule type="colorScale" priority="73">
      <colorScale>
        <cfvo type="min"/>
        <cfvo type="percentile" val="50"/>
        <cfvo type="max"/>
        <color rgb="FF63BE7B"/>
        <color rgb="FFFFEB84"/>
        <color rgb="FFF8696B"/>
      </colorScale>
    </cfRule>
  </conditionalFormatting>
  <conditionalFormatting sqref="K32">
    <cfRule type="colorScale" priority="74">
      <colorScale>
        <cfvo type="min"/>
        <cfvo type="percentile" val="50"/>
        <cfvo type="max"/>
        <color rgb="FF63BE7B"/>
        <color rgb="FFFFEB84"/>
        <color rgb="FFF8696B"/>
      </colorScale>
    </cfRule>
  </conditionalFormatting>
  <conditionalFormatting sqref="K32">
    <cfRule type="colorScale" priority="75">
      <colorScale>
        <cfvo type="min"/>
        <cfvo type="percentile" val="50"/>
        <cfvo type="max"/>
        <color rgb="FF63BE7B"/>
        <color rgb="FFFFEB84"/>
        <color rgb="FFF8696B"/>
      </colorScale>
    </cfRule>
  </conditionalFormatting>
  <conditionalFormatting sqref="K32">
    <cfRule type="colorScale" priority="72">
      <colorScale>
        <cfvo type="min"/>
        <cfvo type="percentile" val="50"/>
        <cfvo type="max"/>
        <color rgb="FF63BE7B"/>
        <color rgb="FFFFEB84"/>
        <color rgb="FFF8696B"/>
      </colorScale>
    </cfRule>
  </conditionalFormatting>
  <conditionalFormatting sqref="L7:L32">
    <cfRule type="colorScale" priority="68">
      <colorScale>
        <cfvo type="min"/>
        <cfvo type="percentile" val="50"/>
        <cfvo type="max"/>
        <color rgb="FF63BE7B"/>
        <color rgb="FFFFEB84"/>
        <color rgb="FFF8696B"/>
      </colorScale>
    </cfRule>
  </conditionalFormatting>
  <conditionalFormatting sqref="L7:L32">
    <cfRule type="colorScale" priority="69">
      <colorScale>
        <cfvo type="min"/>
        <cfvo type="percentile" val="50"/>
        <cfvo type="max"/>
        <color rgb="FF63BE7B"/>
        <color rgb="FFFFEB84"/>
        <color rgb="FFF8696B"/>
      </colorScale>
    </cfRule>
  </conditionalFormatting>
  <conditionalFormatting sqref="L7:L32">
    <cfRule type="colorScale" priority="70">
      <colorScale>
        <cfvo type="min"/>
        <cfvo type="percentile" val="50"/>
        <cfvo type="max"/>
        <color rgb="FF63BE7B"/>
        <color rgb="FFFFEB84"/>
        <color rgb="FFF8696B"/>
      </colorScale>
    </cfRule>
  </conditionalFormatting>
  <conditionalFormatting sqref="L7:L32">
    <cfRule type="colorScale" priority="71">
      <colorScale>
        <cfvo type="min"/>
        <cfvo type="percentile" val="50"/>
        <cfvo type="max"/>
        <color rgb="FFF8696B"/>
        <color rgb="FFFFEB84"/>
        <color rgb="FF63BE7B"/>
      </colorScale>
    </cfRule>
  </conditionalFormatting>
  <conditionalFormatting sqref="L7:L32">
    <cfRule type="colorScale" priority="67">
      <colorScale>
        <cfvo type="min"/>
        <cfvo type="percentile" val="50"/>
        <cfvo type="max"/>
        <color rgb="FF63BE7B"/>
        <color rgb="FFFFEB84"/>
        <color rgb="FFF8696B"/>
      </colorScale>
    </cfRule>
  </conditionalFormatting>
  <conditionalFormatting sqref="F7:L32">
    <cfRule type="colorScale" priority="66">
      <colorScale>
        <cfvo type="min"/>
        <cfvo type="percentile" val="50"/>
        <cfvo type="max"/>
        <color rgb="FF63BE7B"/>
        <color rgb="FFFFEB84"/>
        <color rgb="FFF8696B"/>
      </colorScale>
    </cfRule>
  </conditionalFormatting>
  <conditionalFormatting sqref="I12">
    <cfRule type="colorScale" priority="60">
      <colorScale>
        <cfvo type="min"/>
        <cfvo type="percentile" val="50"/>
        <cfvo type="max"/>
        <color rgb="FF63BE7B"/>
        <color rgb="FFFFEB84"/>
        <color rgb="FFF8696B"/>
      </colorScale>
    </cfRule>
  </conditionalFormatting>
  <conditionalFormatting sqref="I12">
    <cfRule type="colorScale" priority="61">
      <colorScale>
        <cfvo type="min"/>
        <cfvo type="percentile" val="50"/>
        <cfvo type="max"/>
        <color rgb="FF63BE7B"/>
        <color rgb="FFFFEB84"/>
        <color rgb="FFF8696B"/>
      </colorScale>
    </cfRule>
  </conditionalFormatting>
  <conditionalFormatting sqref="I12">
    <cfRule type="colorScale" priority="62">
      <colorScale>
        <cfvo type="min"/>
        <cfvo type="percentile" val="50"/>
        <cfvo type="max"/>
        <color rgb="FFF8696B"/>
        <color rgb="FFFFEB84"/>
        <color rgb="FF63BE7B"/>
      </colorScale>
    </cfRule>
  </conditionalFormatting>
  <conditionalFormatting sqref="I12">
    <cfRule type="colorScale" priority="63">
      <colorScale>
        <cfvo type="min"/>
        <cfvo type="percentile" val="50"/>
        <cfvo type="max"/>
        <color rgb="FF63BE7B"/>
        <color rgb="FFFFEB84"/>
        <color rgb="FFF8696B"/>
      </colorScale>
    </cfRule>
  </conditionalFormatting>
  <conditionalFormatting sqref="I12">
    <cfRule type="colorScale" priority="64">
      <colorScale>
        <cfvo type="min"/>
        <cfvo type="percentile" val="50"/>
        <cfvo type="max"/>
        <color rgb="FF63BE7B"/>
        <color rgb="FFFFEB84"/>
        <color rgb="FFF8696B"/>
      </colorScale>
    </cfRule>
  </conditionalFormatting>
  <conditionalFormatting sqref="I12">
    <cfRule type="colorScale" priority="65">
      <colorScale>
        <cfvo type="min"/>
        <cfvo type="percentile" val="50"/>
        <cfvo type="max"/>
        <color rgb="FF63BE7B"/>
        <color rgb="FFFFEB84"/>
        <color rgb="FFF8696B"/>
      </colorScale>
    </cfRule>
  </conditionalFormatting>
  <conditionalFormatting sqref="I12">
    <cfRule type="colorScale" priority="59">
      <colorScale>
        <cfvo type="min"/>
        <cfvo type="percentile" val="50"/>
        <cfvo type="max"/>
        <color rgb="FF63BE7B"/>
        <color rgb="FFFFEB84"/>
        <color rgb="FFF8696B"/>
      </colorScale>
    </cfRule>
  </conditionalFormatting>
  <conditionalFormatting sqref="I12">
    <cfRule type="colorScale" priority="58">
      <colorScale>
        <cfvo type="min"/>
        <cfvo type="percentile" val="50"/>
        <cfvo type="max"/>
        <color rgb="FF63BE7B"/>
        <color rgb="FFFFEB84"/>
        <color rgb="FFF8696B"/>
      </colorScale>
    </cfRule>
  </conditionalFormatting>
  <conditionalFormatting sqref="I13">
    <cfRule type="colorScale" priority="52">
      <colorScale>
        <cfvo type="min"/>
        <cfvo type="percentile" val="50"/>
        <cfvo type="max"/>
        <color rgb="FF63BE7B"/>
        <color rgb="FFFFEB84"/>
        <color rgb="FFF8696B"/>
      </colorScale>
    </cfRule>
  </conditionalFormatting>
  <conditionalFormatting sqref="I13">
    <cfRule type="colorScale" priority="53">
      <colorScale>
        <cfvo type="min"/>
        <cfvo type="percentile" val="50"/>
        <cfvo type="max"/>
        <color rgb="FF63BE7B"/>
        <color rgb="FFFFEB84"/>
        <color rgb="FFF8696B"/>
      </colorScale>
    </cfRule>
  </conditionalFormatting>
  <conditionalFormatting sqref="I13">
    <cfRule type="colorScale" priority="54">
      <colorScale>
        <cfvo type="min"/>
        <cfvo type="percentile" val="50"/>
        <cfvo type="max"/>
        <color rgb="FFF8696B"/>
        <color rgb="FFFFEB84"/>
        <color rgb="FF63BE7B"/>
      </colorScale>
    </cfRule>
  </conditionalFormatting>
  <conditionalFormatting sqref="I13">
    <cfRule type="colorScale" priority="55">
      <colorScale>
        <cfvo type="min"/>
        <cfvo type="percentile" val="50"/>
        <cfvo type="max"/>
        <color rgb="FF63BE7B"/>
        <color rgb="FFFFEB84"/>
        <color rgb="FFF8696B"/>
      </colorScale>
    </cfRule>
  </conditionalFormatting>
  <conditionalFormatting sqref="I13">
    <cfRule type="colorScale" priority="56">
      <colorScale>
        <cfvo type="min"/>
        <cfvo type="percentile" val="50"/>
        <cfvo type="max"/>
        <color rgb="FF63BE7B"/>
        <color rgb="FFFFEB84"/>
        <color rgb="FFF8696B"/>
      </colorScale>
    </cfRule>
  </conditionalFormatting>
  <conditionalFormatting sqref="I13">
    <cfRule type="colorScale" priority="57">
      <colorScale>
        <cfvo type="min"/>
        <cfvo type="percentile" val="50"/>
        <cfvo type="max"/>
        <color rgb="FF63BE7B"/>
        <color rgb="FFFFEB84"/>
        <color rgb="FFF8696B"/>
      </colorScale>
    </cfRule>
  </conditionalFormatting>
  <conditionalFormatting sqref="I13">
    <cfRule type="colorScale" priority="51">
      <colorScale>
        <cfvo type="min"/>
        <cfvo type="percentile" val="50"/>
        <cfvo type="max"/>
        <color rgb="FF63BE7B"/>
        <color rgb="FFFFEB84"/>
        <color rgb="FFF8696B"/>
      </colorScale>
    </cfRule>
  </conditionalFormatting>
  <conditionalFormatting sqref="I13">
    <cfRule type="colorScale" priority="50">
      <colorScale>
        <cfvo type="min"/>
        <cfvo type="percentile" val="50"/>
        <cfvo type="max"/>
        <color rgb="FF63BE7B"/>
        <color rgb="FFFFEB84"/>
        <color rgb="FFF8696B"/>
      </colorScale>
    </cfRule>
  </conditionalFormatting>
  <conditionalFormatting sqref="I15">
    <cfRule type="colorScale" priority="44">
      <colorScale>
        <cfvo type="min"/>
        <cfvo type="percentile" val="50"/>
        <cfvo type="max"/>
        <color rgb="FF63BE7B"/>
        <color rgb="FFFFEB84"/>
        <color rgb="FFF8696B"/>
      </colorScale>
    </cfRule>
  </conditionalFormatting>
  <conditionalFormatting sqref="I15">
    <cfRule type="colorScale" priority="45">
      <colorScale>
        <cfvo type="min"/>
        <cfvo type="percentile" val="50"/>
        <cfvo type="max"/>
        <color rgb="FF63BE7B"/>
        <color rgb="FFFFEB84"/>
        <color rgb="FFF8696B"/>
      </colorScale>
    </cfRule>
  </conditionalFormatting>
  <conditionalFormatting sqref="I15">
    <cfRule type="colorScale" priority="46">
      <colorScale>
        <cfvo type="min"/>
        <cfvo type="percentile" val="50"/>
        <cfvo type="max"/>
        <color rgb="FFF8696B"/>
        <color rgb="FFFFEB84"/>
        <color rgb="FF63BE7B"/>
      </colorScale>
    </cfRule>
  </conditionalFormatting>
  <conditionalFormatting sqref="I15">
    <cfRule type="colorScale" priority="47">
      <colorScale>
        <cfvo type="min"/>
        <cfvo type="percentile" val="50"/>
        <cfvo type="max"/>
        <color rgb="FF63BE7B"/>
        <color rgb="FFFFEB84"/>
        <color rgb="FFF8696B"/>
      </colorScale>
    </cfRule>
  </conditionalFormatting>
  <conditionalFormatting sqref="I15">
    <cfRule type="colorScale" priority="48">
      <colorScale>
        <cfvo type="min"/>
        <cfvo type="percentile" val="50"/>
        <cfvo type="max"/>
        <color rgb="FF63BE7B"/>
        <color rgb="FFFFEB84"/>
        <color rgb="FFF8696B"/>
      </colorScale>
    </cfRule>
  </conditionalFormatting>
  <conditionalFormatting sqref="I15">
    <cfRule type="colorScale" priority="49">
      <colorScale>
        <cfvo type="min"/>
        <cfvo type="percentile" val="50"/>
        <cfvo type="max"/>
        <color rgb="FF63BE7B"/>
        <color rgb="FFFFEB84"/>
        <color rgb="FFF8696B"/>
      </colorScale>
    </cfRule>
  </conditionalFormatting>
  <conditionalFormatting sqref="I15">
    <cfRule type="colorScale" priority="43">
      <colorScale>
        <cfvo type="min"/>
        <cfvo type="percentile" val="50"/>
        <cfvo type="max"/>
        <color rgb="FF63BE7B"/>
        <color rgb="FFFFEB84"/>
        <color rgb="FFF8696B"/>
      </colorScale>
    </cfRule>
  </conditionalFormatting>
  <conditionalFormatting sqref="I15">
    <cfRule type="colorScale" priority="42">
      <colorScale>
        <cfvo type="min"/>
        <cfvo type="percentile" val="50"/>
        <cfvo type="max"/>
        <color rgb="FF63BE7B"/>
        <color rgb="FFFFEB84"/>
        <color rgb="FFF8696B"/>
      </colorScale>
    </cfRule>
  </conditionalFormatting>
  <conditionalFormatting sqref="I16">
    <cfRule type="colorScale" priority="36">
      <colorScale>
        <cfvo type="min"/>
        <cfvo type="percentile" val="50"/>
        <cfvo type="max"/>
        <color rgb="FF63BE7B"/>
        <color rgb="FFFFEB84"/>
        <color rgb="FFF8696B"/>
      </colorScale>
    </cfRule>
  </conditionalFormatting>
  <conditionalFormatting sqref="I16">
    <cfRule type="colorScale" priority="37">
      <colorScale>
        <cfvo type="min"/>
        <cfvo type="percentile" val="50"/>
        <cfvo type="max"/>
        <color rgb="FF63BE7B"/>
        <color rgb="FFFFEB84"/>
        <color rgb="FFF8696B"/>
      </colorScale>
    </cfRule>
  </conditionalFormatting>
  <conditionalFormatting sqref="I16">
    <cfRule type="colorScale" priority="38">
      <colorScale>
        <cfvo type="min"/>
        <cfvo type="percentile" val="50"/>
        <cfvo type="max"/>
        <color rgb="FFF8696B"/>
        <color rgb="FFFFEB84"/>
        <color rgb="FF63BE7B"/>
      </colorScale>
    </cfRule>
  </conditionalFormatting>
  <conditionalFormatting sqref="I16">
    <cfRule type="colorScale" priority="39">
      <colorScale>
        <cfvo type="min"/>
        <cfvo type="percentile" val="50"/>
        <cfvo type="max"/>
        <color rgb="FF63BE7B"/>
        <color rgb="FFFFEB84"/>
        <color rgb="FFF8696B"/>
      </colorScale>
    </cfRule>
  </conditionalFormatting>
  <conditionalFormatting sqref="I16">
    <cfRule type="colorScale" priority="40">
      <colorScale>
        <cfvo type="min"/>
        <cfvo type="percentile" val="50"/>
        <cfvo type="max"/>
        <color rgb="FF63BE7B"/>
        <color rgb="FFFFEB84"/>
        <color rgb="FFF8696B"/>
      </colorScale>
    </cfRule>
  </conditionalFormatting>
  <conditionalFormatting sqref="I16">
    <cfRule type="colorScale" priority="41">
      <colorScale>
        <cfvo type="min"/>
        <cfvo type="percentile" val="50"/>
        <cfvo type="max"/>
        <color rgb="FF63BE7B"/>
        <color rgb="FFFFEB84"/>
        <color rgb="FFF8696B"/>
      </colorScale>
    </cfRule>
  </conditionalFormatting>
  <conditionalFormatting sqref="I16">
    <cfRule type="colorScale" priority="35">
      <colorScale>
        <cfvo type="min"/>
        <cfvo type="percentile" val="50"/>
        <cfvo type="max"/>
        <color rgb="FF63BE7B"/>
        <color rgb="FFFFEB84"/>
        <color rgb="FFF8696B"/>
      </colorScale>
    </cfRule>
  </conditionalFormatting>
  <conditionalFormatting sqref="I16">
    <cfRule type="colorScale" priority="34">
      <colorScale>
        <cfvo type="min"/>
        <cfvo type="percentile" val="50"/>
        <cfvo type="max"/>
        <color rgb="FF63BE7B"/>
        <color rgb="FFFFEB84"/>
        <color rgb="FFF8696B"/>
      </colorScale>
    </cfRule>
  </conditionalFormatting>
  <conditionalFormatting sqref="I20">
    <cfRule type="colorScale" priority="28">
      <colorScale>
        <cfvo type="min"/>
        <cfvo type="percentile" val="50"/>
        <cfvo type="max"/>
        <color rgb="FF63BE7B"/>
        <color rgb="FFFFEB84"/>
        <color rgb="FFF8696B"/>
      </colorScale>
    </cfRule>
  </conditionalFormatting>
  <conditionalFormatting sqref="I20">
    <cfRule type="colorScale" priority="29">
      <colorScale>
        <cfvo type="min"/>
        <cfvo type="percentile" val="50"/>
        <cfvo type="max"/>
        <color rgb="FF63BE7B"/>
        <color rgb="FFFFEB84"/>
        <color rgb="FFF8696B"/>
      </colorScale>
    </cfRule>
  </conditionalFormatting>
  <conditionalFormatting sqref="I20">
    <cfRule type="colorScale" priority="30">
      <colorScale>
        <cfvo type="min"/>
        <cfvo type="percentile" val="50"/>
        <cfvo type="max"/>
        <color rgb="FFF8696B"/>
        <color rgb="FFFFEB84"/>
        <color rgb="FF63BE7B"/>
      </colorScale>
    </cfRule>
  </conditionalFormatting>
  <conditionalFormatting sqref="I20">
    <cfRule type="colorScale" priority="31">
      <colorScale>
        <cfvo type="min"/>
        <cfvo type="percentile" val="50"/>
        <cfvo type="max"/>
        <color rgb="FF63BE7B"/>
        <color rgb="FFFFEB84"/>
        <color rgb="FFF8696B"/>
      </colorScale>
    </cfRule>
  </conditionalFormatting>
  <conditionalFormatting sqref="I20">
    <cfRule type="colorScale" priority="32">
      <colorScale>
        <cfvo type="min"/>
        <cfvo type="percentile" val="50"/>
        <cfvo type="max"/>
        <color rgb="FF63BE7B"/>
        <color rgb="FFFFEB84"/>
        <color rgb="FFF8696B"/>
      </colorScale>
    </cfRule>
  </conditionalFormatting>
  <conditionalFormatting sqref="I20">
    <cfRule type="colorScale" priority="33">
      <colorScale>
        <cfvo type="min"/>
        <cfvo type="percentile" val="50"/>
        <cfvo type="max"/>
        <color rgb="FF63BE7B"/>
        <color rgb="FFFFEB84"/>
        <color rgb="FFF8696B"/>
      </colorScale>
    </cfRule>
  </conditionalFormatting>
  <conditionalFormatting sqref="I20">
    <cfRule type="colorScale" priority="27">
      <colorScale>
        <cfvo type="min"/>
        <cfvo type="percentile" val="50"/>
        <cfvo type="max"/>
        <color rgb="FF63BE7B"/>
        <color rgb="FFFFEB84"/>
        <color rgb="FFF8696B"/>
      </colorScale>
    </cfRule>
  </conditionalFormatting>
  <conditionalFormatting sqref="I20">
    <cfRule type="colorScale" priority="26">
      <colorScale>
        <cfvo type="min"/>
        <cfvo type="percentile" val="50"/>
        <cfvo type="max"/>
        <color rgb="FF63BE7B"/>
        <color rgb="FFFFEB84"/>
        <color rgb="FFF8696B"/>
      </colorScale>
    </cfRule>
  </conditionalFormatting>
  <conditionalFormatting sqref="I23">
    <cfRule type="colorScale" priority="20">
      <colorScale>
        <cfvo type="min"/>
        <cfvo type="percentile" val="50"/>
        <cfvo type="max"/>
        <color rgb="FF63BE7B"/>
        <color rgb="FFFFEB84"/>
        <color rgb="FFF8696B"/>
      </colorScale>
    </cfRule>
  </conditionalFormatting>
  <conditionalFormatting sqref="I23">
    <cfRule type="colorScale" priority="21">
      <colorScale>
        <cfvo type="min"/>
        <cfvo type="percentile" val="50"/>
        <cfvo type="max"/>
        <color rgb="FF63BE7B"/>
        <color rgb="FFFFEB84"/>
        <color rgb="FFF8696B"/>
      </colorScale>
    </cfRule>
  </conditionalFormatting>
  <conditionalFormatting sqref="I23">
    <cfRule type="colorScale" priority="22">
      <colorScale>
        <cfvo type="min"/>
        <cfvo type="percentile" val="50"/>
        <cfvo type="max"/>
        <color rgb="FFF8696B"/>
        <color rgb="FFFFEB84"/>
        <color rgb="FF63BE7B"/>
      </colorScale>
    </cfRule>
  </conditionalFormatting>
  <conditionalFormatting sqref="I23">
    <cfRule type="colorScale" priority="23">
      <colorScale>
        <cfvo type="min"/>
        <cfvo type="percentile" val="50"/>
        <cfvo type="max"/>
        <color rgb="FF63BE7B"/>
        <color rgb="FFFFEB84"/>
        <color rgb="FFF8696B"/>
      </colorScale>
    </cfRule>
  </conditionalFormatting>
  <conditionalFormatting sqref="I23">
    <cfRule type="colorScale" priority="24">
      <colorScale>
        <cfvo type="min"/>
        <cfvo type="percentile" val="50"/>
        <cfvo type="max"/>
        <color rgb="FF63BE7B"/>
        <color rgb="FFFFEB84"/>
        <color rgb="FFF8696B"/>
      </colorScale>
    </cfRule>
  </conditionalFormatting>
  <conditionalFormatting sqref="I23">
    <cfRule type="colorScale" priority="25">
      <colorScale>
        <cfvo type="min"/>
        <cfvo type="percentile" val="50"/>
        <cfvo type="max"/>
        <color rgb="FF63BE7B"/>
        <color rgb="FFFFEB84"/>
        <color rgb="FFF8696B"/>
      </colorScale>
    </cfRule>
  </conditionalFormatting>
  <conditionalFormatting sqref="I23">
    <cfRule type="colorScale" priority="19">
      <colorScale>
        <cfvo type="min"/>
        <cfvo type="percentile" val="50"/>
        <cfvo type="max"/>
        <color rgb="FF63BE7B"/>
        <color rgb="FFFFEB84"/>
        <color rgb="FFF8696B"/>
      </colorScale>
    </cfRule>
  </conditionalFormatting>
  <conditionalFormatting sqref="I23">
    <cfRule type="colorScale" priority="18">
      <colorScale>
        <cfvo type="min"/>
        <cfvo type="percentile" val="50"/>
        <cfvo type="max"/>
        <color rgb="FF63BE7B"/>
        <color rgb="FFFFEB84"/>
        <color rgb="FFF8696B"/>
      </colorScale>
    </cfRule>
  </conditionalFormatting>
  <conditionalFormatting sqref="I24">
    <cfRule type="colorScale" priority="12">
      <colorScale>
        <cfvo type="min"/>
        <cfvo type="percentile" val="50"/>
        <cfvo type="max"/>
        <color rgb="FF63BE7B"/>
        <color rgb="FFFFEB84"/>
        <color rgb="FFF8696B"/>
      </colorScale>
    </cfRule>
  </conditionalFormatting>
  <conditionalFormatting sqref="I24">
    <cfRule type="colorScale" priority="13">
      <colorScale>
        <cfvo type="min"/>
        <cfvo type="percentile" val="50"/>
        <cfvo type="max"/>
        <color rgb="FF63BE7B"/>
        <color rgb="FFFFEB84"/>
        <color rgb="FFF8696B"/>
      </colorScale>
    </cfRule>
  </conditionalFormatting>
  <conditionalFormatting sqref="I24">
    <cfRule type="colorScale" priority="14">
      <colorScale>
        <cfvo type="min"/>
        <cfvo type="percentile" val="50"/>
        <cfvo type="max"/>
        <color rgb="FFF8696B"/>
        <color rgb="FFFFEB84"/>
        <color rgb="FF63BE7B"/>
      </colorScale>
    </cfRule>
  </conditionalFormatting>
  <conditionalFormatting sqref="I24">
    <cfRule type="colorScale" priority="15">
      <colorScale>
        <cfvo type="min"/>
        <cfvo type="percentile" val="50"/>
        <cfvo type="max"/>
        <color rgb="FF63BE7B"/>
        <color rgb="FFFFEB84"/>
        <color rgb="FFF8696B"/>
      </colorScale>
    </cfRule>
  </conditionalFormatting>
  <conditionalFormatting sqref="I24">
    <cfRule type="colorScale" priority="16">
      <colorScale>
        <cfvo type="min"/>
        <cfvo type="percentile" val="50"/>
        <cfvo type="max"/>
        <color rgb="FF63BE7B"/>
        <color rgb="FFFFEB84"/>
        <color rgb="FFF8696B"/>
      </colorScale>
    </cfRule>
  </conditionalFormatting>
  <conditionalFormatting sqref="I24">
    <cfRule type="colorScale" priority="17">
      <colorScale>
        <cfvo type="min"/>
        <cfvo type="percentile" val="50"/>
        <cfvo type="max"/>
        <color rgb="FF63BE7B"/>
        <color rgb="FFFFEB84"/>
        <color rgb="FFF8696B"/>
      </colorScale>
    </cfRule>
  </conditionalFormatting>
  <conditionalFormatting sqref="I24">
    <cfRule type="colorScale" priority="11">
      <colorScale>
        <cfvo type="min"/>
        <cfvo type="percentile" val="50"/>
        <cfvo type="max"/>
        <color rgb="FF63BE7B"/>
        <color rgb="FFFFEB84"/>
        <color rgb="FFF8696B"/>
      </colorScale>
    </cfRule>
  </conditionalFormatting>
  <conditionalFormatting sqref="I24">
    <cfRule type="colorScale" priority="10">
      <colorScale>
        <cfvo type="min"/>
        <cfvo type="percentile" val="50"/>
        <cfvo type="max"/>
        <color rgb="FF63BE7B"/>
        <color rgb="FFFFEB84"/>
        <color rgb="FFF8696B"/>
      </colorScale>
    </cfRule>
  </conditionalFormatting>
  <conditionalFormatting sqref="I27">
    <cfRule type="colorScale" priority="4">
      <colorScale>
        <cfvo type="min"/>
        <cfvo type="percentile" val="50"/>
        <cfvo type="max"/>
        <color rgb="FF63BE7B"/>
        <color rgb="FFFFEB84"/>
        <color rgb="FFF8696B"/>
      </colorScale>
    </cfRule>
  </conditionalFormatting>
  <conditionalFormatting sqref="I27">
    <cfRule type="colorScale" priority="5">
      <colorScale>
        <cfvo type="min"/>
        <cfvo type="percentile" val="50"/>
        <cfvo type="max"/>
        <color rgb="FF63BE7B"/>
        <color rgb="FFFFEB84"/>
        <color rgb="FFF8696B"/>
      </colorScale>
    </cfRule>
  </conditionalFormatting>
  <conditionalFormatting sqref="I27">
    <cfRule type="colorScale" priority="6">
      <colorScale>
        <cfvo type="min"/>
        <cfvo type="percentile" val="50"/>
        <cfvo type="max"/>
        <color rgb="FFF8696B"/>
        <color rgb="FFFFEB84"/>
        <color rgb="FF63BE7B"/>
      </colorScale>
    </cfRule>
  </conditionalFormatting>
  <conditionalFormatting sqref="I27">
    <cfRule type="colorScale" priority="7">
      <colorScale>
        <cfvo type="min"/>
        <cfvo type="percentile" val="50"/>
        <cfvo type="max"/>
        <color rgb="FF63BE7B"/>
        <color rgb="FFFFEB84"/>
        <color rgb="FFF8696B"/>
      </colorScale>
    </cfRule>
  </conditionalFormatting>
  <conditionalFormatting sqref="I27">
    <cfRule type="colorScale" priority="8">
      <colorScale>
        <cfvo type="min"/>
        <cfvo type="percentile" val="50"/>
        <cfvo type="max"/>
        <color rgb="FF63BE7B"/>
        <color rgb="FFFFEB84"/>
        <color rgb="FFF8696B"/>
      </colorScale>
    </cfRule>
  </conditionalFormatting>
  <conditionalFormatting sqref="I27">
    <cfRule type="colorScale" priority="9">
      <colorScale>
        <cfvo type="min"/>
        <cfvo type="percentile" val="50"/>
        <cfvo type="max"/>
        <color rgb="FF63BE7B"/>
        <color rgb="FFFFEB84"/>
        <color rgb="FFF8696B"/>
      </colorScale>
    </cfRule>
  </conditionalFormatting>
  <conditionalFormatting sqref="I27">
    <cfRule type="colorScale" priority="3">
      <colorScale>
        <cfvo type="min"/>
        <cfvo type="percentile" val="50"/>
        <cfvo type="max"/>
        <color rgb="FF63BE7B"/>
        <color rgb="FFFFEB84"/>
        <color rgb="FFF8696B"/>
      </colorScale>
    </cfRule>
  </conditionalFormatting>
  <conditionalFormatting sqref="I27">
    <cfRule type="colorScale" priority="2">
      <colorScale>
        <cfvo type="min"/>
        <cfvo type="percentile" val="50"/>
        <cfvo type="max"/>
        <color rgb="FF63BE7B"/>
        <color rgb="FFFFEB84"/>
        <color rgb="FFF8696B"/>
      </colorScale>
    </cfRule>
  </conditionalFormatting>
  <conditionalFormatting sqref="F7:L32">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86F0-00DF-40BE-A9B0-1EC83CE31E13}">
  <sheetPr>
    <tabColor rgb="FFA673F1"/>
  </sheetPr>
  <dimension ref="A1:P83"/>
  <sheetViews>
    <sheetView zoomScale="70" zoomScaleNormal="70" workbookViewId="0">
      <selection sqref="A1:C1"/>
    </sheetView>
  </sheetViews>
  <sheetFormatPr defaultRowHeight="14.25"/>
  <cols>
    <col min="2" max="2" width="42.3984375" bestFit="1" customWidth="1"/>
    <col min="3" max="3" width="32.3984375" bestFit="1" customWidth="1"/>
    <col min="5" max="5" width="11.3984375" style="203" customWidth="1"/>
    <col min="6" max="6" width="11.3984375" style="210" customWidth="1"/>
    <col min="8" max="8" width="32.1328125" customWidth="1"/>
    <col min="9" max="9" width="26.265625" customWidth="1"/>
    <col min="11" max="11" width="11.73046875" style="203" customWidth="1"/>
    <col min="12" max="12" width="8.73046875" style="210"/>
    <col min="13" max="13" width="8.73046875" style="117"/>
    <col min="14" max="14" width="10.3984375" bestFit="1" customWidth="1"/>
    <col min="15" max="15" width="11" style="210" customWidth="1"/>
  </cols>
  <sheetData>
    <row r="1" spans="1:15" s="117" customFormat="1">
      <c r="A1" s="475" t="s">
        <v>171</v>
      </c>
      <c r="B1" s="475" t="s">
        <v>172</v>
      </c>
      <c r="C1" s="475" t="s">
        <v>173</v>
      </c>
      <c r="D1" s="429"/>
      <c r="E1" s="429"/>
      <c r="F1" s="210"/>
      <c r="G1" s="429"/>
      <c r="H1" s="429"/>
      <c r="I1" s="429"/>
      <c r="J1" s="429"/>
      <c r="K1" s="429"/>
      <c r="L1" s="210"/>
      <c r="M1" s="429"/>
      <c r="N1" s="429"/>
      <c r="O1" s="210"/>
    </row>
    <row r="2" spans="1:15" s="117" customFormat="1" ht="21">
      <c r="A2" s="157" t="s">
        <v>174</v>
      </c>
      <c r="B2" s="140"/>
      <c r="C2" s="140"/>
      <c r="D2" s="429"/>
      <c r="E2" s="429"/>
      <c r="F2" s="210"/>
      <c r="G2" s="429"/>
      <c r="H2" s="429"/>
      <c r="I2" s="429"/>
      <c r="J2" s="429"/>
      <c r="K2" s="429"/>
      <c r="L2" s="210"/>
      <c r="M2" s="429"/>
      <c r="N2" s="429"/>
      <c r="O2" s="210"/>
    </row>
    <row r="3" spans="1:15" s="117" customFormat="1">
      <c r="A3" s="429"/>
      <c r="B3" s="429"/>
      <c r="C3" s="429"/>
      <c r="D3" s="429"/>
      <c r="E3" s="429"/>
      <c r="F3" s="210"/>
      <c r="G3" s="429"/>
      <c r="H3" s="429"/>
      <c r="I3" s="429"/>
      <c r="J3" s="429"/>
      <c r="K3" s="429"/>
      <c r="L3" s="210"/>
      <c r="M3" s="429"/>
      <c r="N3" s="429"/>
      <c r="O3" s="210"/>
    </row>
    <row r="5" spans="1:15">
      <c r="A5" s="429"/>
      <c r="B5" s="118" t="s">
        <v>175</v>
      </c>
      <c r="C5" s="119"/>
      <c r="D5" s="119"/>
      <c r="E5" s="119"/>
      <c r="F5" s="222"/>
      <c r="G5" s="429"/>
      <c r="H5" s="139" t="s">
        <v>176</v>
      </c>
      <c r="I5" s="140"/>
      <c r="J5" s="140"/>
      <c r="K5" s="140"/>
      <c r="L5" s="227"/>
      <c r="M5" s="429"/>
      <c r="N5" s="429"/>
    </row>
    <row r="6" spans="1:15" ht="26.65">
      <c r="A6" s="429"/>
      <c r="B6" s="16" t="s">
        <v>177</v>
      </c>
      <c r="C6" s="120" t="s">
        <v>178</v>
      </c>
      <c r="D6" s="124" t="s">
        <v>179</v>
      </c>
      <c r="E6" s="207" t="s">
        <v>180</v>
      </c>
      <c r="F6" s="226" t="s">
        <v>181</v>
      </c>
      <c r="G6" s="429"/>
      <c r="H6" s="141" t="s">
        <v>177</v>
      </c>
      <c r="I6" s="142" t="s">
        <v>178</v>
      </c>
      <c r="J6" s="150" t="s">
        <v>182</v>
      </c>
      <c r="K6" s="207" t="s">
        <v>180</v>
      </c>
      <c r="L6" s="226" t="s">
        <v>183</v>
      </c>
      <c r="M6" s="429"/>
      <c r="N6" s="150" t="s">
        <v>184</v>
      </c>
      <c r="O6" s="231" t="s">
        <v>185</v>
      </c>
    </row>
    <row r="7" spans="1:15">
      <c r="A7" s="429"/>
      <c r="B7" s="18" t="s">
        <v>47</v>
      </c>
      <c r="C7" s="121" t="s">
        <v>186</v>
      </c>
      <c r="D7" s="125">
        <v>0</v>
      </c>
      <c r="E7" s="206">
        <f>SUMIF(proposedAdjustments!B:B,SelectedPortfolio_2019RSP!B7,proposedAdjustments!C:C)</f>
        <v>0</v>
      </c>
      <c r="F7" s="223">
        <f>D7+E7</f>
        <v>0</v>
      </c>
      <c r="G7" s="429"/>
      <c r="H7" s="143" t="s">
        <v>47</v>
      </c>
      <c r="I7" s="144" t="s">
        <v>186</v>
      </c>
      <c r="J7" s="151">
        <v>0</v>
      </c>
      <c r="K7" s="205">
        <f>SUMIF(proposedAdjustments!B:B,SelectedPortfolio_2019RSP!B7,proposedAdjustments!D:D)</f>
        <v>0</v>
      </c>
      <c r="L7" s="228">
        <f>J7+K7</f>
        <v>0</v>
      </c>
      <c r="M7" s="271"/>
      <c r="N7" s="92">
        <f>D7+J7</f>
        <v>0</v>
      </c>
      <c r="O7" s="230">
        <f>F7+L7</f>
        <v>0</v>
      </c>
    </row>
    <row r="8" spans="1:15">
      <c r="A8" s="429"/>
      <c r="B8" s="18" t="s">
        <v>49</v>
      </c>
      <c r="C8" s="121" t="s">
        <v>187</v>
      </c>
      <c r="D8" s="125">
        <v>0</v>
      </c>
      <c r="E8" s="206">
        <f>SUMIF(proposedAdjustments!B:B,SelectedPortfolio_2019RSP!B8,proposedAdjustments!C:C)</f>
        <v>0</v>
      </c>
      <c r="F8" s="223">
        <f>D8+E8</f>
        <v>0</v>
      </c>
      <c r="G8" s="429"/>
      <c r="H8" s="143" t="s">
        <v>49</v>
      </c>
      <c r="I8" s="144" t="s">
        <v>187</v>
      </c>
      <c r="J8" s="151">
        <v>0</v>
      </c>
      <c r="K8" s="205">
        <f>SUMIF(proposedAdjustments!B:B,SelectedPortfolio_2019RSP!B8,proposedAdjustments!D:D)</f>
        <v>0</v>
      </c>
      <c r="L8" s="228">
        <f t="shared" ref="L8:L71" si="0">J8+K8</f>
        <v>0</v>
      </c>
      <c r="M8" s="271"/>
      <c r="N8" s="155">
        <f t="shared" ref="N8:N71" si="1">D8+J8</f>
        <v>0</v>
      </c>
      <c r="O8" s="230">
        <f t="shared" ref="O8:O71" si="2">F8+L8</f>
        <v>0</v>
      </c>
    </row>
    <row r="9" spans="1:15">
      <c r="A9" s="429"/>
      <c r="B9" s="18" t="s">
        <v>53</v>
      </c>
      <c r="C9" s="121" t="s">
        <v>188</v>
      </c>
      <c r="D9" s="125">
        <v>0</v>
      </c>
      <c r="E9" s="206">
        <f>SUMIF(proposedAdjustments!B:B,SelectedPortfolio_2019RSP!B9,proposedAdjustments!C:C)</f>
        <v>0</v>
      </c>
      <c r="F9" s="223">
        <f t="shared" ref="F9:F71" si="3">D9+E9</f>
        <v>0</v>
      </c>
      <c r="G9" s="429"/>
      <c r="H9" s="143" t="s">
        <v>53</v>
      </c>
      <c r="I9" s="144" t="s">
        <v>188</v>
      </c>
      <c r="J9" s="151">
        <v>0</v>
      </c>
      <c r="K9" s="205">
        <f>SUMIF(proposedAdjustments!B:B,SelectedPortfolio_2019RSP!B9,proposedAdjustments!D:D)</f>
        <v>0</v>
      </c>
      <c r="L9" s="228">
        <f t="shared" si="0"/>
        <v>0</v>
      </c>
      <c r="M9" s="271"/>
      <c r="N9" s="155">
        <f t="shared" si="1"/>
        <v>0</v>
      </c>
      <c r="O9" s="230">
        <f t="shared" si="2"/>
        <v>0</v>
      </c>
    </row>
    <row r="10" spans="1:15">
      <c r="A10" s="429"/>
      <c r="B10" s="18" t="s">
        <v>189</v>
      </c>
      <c r="C10" s="121" t="s">
        <v>190</v>
      </c>
      <c r="D10" s="125">
        <v>0</v>
      </c>
      <c r="E10" s="206">
        <f>SUMIF(proposedAdjustments!B:B,SelectedPortfolio_2019RSP!B10,proposedAdjustments!C:C)</f>
        <v>0</v>
      </c>
      <c r="F10" s="223">
        <f t="shared" si="3"/>
        <v>0</v>
      </c>
      <c r="G10" s="429"/>
      <c r="H10" s="143" t="s">
        <v>189</v>
      </c>
      <c r="I10" s="144" t="s">
        <v>190</v>
      </c>
      <c r="J10" s="151">
        <v>0</v>
      </c>
      <c r="K10" s="205">
        <f>SUMIF(proposedAdjustments!B:B,SelectedPortfolio_2019RSP!B10,proposedAdjustments!D:D)</f>
        <v>0</v>
      </c>
      <c r="L10" s="228">
        <f t="shared" si="0"/>
        <v>0</v>
      </c>
      <c r="M10" s="271"/>
      <c r="N10" s="155">
        <f t="shared" si="1"/>
        <v>0</v>
      </c>
      <c r="O10" s="230">
        <f t="shared" si="2"/>
        <v>0</v>
      </c>
    </row>
    <row r="11" spans="1:15">
      <c r="A11" s="429"/>
      <c r="B11" s="18" t="s">
        <v>55</v>
      </c>
      <c r="C11" s="121" t="s">
        <v>191</v>
      </c>
      <c r="D11" s="125">
        <v>0</v>
      </c>
      <c r="E11" s="206">
        <f>SUMIF(proposedAdjustments!B:B,SelectedPortfolio_2019RSP!B11,proposedAdjustments!C:C)</f>
        <v>0</v>
      </c>
      <c r="F11" s="223">
        <f t="shared" si="3"/>
        <v>0</v>
      </c>
      <c r="G11" s="429"/>
      <c r="H11" s="143" t="s">
        <v>55</v>
      </c>
      <c r="I11" s="144" t="s">
        <v>191</v>
      </c>
      <c r="J11" s="151">
        <v>0</v>
      </c>
      <c r="K11" s="205">
        <f>SUMIF(proposedAdjustments!B:B,SelectedPortfolio_2019RSP!B11,proposedAdjustments!D:D)</f>
        <v>0</v>
      </c>
      <c r="L11" s="228">
        <f t="shared" si="0"/>
        <v>0</v>
      </c>
      <c r="M11" s="271"/>
      <c r="N11" s="155">
        <f t="shared" si="1"/>
        <v>0</v>
      </c>
      <c r="O11" s="230">
        <f t="shared" si="2"/>
        <v>0</v>
      </c>
    </row>
    <row r="12" spans="1:15">
      <c r="A12" s="429"/>
      <c r="B12" s="18" t="s">
        <v>56</v>
      </c>
      <c r="C12" s="121" t="s">
        <v>192</v>
      </c>
      <c r="D12" s="125">
        <v>0</v>
      </c>
      <c r="E12" s="206">
        <f>SUMIF(proposedAdjustments!B:B,SelectedPortfolio_2019RSP!B12,proposedAdjustments!C:C)</f>
        <v>0</v>
      </c>
      <c r="F12" s="223">
        <f t="shared" si="3"/>
        <v>0</v>
      </c>
      <c r="G12" s="429"/>
      <c r="H12" s="143" t="s">
        <v>56</v>
      </c>
      <c r="I12" s="144" t="s">
        <v>192</v>
      </c>
      <c r="J12" s="151">
        <v>0</v>
      </c>
      <c r="K12" s="205">
        <f>SUMIF(proposedAdjustments!B:B,SelectedPortfolio_2019RSP!B12,proposedAdjustments!D:D)</f>
        <v>0</v>
      </c>
      <c r="L12" s="228">
        <f t="shared" si="0"/>
        <v>0</v>
      </c>
      <c r="M12" s="271"/>
      <c r="N12" s="155">
        <f t="shared" si="1"/>
        <v>0</v>
      </c>
      <c r="O12" s="230">
        <f t="shared" si="2"/>
        <v>0</v>
      </c>
    </row>
    <row r="13" spans="1:15">
      <c r="A13" s="429"/>
      <c r="B13" s="18" t="s">
        <v>57</v>
      </c>
      <c r="C13" s="121" t="s">
        <v>193</v>
      </c>
      <c r="D13" s="125">
        <v>0</v>
      </c>
      <c r="E13" s="206">
        <f>SUMIF(proposedAdjustments!B:B,SelectedPortfolio_2019RSP!B13,proposedAdjustments!C:C)</f>
        <v>0</v>
      </c>
      <c r="F13" s="223">
        <f t="shared" si="3"/>
        <v>0</v>
      </c>
      <c r="G13" s="429"/>
      <c r="H13" s="143" t="s">
        <v>57</v>
      </c>
      <c r="I13" s="144" t="s">
        <v>193</v>
      </c>
      <c r="J13" s="151">
        <v>0</v>
      </c>
      <c r="K13" s="205">
        <f>SUMIF(proposedAdjustments!B:B,SelectedPortfolio_2019RSP!B13,proposedAdjustments!D:D)</f>
        <v>0</v>
      </c>
      <c r="L13" s="228">
        <f t="shared" si="0"/>
        <v>0</v>
      </c>
      <c r="M13" s="271"/>
      <c r="N13" s="155">
        <f t="shared" si="1"/>
        <v>0</v>
      </c>
      <c r="O13" s="230">
        <f t="shared" si="2"/>
        <v>0</v>
      </c>
    </row>
    <row r="14" spans="1:15">
      <c r="A14" s="429"/>
      <c r="B14" s="18" t="s">
        <v>58</v>
      </c>
      <c r="C14" s="121" t="s">
        <v>194</v>
      </c>
      <c r="D14" s="125">
        <v>0</v>
      </c>
      <c r="E14" s="206">
        <f>SUMIF(proposedAdjustments!B:B,SelectedPortfolio_2019RSP!B14,proposedAdjustments!C:C)</f>
        <v>0</v>
      </c>
      <c r="F14" s="223">
        <f t="shared" si="3"/>
        <v>0</v>
      </c>
      <c r="G14" s="429"/>
      <c r="H14" s="143" t="s">
        <v>58</v>
      </c>
      <c r="I14" s="144" t="s">
        <v>194</v>
      </c>
      <c r="J14" s="151">
        <v>0</v>
      </c>
      <c r="K14" s="205">
        <f>SUMIF(proposedAdjustments!B:B,SelectedPortfolio_2019RSP!B14,proposedAdjustments!D:D)</f>
        <v>0</v>
      </c>
      <c r="L14" s="228">
        <f t="shared" si="0"/>
        <v>0</v>
      </c>
      <c r="M14" s="271"/>
      <c r="N14" s="155">
        <f t="shared" si="1"/>
        <v>0</v>
      </c>
      <c r="O14" s="230">
        <f t="shared" si="2"/>
        <v>0</v>
      </c>
    </row>
    <row r="15" spans="1:15">
      <c r="A15" s="429"/>
      <c r="B15" s="18" t="s">
        <v>59</v>
      </c>
      <c r="C15" s="121" t="s">
        <v>195</v>
      </c>
      <c r="D15" s="125">
        <v>0</v>
      </c>
      <c r="E15" s="206">
        <f>SUMIF(proposedAdjustments!B:B,SelectedPortfolio_2019RSP!B15,proposedAdjustments!C:C)</f>
        <v>0</v>
      </c>
      <c r="F15" s="223">
        <f t="shared" si="3"/>
        <v>0</v>
      </c>
      <c r="G15" s="429"/>
      <c r="H15" s="143" t="s">
        <v>59</v>
      </c>
      <c r="I15" s="144" t="s">
        <v>195</v>
      </c>
      <c r="J15" s="151">
        <v>0</v>
      </c>
      <c r="K15" s="205">
        <f>SUMIF(proposedAdjustments!B:B,SelectedPortfolio_2019RSP!B15,proposedAdjustments!D:D)</f>
        <v>0</v>
      </c>
      <c r="L15" s="228">
        <f t="shared" si="0"/>
        <v>0</v>
      </c>
      <c r="M15" s="271"/>
      <c r="N15" s="155">
        <f t="shared" si="1"/>
        <v>0</v>
      </c>
      <c r="O15" s="230">
        <f t="shared" si="2"/>
        <v>0</v>
      </c>
    </row>
    <row r="16" spans="1:15">
      <c r="A16" s="429"/>
      <c r="B16" s="18" t="s">
        <v>60</v>
      </c>
      <c r="C16" s="121" t="s">
        <v>195</v>
      </c>
      <c r="D16" s="125">
        <v>287</v>
      </c>
      <c r="E16" s="206">
        <f>SUMIF(proposedAdjustments!B:B,SelectedPortfolio_2019RSP!B16,proposedAdjustments!C:C)</f>
        <v>0</v>
      </c>
      <c r="F16" s="223">
        <f t="shared" si="3"/>
        <v>287</v>
      </c>
      <c r="G16" s="429"/>
      <c r="H16" s="143" t="s">
        <v>60</v>
      </c>
      <c r="I16" s="144" t="s">
        <v>195</v>
      </c>
      <c r="J16" s="151">
        <v>0</v>
      </c>
      <c r="K16" s="205">
        <f>SUMIF(proposedAdjustments!B:B,SelectedPortfolio_2019RSP!B16,proposedAdjustments!D:D)</f>
        <v>0</v>
      </c>
      <c r="L16" s="228">
        <f t="shared" si="0"/>
        <v>0</v>
      </c>
      <c r="M16" s="271"/>
      <c r="N16" s="155">
        <f t="shared" si="1"/>
        <v>287</v>
      </c>
      <c r="O16" s="230">
        <f t="shared" si="2"/>
        <v>287</v>
      </c>
    </row>
    <row r="17" spans="1:15">
      <c r="A17" s="429"/>
      <c r="B17" s="18" t="s">
        <v>62</v>
      </c>
      <c r="C17" s="121" t="s">
        <v>196</v>
      </c>
      <c r="D17" s="125">
        <v>0</v>
      </c>
      <c r="E17" s="206">
        <f>SUMIF(proposedAdjustments!B:B,SelectedPortfolio_2019RSP!B17,proposedAdjustments!C:C)</f>
        <v>0</v>
      </c>
      <c r="F17" s="223">
        <f t="shared" si="3"/>
        <v>0</v>
      </c>
      <c r="G17" s="429"/>
      <c r="H17" s="143" t="s">
        <v>62</v>
      </c>
      <c r="I17" s="144" t="s">
        <v>196</v>
      </c>
      <c r="J17" s="151">
        <v>0</v>
      </c>
      <c r="K17" s="205">
        <f>SUMIF(proposedAdjustments!B:B,SelectedPortfolio_2019RSP!B17,proposedAdjustments!D:D)</f>
        <v>0</v>
      </c>
      <c r="L17" s="228">
        <f t="shared" si="0"/>
        <v>0</v>
      </c>
      <c r="M17" s="271"/>
      <c r="N17" s="155">
        <f t="shared" si="1"/>
        <v>0</v>
      </c>
      <c r="O17" s="230">
        <f t="shared" si="2"/>
        <v>0</v>
      </c>
    </row>
    <row r="18" spans="1:15">
      <c r="A18" s="429"/>
      <c r="B18" s="18" t="s">
        <v>63</v>
      </c>
      <c r="C18" s="121" t="s">
        <v>196</v>
      </c>
      <c r="D18" s="125">
        <v>173</v>
      </c>
      <c r="E18" s="206">
        <f>SUMIF(proposedAdjustments!B:B,SelectedPortfolio_2019RSP!B18,proposedAdjustments!C:C)</f>
        <v>0</v>
      </c>
      <c r="F18" s="223">
        <f t="shared" si="3"/>
        <v>173</v>
      </c>
      <c r="G18" s="429"/>
      <c r="H18" s="143" t="s">
        <v>63</v>
      </c>
      <c r="I18" s="144" t="s">
        <v>196</v>
      </c>
      <c r="J18" s="151">
        <v>0</v>
      </c>
      <c r="K18" s="205">
        <f>SUMIF(proposedAdjustments!B:B,SelectedPortfolio_2019RSP!B18,proposedAdjustments!D:D)</f>
        <v>0</v>
      </c>
      <c r="L18" s="228">
        <f t="shared" si="0"/>
        <v>0</v>
      </c>
      <c r="M18" s="271"/>
      <c r="N18" s="155">
        <f t="shared" si="1"/>
        <v>173</v>
      </c>
      <c r="O18" s="230">
        <f t="shared" si="2"/>
        <v>173</v>
      </c>
    </row>
    <row r="19" spans="1:15">
      <c r="A19" s="429"/>
      <c r="B19" s="18" t="s">
        <v>65</v>
      </c>
      <c r="C19" s="121" t="s">
        <v>186</v>
      </c>
      <c r="D19" s="125">
        <v>0</v>
      </c>
      <c r="E19" s="206">
        <f>SUMIF(proposedAdjustments!B:B,SelectedPortfolio_2019RSP!B19,proposedAdjustments!C:C)</f>
        <v>0</v>
      </c>
      <c r="F19" s="223">
        <f t="shared" si="3"/>
        <v>0</v>
      </c>
      <c r="G19" s="429"/>
      <c r="H19" s="143" t="s">
        <v>65</v>
      </c>
      <c r="I19" s="144" t="s">
        <v>186</v>
      </c>
      <c r="J19" s="151">
        <v>0</v>
      </c>
      <c r="K19" s="205">
        <f>SUMIF(proposedAdjustments!B:B,SelectedPortfolio_2019RSP!B19,proposedAdjustments!D:D)</f>
        <v>0</v>
      </c>
      <c r="L19" s="228">
        <f t="shared" si="0"/>
        <v>0</v>
      </c>
      <c r="M19" s="271"/>
      <c r="N19" s="155">
        <f t="shared" si="1"/>
        <v>0</v>
      </c>
      <c r="O19" s="230">
        <f t="shared" si="2"/>
        <v>0</v>
      </c>
    </row>
    <row r="20" spans="1:15">
      <c r="A20" s="429"/>
      <c r="B20" s="18" t="s">
        <v>66</v>
      </c>
      <c r="C20" s="121" t="e">
        <v>#N/A</v>
      </c>
      <c r="D20" s="125">
        <v>0</v>
      </c>
      <c r="E20" s="206">
        <f>SUMIF(proposedAdjustments!B:B,SelectedPortfolio_2019RSP!B20,proposedAdjustments!C:C)</f>
        <v>0</v>
      </c>
      <c r="F20" s="223">
        <f t="shared" si="3"/>
        <v>0</v>
      </c>
      <c r="G20" s="429"/>
      <c r="H20" s="143" t="s">
        <v>66</v>
      </c>
      <c r="I20" s="144" t="e">
        <v>#N/A</v>
      </c>
      <c r="J20" s="151">
        <v>0</v>
      </c>
      <c r="K20" s="205">
        <f>SUMIF(proposedAdjustments!B:B,SelectedPortfolio_2019RSP!B20,proposedAdjustments!D:D)</f>
        <v>0</v>
      </c>
      <c r="L20" s="228">
        <f t="shared" si="0"/>
        <v>0</v>
      </c>
      <c r="M20" s="271"/>
      <c r="N20" s="155">
        <f t="shared" si="1"/>
        <v>0</v>
      </c>
      <c r="O20" s="230">
        <f t="shared" si="2"/>
        <v>0</v>
      </c>
    </row>
    <row r="21" spans="1:15">
      <c r="A21" s="429"/>
      <c r="B21" s="18" t="s">
        <v>67</v>
      </c>
      <c r="C21" s="121" t="s">
        <v>187</v>
      </c>
      <c r="D21" s="125">
        <v>0</v>
      </c>
      <c r="E21" s="206">
        <f>SUMIF(proposedAdjustments!B:B,SelectedPortfolio_2019RSP!B21,proposedAdjustments!C:C)</f>
        <v>0</v>
      </c>
      <c r="F21" s="223">
        <f t="shared" si="3"/>
        <v>0</v>
      </c>
      <c r="G21" s="429"/>
      <c r="H21" s="143" t="s">
        <v>67</v>
      </c>
      <c r="I21" s="144" t="s">
        <v>187</v>
      </c>
      <c r="J21" s="151">
        <v>547.9</v>
      </c>
      <c r="K21" s="205">
        <f>SUMIF(proposedAdjustments!B:B,SelectedPortfolio_2019RSP!B21,proposedAdjustments!D:D)</f>
        <v>0</v>
      </c>
      <c r="L21" s="228">
        <f t="shared" si="0"/>
        <v>547.9</v>
      </c>
      <c r="M21" s="271"/>
      <c r="N21" s="155">
        <f t="shared" si="1"/>
        <v>547.9</v>
      </c>
      <c r="O21" s="230">
        <f t="shared" si="2"/>
        <v>547.9</v>
      </c>
    </row>
    <row r="22" spans="1:15">
      <c r="A22" s="429"/>
      <c r="B22" s="18" t="s">
        <v>70</v>
      </c>
      <c r="C22" s="121" t="s">
        <v>187</v>
      </c>
      <c r="D22" s="125">
        <v>0</v>
      </c>
      <c r="E22" s="206">
        <f>SUMIF(proposedAdjustments!B:B,SelectedPortfolio_2019RSP!B22,proposedAdjustments!C:C)</f>
        <v>0</v>
      </c>
      <c r="F22" s="223">
        <f t="shared" si="3"/>
        <v>0</v>
      </c>
      <c r="G22" s="429"/>
      <c r="H22" s="143" t="s">
        <v>70</v>
      </c>
      <c r="I22" s="144" t="s">
        <v>187</v>
      </c>
      <c r="J22" s="151">
        <v>0</v>
      </c>
      <c r="K22" s="205">
        <f>SUMIF(proposedAdjustments!B:B,SelectedPortfolio_2019RSP!B22,proposedAdjustments!D:D)</f>
        <v>0</v>
      </c>
      <c r="L22" s="228">
        <f t="shared" si="0"/>
        <v>0</v>
      </c>
      <c r="M22" s="271"/>
      <c r="N22" s="155">
        <f t="shared" si="1"/>
        <v>0</v>
      </c>
      <c r="O22" s="230">
        <f t="shared" si="2"/>
        <v>0</v>
      </c>
    </row>
    <row r="23" spans="1:15">
      <c r="A23" s="429"/>
      <c r="B23" s="18" t="s">
        <v>71</v>
      </c>
      <c r="C23" s="121" t="s">
        <v>197</v>
      </c>
      <c r="D23" s="125">
        <v>0</v>
      </c>
      <c r="E23" s="206">
        <f>SUMIF(proposedAdjustments!B:B,SelectedPortfolio_2019RSP!B23,proposedAdjustments!C:C)</f>
        <v>0</v>
      </c>
      <c r="F23" s="223">
        <f t="shared" si="3"/>
        <v>0</v>
      </c>
      <c r="G23" s="429"/>
      <c r="H23" s="143" t="s">
        <v>71</v>
      </c>
      <c r="I23" s="144" t="s">
        <v>197</v>
      </c>
      <c r="J23" s="151">
        <v>0</v>
      </c>
      <c r="K23" s="205">
        <f>SUMIF(proposedAdjustments!B:B,SelectedPortfolio_2019RSP!B23,proposedAdjustments!D:D)</f>
        <v>0</v>
      </c>
      <c r="L23" s="228">
        <f t="shared" si="0"/>
        <v>0</v>
      </c>
      <c r="M23" s="271"/>
      <c r="N23" s="155">
        <f t="shared" si="1"/>
        <v>0</v>
      </c>
      <c r="O23" s="230">
        <f t="shared" si="2"/>
        <v>0</v>
      </c>
    </row>
    <row r="24" spans="1:15">
      <c r="A24" s="429"/>
      <c r="B24" s="18" t="s">
        <v>72</v>
      </c>
      <c r="C24" s="121" t="s">
        <v>198</v>
      </c>
      <c r="D24" s="125">
        <v>0</v>
      </c>
      <c r="E24" s="206">
        <f>SUMIF(proposedAdjustments!B:B,SelectedPortfolio_2019RSP!B24,proposedAdjustments!C:C)</f>
        <v>0</v>
      </c>
      <c r="F24" s="223">
        <f t="shared" si="3"/>
        <v>0</v>
      </c>
      <c r="G24" s="429"/>
      <c r="H24" s="143" t="s">
        <v>72</v>
      </c>
      <c r="I24" s="144" t="s">
        <v>198</v>
      </c>
      <c r="J24" s="151">
        <v>34</v>
      </c>
      <c r="K24" s="205">
        <f>SUMIF(proposedAdjustments!B:B,SelectedPortfolio_2019RSP!B24,proposedAdjustments!D:D)</f>
        <v>0</v>
      </c>
      <c r="L24" s="228">
        <f t="shared" si="0"/>
        <v>34</v>
      </c>
      <c r="M24" s="271"/>
      <c r="N24" s="155">
        <f t="shared" si="1"/>
        <v>34</v>
      </c>
      <c r="O24" s="230">
        <f t="shared" si="2"/>
        <v>34</v>
      </c>
    </row>
    <row r="25" spans="1:15">
      <c r="A25" s="429"/>
      <c r="B25" s="18" t="s">
        <v>73</v>
      </c>
      <c r="C25" s="121" t="s">
        <v>188</v>
      </c>
      <c r="D25" s="125">
        <v>97</v>
      </c>
      <c r="E25" s="206">
        <f>SUMIF(proposedAdjustments!B:B,SelectedPortfolio_2019RSP!B25,proposedAdjustments!C:C)</f>
        <v>0</v>
      </c>
      <c r="F25" s="223">
        <f t="shared" si="3"/>
        <v>97</v>
      </c>
      <c r="G25" s="429"/>
      <c r="H25" s="143" t="s">
        <v>73</v>
      </c>
      <c r="I25" s="144" t="s">
        <v>188</v>
      </c>
      <c r="J25" s="151">
        <v>0</v>
      </c>
      <c r="K25" s="205">
        <f>SUMIF(proposedAdjustments!B:B,SelectedPortfolio_2019RSP!B25,proposedAdjustments!D:D)</f>
        <v>0</v>
      </c>
      <c r="L25" s="228">
        <f t="shared" si="0"/>
        <v>0</v>
      </c>
      <c r="M25" s="271"/>
      <c r="N25" s="155">
        <f t="shared" si="1"/>
        <v>97</v>
      </c>
      <c r="O25" s="230">
        <f t="shared" si="2"/>
        <v>97</v>
      </c>
    </row>
    <row r="26" spans="1:15">
      <c r="A26" s="429"/>
      <c r="B26" s="18" t="s">
        <v>75</v>
      </c>
      <c r="C26" s="121" t="s">
        <v>199</v>
      </c>
      <c r="D26" s="125">
        <v>96.73</v>
      </c>
      <c r="E26" s="206">
        <f>SUMIF(proposedAdjustments!B:B,SelectedPortfolio_2019RSP!B26,proposedAdjustments!C:C)</f>
        <v>0</v>
      </c>
      <c r="F26" s="223">
        <f t="shared" si="3"/>
        <v>96.73</v>
      </c>
      <c r="G26" s="429"/>
      <c r="H26" s="143" t="s">
        <v>75</v>
      </c>
      <c r="I26" s="144" t="s">
        <v>199</v>
      </c>
      <c r="J26" s="151">
        <v>144.93</v>
      </c>
      <c r="K26" s="205">
        <f>SUMIF(proposedAdjustments!B:B,SelectedPortfolio_2019RSP!B26,proposedAdjustments!D:D)</f>
        <v>0</v>
      </c>
      <c r="L26" s="228">
        <f t="shared" si="0"/>
        <v>144.93</v>
      </c>
      <c r="M26" s="271"/>
      <c r="N26" s="155">
        <f t="shared" si="1"/>
        <v>241.66000000000003</v>
      </c>
      <c r="O26" s="230">
        <f>F26+L26</f>
        <v>241.66000000000003</v>
      </c>
    </row>
    <row r="27" spans="1:15">
      <c r="A27" s="429"/>
      <c r="B27" s="18" t="s">
        <v>76</v>
      </c>
      <c r="C27" s="121" t="s">
        <v>199</v>
      </c>
      <c r="D27" s="125">
        <v>60</v>
      </c>
      <c r="E27" s="206">
        <f>SUMIF(proposedAdjustments!B:B,SelectedPortfolio_2019RSP!B27,proposedAdjustments!C:C)</f>
        <v>0</v>
      </c>
      <c r="F27" s="223">
        <f t="shared" si="3"/>
        <v>60</v>
      </c>
      <c r="G27" s="429"/>
      <c r="H27" s="143" t="s">
        <v>76</v>
      </c>
      <c r="I27" s="144" t="s">
        <v>199</v>
      </c>
      <c r="J27" s="151">
        <v>0</v>
      </c>
      <c r="K27" s="205">
        <f>SUMIF(proposedAdjustments!B:B,SelectedPortfolio_2019RSP!B27,proposedAdjustments!D:D)</f>
        <v>0</v>
      </c>
      <c r="L27" s="228">
        <f t="shared" si="0"/>
        <v>0</v>
      </c>
      <c r="M27" s="271"/>
      <c r="N27" s="155">
        <f t="shared" si="1"/>
        <v>60</v>
      </c>
      <c r="O27" s="230">
        <f t="shared" si="2"/>
        <v>60</v>
      </c>
    </row>
    <row r="28" spans="1:15">
      <c r="A28" s="429"/>
      <c r="B28" s="18" t="s">
        <v>77</v>
      </c>
      <c r="C28" s="121" t="s">
        <v>200</v>
      </c>
      <c r="D28" s="125">
        <v>0</v>
      </c>
      <c r="E28" s="206">
        <f>SUMIF(proposedAdjustments!B:B,SelectedPortfolio_2019RSP!B28,proposedAdjustments!C:C)</f>
        <v>0</v>
      </c>
      <c r="F28" s="223">
        <f t="shared" si="3"/>
        <v>0</v>
      </c>
      <c r="G28" s="429"/>
      <c r="H28" s="143" t="s">
        <v>77</v>
      </c>
      <c r="I28" s="144" t="s">
        <v>200</v>
      </c>
      <c r="J28" s="151">
        <v>0</v>
      </c>
      <c r="K28" s="205">
        <f>SUMIF(proposedAdjustments!B:B,SelectedPortfolio_2019RSP!B28,proposedAdjustments!D:D)</f>
        <v>0</v>
      </c>
      <c r="L28" s="228">
        <f t="shared" si="0"/>
        <v>0</v>
      </c>
      <c r="M28" s="271"/>
      <c r="N28" s="155">
        <f t="shared" si="1"/>
        <v>0</v>
      </c>
      <c r="O28" s="230">
        <f t="shared" si="2"/>
        <v>0</v>
      </c>
    </row>
    <row r="29" spans="1:15">
      <c r="A29" s="429"/>
      <c r="B29" s="18" t="s">
        <v>78</v>
      </c>
      <c r="C29" s="121" t="s">
        <v>200</v>
      </c>
      <c r="D29" s="125">
        <v>0</v>
      </c>
      <c r="E29" s="206">
        <f>SUMIF(proposedAdjustments!B:B,SelectedPortfolio_2019RSP!B29,proposedAdjustments!C:C)</f>
        <v>0</v>
      </c>
      <c r="F29" s="223">
        <f t="shared" si="3"/>
        <v>0</v>
      </c>
      <c r="G29" s="429"/>
      <c r="H29" s="143" t="s">
        <v>78</v>
      </c>
      <c r="I29" s="144" t="s">
        <v>200</v>
      </c>
      <c r="J29" s="151">
        <v>0</v>
      </c>
      <c r="K29" s="205">
        <f>SUMIF(proposedAdjustments!B:B,SelectedPortfolio_2019RSP!B29,proposedAdjustments!D:D)</f>
        <v>0</v>
      </c>
      <c r="L29" s="228">
        <f t="shared" si="0"/>
        <v>0</v>
      </c>
      <c r="M29" s="271"/>
      <c r="N29" s="155">
        <f t="shared" si="1"/>
        <v>0</v>
      </c>
      <c r="O29" s="230">
        <f t="shared" si="2"/>
        <v>0</v>
      </c>
    </row>
    <row r="30" spans="1:15">
      <c r="A30" s="429"/>
      <c r="B30" s="18" t="s">
        <v>79</v>
      </c>
      <c r="C30" s="121" t="s">
        <v>191</v>
      </c>
      <c r="D30" s="125">
        <v>248</v>
      </c>
      <c r="E30" s="206">
        <f>SUMIF(proposedAdjustments!B:B,SelectedPortfolio_2019RSP!B30,proposedAdjustments!C:C)</f>
        <v>0</v>
      </c>
      <c r="F30" s="223">
        <f t="shared" si="3"/>
        <v>248</v>
      </c>
      <c r="G30" s="429"/>
      <c r="H30" s="143" t="s">
        <v>79</v>
      </c>
      <c r="I30" s="144" t="s">
        <v>191</v>
      </c>
      <c r="J30" s="151">
        <v>0</v>
      </c>
      <c r="K30" s="205">
        <f>SUMIF(proposedAdjustments!B:B,SelectedPortfolio_2019RSP!B30,proposedAdjustments!D:D)</f>
        <v>0</v>
      </c>
      <c r="L30" s="228">
        <f t="shared" si="0"/>
        <v>0</v>
      </c>
      <c r="M30" s="271"/>
      <c r="N30" s="155">
        <f t="shared" si="1"/>
        <v>248</v>
      </c>
      <c r="O30" s="230">
        <f t="shared" si="2"/>
        <v>248</v>
      </c>
    </row>
    <row r="31" spans="1:15">
      <c r="A31" s="429"/>
      <c r="B31" s="18" t="s">
        <v>81</v>
      </c>
      <c r="C31" s="121" t="s">
        <v>201</v>
      </c>
      <c r="D31" s="125">
        <v>300</v>
      </c>
      <c r="E31" s="206">
        <f>SUMIF(proposedAdjustments!B:B,SelectedPortfolio_2019RSP!B31,proposedAdjustments!C:C)</f>
        <v>0</v>
      </c>
      <c r="F31" s="223">
        <f t="shared" si="3"/>
        <v>300</v>
      </c>
      <c r="G31" s="429"/>
      <c r="H31" s="143" t="s">
        <v>81</v>
      </c>
      <c r="I31" s="144" t="s">
        <v>201</v>
      </c>
      <c r="J31" s="151">
        <v>0</v>
      </c>
      <c r="K31" s="205">
        <f>SUMIF(proposedAdjustments!B:B,SelectedPortfolio_2019RSP!B31,proposedAdjustments!D:D)</f>
        <v>0</v>
      </c>
      <c r="L31" s="228">
        <f t="shared" si="0"/>
        <v>0</v>
      </c>
      <c r="M31" s="271"/>
      <c r="N31" s="155">
        <f t="shared" si="1"/>
        <v>300</v>
      </c>
      <c r="O31" s="230">
        <f t="shared" si="2"/>
        <v>300</v>
      </c>
    </row>
    <row r="32" spans="1:15">
      <c r="A32" s="429"/>
      <c r="B32" s="18" t="s">
        <v>82</v>
      </c>
      <c r="C32" s="121" t="s">
        <v>190</v>
      </c>
      <c r="D32" s="125">
        <v>0</v>
      </c>
      <c r="E32" s="206">
        <f>SUMIF(proposedAdjustments!B:B,SelectedPortfolio_2019RSP!B32,proposedAdjustments!C:C)</f>
        <v>0</v>
      </c>
      <c r="F32" s="223">
        <f t="shared" si="3"/>
        <v>0</v>
      </c>
      <c r="G32" s="429"/>
      <c r="H32" s="143" t="s">
        <v>82</v>
      </c>
      <c r="I32" s="144" t="s">
        <v>190</v>
      </c>
      <c r="J32" s="151">
        <v>0</v>
      </c>
      <c r="K32" s="205">
        <f>SUMIF(proposedAdjustments!B:B,SelectedPortfolio_2019RSP!B32,proposedAdjustments!D:D)</f>
        <v>0</v>
      </c>
      <c r="L32" s="228">
        <f t="shared" si="0"/>
        <v>0</v>
      </c>
      <c r="M32" s="271"/>
      <c r="N32" s="155">
        <f t="shared" si="1"/>
        <v>0</v>
      </c>
      <c r="O32" s="230">
        <f t="shared" si="2"/>
        <v>0</v>
      </c>
    </row>
    <row r="33" spans="1:15">
      <c r="A33" s="429"/>
      <c r="B33" s="18" t="s">
        <v>83</v>
      </c>
      <c r="C33" s="121" t="s">
        <v>202</v>
      </c>
      <c r="D33" s="125">
        <v>865.9</v>
      </c>
      <c r="E33" s="206">
        <f>SUMIF(proposedAdjustments!B:B,SelectedPortfolio_2019RSP!B33,proposedAdjustments!C:C)</f>
        <v>0</v>
      </c>
      <c r="F33" s="223">
        <f t="shared" si="3"/>
        <v>865.9</v>
      </c>
      <c r="G33" s="429"/>
      <c r="H33" s="143" t="s">
        <v>83</v>
      </c>
      <c r="I33" s="144" t="s">
        <v>202</v>
      </c>
      <c r="J33" s="151">
        <v>0</v>
      </c>
      <c r="K33" s="205">
        <f>SUMIF(proposedAdjustments!B:B,SelectedPortfolio_2019RSP!B33,proposedAdjustments!D:D)</f>
        <v>0</v>
      </c>
      <c r="L33" s="228">
        <f t="shared" si="0"/>
        <v>0</v>
      </c>
      <c r="M33" s="271"/>
      <c r="N33" s="155">
        <f t="shared" si="1"/>
        <v>865.9</v>
      </c>
      <c r="O33" s="230">
        <f t="shared" si="2"/>
        <v>865.9</v>
      </c>
    </row>
    <row r="34" spans="1:15">
      <c r="A34" s="429"/>
      <c r="B34" s="18" t="s">
        <v>86</v>
      </c>
      <c r="C34" s="121" t="s">
        <v>202</v>
      </c>
      <c r="D34" s="125">
        <v>0</v>
      </c>
      <c r="E34" s="206">
        <f>SUMIF(proposedAdjustments!B:B,SelectedPortfolio_2019RSP!B34,proposedAdjustments!C:C)</f>
        <v>0</v>
      </c>
      <c r="F34" s="223">
        <f t="shared" si="3"/>
        <v>0</v>
      </c>
      <c r="G34" s="429"/>
      <c r="H34" s="143" t="s">
        <v>86</v>
      </c>
      <c r="I34" s="144" t="s">
        <v>202</v>
      </c>
      <c r="J34" s="151">
        <v>0</v>
      </c>
      <c r="K34" s="205">
        <f>SUMIF(proposedAdjustments!B:B,SelectedPortfolio_2019RSP!B34,proposedAdjustments!D:D)</f>
        <v>0</v>
      </c>
      <c r="L34" s="228">
        <f t="shared" si="0"/>
        <v>0</v>
      </c>
      <c r="M34" s="271"/>
      <c r="N34" s="155">
        <f t="shared" si="1"/>
        <v>0</v>
      </c>
      <c r="O34" s="230">
        <f t="shared" si="2"/>
        <v>0</v>
      </c>
    </row>
    <row r="35" spans="1:15">
      <c r="A35" s="429"/>
      <c r="B35" s="18" t="s">
        <v>87</v>
      </c>
      <c r="C35" s="121" t="s">
        <v>192</v>
      </c>
      <c r="D35" s="125">
        <v>0</v>
      </c>
      <c r="E35" s="206">
        <f>SUMIF(proposedAdjustments!B:B,SelectedPortfolio_2019RSP!B35,proposedAdjustments!C:C)</f>
        <v>0</v>
      </c>
      <c r="F35" s="223">
        <f t="shared" si="3"/>
        <v>0</v>
      </c>
      <c r="G35" s="429"/>
      <c r="H35" s="143" t="s">
        <v>87</v>
      </c>
      <c r="I35" s="144" t="s">
        <v>192</v>
      </c>
      <c r="J35" s="151">
        <v>0</v>
      </c>
      <c r="K35" s="205">
        <f>SUMIF(proposedAdjustments!B:B,SelectedPortfolio_2019RSP!B35,proposedAdjustments!D:D)</f>
        <v>0</v>
      </c>
      <c r="L35" s="228">
        <f t="shared" si="0"/>
        <v>0</v>
      </c>
      <c r="M35" s="271"/>
      <c r="N35" s="155">
        <f t="shared" si="1"/>
        <v>0</v>
      </c>
      <c r="O35" s="230">
        <f t="shared" si="2"/>
        <v>0</v>
      </c>
    </row>
    <row r="36" spans="1:15">
      <c r="A36" s="429"/>
      <c r="B36" s="18" t="s">
        <v>92</v>
      </c>
      <c r="C36" s="121" t="s">
        <v>202</v>
      </c>
      <c r="D36" s="125">
        <v>0</v>
      </c>
      <c r="E36" s="206">
        <f>SUMIF(proposedAdjustments!B:B,SelectedPortfolio_2019RSP!B36,proposedAdjustments!C:C)</f>
        <v>0</v>
      </c>
      <c r="F36" s="223">
        <f t="shared" si="3"/>
        <v>0</v>
      </c>
      <c r="G36" s="429"/>
      <c r="H36" s="143" t="s">
        <v>92</v>
      </c>
      <c r="I36" s="144" t="s">
        <v>202</v>
      </c>
      <c r="J36" s="151">
        <v>0</v>
      </c>
      <c r="K36" s="205">
        <f>SUMIF(proposedAdjustments!B:B,SelectedPortfolio_2019RSP!B36,proposedAdjustments!D:D)</f>
        <v>0</v>
      </c>
      <c r="L36" s="228">
        <f t="shared" si="0"/>
        <v>0</v>
      </c>
      <c r="M36" s="271"/>
      <c r="N36" s="155">
        <f t="shared" si="1"/>
        <v>0</v>
      </c>
      <c r="O36" s="230">
        <f t="shared" si="2"/>
        <v>0</v>
      </c>
    </row>
    <row r="37" spans="1:15">
      <c r="A37" s="429"/>
      <c r="B37" s="18" t="s">
        <v>93</v>
      </c>
      <c r="C37" s="121" t="s">
        <v>191</v>
      </c>
      <c r="D37" s="125">
        <v>0</v>
      </c>
      <c r="E37" s="206">
        <f>SUMIF(proposedAdjustments!B:B,SelectedPortfolio_2019RSP!B37,proposedAdjustments!C:C)</f>
        <v>0</v>
      </c>
      <c r="F37" s="223">
        <f t="shared" si="3"/>
        <v>0</v>
      </c>
      <c r="G37" s="429"/>
      <c r="H37" s="143" t="s">
        <v>93</v>
      </c>
      <c r="I37" s="144" t="s">
        <v>191</v>
      </c>
      <c r="J37" s="151">
        <v>0</v>
      </c>
      <c r="K37" s="205">
        <f>SUMIF(proposedAdjustments!B:B,SelectedPortfolio_2019RSP!B37,proposedAdjustments!D:D)</f>
        <v>0</v>
      </c>
      <c r="L37" s="228">
        <f t="shared" si="0"/>
        <v>0</v>
      </c>
      <c r="M37" s="271"/>
      <c r="N37" s="155">
        <f t="shared" si="1"/>
        <v>0</v>
      </c>
      <c r="O37" s="230">
        <f t="shared" si="2"/>
        <v>0</v>
      </c>
    </row>
    <row r="38" spans="1:15">
      <c r="A38" s="429"/>
      <c r="B38" s="18" t="s">
        <v>94</v>
      </c>
      <c r="C38" s="121" t="s">
        <v>203</v>
      </c>
      <c r="D38" s="125">
        <v>0</v>
      </c>
      <c r="E38" s="206">
        <f>SUMIF(proposedAdjustments!B:B,SelectedPortfolio_2019RSP!B38,proposedAdjustments!C:C)</f>
        <v>0</v>
      </c>
      <c r="F38" s="223">
        <f t="shared" si="3"/>
        <v>0</v>
      </c>
      <c r="G38" s="429"/>
      <c r="H38" s="143" t="s">
        <v>94</v>
      </c>
      <c r="I38" s="144" t="s">
        <v>203</v>
      </c>
      <c r="J38" s="151">
        <v>330</v>
      </c>
      <c r="K38" s="205">
        <f>SUMIF(proposedAdjustments!B:B,SelectedPortfolio_2019RSP!B38,proposedAdjustments!D:D)</f>
        <v>0</v>
      </c>
      <c r="L38" s="228">
        <f t="shared" si="0"/>
        <v>330</v>
      </c>
      <c r="M38" s="271"/>
      <c r="N38" s="155">
        <f t="shared" si="1"/>
        <v>330</v>
      </c>
      <c r="O38" s="230">
        <f t="shared" si="2"/>
        <v>330</v>
      </c>
    </row>
    <row r="39" spans="1:15">
      <c r="A39" s="429"/>
      <c r="B39" s="18" t="s">
        <v>95</v>
      </c>
      <c r="C39" s="121" t="s">
        <v>203</v>
      </c>
      <c r="D39" s="125">
        <v>0</v>
      </c>
      <c r="E39" s="206">
        <f>SUMIF(proposedAdjustments!B:B,SelectedPortfolio_2019RSP!B39,proposedAdjustments!C:C)</f>
        <v>0</v>
      </c>
      <c r="F39" s="223">
        <f t="shared" si="3"/>
        <v>0</v>
      </c>
      <c r="G39" s="429"/>
      <c r="H39" s="143" t="s">
        <v>95</v>
      </c>
      <c r="I39" s="144" t="s">
        <v>203</v>
      </c>
      <c r="J39" s="151">
        <v>0</v>
      </c>
      <c r="K39" s="205">
        <f>SUMIF(proposedAdjustments!B:B,SelectedPortfolio_2019RSP!B39,proposedAdjustments!D:D)</f>
        <v>0</v>
      </c>
      <c r="L39" s="228">
        <f t="shared" si="0"/>
        <v>0</v>
      </c>
      <c r="M39" s="271"/>
      <c r="N39" s="155">
        <f t="shared" si="1"/>
        <v>0</v>
      </c>
      <c r="O39" s="230">
        <f t="shared" si="2"/>
        <v>0</v>
      </c>
    </row>
    <row r="40" spans="1:15">
      <c r="A40" s="429"/>
      <c r="B40" s="18" t="s">
        <v>96</v>
      </c>
      <c r="C40" s="121" t="s">
        <v>193</v>
      </c>
      <c r="D40" s="125">
        <v>0</v>
      </c>
      <c r="E40" s="206">
        <f>SUMIF(proposedAdjustments!B:B,SelectedPortfolio_2019RSP!B40,proposedAdjustments!C:C)</f>
        <v>0</v>
      </c>
      <c r="F40" s="223">
        <f t="shared" si="3"/>
        <v>0</v>
      </c>
      <c r="G40" s="429"/>
      <c r="H40" s="143" t="s">
        <v>96</v>
      </c>
      <c r="I40" s="144" t="s">
        <v>193</v>
      </c>
      <c r="J40" s="151">
        <v>0</v>
      </c>
      <c r="K40" s="205">
        <f>SUMIF(proposedAdjustments!B:B,SelectedPortfolio_2019RSP!B40,proposedAdjustments!D:D)</f>
        <v>0</v>
      </c>
      <c r="L40" s="228">
        <f t="shared" si="0"/>
        <v>0</v>
      </c>
      <c r="M40" s="271"/>
      <c r="N40" s="155">
        <f t="shared" si="1"/>
        <v>0</v>
      </c>
      <c r="O40" s="230">
        <f t="shared" si="2"/>
        <v>0</v>
      </c>
    </row>
    <row r="41" spans="1:15">
      <c r="A41" s="429"/>
      <c r="B41" s="18" t="s">
        <v>97</v>
      </c>
      <c r="C41" s="121" t="s">
        <v>204</v>
      </c>
      <c r="D41" s="125">
        <v>0</v>
      </c>
      <c r="E41" s="206">
        <f>SUMIF(proposedAdjustments!B:B,SelectedPortfolio_2019RSP!B41,proposedAdjustments!C:C)</f>
        <v>0</v>
      </c>
      <c r="F41" s="223">
        <f t="shared" si="3"/>
        <v>0</v>
      </c>
      <c r="G41" s="429"/>
      <c r="H41" s="143" t="s">
        <v>97</v>
      </c>
      <c r="I41" s="144" t="s">
        <v>204</v>
      </c>
      <c r="J41" s="151">
        <v>0</v>
      </c>
      <c r="K41" s="205">
        <f>SUMIF(proposedAdjustments!B:B,SelectedPortfolio_2019RSP!B41,proposedAdjustments!D:D)</f>
        <v>0</v>
      </c>
      <c r="L41" s="228">
        <f t="shared" si="0"/>
        <v>0</v>
      </c>
      <c r="M41" s="271"/>
      <c r="N41" s="155">
        <f t="shared" si="1"/>
        <v>0</v>
      </c>
      <c r="O41" s="230">
        <f t="shared" si="2"/>
        <v>0</v>
      </c>
    </row>
    <row r="42" spans="1:15">
      <c r="A42" s="429"/>
      <c r="B42" s="18" t="s">
        <v>98</v>
      </c>
      <c r="C42" s="121" t="s">
        <v>204</v>
      </c>
      <c r="D42" s="125">
        <v>0</v>
      </c>
      <c r="E42" s="206">
        <f>SUMIF(proposedAdjustments!B:B,SelectedPortfolio_2019RSP!B42,proposedAdjustments!C:C)</f>
        <v>0</v>
      </c>
      <c r="F42" s="223">
        <f t="shared" si="3"/>
        <v>0</v>
      </c>
      <c r="G42" s="429"/>
      <c r="H42" s="143" t="s">
        <v>98</v>
      </c>
      <c r="I42" s="144" t="s">
        <v>204</v>
      </c>
      <c r="J42" s="151">
        <v>0</v>
      </c>
      <c r="K42" s="205">
        <f>SUMIF(proposedAdjustments!B:B,SelectedPortfolio_2019RSP!B42,proposedAdjustments!D:D)</f>
        <v>0</v>
      </c>
      <c r="L42" s="228">
        <f t="shared" si="0"/>
        <v>0</v>
      </c>
      <c r="M42" s="271"/>
      <c r="N42" s="155">
        <f t="shared" si="1"/>
        <v>0</v>
      </c>
      <c r="O42" s="230">
        <f t="shared" si="2"/>
        <v>0</v>
      </c>
    </row>
    <row r="43" spans="1:15">
      <c r="A43" s="429"/>
      <c r="B43" s="18" t="s">
        <v>99</v>
      </c>
      <c r="C43" s="121" t="s">
        <v>193</v>
      </c>
      <c r="D43" s="125">
        <v>542</v>
      </c>
      <c r="E43" s="206">
        <f>SUMIF(proposedAdjustments!B:B,SelectedPortfolio_2019RSP!B43,proposedAdjustments!C:C)</f>
        <v>0</v>
      </c>
      <c r="F43" s="223">
        <f t="shared" si="3"/>
        <v>542</v>
      </c>
      <c r="G43" s="429"/>
      <c r="H43" s="143" t="s">
        <v>99</v>
      </c>
      <c r="I43" s="144" t="s">
        <v>193</v>
      </c>
      <c r="J43" s="151">
        <v>0</v>
      </c>
      <c r="K43" s="205">
        <f>SUMIF(proposedAdjustments!B:B,SelectedPortfolio_2019RSP!B43,proposedAdjustments!D:D)</f>
        <v>0</v>
      </c>
      <c r="L43" s="228">
        <f t="shared" si="0"/>
        <v>0</v>
      </c>
      <c r="M43" s="271"/>
      <c r="N43" s="155">
        <f t="shared" si="1"/>
        <v>542</v>
      </c>
      <c r="O43" s="230">
        <f t="shared" si="2"/>
        <v>542</v>
      </c>
    </row>
    <row r="44" spans="1:15">
      <c r="A44" s="429"/>
      <c r="B44" s="18" t="s">
        <v>100</v>
      </c>
      <c r="C44" s="121" t="s">
        <v>205</v>
      </c>
      <c r="D44" s="125">
        <v>862</v>
      </c>
      <c r="E44" s="206">
        <f>SUMIF(proposedAdjustments!B:B,SelectedPortfolio_2019RSP!B44,proposedAdjustments!C:C)</f>
        <v>-862</v>
      </c>
      <c r="F44" s="223">
        <f t="shared" si="3"/>
        <v>0</v>
      </c>
      <c r="G44" s="429"/>
      <c r="H44" s="143" t="s">
        <v>100</v>
      </c>
      <c r="I44" s="144" t="s">
        <v>205</v>
      </c>
      <c r="J44" s="151">
        <v>0</v>
      </c>
      <c r="K44" s="205">
        <f>SUMIF(proposedAdjustments!B:B,SelectedPortfolio_2019RSP!B44,proposedAdjustments!D:D)</f>
        <v>0</v>
      </c>
      <c r="L44" s="228">
        <f t="shared" si="0"/>
        <v>0</v>
      </c>
      <c r="M44" s="271"/>
      <c r="N44" s="155">
        <f t="shared" si="1"/>
        <v>862</v>
      </c>
      <c r="O44" s="230">
        <f t="shared" si="2"/>
        <v>0</v>
      </c>
    </row>
    <row r="45" spans="1:15">
      <c r="A45" s="429"/>
      <c r="B45" s="18" t="s">
        <v>102</v>
      </c>
      <c r="C45" s="121" t="s">
        <v>205</v>
      </c>
      <c r="D45" s="125">
        <v>0</v>
      </c>
      <c r="E45" s="206">
        <f>SUMIF(proposedAdjustments!B:B,SelectedPortfolio_2019RSP!B45,proposedAdjustments!C:C)</f>
        <v>0</v>
      </c>
      <c r="F45" s="223">
        <f t="shared" si="3"/>
        <v>0</v>
      </c>
      <c r="G45" s="429"/>
      <c r="H45" s="143" t="s">
        <v>102</v>
      </c>
      <c r="I45" s="144" t="s">
        <v>205</v>
      </c>
      <c r="J45" s="151">
        <v>0</v>
      </c>
      <c r="K45" s="205">
        <f>SUMIF(proposedAdjustments!B:B,SelectedPortfolio_2019RSP!B45,proposedAdjustments!D:D)</f>
        <v>0</v>
      </c>
      <c r="L45" s="228">
        <f t="shared" si="0"/>
        <v>0</v>
      </c>
      <c r="M45" s="271"/>
      <c r="N45" s="155">
        <f t="shared" si="1"/>
        <v>0</v>
      </c>
      <c r="O45" s="230">
        <f t="shared" si="2"/>
        <v>0</v>
      </c>
    </row>
    <row r="46" spans="1:15">
      <c r="A46" s="429"/>
      <c r="B46" s="18" t="s">
        <v>103</v>
      </c>
      <c r="C46" s="121" t="s">
        <v>206</v>
      </c>
      <c r="D46" s="125">
        <v>0</v>
      </c>
      <c r="E46" s="206">
        <f>SUMIF(proposedAdjustments!B:B,SelectedPortfolio_2019RSP!B46,proposedAdjustments!C:C)</f>
        <v>862</v>
      </c>
      <c r="F46" s="223">
        <f t="shared" si="3"/>
        <v>862</v>
      </c>
      <c r="G46" s="429"/>
      <c r="H46" s="143" t="s">
        <v>103</v>
      </c>
      <c r="I46" s="144" t="s">
        <v>206</v>
      </c>
      <c r="J46" s="151">
        <v>0</v>
      </c>
      <c r="K46" s="205">
        <f>SUMIF(proposedAdjustments!B:B,SelectedPortfolio_2019RSP!B46,proposedAdjustments!D:D)</f>
        <v>0</v>
      </c>
      <c r="L46" s="228">
        <f t="shared" si="0"/>
        <v>0</v>
      </c>
      <c r="M46" s="271"/>
      <c r="N46" s="155">
        <f t="shared" si="1"/>
        <v>0</v>
      </c>
      <c r="O46" s="230">
        <f t="shared" si="2"/>
        <v>862</v>
      </c>
    </row>
    <row r="47" spans="1:15">
      <c r="A47" s="429"/>
      <c r="B47" s="18" t="s">
        <v>105</v>
      </c>
      <c r="C47" s="121" t="s">
        <v>206</v>
      </c>
      <c r="D47" s="125">
        <v>0</v>
      </c>
      <c r="E47" s="206">
        <f>SUMIF(proposedAdjustments!B:B,SelectedPortfolio_2019RSP!B47,proposedAdjustments!C:C)</f>
        <v>0</v>
      </c>
      <c r="F47" s="223">
        <f t="shared" si="3"/>
        <v>0</v>
      </c>
      <c r="G47" s="429"/>
      <c r="H47" s="143" t="s">
        <v>105</v>
      </c>
      <c r="I47" s="144" t="s">
        <v>206</v>
      </c>
      <c r="J47" s="151">
        <v>0</v>
      </c>
      <c r="K47" s="205">
        <f>SUMIF(proposedAdjustments!B:B,SelectedPortfolio_2019RSP!B47,proposedAdjustments!D:D)</f>
        <v>0</v>
      </c>
      <c r="L47" s="228">
        <f t="shared" si="0"/>
        <v>0</v>
      </c>
      <c r="M47" s="271"/>
      <c r="N47" s="155">
        <f t="shared" si="1"/>
        <v>0</v>
      </c>
      <c r="O47" s="230">
        <f t="shared" si="2"/>
        <v>0</v>
      </c>
    </row>
    <row r="48" spans="1:15">
      <c r="A48" s="429"/>
      <c r="B48" s="18" t="s">
        <v>106</v>
      </c>
      <c r="C48" s="121" t="s">
        <v>192</v>
      </c>
      <c r="D48" s="125">
        <v>0</v>
      </c>
      <c r="E48" s="206">
        <f>SUMIF(proposedAdjustments!B:B,SelectedPortfolio_2019RSP!B48,proposedAdjustments!C:C)</f>
        <v>0</v>
      </c>
      <c r="F48" s="223">
        <f t="shared" si="3"/>
        <v>0</v>
      </c>
      <c r="G48" s="429"/>
      <c r="H48" s="143" t="s">
        <v>106</v>
      </c>
      <c r="I48" s="144" t="s">
        <v>192</v>
      </c>
      <c r="J48" s="151">
        <v>0</v>
      </c>
      <c r="K48" s="205">
        <f>SUMIF(proposedAdjustments!B:B,SelectedPortfolio_2019RSP!B48,proposedAdjustments!D:D)</f>
        <v>0</v>
      </c>
      <c r="L48" s="228">
        <f t="shared" si="0"/>
        <v>0</v>
      </c>
      <c r="M48" s="271"/>
      <c r="N48" s="155">
        <f t="shared" si="1"/>
        <v>0</v>
      </c>
      <c r="O48" s="230">
        <f t="shared" si="2"/>
        <v>0</v>
      </c>
    </row>
    <row r="49" spans="1:15">
      <c r="A49" s="429"/>
      <c r="B49" s="18" t="s">
        <v>107</v>
      </c>
      <c r="C49" s="121" t="s">
        <v>207</v>
      </c>
      <c r="D49" s="125">
        <v>3402</v>
      </c>
      <c r="E49" s="206">
        <f>SUMIF(proposedAdjustments!B:B,SelectedPortfolio_2019RSP!B49,proposedAdjustments!C:C)</f>
        <v>0</v>
      </c>
      <c r="F49" s="223">
        <f t="shared" si="3"/>
        <v>3402</v>
      </c>
      <c r="G49" s="429"/>
      <c r="H49" s="143" t="s">
        <v>107</v>
      </c>
      <c r="I49" s="144" t="s">
        <v>207</v>
      </c>
      <c r="J49" s="151">
        <v>800</v>
      </c>
      <c r="K49" s="205">
        <f>SUMIF(proposedAdjustments!B:B,SelectedPortfolio_2019RSP!B49,proposedAdjustments!D:D)</f>
        <v>0</v>
      </c>
      <c r="L49" s="228">
        <f t="shared" si="0"/>
        <v>800</v>
      </c>
      <c r="M49" s="271"/>
      <c r="N49" s="155">
        <f t="shared" si="1"/>
        <v>4202</v>
      </c>
      <c r="O49" s="230">
        <f t="shared" si="2"/>
        <v>4202</v>
      </c>
    </row>
    <row r="50" spans="1:15">
      <c r="A50" s="429"/>
      <c r="B50" s="18" t="s">
        <v>109</v>
      </c>
      <c r="C50" s="121" t="s">
        <v>208</v>
      </c>
      <c r="D50" s="125">
        <v>0</v>
      </c>
      <c r="E50" s="206">
        <f>SUMIF(proposedAdjustments!B:B,SelectedPortfolio_2019RSP!B50,proposedAdjustments!C:C)</f>
        <v>0</v>
      </c>
      <c r="F50" s="223">
        <f t="shared" si="3"/>
        <v>0</v>
      </c>
      <c r="G50" s="429"/>
      <c r="H50" s="143" t="s">
        <v>109</v>
      </c>
      <c r="I50" s="144" t="s">
        <v>208</v>
      </c>
      <c r="J50" s="151">
        <v>0</v>
      </c>
      <c r="K50" s="205">
        <f>SUMIF(proposedAdjustments!B:B,SelectedPortfolio_2019RSP!B50,proposedAdjustments!D:D)</f>
        <v>0</v>
      </c>
      <c r="L50" s="228">
        <f t="shared" si="0"/>
        <v>0</v>
      </c>
      <c r="M50" s="271"/>
      <c r="N50" s="155">
        <f t="shared" si="1"/>
        <v>0</v>
      </c>
      <c r="O50" s="230">
        <f t="shared" si="2"/>
        <v>0</v>
      </c>
    </row>
    <row r="51" spans="1:15">
      <c r="A51" s="429"/>
      <c r="B51" s="18" t="s">
        <v>110</v>
      </c>
      <c r="C51" s="121" t="s">
        <v>207</v>
      </c>
      <c r="D51" s="125">
        <v>275</v>
      </c>
      <c r="E51" s="206">
        <f>SUMIF(proposedAdjustments!B:B,SelectedPortfolio_2019RSP!B51,proposedAdjustments!C:C)</f>
        <v>0</v>
      </c>
      <c r="F51" s="223">
        <f t="shared" si="3"/>
        <v>275</v>
      </c>
      <c r="G51" s="429"/>
      <c r="H51" s="143" t="s">
        <v>110</v>
      </c>
      <c r="I51" s="144" t="s">
        <v>207</v>
      </c>
      <c r="J51" s="151">
        <v>0</v>
      </c>
      <c r="K51" s="205">
        <f>SUMIF(proposedAdjustments!B:B,SelectedPortfolio_2019RSP!B51,proposedAdjustments!D:D)</f>
        <v>0</v>
      </c>
      <c r="L51" s="228">
        <f t="shared" si="0"/>
        <v>0</v>
      </c>
      <c r="M51" s="271"/>
      <c r="N51" s="155">
        <f t="shared" si="1"/>
        <v>275</v>
      </c>
      <c r="O51" s="230">
        <f t="shared" si="2"/>
        <v>275</v>
      </c>
    </row>
    <row r="52" spans="1:15">
      <c r="A52" s="429"/>
      <c r="B52" s="18" t="s">
        <v>112</v>
      </c>
      <c r="C52" s="121" t="s">
        <v>209</v>
      </c>
      <c r="D52" s="125">
        <v>1778.57</v>
      </c>
      <c r="E52" s="206">
        <f>SUMIF(proposedAdjustments!B:B,SelectedPortfolio_2019RSP!B52,proposedAdjustments!C:C)</f>
        <v>-1779</v>
      </c>
      <c r="F52" s="223">
        <f t="shared" si="3"/>
        <v>-0.43000000000006366</v>
      </c>
      <c r="G52" s="271"/>
      <c r="H52" s="143" t="s">
        <v>112</v>
      </c>
      <c r="I52" s="144" t="s">
        <v>209</v>
      </c>
      <c r="J52" s="151">
        <v>0</v>
      </c>
      <c r="K52" s="205">
        <f>SUMIF(proposedAdjustments!B:B,SelectedPortfolio_2019RSP!B52,proposedAdjustments!D:D)</f>
        <v>0</v>
      </c>
      <c r="L52" s="228">
        <f t="shared" si="0"/>
        <v>0</v>
      </c>
      <c r="M52" s="271"/>
      <c r="N52" s="155">
        <f t="shared" si="1"/>
        <v>1778.57</v>
      </c>
      <c r="O52" s="230">
        <f t="shared" si="2"/>
        <v>-0.43000000000006366</v>
      </c>
    </row>
    <row r="53" spans="1:15">
      <c r="A53" s="429"/>
      <c r="B53" s="18" t="s">
        <v>114</v>
      </c>
      <c r="C53" s="121" t="s">
        <v>191</v>
      </c>
      <c r="D53" s="125">
        <v>0</v>
      </c>
      <c r="E53" s="206">
        <f>SUMIF(proposedAdjustments!B:B,SelectedPortfolio_2019RSP!B53,proposedAdjustments!C:C)</f>
        <v>0</v>
      </c>
      <c r="F53" s="223">
        <f t="shared" si="3"/>
        <v>0</v>
      </c>
      <c r="G53" s="429"/>
      <c r="H53" s="143" t="s">
        <v>114</v>
      </c>
      <c r="I53" s="144" t="s">
        <v>191</v>
      </c>
      <c r="J53" s="151">
        <v>0</v>
      </c>
      <c r="K53" s="205">
        <f>SUMIF(proposedAdjustments!B:B,SelectedPortfolio_2019RSP!B53,proposedAdjustments!D:D)</f>
        <v>0</v>
      </c>
      <c r="L53" s="228">
        <f t="shared" si="0"/>
        <v>0</v>
      </c>
      <c r="M53" s="271"/>
      <c r="N53" s="155">
        <f t="shared" si="1"/>
        <v>0</v>
      </c>
      <c r="O53" s="230">
        <f t="shared" si="2"/>
        <v>0</v>
      </c>
    </row>
    <row r="54" spans="1:15">
      <c r="A54" s="429"/>
      <c r="B54" s="18" t="s">
        <v>115</v>
      </c>
      <c r="C54" s="121" t="s">
        <v>196</v>
      </c>
      <c r="D54" s="125">
        <v>58.21</v>
      </c>
      <c r="E54" s="206">
        <f>SUMIF(proposedAdjustments!B:B,SelectedPortfolio_2019RSP!B54,proposedAdjustments!C:C)</f>
        <v>1778</v>
      </c>
      <c r="F54" s="223">
        <f t="shared" si="3"/>
        <v>1836.21</v>
      </c>
      <c r="G54" s="429"/>
      <c r="H54" s="143" t="s">
        <v>115</v>
      </c>
      <c r="I54" s="144" t="s">
        <v>196</v>
      </c>
      <c r="J54" s="151">
        <v>0</v>
      </c>
      <c r="K54" s="205">
        <f>SUMIF(proposedAdjustments!B:B,SelectedPortfolio_2019RSP!B54,proposedAdjustments!D:D)</f>
        <v>0</v>
      </c>
      <c r="L54" s="228">
        <f t="shared" si="0"/>
        <v>0</v>
      </c>
      <c r="M54" s="271"/>
      <c r="N54" s="155">
        <f t="shared" si="1"/>
        <v>58.21</v>
      </c>
      <c r="O54" s="230">
        <f t="shared" si="2"/>
        <v>1836.21</v>
      </c>
    </row>
    <row r="55" spans="1:15">
      <c r="A55" s="429"/>
      <c r="B55" s="18" t="s">
        <v>117</v>
      </c>
      <c r="C55" s="121" t="s">
        <v>191</v>
      </c>
      <c r="D55" s="125">
        <v>0</v>
      </c>
      <c r="E55" s="206">
        <f>SUMIF(proposedAdjustments!B:B,SelectedPortfolio_2019RSP!B55,proposedAdjustments!C:C)</f>
        <v>0</v>
      </c>
      <c r="F55" s="223">
        <f t="shared" si="3"/>
        <v>0</v>
      </c>
      <c r="G55" s="429"/>
      <c r="H55" s="143" t="s">
        <v>117</v>
      </c>
      <c r="I55" s="144" t="s">
        <v>191</v>
      </c>
      <c r="J55" s="151">
        <v>0</v>
      </c>
      <c r="K55" s="205">
        <f>SUMIF(proposedAdjustments!B:B,SelectedPortfolio_2019RSP!B55,proposedAdjustments!D:D)</f>
        <v>0</v>
      </c>
      <c r="L55" s="228">
        <f t="shared" si="0"/>
        <v>0</v>
      </c>
      <c r="M55" s="271"/>
      <c r="N55" s="155">
        <f t="shared" si="1"/>
        <v>0</v>
      </c>
      <c r="O55" s="230">
        <f t="shared" si="2"/>
        <v>0</v>
      </c>
    </row>
    <row r="56" spans="1:15">
      <c r="A56" s="429"/>
      <c r="B56" s="18" t="s">
        <v>118</v>
      </c>
      <c r="C56" s="121" t="s">
        <v>191</v>
      </c>
      <c r="D56" s="125">
        <v>0</v>
      </c>
      <c r="E56" s="206">
        <f>SUMIF(proposedAdjustments!B:B,SelectedPortfolio_2019RSP!B56,proposedAdjustments!C:C)</f>
        <v>0</v>
      </c>
      <c r="F56" s="223">
        <f t="shared" si="3"/>
        <v>0</v>
      </c>
      <c r="G56" s="429"/>
      <c r="H56" s="143" t="s">
        <v>118</v>
      </c>
      <c r="I56" s="144" t="s">
        <v>191</v>
      </c>
      <c r="J56" s="151">
        <v>0</v>
      </c>
      <c r="K56" s="205">
        <f>SUMIF(proposedAdjustments!B:B,SelectedPortfolio_2019RSP!B56,proposedAdjustments!D:D)</f>
        <v>0</v>
      </c>
      <c r="L56" s="228">
        <f t="shared" si="0"/>
        <v>0</v>
      </c>
      <c r="M56" s="271"/>
      <c r="N56" s="155">
        <f t="shared" si="1"/>
        <v>0</v>
      </c>
      <c r="O56" s="230">
        <f t="shared" si="2"/>
        <v>0</v>
      </c>
    </row>
    <row r="57" spans="1:15">
      <c r="A57" s="429"/>
      <c r="B57" s="18" t="s">
        <v>119</v>
      </c>
      <c r="C57" s="121" t="s">
        <v>191</v>
      </c>
      <c r="D57" s="125">
        <v>0</v>
      </c>
      <c r="E57" s="206">
        <f>SUMIF(proposedAdjustments!B:B,SelectedPortfolio_2019RSP!B57,proposedAdjustments!C:C)</f>
        <v>0</v>
      </c>
      <c r="F57" s="223">
        <f t="shared" si="3"/>
        <v>0</v>
      </c>
      <c r="G57" s="429"/>
      <c r="H57" s="143" t="s">
        <v>119</v>
      </c>
      <c r="I57" s="144" t="s">
        <v>191</v>
      </c>
      <c r="J57" s="151">
        <v>0</v>
      </c>
      <c r="K57" s="205">
        <f>SUMIF(proposedAdjustments!B:B,SelectedPortfolio_2019RSP!B57,proposedAdjustments!D:D)</f>
        <v>0</v>
      </c>
      <c r="L57" s="228">
        <f t="shared" si="0"/>
        <v>0</v>
      </c>
      <c r="M57" s="271"/>
      <c r="N57" s="155">
        <f t="shared" si="1"/>
        <v>0</v>
      </c>
      <c r="O57" s="230">
        <f t="shared" si="2"/>
        <v>0</v>
      </c>
    </row>
    <row r="58" spans="1:15">
      <c r="A58" s="429"/>
      <c r="B58" s="18" t="s">
        <v>120</v>
      </c>
      <c r="C58" s="121" t="s">
        <v>191</v>
      </c>
      <c r="D58" s="125">
        <v>0</v>
      </c>
      <c r="E58" s="206">
        <f>SUMIF(proposedAdjustments!B:B,SelectedPortfolio_2019RSP!B58,proposedAdjustments!C:C)</f>
        <v>0</v>
      </c>
      <c r="F58" s="223">
        <f t="shared" si="3"/>
        <v>0</v>
      </c>
      <c r="G58" s="429"/>
      <c r="H58" s="143" t="s">
        <v>120</v>
      </c>
      <c r="I58" s="144" t="s">
        <v>191</v>
      </c>
      <c r="J58" s="151">
        <v>0</v>
      </c>
      <c r="K58" s="205">
        <f>SUMIF(proposedAdjustments!B:B,SelectedPortfolio_2019RSP!B58,proposedAdjustments!D:D)</f>
        <v>0</v>
      </c>
      <c r="L58" s="228">
        <f t="shared" si="0"/>
        <v>0</v>
      </c>
      <c r="M58" s="271"/>
      <c r="N58" s="155">
        <f t="shared" si="1"/>
        <v>0</v>
      </c>
      <c r="O58" s="230">
        <f t="shared" si="2"/>
        <v>0</v>
      </c>
    </row>
    <row r="59" spans="1:15">
      <c r="A59" s="429"/>
      <c r="B59" s="18" t="s">
        <v>121</v>
      </c>
      <c r="C59" s="121" t="s">
        <v>191</v>
      </c>
      <c r="D59" s="125">
        <v>0</v>
      </c>
      <c r="E59" s="206">
        <f>SUMIF(proposedAdjustments!B:B,SelectedPortfolio_2019RSP!B59,proposedAdjustments!C:C)</f>
        <v>0</v>
      </c>
      <c r="F59" s="223">
        <f t="shared" si="3"/>
        <v>0</v>
      </c>
      <c r="G59" s="429"/>
      <c r="H59" s="143" t="s">
        <v>121</v>
      </c>
      <c r="I59" s="144" t="s">
        <v>191</v>
      </c>
      <c r="J59" s="151">
        <v>0</v>
      </c>
      <c r="K59" s="205">
        <f>SUMIF(proposedAdjustments!B:B,SelectedPortfolio_2019RSP!B59,proposedAdjustments!D:D)</f>
        <v>0</v>
      </c>
      <c r="L59" s="228">
        <f t="shared" si="0"/>
        <v>0</v>
      </c>
      <c r="M59" s="271"/>
      <c r="N59" s="155">
        <f t="shared" si="1"/>
        <v>0</v>
      </c>
      <c r="O59" s="230">
        <f t="shared" si="2"/>
        <v>0</v>
      </c>
    </row>
    <row r="60" spans="1:15">
      <c r="A60" s="429"/>
      <c r="B60" s="18" t="s">
        <v>122</v>
      </c>
      <c r="C60" s="121" t="s">
        <v>191</v>
      </c>
      <c r="D60" s="125">
        <v>0</v>
      </c>
      <c r="E60" s="206">
        <f>SUMIF(proposedAdjustments!B:B,SelectedPortfolio_2019RSP!B60,proposedAdjustments!C:C)</f>
        <v>0</v>
      </c>
      <c r="F60" s="223">
        <f t="shared" si="3"/>
        <v>0</v>
      </c>
      <c r="G60" s="429"/>
      <c r="H60" s="143" t="s">
        <v>122</v>
      </c>
      <c r="I60" s="144" t="s">
        <v>191</v>
      </c>
      <c r="J60" s="151">
        <v>0</v>
      </c>
      <c r="K60" s="205">
        <f>SUMIF(proposedAdjustments!B:B,SelectedPortfolio_2019RSP!B60,proposedAdjustments!D:D)</f>
        <v>0</v>
      </c>
      <c r="L60" s="228">
        <f t="shared" si="0"/>
        <v>0</v>
      </c>
      <c r="M60" s="271"/>
      <c r="N60" s="155">
        <f t="shared" si="1"/>
        <v>0</v>
      </c>
      <c r="O60" s="230">
        <f t="shared" si="2"/>
        <v>0</v>
      </c>
    </row>
    <row r="61" spans="1:15">
      <c r="A61" s="429"/>
      <c r="B61" s="18" t="s">
        <v>123</v>
      </c>
      <c r="C61" s="121" t="s">
        <v>191</v>
      </c>
      <c r="D61" s="125">
        <v>0</v>
      </c>
      <c r="E61" s="206">
        <f>SUMIF(proposedAdjustments!B:B,SelectedPortfolio_2019RSP!B61,proposedAdjustments!C:C)</f>
        <v>0</v>
      </c>
      <c r="F61" s="223">
        <f t="shared" si="3"/>
        <v>0</v>
      </c>
      <c r="G61" s="429"/>
      <c r="H61" s="143" t="s">
        <v>123</v>
      </c>
      <c r="I61" s="144" t="s">
        <v>191</v>
      </c>
      <c r="J61" s="151">
        <v>0</v>
      </c>
      <c r="K61" s="205">
        <f>SUMIF(proposedAdjustments!B:B,SelectedPortfolio_2019RSP!B61,proposedAdjustments!D:D)</f>
        <v>0</v>
      </c>
      <c r="L61" s="228">
        <f t="shared" si="0"/>
        <v>0</v>
      </c>
      <c r="M61" s="271"/>
      <c r="N61" s="155">
        <f t="shared" si="1"/>
        <v>0</v>
      </c>
      <c r="O61" s="230">
        <f t="shared" si="2"/>
        <v>0</v>
      </c>
    </row>
    <row r="62" spans="1:15">
      <c r="A62" s="429"/>
      <c r="B62" s="18" t="s">
        <v>124</v>
      </c>
      <c r="C62" s="121" t="s">
        <v>192</v>
      </c>
      <c r="D62" s="125">
        <v>1195.9100000000001</v>
      </c>
      <c r="E62" s="206">
        <f>SUMIF(proposedAdjustments!B:B,SelectedPortfolio_2019RSP!B62,proposedAdjustments!C:C)</f>
        <v>0</v>
      </c>
      <c r="F62" s="223">
        <f t="shared" si="3"/>
        <v>1195.9100000000001</v>
      </c>
      <c r="G62" s="429"/>
      <c r="H62" s="143" t="s">
        <v>124</v>
      </c>
      <c r="I62" s="144" t="s">
        <v>192</v>
      </c>
      <c r="J62" s="151">
        <v>1156.17</v>
      </c>
      <c r="K62" s="205">
        <f>SUMIF(proposedAdjustments!B:B,SelectedPortfolio_2019RSP!B62,proposedAdjustments!D:D)</f>
        <v>0</v>
      </c>
      <c r="L62" s="228">
        <f t="shared" si="0"/>
        <v>1156.17</v>
      </c>
      <c r="M62" s="271"/>
      <c r="N62" s="155">
        <f t="shared" si="1"/>
        <v>2352.08</v>
      </c>
      <c r="O62" s="230">
        <f t="shared" si="2"/>
        <v>2352.08</v>
      </c>
    </row>
    <row r="63" spans="1:15">
      <c r="A63" s="429"/>
      <c r="B63" s="18" t="s">
        <v>126</v>
      </c>
      <c r="C63" s="121" t="s">
        <v>191</v>
      </c>
      <c r="D63" s="125">
        <v>0</v>
      </c>
      <c r="E63" s="206">
        <f>SUMIF(proposedAdjustments!B:B,SelectedPortfolio_2019RSP!B63,proposedAdjustments!C:C)</f>
        <v>0</v>
      </c>
      <c r="F63" s="223">
        <f t="shared" si="3"/>
        <v>0</v>
      </c>
      <c r="G63" s="429"/>
      <c r="H63" s="143" t="s">
        <v>126</v>
      </c>
      <c r="I63" s="144" t="s">
        <v>191</v>
      </c>
      <c r="J63" s="151">
        <v>0</v>
      </c>
      <c r="K63" s="205">
        <f>SUMIF(proposedAdjustments!B:B,SelectedPortfolio_2019RSP!B63,proposedAdjustments!D:D)</f>
        <v>0</v>
      </c>
      <c r="L63" s="228">
        <f t="shared" si="0"/>
        <v>0</v>
      </c>
      <c r="M63" s="271"/>
      <c r="N63" s="155">
        <f t="shared" si="1"/>
        <v>0</v>
      </c>
      <c r="O63" s="230">
        <f t="shared" si="2"/>
        <v>0</v>
      </c>
    </row>
    <row r="64" spans="1:15">
      <c r="A64" s="429"/>
      <c r="B64" s="18" t="s">
        <v>127</v>
      </c>
      <c r="C64" s="121" t="s">
        <v>191</v>
      </c>
      <c r="D64" s="125">
        <v>0</v>
      </c>
      <c r="E64" s="206">
        <f>SUMIF(proposedAdjustments!B:B,SelectedPortfolio_2019RSP!B64,proposedAdjustments!C:C)</f>
        <v>0</v>
      </c>
      <c r="F64" s="223">
        <f t="shared" si="3"/>
        <v>0</v>
      </c>
      <c r="G64" s="429"/>
      <c r="H64" s="143" t="s">
        <v>127</v>
      </c>
      <c r="I64" s="144" t="s">
        <v>191</v>
      </c>
      <c r="J64" s="151">
        <v>0</v>
      </c>
      <c r="K64" s="205">
        <f>SUMIF(proposedAdjustments!B:B,SelectedPortfolio_2019RSP!B64,proposedAdjustments!D:D)</f>
        <v>0</v>
      </c>
      <c r="L64" s="228">
        <f t="shared" si="0"/>
        <v>0</v>
      </c>
      <c r="M64" s="271"/>
      <c r="N64" s="155">
        <f t="shared" si="1"/>
        <v>0</v>
      </c>
      <c r="O64" s="230">
        <f t="shared" si="2"/>
        <v>0</v>
      </c>
    </row>
    <row r="65" spans="1:16">
      <c r="A65" s="429"/>
      <c r="B65" s="18" t="s">
        <v>128</v>
      </c>
      <c r="C65" s="121" t="s">
        <v>187</v>
      </c>
      <c r="D65" s="125">
        <v>600</v>
      </c>
      <c r="E65" s="206">
        <f>SUMIF(proposedAdjustments!B:B,SelectedPortfolio_2019RSP!B65,proposedAdjustments!C:C)</f>
        <v>0</v>
      </c>
      <c r="F65" s="223">
        <f t="shared" si="3"/>
        <v>600</v>
      </c>
      <c r="G65" s="429"/>
      <c r="H65" s="143" t="s">
        <v>128</v>
      </c>
      <c r="I65" s="144" t="s">
        <v>187</v>
      </c>
      <c r="J65" s="151">
        <v>0</v>
      </c>
      <c r="K65" s="205">
        <f>SUMIF(proposedAdjustments!B:B,SelectedPortfolio_2019RSP!B65,proposedAdjustments!D:D)</f>
        <v>0</v>
      </c>
      <c r="L65" s="228">
        <f t="shared" si="0"/>
        <v>0</v>
      </c>
      <c r="M65" s="271"/>
      <c r="N65" s="155">
        <f t="shared" si="1"/>
        <v>600</v>
      </c>
      <c r="O65" s="230">
        <f t="shared" si="2"/>
        <v>600</v>
      </c>
      <c r="P65" s="429"/>
    </row>
    <row r="66" spans="1:16">
      <c r="A66" s="429"/>
      <c r="B66" s="18" t="s">
        <v>130</v>
      </c>
      <c r="C66" s="121" t="s">
        <v>191</v>
      </c>
      <c r="D66" s="125">
        <v>0</v>
      </c>
      <c r="E66" s="206">
        <f>SUMIF(proposedAdjustments!B:B,SelectedPortfolio_2019RSP!B66,proposedAdjustments!C:C)</f>
        <v>0</v>
      </c>
      <c r="F66" s="223">
        <f t="shared" si="3"/>
        <v>0</v>
      </c>
      <c r="G66" s="429"/>
      <c r="H66" s="143" t="s">
        <v>130</v>
      </c>
      <c r="I66" s="144" t="s">
        <v>191</v>
      </c>
      <c r="J66" s="151">
        <v>0</v>
      </c>
      <c r="K66" s="205">
        <f>SUMIF(proposedAdjustments!B:B,SelectedPortfolio_2019RSP!B66,proposedAdjustments!D:D)</f>
        <v>0</v>
      </c>
      <c r="L66" s="228">
        <f t="shared" si="0"/>
        <v>0</v>
      </c>
      <c r="M66" s="271"/>
      <c r="N66" s="155">
        <f t="shared" si="1"/>
        <v>0</v>
      </c>
      <c r="O66" s="230">
        <f t="shared" si="2"/>
        <v>0</v>
      </c>
      <c r="P66" s="429"/>
    </row>
    <row r="67" spans="1:16">
      <c r="A67" s="429"/>
      <c r="B67" s="18" t="s">
        <v>131</v>
      </c>
      <c r="C67" s="121" t="s">
        <v>191</v>
      </c>
      <c r="D67" s="125">
        <v>0</v>
      </c>
      <c r="E67" s="206">
        <f>SUMIF(proposedAdjustments!B:B,SelectedPortfolio_2019RSP!B67,proposedAdjustments!C:C)</f>
        <v>0</v>
      </c>
      <c r="F67" s="223">
        <f t="shared" si="3"/>
        <v>0</v>
      </c>
      <c r="G67" s="429"/>
      <c r="H67" s="143" t="s">
        <v>131</v>
      </c>
      <c r="I67" s="144" t="s">
        <v>191</v>
      </c>
      <c r="J67" s="151">
        <v>0</v>
      </c>
      <c r="K67" s="205">
        <f>SUMIF(proposedAdjustments!B:B,SelectedPortfolio_2019RSP!B67,proposedAdjustments!D:D)</f>
        <v>0</v>
      </c>
      <c r="L67" s="228">
        <f t="shared" si="0"/>
        <v>0</v>
      </c>
      <c r="M67" s="271"/>
      <c r="N67" s="155">
        <f t="shared" si="1"/>
        <v>0</v>
      </c>
      <c r="O67" s="230">
        <f t="shared" si="2"/>
        <v>0</v>
      </c>
      <c r="P67" s="429"/>
    </row>
    <row r="68" spans="1:16">
      <c r="A68" s="429"/>
      <c r="B68" s="18" t="s">
        <v>132</v>
      </c>
      <c r="C68" s="121" t="s">
        <v>191</v>
      </c>
      <c r="D68" s="125">
        <v>0</v>
      </c>
      <c r="E68" s="206">
        <f>SUMIF(proposedAdjustments!B:B,SelectedPortfolio_2019RSP!B68,proposedAdjustments!C:C)</f>
        <v>0</v>
      </c>
      <c r="F68" s="223">
        <f t="shared" si="3"/>
        <v>0</v>
      </c>
      <c r="G68" s="429"/>
      <c r="H68" s="143" t="s">
        <v>132</v>
      </c>
      <c r="I68" s="144" t="s">
        <v>191</v>
      </c>
      <c r="J68" s="151">
        <v>0</v>
      </c>
      <c r="K68" s="205">
        <f>SUMIF(proposedAdjustments!B:B,SelectedPortfolio_2019RSP!B68,proposedAdjustments!D:D)</f>
        <v>0</v>
      </c>
      <c r="L68" s="228">
        <f t="shared" si="0"/>
        <v>0</v>
      </c>
      <c r="M68" s="271"/>
      <c r="N68" s="155">
        <f t="shared" si="1"/>
        <v>0</v>
      </c>
      <c r="O68" s="230">
        <f t="shared" si="2"/>
        <v>0</v>
      </c>
      <c r="P68" s="429"/>
    </row>
    <row r="69" spans="1:16">
      <c r="A69" s="429"/>
      <c r="B69" s="18" t="s">
        <v>133</v>
      </c>
      <c r="C69" s="138" t="s">
        <v>194</v>
      </c>
      <c r="D69" s="125">
        <v>0</v>
      </c>
      <c r="E69" s="206">
        <f>SUMIF(proposedAdjustments!B:B,SelectedPortfolio_2019RSP!B69,proposedAdjustments!C:C)</f>
        <v>0</v>
      </c>
      <c r="F69" s="223">
        <f t="shared" si="3"/>
        <v>0</v>
      </c>
      <c r="G69" s="429"/>
      <c r="H69" s="143" t="s">
        <v>133</v>
      </c>
      <c r="I69" s="144" t="s">
        <v>194</v>
      </c>
      <c r="J69" s="151">
        <v>0</v>
      </c>
      <c r="K69" s="205">
        <f>SUMIF(proposedAdjustments!B:B,SelectedPortfolio_2019RSP!B69,proposedAdjustments!D:D)</f>
        <v>0</v>
      </c>
      <c r="L69" s="228">
        <f t="shared" si="0"/>
        <v>0</v>
      </c>
      <c r="M69" s="271"/>
      <c r="N69" s="155">
        <f t="shared" si="1"/>
        <v>0</v>
      </c>
      <c r="O69" s="230">
        <f t="shared" si="2"/>
        <v>0</v>
      </c>
      <c r="P69" s="429"/>
    </row>
    <row r="70" spans="1:16">
      <c r="A70" s="429"/>
      <c r="B70" s="18" t="s">
        <v>134</v>
      </c>
      <c r="C70" s="121" t="s">
        <v>191</v>
      </c>
      <c r="D70" s="125">
        <v>0</v>
      </c>
      <c r="E70" s="206">
        <f>SUMIF(proposedAdjustments!B:B,SelectedPortfolio_2019RSP!B70,proposedAdjustments!C:C)</f>
        <v>0</v>
      </c>
      <c r="F70" s="223">
        <f t="shared" si="3"/>
        <v>0</v>
      </c>
      <c r="G70" s="429"/>
      <c r="H70" s="143" t="s">
        <v>134</v>
      </c>
      <c r="I70" s="144" t="s">
        <v>191</v>
      </c>
      <c r="J70" s="151">
        <v>0</v>
      </c>
      <c r="K70" s="205">
        <f>SUMIF(proposedAdjustments!B:B,SelectedPortfolio_2019RSP!B70,proposedAdjustments!D:D)</f>
        <v>0</v>
      </c>
      <c r="L70" s="228">
        <f t="shared" si="0"/>
        <v>0</v>
      </c>
      <c r="M70" s="271"/>
      <c r="N70" s="155">
        <f t="shared" si="1"/>
        <v>0</v>
      </c>
      <c r="O70" s="230">
        <f t="shared" si="2"/>
        <v>0</v>
      </c>
      <c r="P70" s="429"/>
    </row>
    <row r="71" spans="1:16">
      <c r="A71" s="429"/>
      <c r="B71" s="18" t="s">
        <v>135</v>
      </c>
      <c r="C71" s="121" t="s">
        <v>192</v>
      </c>
      <c r="D71" s="125">
        <v>606.16999999999996</v>
      </c>
      <c r="E71" s="206">
        <f>SUMIF(proposedAdjustments!B:B,SelectedPortfolio_2019RSP!B71,proposedAdjustments!C:C)</f>
        <v>0</v>
      </c>
      <c r="F71" s="223">
        <f t="shared" si="3"/>
        <v>606.16999999999996</v>
      </c>
      <c r="G71" s="429"/>
      <c r="H71" s="143" t="s">
        <v>135</v>
      </c>
      <c r="I71" s="144" t="s">
        <v>192</v>
      </c>
      <c r="J71" s="151">
        <v>0</v>
      </c>
      <c r="K71" s="151">
        <f>SUMIF(proposedAdjustments!B:B,SelectedPortfolio_2019RSP!B71,proposedAdjustments!D:D)</f>
        <v>0</v>
      </c>
      <c r="L71" s="228">
        <f t="shared" si="0"/>
        <v>0</v>
      </c>
      <c r="M71" s="271"/>
      <c r="N71" s="155">
        <f t="shared" si="1"/>
        <v>606.16999999999996</v>
      </c>
      <c r="O71" s="230">
        <f t="shared" si="2"/>
        <v>606.16999999999996</v>
      </c>
      <c r="P71" s="429"/>
    </row>
    <row r="72" spans="1:16">
      <c r="A72" s="429"/>
      <c r="B72" s="18" t="s">
        <v>210</v>
      </c>
      <c r="C72" s="121"/>
      <c r="D72" s="125">
        <v>10841.32</v>
      </c>
      <c r="E72" s="407"/>
      <c r="F72" s="223">
        <f>SUM(F7:F70)</f>
        <v>10840.32</v>
      </c>
      <c r="G72" s="271"/>
      <c r="H72" s="145" t="s">
        <v>210</v>
      </c>
      <c r="I72" s="146"/>
      <c r="J72" s="151">
        <v>3013</v>
      </c>
      <c r="K72" s="205"/>
      <c r="L72" s="223">
        <f>SUM(L7:L70)</f>
        <v>3013</v>
      </c>
      <c r="M72" s="271"/>
      <c r="N72" s="92">
        <f t="shared" ref="N72:N74" si="4">D72+J72</f>
        <v>13854.32</v>
      </c>
      <c r="O72" s="224">
        <f>SUM(O7:O70)</f>
        <v>13853.319999999998</v>
      </c>
      <c r="P72" s="429"/>
    </row>
    <row r="73" spans="1:16">
      <c r="A73" s="429"/>
      <c r="B73" s="122" t="s">
        <v>211</v>
      </c>
      <c r="C73" s="123"/>
      <c r="D73" s="126">
        <v>606.16999999999996</v>
      </c>
      <c r="E73" s="386"/>
      <c r="F73" s="385">
        <f>F71</f>
        <v>606.16999999999996</v>
      </c>
      <c r="G73" s="429"/>
      <c r="H73" s="147" t="s">
        <v>211</v>
      </c>
      <c r="I73" s="148"/>
      <c r="J73" s="153">
        <v>0</v>
      </c>
      <c r="K73" s="384"/>
      <c r="L73" s="385">
        <f>L71</f>
        <v>0</v>
      </c>
      <c r="M73" s="271"/>
      <c r="N73" s="156">
        <f t="shared" si="4"/>
        <v>606.16999999999996</v>
      </c>
      <c r="O73" s="385">
        <f>O71</f>
        <v>606.16999999999996</v>
      </c>
      <c r="P73" s="429"/>
    </row>
    <row r="74" spans="1:16">
      <c r="A74" s="429"/>
      <c r="B74" s="127" t="s">
        <v>212</v>
      </c>
      <c r="C74" s="128"/>
      <c r="D74" s="129">
        <f>SUM(D72:D73)</f>
        <v>11447.49</v>
      </c>
      <c r="E74" s="209"/>
      <c r="F74" s="225"/>
      <c r="G74" s="429"/>
      <c r="H74" s="149" t="s">
        <v>213</v>
      </c>
      <c r="I74" s="140"/>
      <c r="J74" s="154">
        <f>SUM(J72:J73)</f>
        <v>3013</v>
      </c>
      <c r="K74" s="154"/>
      <c r="L74" s="229"/>
      <c r="M74" s="271"/>
      <c r="N74" s="271">
        <f t="shared" si="4"/>
        <v>14460.49</v>
      </c>
      <c r="O74" s="211"/>
      <c r="P74" s="429"/>
    </row>
    <row r="75" spans="1:16">
      <c r="A75" s="429"/>
      <c r="B75" s="429"/>
      <c r="C75" s="429"/>
      <c r="D75" s="429"/>
      <c r="E75" s="429"/>
      <c r="G75" s="429"/>
      <c r="H75" s="429"/>
      <c r="I75" s="429"/>
      <c r="J75" s="429"/>
      <c r="K75" s="429"/>
      <c r="M75" s="429"/>
      <c r="N75" s="429"/>
      <c r="P75" s="429"/>
    </row>
    <row r="76" spans="1:16">
      <c r="A76" s="429"/>
      <c r="B76" s="429"/>
      <c r="C76" s="429"/>
      <c r="D76" s="429"/>
      <c r="E76" s="429"/>
      <c r="G76" s="429"/>
      <c r="H76" s="429"/>
      <c r="I76" s="429"/>
      <c r="J76" s="429"/>
      <c r="K76" s="429"/>
      <c r="M76" s="429"/>
      <c r="N76" s="429"/>
      <c r="P76" s="429"/>
    </row>
    <row r="77" spans="1:16">
      <c r="A77" s="429"/>
      <c r="B77" s="429"/>
      <c r="C77" s="429"/>
      <c r="D77" s="429"/>
      <c r="E77" s="429"/>
      <c r="G77" s="429"/>
      <c r="H77" s="429"/>
      <c r="I77" s="429"/>
      <c r="J77" s="429"/>
      <c r="K77" s="429"/>
      <c r="M77" s="429"/>
      <c r="N77" s="429"/>
      <c r="P77" s="429"/>
    </row>
    <row r="78" spans="1:16" s="405" customFormat="1">
      <c r="A78" s="429"/>
      <c r="B78" s="468" t="s">
        <v>169</v>
      </c>
      <c r="C78" s="469" t="s">
        <v>214</v>
      </c>
      <c r="D78" s="470">
        <v>0</v>
      </c>
      <c r="E78" s="471">
        <v>974</v>
      </c>
      <c r="F78" s="470">
        <f>D78+E78</f>
        <v>974</v>
      </c>
      <c r="G78" s="429"/>
      <c r="H78" s="468" t="s">
        <v>169</v>
      </c>
      <c r="I78" s="469" t="s">
        <v>214</v>
      </c>
      <c r="J78" s="472">
        <v>0</v>
      </c>
      <c r="K78" s="473">
        <v>0</v>
      </c>
      <c r="L78" s="472">
        <f>J78+K78</f>
        <v>0</v>
      </c>
      <c r="M78" s="271"/>
      <c r="N78" s="474">
        <f>D78+J78</f>
        <v>0</v>
      </c>
      <c r="O78" s="474">
        <f>F78+L78</f>
        <v>974</v>
      </c>
      <c r="P78" s="429"/>
    </row>
    <row r="79" spans="1:16">
      <c r="A79" s="429"/>
      <c r="B79" s="429"/>
      <c r="C79" s="429"/>
      <c r="D79" s="429"/>
      <c r="E79" s="429"/>
      <c r="G79" s="429"/>
      <c r="H79" s="429"/>
      <c r="I79" s="429"/>
      <c r="J79" s="429"/>
      <c r="K79" s="429"/>
      <c r="M79" s="429"/>
      <c r="N79" s="429"/>
      <c r="P79" s="429"/>
    </row>
    <row r="80" spans="1:16">
      <c r="A80" s="429"/>
      <c r="B80" s="429"/>
      <c r="C80" s="429"/>
      <c r="D80" s="429"/>
      <c r="E80" s="429"/>
      <c r="G80" s="429"/>
      <c r="H80" s="429"/>
      <c r="I80" s="429"/>
      <c r="J80" s="429"/>
      <c r="K80" s="429"/>
      <c r="M80" s="429"/>
      <c r="N80" s="429"/>
      <c r="P80" s="429"/>
    </row>
    <row r="82" spans="1:16">
      <c r="A82" s="429"/>
      <c r="B82" s="429"/>
      <c r="C82" s="429"/>
      <c r="D82" s="429"/>
      <c r="E82" s="429"/>
      <c r="G82" s="429"/>
      <c r="H82" s="429"/>
      <c r="I82" s="429"/>
      <c r="J82" s="429"/>
      <c r="K82" s="429"/>
      <c r="M82" s="429"/>
      <c r="N82" s="429"/>
      <c r="P82" s="429"/>
    </row>
    <row r="83" spans="1:16">
      <c r="A83" s="429"/>
      <c r="B83" s="429"/>
      <c r="C83" s="429"/>
      <c r="D83" s="429"/>
      <c r="E83" s="429"/>
      <c r="G83" s="429"/>
      <c r="H83" s="429"/>
      <c r="I83" s="429"/>
      <c r="J83" s="429"/>
      <c r="K83" s="429"/>
      <c r="M83" s="429"/>
      <c r="N83" s="429"/>
      <c r="P83" s="4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FFEB-3C67-444C-9772-56A30406BCFD}">
  <sheetPr>
    <tabColor rgb="FFB482DA"/>
  </sheetPr>
  <dimension ref="A2:P22"/>
  <sheetViews>
    <sheetView zoomScale="80" zoomScaleNormal="80" workbookViewId="0">
      <selection activeCell="E25" sqref="E25"/>
    </sheetView>
  </sheetViews>
  <sheetFormatPr defaultColWidth="8.73046875" defaultRowHeight="14.25"/>
  <cols>
    <col min="1" max="1" width="8.73046875" style="340"/>
    <col min="2" max="2" width="25.3984375" style="340" bestFit="1" customWidth="1"/>
    <col min="3" max="3" width="8.73046875" style="340" customWidth="1"/>
    <col min="4" max="16384" width="8.73046875" style="340"/>
  </cols>
  <sheetData>
    <row r="2" spans="1:5">
      <c r="A2" s="429"/>
      <c r="B2" s="372" t="s">
        <v>215</v>
      </c>
      <c r="C2" s="372" t="s">
        <v>216</v>
      </c>
      <c r="D2" s="372" t="s">
        <v>217</v>
      </c>
      <c r="E2" s="429"/>
    </row>
    <row r="3" spans="1:5">
      <c r="A3" s="429">
        <v>1</v>
      </c>
      <c r="B3" s="335" t="s">
        <v>107</v>
      </c>
      <c r="C3" s="3">
        <v>-1000</v>
      </c>
      <c r="D3" s="275"/>
      <c r="E3" s="429" t="s">
        <v>218</v>
      </c>
    </row>
    <row r="4" spans="1:5">
      <c r="A4" s="429"/>
      <c r="B4" s="335" t="s">
        <v>87</v>
      </c>
      <c r="C4" s="373">
        <v>1000</v>
      </c>
      <c r="D4" s="275"/>
      <c r="E4" s="429" t="s">
        <v>749</v>
      </c>
    </row>
    <row r="5" spans="1:5">
      <c r="A5" s="429">
        <v>2</v>
      </c>
      <c r="B5" s="335" t="s">
        <v>100</v>
      </c>
      <c r="C5" s="373">
        <v>-862</v>
      </c>
      <c r="D5" s="275"/>
      <c r="E5" s="429" t="s">
        <v>219</v>
      </c>
    </row>
    <row r="6" spans="1:5">
      <c r="A6" s="429"/>
      <c r="B6" s="335" t="s">
        <v>103</v>
      </c>
      <c r="C6" s="373">
        <v>862</v>
      </c>
      <c r="D6" s="275"/>
      <c r="E6" s="429" t="s">
        <v>220</v>
      </c>
    </row>
    <row r="7" spans="1:5">
      <c r="A7" s="429">
        <v>3</v>
      </c>
      <c r="B7" s="335" t="s">
        <v>112</v>
      </c>
      <c r="C7" s="3">
        <v>-1779</v>
      </c>
      <c r="D7" s="275"/>
      <c r="E7" s="429" t="s">
        <v>221</v>
      </c>
    </row>
    <row r="8" spans="1:5">
      <c r="A8" s="429"/>
      <c r="B8" s="335" t="s">
        <v>115</v>
      </c>
      <c r="C8" s="3">
        <v>1041</v>
      </c>
      <c r="D8" s="275"/>
      <c r="E8" s="429" t="s">
        <v>222</v>
      </c>
    </row>
    <row r="9" spans="1:5">
      <c r="A9" s="429"/>
      <c r="B9" s="335" t="s">
        <v>62</v>
      </c>
      <c r="C9" s="3">
        <v>737</v>
      </c>
      <c r="D9" s="275"/>
      <c r="E9" s="429"/>
    </row>
    <row r="10" spans="1:5">
      <c r="A10" s="429"/>
      <c r="B10" s="335" t="s">
        <v>62</v>
      </c>
      <c r="C10" s="3">
        <v>-737</v>
      </c>
      <c r="D10" s="275"/>
      <c r="E10" s="429" t="s">
        <v>223</v>
      </c>
    </row>
    <row r="11" spans="1:5">
      <c r="A11" s="429"/>
      <c r="B11" s="335" t="s">
        <v>75</v>
      </c>
      <c r="C11" s="3">
        <v>737</v>
      </c>
      <c r="D11" s="275"/>
      <c r="E11" s="429"/>
    </row>
    <row r="12" spans="1:5">
      <c r="A12" s="429">
        <v>4</v>
      </c>
      <c r="B12" s="335" t="s">
        <v>79</v>
      </c>
      <c r="C12" s="3">
        <v>-248</v>
      </c>
      <c r="D12" s="275">
        <v>248</v>
      </c>
      <c r="E12" s="429" t="s">
        <v>224</v>
      </c>
    </row>
    <row r="13" spans="1:5">
      <c r="A13" s="429">
        <v>5</v>
      </c>
      <c r="B13" s="380" t="s">
        <v>75</v>
      </c>
      <c r="C13" s="381">
        <f>-C11</f>
        <v>-737</v>
      </c>
      <c r="D13" s="382"/>
      <c r="E13" s="429" t="s">
        <v>750</v>
      </c>
    </row>
    <row r="14" spans="1:5">
      <c r="A14" s="429"/>
      <c r="B14" s="380" t="s">
        <v>115</v>
      </c>
      <c r="C14" s="381">
        <f>-1353-C13</f>
        <v>-616</v>
      </c>
      <c r="D14" s="382"/>
      <c r="E14" s="429" t="s">
        <v>225</v>
      </c>
    </row>
    <row r="15" spans="1:5">
      <c r="A15" s="429"/>
      <c r="B15" s="380" t="s">
        <v>115</v>
      </c>
      <c r="C15" s="381">
        <f>-C13-C14</f>
        <v>1353</v>
      </c>
      <c r="D15" s="382"/>
      <c r="E15" s="429" t="s">
        <v>226</v>
      </c>
    </row>
    <row r="16" spans="1:5">
      <c r="A16" s="429">
        <v>6</v>
      </c>
      <c r="B16" s="380" t="s">
        <v>107</v>
      </c>
      <c r="C16" s="382">
        <v>1000</v>
      </c>
      <c r="D16" s="382"/>
      <c r="E16" s="429" t="s">
        <v>751</v>
      </c>
    </row>
    <row r="17" spans="1:16">
      <c r="A17" s="429"/>
      <c r="B17" s="380" t="s">
        <v>87</v>
      </c>
      <c r="C17" s="382">
        <v>-1000</v>
      </c>
      <c r="D17" s="382"/>
      <c r="E17" s="429" t="s">
        <v>227</v>
      </c>
      <c r="F17" s="429"/>
      <c r="G17" s="429"/>
      <c r="H17" s="429"/>
      <c r="I17" s="429"/>
      <c r="J17" s="429"/>
      <c r="K17" s="429"/>
      <c r="L17" s="429"/>
      <c r="M17" s="429"/>
      <c r="N17" s="429"/>
      <c r="O17" s="429"/>
      <c r="P17" s="429"/>
    </row>
    <row r="18" spans="1:16">
      <c r="A18" s="429">
        <v>7</v>
      </c>
      <c r="B18" s="380" t="s">
        <v>103</v>
      </c>
      <c r="C18" s="382">
        <v>0</v>
      </c>
      <c r="D18" s="382"/>
      <c r="E18" s="429" t="s">
        <v>759</v>
      </c>
      <c r="F18" s="429"/>
      <c r="G18" s="429"/>
      <c r="H18" s="429"/>
      <c r="I18" s="429"/>
      <c r="J18" s="429"/>
      <c r="K18" s="429"/>
      <c r="L18" s="429"/>
      <c r="M18" s="429"/>
      <c r="N18" s="429"/>
      <c r="O18" s="429"/>
      <c r="P18" s="429"/>
    </row>
    <row r="19" spans="1:16">
      <c r="A19" s="429">
        <v>8</v>
      </c>
      <c r="B19" s="380" t="s">
        <v>76</v>
      </c>
      <c r="C19" s="380">
        <v>0</v>
      </c>
      <c r="D19" s="380"/>
      <c r="E19" s="429" t="s">
        <v>228</v>
      </c>
      <c r="F19" s="429"/>
      <c r="G19" s="429"/>
      <c r="H19" s="429"/>
      <c r="I19" s="429"/>
      <c r="J19" s="429"/>
      <c r="K19" s="429"/>
      <c r="L19" s="429"/>
      <c r="M19" s="429"/>
      <c r="N19" s="429"/>
      <c r="O19" s="429"/>
      <c r="P19" s="429"/>
    </row>
    <row r="20" spans="1:16">
      <c r="A20" s="233">
        <v>9</v>
      </c>
      <c r="B20" s="380" t="s">
        <v>63</v>
      </c>
      <c r="C20" s="380">
        <v>0</v>
      </c>
      <c r="D20" s="380"/>
      <c r="E20" s="429" t="s">
        <v>229</v>
      </c>
      <c r="F20" s="429"/>
      <c r="G20" s="429"/>
      <c r="H20" s="429"/>
      <c r="I20" s="429"/>
      <c r="J20" s="429"/>
      <c r="K20" s="429"/>
      <c r="L20" s="429"/>
      <c r="M20" s="429"/>
      <c r="N20" s="429"/>
      <c r="O20" s="429"/>
      <c r="P20" s="429"/>
    </row>
    <row r="21" spans="1:16">
      <c r="A21" s="429">
        <v>10</v>
      </c>
      <c r="B21" s="380" t="s">
        <v>79</v>
      </c>
      <c r="C21" s="380">
        <v>248</v>
      </c>
      <c r="D21" s="381">
        <v>-248</v>
      </c>
      <c r="E21" s="429" t="s">
        <v>230</v>
      </c>
      <c r="F21" s="429"/>
      <c r="G21" s="429"/>
      <c r="H21" s="429"/>
      <c r="I21" s="429"/>
      <c r="J21" s="429"/>
      <c r="K21" s="429"/>
      <c r="L21" s="429"/>
      <c r="M21" s="429"/>
      <c r="N21" s="429"/>
      <c r="O21" s="429"/>
      <c r="P21" s="429"/>
    </row>
    <row r="22" spans="1:16">
      <c r="A22" s="429">
        <v>11</v>
      </c>
      <c r="B22" s="380" t="s">
        <v>169</v>
      </c>
      <c r="C22" s="382">
        <v>0</v>
      </c>
      <c r="D22" s="382"/>
      <c r="E22" s="406" t="s">
        <v>231</v>
      </c>
      <c r="F22" s="406"/>
      <c r="G22" s="406"/>
      <c r="H22" s="406"/>
      <c r="I22" s="406"/>
      <c r="J22" s="406"/>
      <c r="K22" s="406"/>
      <c r="L22" s="406"/>
      <c r="M22" s="406"/>
      <c r="N22" s="406"/>
      <c r="O22" s="406"/>
      <c r="P22" s="406"/>
    </row>
  </sheetData>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O74"/>
  <sheetViews>
    <sheetView zoomScale="60" zoomScaleNormal="60" workbookViewId="0"/>
  </sheetViews>
  <sheetFormatPr defaultRowHeight="14.25"/>
  <cols>
    <col min="4" max="4" width="9.1328125" bestFit="1" customWidth="1"/>
    <col min="12" max="12" width="9.1328125" style="2" bestFit="1" customWidth="1"/>
    <col min="15" max="15" width="33.3984375" customWidth="1"/>
    <col min="16" max="16" width="33.1328125" customWidth="1"/>
    <col min="17" max="17" width="11.59765625" customWidth="1"/>
    <col min="18" max="19" width="9.1328125" style="38" customWidth="1"/>
    <col min="20" max="20" width="9.1328125" customWidth="1"/>
    <col min="21" max="22" width="9.1328125" style="203" customWidth="1"/>
    <col min="23" max="27" width="9.1328125" style="210" customWidth="1"/>
    <col min="29" max="29" width="41.73046875" customWidth="1"/>
    <col min="30" max="30" width="10.1328125" bestFit="1" customWidth="1"/>
    <col min="32" max="32" width="11.265625" style="203" customWidth="1"/>
    <col min="33" max="33" width="11.1328125" customWidth="1"/>
    <col min="34" max="34" width="11.1328125" style="203" customWidth="1"/>
    <col min="35" max="35" width="11" customWidth="1"/>
    <col min="36" max="36" width="11" bestFit="1" customWidth="1"/>
    <col min="37" max="37" width="9.86328125" bestFit="1" customWidth="1"/>
    <col min="38" max="38" width="11.73046875" style="203" customWidth="1"/>
    <col min="39" max="39" width="12.59765625" style="210" customWidth="1"/>
    <col min="40" max="40" width="13.59765625" style="203" customWidth="1"/>
    <col min="41" max="41" width="8.73046875" style="210"/>
  </cols>
  <sheetData>
    <row r="1" spans="1:41">
      <c r="A1" s="429" t="s">
        <v>232</v>
      </c>
      <c r="B1" s="429"/>
      <c r="C1" s="429"/>
      <c r="D1" s="429"/>
      <c r="E1" s="429"/>
      <c r="F1" s="429" t="s">
        <v>233</v>
      </c>
      <c r="G1" s="429"/>
      <c r="H1" s="429"/>
      <c r="I1" s="429"/>
      <c r="J1" s="429"/>
      <c r="K1" s="429"/>
      <c r="L1" s="269"/>
      <c r="M1" s="429"/>
      <c r="N1" s="429"/>
      <c r="O1" s="429"/>
      <c r="P1" s="429"/>
      <c r="Q1" s="429"/>
      <c r="R1" s="406"/>
      <c r="S1" s="406"/>
      <c r="T1" s="429"/>
      <c r="U1" s="429"/>
      <c r="V1" s="429"/>
      <c r="AB1" s="429"/>
      <c r="AC1" s="429"/>
      <c r="AD1" s="429"/>
      <c r="AE1" s="429"/>
      <c r="AF1" s="429"/>
      <c r="AG1" s="429"/>
      <c r="AH1" s="429"/>
      <c r="AI1" s="429"/>
      <c r="AJ1" s="429"/>
      <c r="AK1" s="429"/>
      <c r="AL1" s="429"/>
      <c r="AN1" s="429"/>
    </row>
    <row r="2" spans="1:41">
      <c r="A2" s="429" t="s">
        <v>234</v>
      </c>
      <c r="B2" s="429"/>
      <c r="C2" s="429"/>
      <c r="D2" s="429"/>
      <c r="E2" s="429"/>
      <c r="F2" s="429" t="s">
        <v>186</v>
      </c>
      <c r="G2" s="429"/>
      <c r="H2" s="429"/>
      <c r="I2" s="429"/>
      <c r="J2" s="429"/>
      <c r="K2" s="429"/>
      <c r="L2" s="269"/>
      <c r="M2" s="429"/>
      <c r="N2" s="429"/>
      <c r="O2" s="429"/>
      <c r="P2" s="429"/>
      <c r="Q2" s="429"/>
      <c r="R2" s="406"/>
      <c r="S2" s="406"/>
      <c r="T2" s="429"/>
      <c r="U2" s="429"/>
      <c r="V2" s="429"/>
      <c r="AB2" s="429"/>
      <c r="AC2" s="429"/>
      <c r="AD2" s="429"/>
      <c r="AE2" s="429"/>
      <c r="AF2" s="429"/>
      <c r="AG2" s="429"/>
      <c r="AH2" s="429"/>
      <c r="AI2" s="429"/>
      <c r="AJ2" s="429"/>
      <c r="AK2" s="429"/>
      <c r="AL2" s="429"/>
      <c r="AN2" s="429"/>
    </row>
    <row r="3" spans="1:41">
      <c r="A3" s="429" t="s">
        <v>235</v>
      </c>
      <c r="B3" s="429"/>
      <c r="C3" s="429"/>
      <c r="D3" s="429"/>
      <c r="E3" s="429"/>
      <c r="F3" s="429" t="s">
        <v>236</v>
      </c>
      <c r="G3" s="429"/>
      <c r="H3" s="429"/>
      <c r="I3" s="429"/>
      <c r="J3" s="429"/>
      <c r="K3" s="429"/>
      <c r="L3" s="269"/>
      <c r="M3" s="429"/>
      <c r="N3" s="429"/>
      <c r="O3" s="429"/>
      <c r="P3" s="429"/>
      <c r="Q3" s="429"/>
      <c r="R3" s="406"/>
      <c r="S3" s="406"/>
      <c r="T3" s="429"/>
      <c r="U3" s="429"/>
      <c r="V3" s="429"/>
      <c r="AB3" s="429"/>
      <c r="AC3" s="429"/>
      <c r="AD3" s="429"/>
      <c r="AE3" s="429"/>
      <c r="AF3" s="429"/>
      <c r="AG3" s="429"/>
      <c r="AH3" s="429"/>
      <c r="AI3" s="429"/>
      <c r="AJ3" s="429"/>
      <c r="AK3" s="429"/>
      <c r="AL3" s="429"/>
      <c r="AN3" s="429"/>
    </row>
    <row r="4" spans="1:41">
      <c r="A4" s="429"/>
      <c r="B4" s="429"/>
      <c r="C4" s="429"/>
      <c r="D4" s="429"/>
      <c r="E4" s="429"/>
      <c r="F4" s="429"/>
      <c r="G4" s="429"/>
      <c r="H4" s="429"/>
      <c r="I4" s="429"/>
      <c r="J4" s="429"/>
      <c r="K4" s="429"/>
      <c r="L4" s="269"/>
      <c r="M4" s="429"/>
      <c r="N4" s="429"/>
      <c r="O4" s="429"/>
      <c r="P4" s="429"/>
      <c r="Q4" s="271"/>
      <c r="R4" s="217"/>
      <c r="S4" s="217"/>
      <c r="T4" s="271"/>
      <c r="U4" s="271"/>
      <c r="V4" s="271"/>
      <c r="W4" s="211"/>
      <c r="X4" s="211"/>
      <c r="Y4" s="211"/>
      <c r="Z4" s="211"/>
      <c r="AA4" s="211"/>
      <c r="AB4" s="429"/>
      <c r="AC4" s="429"/>
      <c r="AD4" s="429"/>
      <c r="AE4" s="429"/>
      <c r="AF4" s="429"/>
      <c r="AG4" s="429"/>
      <c r="AH4" s="429"/>
      <c r="AI4" s="429"/>
      <c r="AJ4" s="429"/>
      <c r="AK4" s="429"/>
      <c r="AL4" s="429"/>
      <c r="AN4" s="429"/>
    </row>
    <row r="5" spans="1:41" ht="15.75">
      <c r="A5" s="429"/>
      <c r="B5" s="507" t="s">
        <v>237</v>
      </c>
      <c r="C5" s="507"/>
      <c r="D5" s="507"/>
      <c r="E5" s="507"/>
      <c r="F5" s="507"/>
      <c r="G5" s="507"/>
      <c r="H5" s="507"/>
      <c r="I5" s="507"/>
      <c r="J5" s="507"/>
      <c r="K5" s="507"/>
      <c r="L5" s="507"/>
      <c r="M5" s="429"/>
      <c r="N5" s="429"/>
      <c r="O5" s="507" t="s">
        <v>764</v>
      </c>
      <c r="P5" s="507"/>
      <c r="Q5" s="507"/>
      <c r="R5" s="507"/>
      <c r="S5" s="507"/>
      <c r="T5" s="507"/>
      <c r="U5" s="462"/>
      <c r="V5" s="462"/>
      <c r="W5" s="212"/>
      <c r="X5" s="212"/>
      <c r="Y5" s="212"/>
      <c r="Z5" s="212"/>
      <c r="AA5" s="212"/>
      <c r="AB5" s="429"/>
      <c r="AC5" s="507" t="s">
        <v>765</v>
      </c>
      <c r="AD5" s="507"/>
      <c r="AE5" s="507"/>
      <c r="AF5" s="507"/>
      <c r="AG5" s="507"/>
      <c r="AH5" s="507"/>
      <c r="AI5" s="507"/>
      <c r="AJ5" s="507"/>
      <c r="AK5" s="507"/>
      <c r="AL5" s="507"/>
      <c r="AM5" s="507"/>
      <c r="AN5" s="507"/>
      <c r="AO5" s="507"/>
    </row>
    <row r="6" spans="1:41" ht="57">
      <c r="A6" s="429"/>
      <c r="B6" s="508" t="s">
        <v>238</v>
      </c>
      <c r="C6" s="509"/>
      <c r="D6" s="508" t="s">
        <v>239</v>
      </c>
      <c r="E6" s="513"/>
      <c r="F6" s="513"/>
      <c r="G6" s="509"/>
      <c r="H6" s="508" t="s">
        <v>240</v>
      </c>
      <c r="I6" s="513"/>
      <c r="J6" s="513"/>
      <c r="K6" s="509"/>
      <c r="L6" s="75" t="s">
        <v>241</v>
      </c>
      <c r="M6" s="429"/>
      <c r="N6" s="429"/>
      <c r="O6" s="72" t="s">
        <v>31</v>
      </c>
      <c r="P6" s="73" t="s">
        <v>242</v>
      </c>
      <c r="Q6" s="74" t="s">
        <v>243</v>
      </c>
      <c r="R6" s="74" t="s">
        <v>244</v>
      </c>
      <c r="S6" s="74" t="s">
        <v>245</v>
      </c>
      <c r="T6" s="74" t="s">
        <v>246</v>
      </c>
      <c r="U6" s="74" t="s">
        <v>247</v>
      </c>
      <c r="V6" s="74" t="s">
        <v>248</v>
      </c>
      <c r="W6" s="213" t="s">
        <v>249</v>
      </c>
      <c r="X6" s="213" t="s">
        <v>245</v>
      </c>
      <c r="Y6" s="213" t="s">
        <v>250</v>
      </c>
      <c r="Z6" s="213" t="s">
        <v>247</v>
      </c>
      <c r="AA6" s="213" t="s">
        <v>248</v>
      </c>
      <c r="AB6" s="429"/>
      <c r="AC6" s="275" t="s">
        <v>242</v>
      </c>
      <c r="AD6" s="502" t="s">
        <v>761</v>
      </c>
      <c r="AE6" s="503"/>
      <c r="AF6" s="503"/>
      <c r="AG6" s="503"/>
      <c r="AH6" s="503"/>
      <c r="AI6" s="504"/>
      <c r="AJ6" s="505" t="s">
        <v>766</v>
      </c>
      <c r="AK6" s="506"/>
      <c r="AL6" s="506"/>
      <c r="AM6" s="506"/>
      <c r="AN6" s="506"/>
      <c r="AO6" s="506"/>
    </row>
    <row r="7" spans="1:41" ht="57">
      <c r="A7" s="429"/>
      <c r="B7" s="62"/>
      <c r="C7" s="63"/>
      <c r="D7" s="64" t="s">
        <v>251</v>
      </c>
      <c r="E7" s="64" t="s">
        <v>252</v>
      </c>
      <c r="F7" s="64" t="s">
        <v>253</v>
      </c>
      <c r="G7" s="64" t="s">
        <v>254</v>
      </c>
      <c r="H7" s="64" t="s">
        <v>251</v>
      </c>
      <c r="I7" s="64" t="s">
        <v>252</v>
      </c>
      <c r="J7" s="64" t="s">
        <v>253</v>
      </c>
      <c r="K7" s="64" t="s">
        <v>254</v>
      </c>
      <c r="L7" s="71" t="s">
        <v>251</v>
      </c>
      <c r="M7" s="429"/>
      <c r="N7" s="429"/>
      <c r="O7" s="29" t="s">
        <v>47</v>
      </c>
      <c r="P7" s="33"/>
      <c r="Q7" s="76">
        <f>SUM(R7:T7)</f>
        <v>0</v>
      </c>
      <c r="R7" s="76">
        <f>SUMIF(SelectedPortfolio_2019RSP!B:B,'2_TxCapability'!O7,SelectedPortfolio_2019RSP!D:D)</f>
        <v>0</v>
      </c>
      <c r="S7" s="76"/>
      <c r="T7" s="3">
        <f>SUMIF(SelectedPortfolio_2019RSP!B:B,'2_TxCapability'!O7,SelectedPortfolio_2019RSP!J:J)</f>
        <v>0</v>
      </c>
      <c r="U7" s="3"/>
      <c r="V7" s="76" t="str">
        <f t="shared" ref="V7:V16" si="0">IF(AND(S7="ok",U7="ok"), "ok","")</f>
        <v/>
      </c>
      <c r="W7" s="214">
        <f>SUMIF(SelectedPortfolio_2019RSP!B:B,'2_TxCapability'!O7,SelectedPortfolio_2019RSP!F:F)</f>
        <v>0</v>
      </c>
      <c r="X7" s="214"/>
      <c r="Y7" s="214">
        <f>SUMIF(SelectedPortfolio_2019RSP!B:B,'2_TxCapability'!O7,SelectedPortfolio_2019RSP!L:L)</f>
        <v>0</v>
      </c>
      <c r="Z7" s="214"/>
      <c r="AA7" s="214" t="str">
        <f t="shared" ref="AA7:AA69" si="1">IF(AND(X7="ok",Z7="ok"), "ok","")</f>
        <v/>
      </c>
      <c r="AB7" s="429"/>
      <c r="AC7" s="65" t="s">
        <v>255</v>
      </c>
      <c r="AD7" s="71" t="s">
        <v>256</v>
      </c>
      <c r="AE7" s="71" t="s">
        <v>257</v>
      </c>
      <c r="AF7" s="71" t="s">
        <v>258</v>
      </c>
      <c r="AG7" s="71" t="s">
        <v>259</v>
      </c>
      <c r="AH7" s="71" t="s">
        <v>260</v>
      </c>
      <c r="AI7" s="71" t="s">
        <v>261</v>
      </c>
      <c r="AJ7" s="71" t="s">
        <v>256</v>
      </c>
      <c r="AK7" s="71" t="s">
        <v>257</v>
      </c>
      <c r="AL7" s="71" t="s">
        <v>258</v>
      </c>
      <c r="AM7" s="219" t="s">
        <v>259</v>
      </c>
      <c r="AN7" s="71" t="s">
        <v>260</v>
      </c>
      <c r="AO7" s="219" t="s">
        <v>261</v>
      </c>
    </row>
    <row r="8" spans="1:41">
      <c r="A8" s="429"/>
      <c r="B8" s="58" t="s">
        <v>262</v>
      </c>
      <c r="C8" s="58"/>
      <c r="D8" s="58">
        <v>2000</v>
      </c>
      <c r="E8" s="58"/>
      <c r="F8" s="58">
        <v>2000</v>
      </c>
      <c r="G8" s="58"/>
      <c r="H8" s="60"/>
      <c r="I8" s="60"/>
      <c r="J8" s="60">
        <v>285</v>
      </c>
      <c r="K8" s="60"/>
      <c r="L8" s="214">
        <v>3900</v>
      </c>
      <c r="M8" s="429"/>
      <c r="N8" s="429"/>
      <c r="O8" s="29" t="s">
        <v>49</v>
      </c>
      <c r="P8" s="33" t="s">
        <v>263</v>
      </c>
      <c r="Q8" s="76">
        <f t="shared" ref="Q8:Q72" si="2">SUM(R8:T8)</f>
        <v>0</v>
      </c>
      <c r="R8" s="76">
        <f>SUMIF(SelectedPortfolio_2019RSP!B:B,'2_TxCapability'!O8,SelectedPortfolio_2019RSP!D:D)</f>
        <v>0</v>
      </c>
      <c r="S8" s="76" t="str">
        <f t="shared" ref="S8:S18" si="3">IF(INDEX(AG:AG,MATCH(P8,AC:AC,0)),"breach","ok")</f>
        <v>ok</v>
      </c>
      <c r="T8" s="3">
        <f>SUMIF(SelectedPortfolio_2019RSP!B:B,'2_TxCapability'!O8,SelectedPortfolio_2019RSP!J:J)</f>
        <v>0</v>
      </c>
      <c r="U8" s="76" t="str">
        <f t="shared" ref="U8:U39" si="4">IFERROR(IF(INDEX(AI:AI,MATCH(P8,AC:AC,0)),"breach","ok"),"")</f>
        <v>ok</v>
      </c>
      <c r="V8" s="76" t="str">
        <f t="shared" si="0"/>
        <v>ok</v>
      </c>
      <c r="W8" s="214">
        <f>SUMIF(SelectedPortfolio_2019RSP!B:B,'2_TxCapability'!O8,SelectedPortfolio_2019RSP!F:F)</f>
        <v>0</v>
      </c>
      <c r="X8" s="214" t="str">
        <f t="shared" ref="X8:X39" si="5">IFERROR(IF(INDEX(AM:AM,MATCH(P8,AC:AC,0)),"breach","ok"),"")</f>
        <v>ok</v>
      </c>
      <c r="Y8" s="214">
        <f>SUMIF(SelectedPortfolio_2019RSP!B:B,'2_TxCapability'!O8,SelectedPortfolio_2019RSP!L:L)</f>
        <v>0</v>
      </c>
      <c r="Z8" s="214" t="str">
        <f t="shared" ref="Z8:Z39" si="6">IFERROR(IF(INDEX(AI:AI,MATCH(P8,AC:AC,0)),"breach","ok"),"")</f>
        <v>ok</v>
      </c>
      <c r="AA8" s="214" t="str">
        <f>IF(AND(X8="ok",Z8="ok"), "ok","breach")</f>
        <v>ok</v>
      </c>
      <c r="AB8" s="429"/>
      <c r="AC8" s="275"/>
      <c r="AD8" s="275"/>
      <c r="AE8" s="275"/>
      <c r="AF8" s="275"/>
      <c r="AG8" s="275"/>
      <c r="AH8" s="275"/>
      <c r="AI8" s="275"/>
      <c r="AJ8" s="275"/>
      <c r="AK8" s="275"/>
      <c r="AL8" s="275"/>
      <c r="AM8" s="216"/>
      <c r="AN8" s="275"/>
      <c r="AO8" s="216"/>
    </row>
    <row r="9" spans="1:41">
      <c r="A9" s="429"/>
      <c r="B9" s="511" t="s">
        <v>264</v>
      </c>
      <c r="C9" s="511"/>
      <c r="D9" s="59">
        <v>500</v>
      </c>
      <c r="E9" s="59"/>
      <c r="F9" s="59"/>
      <c r="G9" s="59"/>
      <c r="H9" s="461"/>
      <c r="I9" s="59"/>
      <c r="J9" s="461"/>
      <c r="K9" s="59"/>
      <c r="L9" s="214">
        <v>2100</v>
      </c>
      <c r="M9" s="429"/>
      <c r="N9" s="429"/>
      <c r="O9" s="29" t="s">
        <v>53</v>
      </c>
      <c r="P9" s="275" t="s">
        <v>265</v>
      </c>
      <c r="Q9" s="76">
        <f t="shared" si="2"/>
        <v>0</v>
      </c>
      <c r="R9" s="76">
        <f>SUMIF(SelectedPortfolio_2019RSP!B:B,'2_TxCapability'!O9,SelectedPortfolio_2019RSP!D:D)</f>
        <v>0</v>
      </c>
      <c r="S9" s="76" t="str">
        <f t="shared" si="3"/>
        <v>ok</v>
      </c>
      <c r="T9" s="3">
        <f>SUMIF(SelectedPortfolio_2019RSP!B:B,'2_TxCapability'!O9,SelectedPortfolio_2019RSP!J:J)</f>
        <v>0</v>
      </c>
      <c r="U9" s="76" t="str">
        <f t="shared" si="4"/>
        <v>ok</v>
      </c>
      <c r="V9" s="76" t="str">
        <f t="shared" si="0"/>
        <v>ok</v>
      </c>
      <c r="W9" s="214">
        <f>SUMIF(SelectedPortfolio_2019RSP!B:B,'2_TxCapability'!O9,SelectedPortfolio_2019RSP!F:F)</f>
        <v>0</v>
      </c>
      <c r="X9" s="214" t="str">
        <f t="shared" si="5"/>
        <v>ok</v>
      </c>
      <c r="Y9" s="214">
        <f>SUMIF(SelectedPortfolio_2019RSP!B:B,'2_TxCapability'!O9,SelectedPortfolio_2019RSP!L:L)</f>
        <v>0</v>
      </c>
      <c r="Z9" s="214" t="str">
        <f t="shared" si="6"/>
        <v>ok</v>
      </c>
      <c r="AA9" s="214" t="str">
        <f t="shared" ref="AA9:AA18" si="7">IF(AND(X9="ok",Z9="ok"), "ok","breach")</f>
        <v>ok</v>
      </c>
      <c r="AB9" s="429"/>
      <c r="AC9" s="58" t="s">
        <v>262</v>
      </c>
      <c r="AD9" s="275"/>
      <c r="AE9" s="275"/>
      <c r="AF9" s="387">
        <f>D8-SUM(AD10:AD13)</f>
        <v>1458</v>
      </c>
      <c r="AG9" s="275"/>
      <c r="AH9" s="387">
        <f>L8-D8-SUM(AE10:AE13)</f>
        <v>1866</v>
      </c>
      <c r="AI9" s="275"/>
      <c r="AJ9" s="275"/>
      <c r="AK9" s="275"/>
      <c r="AL9" s="387">
        <f>D8-SUM(AJ10:AJ13)</f>
        <v>1458</v>
      </c>
      <c r="AM9" s="216"/>
      <c r="AN9" s="387">
        <f>L8-D8-SUM(AK10:AK13)</f>
        <v>1866</v>
      </c>
      <c r="AO9" s="216"/>
    </row>
    <row r="10" spans="1:41">
      <c r="A10" s="429"/>
      <c r="B10" s="511" t="s">
        <v>266</v>
      </c>
      <c r="C10" s="511"/>
      <c r="D10" s="59">
        <v>0</v>
      </c>
      <c r="E10" s="59"/>
      <c r="F10" s="59"/>
      <c r="G10" s="59"/>
      <c r="H10" s="461"/>
      <c r="I10" s="59"/>
      <c r="J10" s="461"/>
      <c r="K10" s="59"/>
      <c r="L10" s="214">
        <v>100</v>
      </c>
      <c r="M10" s="429"/>
      <c r="N10" s="429"/>
      <c r="O10" s="29" t="s">
        <v>54</v>
      </c>
      <c r="P10" s="275" t="s">
        <v>267</v>
      </c>
      <c r="Q10" s="76">
        <f t="shared" si="2"/>
        <v>0</v>
      </c>
      <c r="R10" s="76">
        <f>SUMIF(SelectedPortfolio_2019RSP!B:B,'2_TxCapability'!O10,SelectedPortfolio_2019RSP!D:D)</f>
        <v>0</v>
      </c>
      <c r="S10" s="76" t="str">
        <f t="shared" si="3"/>
        <v>ok</v>
      </c>
      <c r="T10" s="3">
        <f>SUMIF(SelectedPortfolio_2019RSP!B:B,'2_TxCapability'!O10,SelectedPortfolio_2019RSP!J:J)</f>
        <v>0</v>
      </c>
      <c r="U10" s="76" t="str">
        <f t="shared" si="4"/>
        <v>ok</v>
      </c>
      <c r="V10" s="76" t="str">
        <f t="shared" si="0"/>
        <v>ok</v>
      </c>
      <c r="W10" s="214">
        <f>SUMIF(SelectedPortfolio_2019RSP!B:B,'2_TxCapability'!O10,SelectedPortfolio_2019RSP!F:F)</f>
        <v>0</v>
      </c>
      <c r="X10" s="214" t="str">
        <f t="shared" si="5"/>
        <v>ok</v>
      </c>
      <c r="Y10" s="214">
        <f>SUMIF(SelectedPortfolio_2019RSP!B:B,'2_TxCapability'!O10,SelectedPortfolio_2019RSP!L:L)</f>
        <v>0</v>
      </c>
      <c r="Z10" s="214" t="str">
        <f t="shared" si="6"/>
        <v>ok</v>
      </c>
      <c r="AA10" s="214" t="str">
        <f t="shared" si="7"/>
        <v>ok</v>
      </c>
      <c r="AB10" s="429"/>
      <c r="AC10" s="275" t="s">
        <v>268</v>
      </c>
      <c r="AD10" s="3">
        <f>SUMIF(P:P,'2_TxCapability'!AC10,R:R)</f>
        <v>0</v>
      </c>
      <c r="AE10" s="3">
        <f>SUMIF(P:P,'2_TxCapability'!AC10,T:T)</f>
        <v>34</v>
      </c>
      <c r="AF10" s="276">
        <f>D10-AD10</f>
        <v>0</v>
      </c>
      <c r="AG10" s="276">
        <f>IF(D10-AD10&lt;0,1,0)</f>
        <v>0</v>
      </c>
      <c r="AH10" s="276">
        <f>IFERROR(L10-D10-AE10,"")</f>
        <v>66</v>
      </c>
      <c r="AI10" s="276">
        <f t="shared" ref="AI10:AI18" si="8">IFERROR(IF(L10-AE10&lt;0,1,0),"")</f>
        <v>0</v>
      </c>
      <c r="AJ10" s="3">
        <f>SUMIF(P:P,'2_TxCapability'!AC10,W:W)</f>
        <v>0</v>
      </c>
      <c r="AK10" s="3">
        <f>SUMIF(P:P,'2_TxCapability'!AC10,Y:Y)</f>
        <v>34</v>
      </c>
      <c r="AL10" s="276">
        <f>D10-AJ10</f>
        <v>0</v>
      </c>
      <c r="AM10" s="220">
        <f>IF(D10-AJ10&lt;0,1,0)</f>
        <v>0</v>
      </c>
      <c r="AN10" s="276">
        <f>IFERROR(L10-D10-AK10,"")</f>
        <v>66</v>
      </c>
      <c r="AO10" s="220">
        <f>IFERROR(IF(L10-AK10&lt;0,1,0),"")</f>
        <v>0</v>
      </c>
    </row>
    <row r="11" spans="1:41">
      <c r="A11" s="429"/>
      <c r="B11" s="511" t="s">
        <v>269</v>
      </c>
      <c r="C11" s="511"/>
      <c r="D11" s="59">
        <v>2000</v>
      </c>
      <c r="E11" s="59"/>
      <c r="F11" s="59"/>
      <c r="G11" s="59"/>
      <c r="H11" s="461"/>
      <c r="I11" s="59"/>
      <c r="J11" s="461"/>
      <c r="K11" s="59"/>
      <c r="L11" s="214">
        <v>4600</v>
      </c>
      <c r="M11" s="429"/>
      <c r="N11" s="429"/>
      <c r="O11" s="29" t="s">
        <v>55</v>
      </c>
      <c r="P11" s="275" t="s">
        <v>267</v>
      </c>
      <c r="Q11" s="76">
        <f t="shared" si="2"/>
        <v>0</v>
      </c>
      <c r="R11" s="76">
        <f>SUMIF(SelectedPortfolio_2019RSP!B:B,'2_TxCapability'!O11,SelectedPortfolio_2019RSP!D:D)</f>
        <v>0</v>
      </c>
      <c r="S11" s="76" t="str">
        <f t="shared" si="3"/>
        <v>ok</v>
      </c>
      <c r="T11" s="3">
        <f>SUMIF(SelectedPortfolio_2019RSP!B:B,'2_TxCapability'!O11,SelectedPortfolio_2019RSP!J:J)</f>
        <v>0</v>
      </c>
      <c r="U11" s="76" t="str">
        <f t="shared" si="4"/>
        <v>ok</v>
      </c>
      <c r="V11" s="76" t="str">
        <f t="shared" si="0"/>
        <v>ok</v>
      </c>
      <c r="W11" s="214">
        <f>SUMIF(SelectedPortfolio_2019RSP!B:B,'2_TxCapability'!O11,SelectedPortfolio_2019RSP!F:F)</f>
        <v>0</v>
      </c>
      <c r="X11" s="214" t="str">
        <f t="shared" si="5"/>
        <v>ok</v>
      </c>
      <c r="Y11" s="214">
        <f>SUMIF(SelectedPortfolio_2019RSP!B:B,'2_TxCapability'!O11,SelectedPortfolio_2019RSP!L:L)</f>
        <v>0</v>
      </c>
      <c r="Z11" s="214" t="str">
        <f t="shared" si="6"/>
        <v>ok</v>
      </c>
      <c r="AA11" s="214" t="str">
        <f t="shared" si="7"/>
        <v>ok</v>
      </c>
      <c r="AB11" s="429"/>
      <c r="AC11" s="275" t="s">
        <v>267</v>
      </c>
      <c r="AD11" s="3">
        <f>SUMIF(P:P,'2_TxCapability'!AC11,R:R)</f>
        <v>0</v>
      </c>
      <c r="AE11" s="3">
        <f>SUMIF(P:P,'2_TxCapability'!AC11,T:T)</f>
        <v>0</v>
      </c>
      <c r="AF11" s="276">
        <f t="shared" ref="AF11:AF38" si="9">D11-AD11</f>
        <v>2000</v>
      </c>
      <c r="AG11" s="276">
        <f>IF(D11-AD11&lt;0,1,0)</f>
        <v>0</v>
      </c>
      <c r="AH11" s="276">
        <f t="shared" ref="AH11:AH13" si="10">IFERROR(L11-D11-AE11,"")</f>
        <v>2600</v>
      </c>
      <c r="AI11" s="276">
        <f t="shared" si="8"/>
        <v>0</v>
      </c>
      <c r="AJ11" s="3">
        <f>SUMIF(P:P,'2_TxCapability'!AC11,W:W)</f>
        <v>0</v>
      </c>
      <c r="AK11" s="3">
        <f>SUMIF(P:P,'2_TxCapability'!AC11,Y:Y)</f>
        <v>0</v>
      </c>
      <c r="AL11" s="276">
        <f t="shared" ref="AL11:AL38" si="11">D11-AJ11</f>
        <v>2000</v>
      </c>
      <c r="AM11" s="220">
        <f t="shared" ref="AM11:AM27" si="12">IF(D11-AJ11&lt;0,1,0)</f>
        <v>0</v>
      </c>
      <c r="AN11" s="276">
        <f>IFERROR(L11-D11-AK11,"")</f>
        <v>2600</v>
      </c>
      <c r="AO11" s="220">
        <f t="shared" ref="AO11:AO27" si="13">IFERROR(IF(L11-AK11&lt;0,1,0),"")</f>
        <v>0</v>
      </c>
    </row>
    <row r="12" spans="1:41">
      <c r="A12" s="429"/>
      <c r="B12" s="59" t="s">
        <v>270</v>
      </c>
      <c r="C12" s="59"/>
      <c r="D12" s="59">
        <v>600</v>
      </c>
      <c r="E12" s="59"/>
      <c r="F12" s="59">
        <v>2000</v>
      </c>
      <c r="G12" s="59"/>
      <c r="H12" s="461"/>
      <c r="I12" s="59"/>
      <c r="J12" s="461">
        <v>322</v>
      </c>
      <c r="K12" s="59"/>
      <c r="L12" s="214">
        <v>1300</v>
      </c>
      <c r="M12" s="429"/>
      <c r="N12" s="429"/>
      <c r="O12" s="29" t="s">
        <v>56</v>
      </c>
      <c r="P12" s="275" t="s">
        <v>271</v>
      </c>
      <c r="Q12" s="76">
        <f t="shared" si="2"/>
        <v>0</v>
      </c>
      <c r="R12" s="76">
        <f>SUMIF(SelectedPortfolio_2019RSP!B:B,'2_TxCapability'!O12,SelectedPortfolio_2019RSP!D:D)</f>
        <v>0</v>
      </c>
      <c r="S12" s="76" t="str">
        <f t="shared" si="3"/>
        <v>ok</v>
      </c>
      <c r="T12" s="3">
        <f>SUMIF(SelectedPortfolio_2019RSP!B:B,'2_TxCapability'!O12,SelectedPortfolio_2019RSP!J:J)</f>
        <v>0</v>
      </c>
      <c r="U12" s="76" t="str">
        <f t="shared" si="4"/>
        <v>ok</v>
      </c>
      <c r="V12" s="76" t="str">
        <f t="shared" si="0"/>
        <v>ok</v>
      </c>
      <c r="W12" s="214">
        <f>SUMIF(SelectedPortfolio_2019RSP!B:B,'2_TxCapability'!O12,SelectedPortfolio_2019RSP!F:F)</f>
        <v>0</v>
      </c>
      <c r="X12" s="214" t="str">
        <f t="shared" si="5"/>
        <v>ok</v>
      </c>
      <c r="Y12" s="214">
        <f>SUMIF(SelectedPortfolio_2019RSP!B:B,'2_TxCapability'!O12,SelectedPortfolio_2019RSP!L:L)</f>
        <v>0</v>
      </c>
      <c r="Z12" s="214" t="str">
        <f t="shared" si="6"/>
        <v>ok</v>
      </c>
      <c r="AA12" s="214" t="str">
        <f t="shared" si="7"/>
        <v>ok</v>
      </c>
      <c r="AB12" s="429"/>
      <c r="AC12" s="275" t="s">
        <v>272</v>
      </c>
      <c r="AD12" s="3">
        <f>SUMIF(P:P,'2_TxCapability'!AC12,R:R)</f>
        <v>542</v>
      </c>
      <c r="AE12" s="3">
        <f>SUMIF(P:P,'2_TxCapability'!AC12,T:T)</f>
        <v>0</v>
      </c>
      <c r="AF12" s="276">
        <f t="shared" si="9"/>
        <v>58</v>
      </c>
      <c r="AG12" s="276">
        <f>IF(D12-AD12&lt;0,1,0)</f>
        <v>0</v>
      </c>
      <c r="AH12" s="276">
        <f t="shared" si="10"/>
        <v>700</v>
      </c>
      <c r="AI12" s="276">
        <f t="shared" si="8"/>
        <v>0</v>
      </c>
      <c r="AJ12" s="3">
        <f>SUMIF(P:P,'2_TxCapability'!AC12,W:W)</f>
        <v>542</v>
      </c>
      <c r="AK12" s="3">
        <f>SUMIF(P:P,'2_TxCapability'!AC12,Y:Y)</f>
        <v>0</v>
      </c>
      <c r="AL12" s="276">
        <f t="shared" si="11"/>
        <v>58</v>
      </c>
      <c r="AM12" s="220">
        <f t="shared" si="12"/>
        <v>0</v>
      </c>
      <c r="AN12" s="276">
        <f t="shared" ref="AN12:AN13" si="14">IFERROR(L12-D12-AK12,"")</f>
        <v>700</v>
      </c>
      <c r="AO12" s="220">
        <f t="shared" si="13"/>
        <v>0</v>
      </c>
    </row>
    <row r="13" spans="1:41">
      <c r="A13" s="429"/>
      <c r="B13" s="510"/>
      <c r="C13" s="510"/>
      <c r="D13" s="510"/>
      <c r="E13" s="510"/>
      <c r="F13" s="510"/>
      <c r="G13" s="510"/>
      <c r="H13" s="510"/>
      <c r="I13" s="510"/>
      <c r="J13" s="510"/>
      <c r="K13" s="510"/>
      <c r="L13" s="3"/>
      <c r="M13" s="429"/>
      <c r="N13" s="429"/>
      <c r="O13" s="29" t="s">
        <v>57</v>
      </c>
      <c r="P13" s="275" t="s">
        <v>272</v>
      </c>
      <c r="Q13" s="76">
        <f t="shared" si="2"/>
        <v>0</v>
      </c>
      <c r="R13" s="76">
        <f>SUMIF(SelectedPortfolio_2019RSP!B:B,'2_TxCapability'!O13,SelectedPortfolio_2019RSP!D:D)</f>
        <v>0</v>
      </c>
      <c r="S13" s="76" t="str">
        <f t="shared" si="3"/>
        <v>ok</v>
      </c>
      <c r="T13" s="3">
        <f>SUMIF(SelectedPortfolio_2019RSP!B:B,'2_TxCapability'!O13,SelectedPortfolio_2019RSP!J:J)</f>
        <v>0</v>
      </c>
      <c r="U13" s="76" t="str">
        <f t="shared" si="4"/>
        <v>ok</v>
      </c>
      <c r="V13" s="76" t="str">
        <f t="shared" si="0"/>
        <v>ok</v>
      </c>
      <c r="W13" s="214">
        <f>SUMIF(SelectedPortfolio_2019RSP!B:B,'2_TxCapability'!O13,SelectedPortfolio_2019RSP!F:F)</f>
        <v>0</v>
      </c>
      <c r="X13" s="214" t="str">
        <f t="shared" si="5"/>
        <v>ok</v>
      </c>
      <c r="Y13" s="214">
        <f>SUMIF(SelectedPortfolio_2019RSP!B:B,'2_TxCapability'!O13,SelectedPortfolio_2019RSP!L:L)</f>
        <v>0</v>
      </c>
      <c r="Z13" s="214" t="str">
        <f t="shared" si="6"/>
        <v>ok</v>
      </c>
      <c r="AA13" s="214" t="str">
        <f t="shared" si="7"/>
        <v>ok</v>
      </c>
      <c r="AB13" s="429"/>
      <c r="AC13" s="275" t="s">
        <v>273</v>
      </c>
      <c r="AD13" s="3">
        <f>SUMIF(P:P,'2_TxCapability'!AC13,R:R)</f>
        <v>0</v>
      </c>
      <c r="AE13" s="3">
        <f>SUMIF(P:P,'2_TxCapability'!AC13,T:T)</f>
        <v>0</v>
      </c>
      <c r="AF13" s="276">
        <f t="shared" si="9"/>
        <v>0</v>
      </c>
      <c r="AG13" s="276">
        <f>IF(D13-AD13&lt;0,1,0)</f>
        <v>0</v>
      </c>
      <c r="AH13" s="276">
        <f t="shared" si="10"/>
        <v>0</v>
      </c>
      <c r="AI13" s="276">
        <f t="shared" si="8"/>
        <v>0</v>
      </c>
      <c r="AJ13" s="3">
        <f>SUMIF(P:P,'2_TxCapability'!AC13,W:W)</f>
        <v>0</v>
      </c>
      <c r="AK13" s="3">
        <f>SUMIF(P:P,'2_TxCapability'!AC13,Y:Y)</f>
        <v>0</v>
      </c>
      <c r="AL13" s="276">
        <f t="shared" si="11"/>
        <v>0</v>
      </c>
      <c r="AM13" s="220">
        <f t="shared" si="12"/>
        <v>0</v>
      </c>
      <c r="AN13" s="276">
        <f t="shared" si="14"/>
        <v>0</v>
      </c>
      <c r="AO13" s="220">
        <f t="shared" si="13"/>
        <v>0</v>
      </c>
    </row>
    <row r="14" spans="1:41">
      <c r="A14" s="429"/>
      <c r="B14" s="58" t="s">
        <v>274</v>
      </c>
      <c r="C14" s="58"/>
      <c r="D14" s="58">
        <v>1100</v>
      </c>
      <c r="E14" s="58"/>
      <c r="F14" s="58">
        <v>1000</v>
      </c>
      <c r="G14" s="58"/>
      <c r="H14" s="60"/>
      <c r="I14" s="60"/>
      <c r="J14" s="60">
        <v>55</v>
      </c>
      <c r="K14" s="60"/>
      <c r="L14" s="388">
        <f>MAX(L15:L18)</f>
        <v>4180</v>
      </c>
      <c r="M14" s="429"/>
      <c r="N14" s="429"/>
      <c r="O14" s="29" t="s">
        <v>58</v>
      </c>
      <c r="P14" s="275" t="s">
        <v>275</v>
      </c>
      <c r="Q14" s="76">
        <f t="shared" si="2"/>
        <v>0</v>
      </c>
      <c r="R14" s="76">
        <f>SUMIF(SelectedPortfolio_2019RSP!B:B,'2_TxCapability'!O14,SelectedPortfolio_2019RSP!D:D)</f>
        <v>0</v>
      </c>
      <c r="S14" s="76" t="str">
        <f t="shared" si="3"/>
        <v>ok</v>
      </c>
      <c r="T14" s="3">
        <f>SUMIF(SelectedPortfolio_2019RSP!B:B,'2_TxCapability'!O14,SelectedPortfolio_2019RSP!J:J)</f>
        <v>0</v>
      </c>
      <c r="U14" s="76" t="str">
        <f t="shared" si="4"/>
        <v>ok</v>
      </c>
      <c r="V14" s="76" t="str">
        <f t="shared" si="0"/>
        <v>ok</v>
      </c>
      <c r="W14" s="214">
        <f>SUMIF(SelectedPortfolio_2019RSP!B:B,'2_TxCapability'!O14,SelectedPortfolio_2019RSP!F:F)</f>
        <v>0</v>
      </c>
      <c r="X14" s="214" t="str">
        <f t="shared" si="5"/>
        <v>ok</v>
      </c>
      <c r="Y14" s="214">
        <f>SUMIF(SelectedPortfolio_2019RSP!B:B,'2_TxCapability'!O14,SelectedPortfolio_2019RSP!L:L)</f>
        <v>0</v>
      </c>
      <c r="Z14" s="214" t="str">
        <f t="shared" si="6"/>
        <v>ok</v>
      </c>
      <c r="AA14" s="214" t="str">
        <f t="shared" si="7"/>
        <v>ok</v>
      </c>
      <c r="AB14" s="429"/>
      <c r="AC14" s="58" t="s">
        <v>274</v>
      </c>
      <c r="AD14" s="3"/>
      <c r="AE14" s="3"/>
      <c r="AF14" s="387">
        <f>D14-SUM(AD15:AD18)</f>
        <v>425.05999999999995</v>
      </c>
      <c r="AG14" s="276"/>
      <c r="AH14" s="387">
        <f>L14-D14-SUM(AE15:AE18)</f>
        <v>2935.07</v>
      </c>
      <c r="AI14" s="276">
        <f t="shared" si="8"/>
        <v>0</v>
      </c>
      <c r="AJ14" s="3"/>
      <c r="AK14" s="3"/>
      <c r="AL14" s="387">
        <f>D14-SUM(AJ15:AJ18)</f>
        <v>-1352.94</v>
      </c>
      <c r="AM14" s="216"/>
      <c r="AN14" s="387">
        <f>L14-D14-SUM(AK15:AK18)</f>
        <v>2935.07</v>
      </c>
      <c r="AO14" s="216"/>
    </row>
    <row r="15" spans="1:41">
      <c r="A15" s="429"/>
      <c r="B15" s="511" t="s">
        <v>276</v>
      </c>
      <c r="C15" s="511"/>
      <c r="D15" s="59">
        <v>1100</v>
      </c>
      <c r="E15" s="59"/>
      <c r="F15" s="59">
        <v>1000</v>
      </c>
      <c r="G15" s="59"/>
      <c r="H15" s="461"/>
      <c r="I15" s="59"/>
      <c r="J15" s="461">
        <v>55</v>
      </c>
      <c r="K15" s="59"/>
      <c r="L15" s="389">
        <f>2000*1.1</f>
        <v>2200</v>
      </c>
      <c r="M15" s="429"/>
      <c r="N15" s="429"/>
      <c r="O15" s="29" t="s">
        <v>59</v>
      </c>
      <c r="P15" s="275" t="s">
        <v>277</v>
      </c>
      <c r="Q15" s="76">
        <f t="shared" si="2"/>
        <v>0</v>
      </c>
      <c r="R15" s="76">
        <f>SUMIF(SelectedPortfolio_2019RSP!B:B,'2_TxCapability'!O15,SelectedPortfolio_2019RSP!D:D)</f>
        <v>0</v>
      </c>
      <c r="S15" s="76" t="str">
        <f t="shared" si="3"/>
        <v>ok</v>
      </c>
      <c r="T15" s="3">
        <f>SUMIF(SelectedPortfolio_2019RSP!B:B,'2_TxCapability'!O15,SelectedPortfolio_2019RSP!J:J)</f>
        <v>0</v>
      </c>
      <c r="U15" s="76" t="str">
        <f t="shared" si="4"/>
        <v>ok</v>
      </c>
      <c r="V15" s="76" t="str">
        <f t="shared" si="0"/>
        <v>ok</v>
      </c>
      <c r="W15" s="214">
        <f>SUMIF(SelectedPortfolio_2019RSP!B:B,'2_TxCapability'!O15,SelectedPortfolio_2019RSP!F:F)</f>
        <v>0</v>
      </c>
      <c r="X15" s="214" t="str">
        <f t="shared" si="5"/>
        <v>ok</v>
      </c>
      <c r="Y15" s="214">
        <f>SUMIF(SelectedPortfolio_2019RSP!B:B,'2_TxCapability'!O15,SelectedPortfolio_2019RSP!L:L)</f>
        <v>0</v>
      </c>
      <c r="Z15" s="214" t="str">
        <f t="shared" si="6"/>
        <v>ok</v>
      </c>
      <c r="AA15" s="214" t="str">
        <f t="shared" si="7"/>
        <v>ok</v>
      </c>
      <c r="AB15" s="429"/>
      <c r="AC15" s="275" t="s">
        <v>278</v>
      </c>
      <c r="AD15" s="3">
        <f>SUMIF(P:P,'2_TxCapability'!AC15,R:R)</f>
        <v>58.21</v>
      </c>
      <c r="AE15" s="3">
        <f>SUMIF(P:P,'2_TxCapability'!AC15,T:T)</f>
        <v>0</v>
      </c>
      <c r="AF15" s="276">
        <f t="shared" si="9"/>
        <v>1041.79</v>
      </c>
      <c r="AG15" s="276">
        <f>IF(D15-AD15&lt;0,1,0)</f>
        <v>0</v>
      </c>
      <c r="AH15" s="276">
        <f>IFERROR(L15-AE15,"")</f>
        <v>2200</v>
      </c>
      <c r="AI15" s="276">
        <f t="shared" si="8"/>
        <v>0</v>
      </c>
      <c r="AJ15" s="3">
        <f>SUMIF(P:P,'2_TxCapability'!AC15,W:W)</f>
        <v>1836.21</v>
      </c>
      <c r="AK15" s="3">
        <f>SUMIF(P:P,'2_TxCapability'!AC15,Y:Y)</f>
        <v>0</v>
      </c>
      <c r="AL15" s="276">
        <f>D15-AJ15</f>
        <v>-736.21</v>
      </c>
      <c r="AM15" s="220">
        <f t="shared" si="12"/>
        <v>1</v>
      </c>
      <c r="AN15" s="276">
        <f t="shared" ref="AN15:AN18" si="15">IFERROR(L15-AK15,"")</f>
        <v>2200</v>
      </c>
      <c r="AO15" s="220">
        <f t="shared" si="13"/>
        <v>0</v>
      </c>
    </row>
    <row r="16" spans="1:41">
      <c r="A16" s="429"/>
      <c r="B16" s="61" t="s">
        <v>279</v>
      </c>
      <c r="C16" s="61"/>
      <c r="D16" s="61">
        <v>1000</v>
      </c>
      <c r="E16" s="59"/>
      <c r="F16" s="59">
        <v>1500</v>
      </c>
      <c r="G16" s="59"/>
      <c r="H16" s="461"/>
      <c r="I16" s="59"/>
      <c r="J16" s="461">
        <v>241</v>
      </c>
      <c r="K16" s="59"/>
      <c r="L16" s="389">
        <f>3800*1.1</f>
        <v>4180</v>
      </c>
      <c r="M16" s="429"/>
      <c r="N16" s="429"/>
      <c r="O16" s="29" t="s">
        <v>60</v>
      </c>
      <c r="P16" s="40" t="s">
        <v>277</v>
      </c>
      <c r="Q16" s="76">
        <f t="shared" si="2"/>
        <v>287</v>
      </c>
      <c r="R16" s="76">
        <f>SUMIF(SelectedPortfolio_2019RSP!B:B,'2_TxCapability'!O16,SelectedPortfolio_2019RSP!D:D)</f>
        <v>287</v>
      </c>
      <c r="S16" s="76" t="str">
        <f t="shared" si="3"/>
        <v>ok</v>
      </c>
      <c r="T16" s="3">
        <f>SUMIF(SelectedPortfolio_2019RSP!B:B,'2_TxCapability'!O16,SelectedPortfolio_2019RSP!J:J)</f>
        <v>0</v>
      </c>
      <c r="U16" s="76" t="str">
        <f t="shared" si="4"/>
        <v>ok</v>
      </c>
      <c r="V16" s="76" t="str">
        <f t="shared" si="0"/>
        <v>ok</v>
      </c>
      <c r="W16" s="214">
        <f>SUMIF(SelectedPortfolio_2019RSP!B:B,'2_TxCapability'!O16,SelectedPortfolio_2019RSP!F:F)</f>
        <v>287</v>
      </c>
      <c r="X16" s="214" t="str">
        <f t="shared" si="5"/>
        <v>ok</v>
      </c>
      <c r="Y16" s="214">
        <f>SUMIF(SelectedPortfolio_2019RSP!B:B,'2_TxCapability'!O16,SelectedPortfolio_2019RSP!L:L)</f>
        <v>0</v>
      </c>
      <c r="Z16" s="214" t="str">
        <f t="shared" si="6"/>
        <v>ok</v>
      </c>
      <c r="AA16" s="214" t="str">
        <f t="shared" si="7"/>
        <v>ok</v>
      </c>
      <c r="AB16" s="429"/>
      <c r="AC16" s="275" t="s">
        <v>280</v>
      </c>
      <c r="AD16" s="3">
        <f>SUMIF(P:P,'2_TxCapability'!AC16,R:R)</f>
        <v>156.73000000000002</v>
      </c>
      <c r="AE16" s="3">
        <f>SUMIF(P:P,'2_TxCapability'!AC16,T:T)</f>
        <v>144.93</v>
      </c>
      <c r="AF16" s="276">
        <f t="shared" si="9"/>
        <v>843.27</v>
      </c>
      <c r="AG16" s="276">
        <f>IF(D16-AD16&lt;0,1,0)</f>
        <v>0</v>
      </c>
      <c r="AH16" s="276">
        <f t="shared" ref="AH16:AH18" si="16">IFERROR(L16-AE16,"")</f>
        <v>4035.07</v>
      </c>
      <c r="AI16" s="276">
        <f t="shared" si="8"/>
        <v>0</v>
      </c>
      <c r="AJ16" s="3">
        <f>SUMIF(P:P,'2_TxCapability'!AC16,W:W)</f>
        <v>156.73000000000002</v>
      </c>
      <c r="AK16" s="3">
        <f>SUMIF(P:P,'2_TxCapability'!AC16,Y:Y)</f>
        <v>144.93</v>
      </c>
      <c r="AL16" s="276">
        <f t="shared" si="11"/>
        <v>843.27</v>
      </c>
      <c r="AM16" s="220">
        <f t="shared" si="12"/>
        <v>0</v>
      </c>
      <c r="AN16" s="276">
        <f t="shared" si="15"/>
        <v>4035.07</v>
      </c>
      <c r="AO16" s="220">
        <f t="shared" si="13"/>
        <v>0</v>
      </c>
    </row>
    <row r="17" spans="2:41">
      <c r="B17" s="514" t="s">
        <v>281</v>
      </c>
      <c r="C17" s="515"/>
      <c r="D17" s="61">
        <v>400</v>
      </c>
      <c r="E17" s="59"/>
      <c r="F17" s="59">
        <v>700</v>
      </c>
      <c r="G17" s="59"/>
      <c r="H17" s="461"/>
      <c r="I17" s="59"/>
      <c r="J17" s="461">
        <v>53</v>
      </c>
      <c r="K17" s="59"/>
      <c r="L17" s="390">
        <v>400</v>
      </c>
      <c r="M17" s="429"/>
      <c r="N17" s="429"/>
      <c r="O17" s="29" t="s">
        <v>62</v>
      </c>
      <c r="P17" s="275" t="s">
        <v>282</v>
      </c>
      <c r="Q17" s="76">
        <f t="shared" si="2"/>
        <v>0</v>
      </c>
      <c r="R17" s="76">
        <f>SUMIF(SelectedPortfolio_2019RSP!B:B,'2_TxCapability'!O17,SelectedPortfolio_2019RSP!D:D)</f>
        <v>0</v>
      </c>
      <c r="S17" s="76" t="str">
        <f t="shared" si="3"/>
        <v>ok</v>
      </c>
      <c r="T17" s="3">
        <f>SUMIF(SelectedPortfolio_2019RSP!B:B,'2_TxCapability'!O17,SelectedPortfolio_2019RSP!J:J)</f>
        <v>0</v>
      </c>
      <c r="U17" s="76" t="str">
        <f t="shared" si="4"/>
        <v>ok</v>
      </c>
      <c r="V17" s="76" t="str">
        <f>IF(AND(S17="ok",U17="ok"), "ok","")</f>
        <v>ok</v>
      </c>
      <c r="W17" s="214">
        <f>SUMIF(SelectedPortfolio_2019RSP!B:B,'2_TxCapability'!O17,SelectedPortfolio_2019RSP!F:F)</f>
        <v>0</v>
      </c>
      <c r="X17" s="214" t="str">
        <f t="shared" si="5"/>
        <v>ok</v>
      </c>
      <c r="Y17" s="214">
        <f>SUMIF(SelectedPortfolio_2019RSP!B:B,'2_TxCapability'!O17,SelectedPortfolio_2019RSP!L:L)</f>
        <v>0</v>
      </c>
      <c r="Z17" s="214" t="str">
        <f t="shared" si="6"/>
        <v>ok</v>
      </c>
      <c r="AA17" s="214" t="str">
        <f t="shared" si="7"/>
        <v>ok</v>
      </c>
      <c r="AB17" s="429"/>
      <c r="AC17" s="275" t="s">
        <v>277</v>
      </c>
      <c r="AD17" s="3">
        <f>SUMIF(P:P,'2_TxCapability'!AC17,R:R)</f>
        <v>287</v>
      </c>
      <c r="AE17" s="3">
        <f>SUMIF(P:P,'2_TxCapability'!AC17,T:T)</f>
        <v>0</v>
      </c>
      <c r="AF17" s="276">
        <f t="shared" si="9"/>
        <v>113</v>
      </c>
      <c r="AG17" s="276">
        <f>IF(D17-AD17&lt;0,1,0)</f>
        <v>0</v>
      </c>
      <c r="AH17" s="276">
        <f t="shared" ref="AH17" si="17">IFERROR(L17-D17-AE17,"")</f>
        <v>0</v>
      </c>
      <c r="AI17" s="276">
        <f t="shared" si="8"/>
        <v>0</v>
      </c>
      <c r="AJ17" s="3">
        <f>SUMIF(P:P,'2_TxCapability'!AC17,W:W)</f>
        <v>287</v>
      </c>
      <c r="AK17" s="3">
        <f>SUMIF(P:P,'2_TxCapability'!AC17,Y:Y)</f>
        <v>0</v>
      </c>
      <c r="AL17" s="276">
        <f t="shared" si="11"/>
        <v>113</v>
      </c>
      <c r="AM17" s="220">
        <f t="shared" si="12"/>
        <v>0</v>
      </c>
      <c r="AN17" s="276">
        <f t="shared" ref="AN17" si="18">IFERROR(L17-D17-AK17,"")</f>
        <v>0</v>
      </c>
      <c r="AO17" s="220">
        <f t="shared" si="13"/>
        <v>0</v>
      </c>
    </row>
    <row r="18" spans="2:41">
      <c r="B18" s="61" t="s">
        <v>283</v>
      </c>
      <c r="C18" s="61"/>
      <c r="D18" s="61">
        <v>1000</v>
      </c>
      <c r="E18" s="59"/>
      <c r="F18" s="59">
        <v>1000</v>
      </c>
      <c r="G18" s="59"/>
      <c r="H18" s="461"/>
      <c r="I18" s="59"/>
      <c r="J18" s="461">
        <v>274</v>
      </c>
      <c r="K18" s="59"/>
      <c r="L18" s="389">
        <v>1000</v>
      </c>
      <c r="M18" s="429"/>
      <c r="N18" s="429"/>
      <c r="O18" s="29" t="s">
        <v>63</v>
      </c>
      <c r="P18" s="40" t="s">
        <v>282</v>
      </c>
      <c r="Q18" s="76">
        <f t="shared" si="2"/>
        <v>173</v>
      </c>
      <c r="R18" s="76">
        <f>SUMIF(SelectedPortfolio_2019RSP!B:B,'2_TxCapability'!O18,SelectedPortfolio_2019RSP!D:D)</f>
        <v>173</v>
      </c>
      <c r="S18" s="76" t="str">
        <f t="shared" si="3"/>
        <v>ok</v>
      </c>
      <c r="T18" s="3">
        <f>SUMIF(SelectedPortfolio_2019RSP!B:B,'2_TxCapability'!O18,SelectedPortfolio_2019RSP!J:J)</f>
        <v>0</v>
      </c>
      <c r="U18" s="76" t="str">
        <f t="shared" si="4"/>
        <v>ok</v>
      </c>
      <c r="V18" s="76" t="str">
        <f t="shared" ref="V18:V72" si="19">IF(AND(S18="ok",U18="ok"), "ok","")</f>
        <v>ok</v>
      </c>
      <c r="W18" s="214">
        <f>SUMIF(SelectedPortfolio_2019RSP!B:B,'2_TxCapability'!O18,SelectedPortfolio_2019RSP!F:F)</f>
        <v>173</v>
      </c>
      <c r="X18" s="214" t="str">
        <f t="shared" si="5"/>
        <v>ok</v>
      </c>
      <c r="Y18" s="214">
        <f>SUMIF(SelectedPortfolio_2019RSP!B:B,'2_TxCapability'!O18,SelectedPortfolio_2019RSP!L:L)</f>
        <v>0</v>
      </c>
      <c r="Z18" s="214" t="str">
        <f t="shared" si="6"/>
        <v>ok</v>
      </c>
      <c r="AA18" s="214" t="str">
        <f t="shared" si="7"/>
        <v>ok</v>
      </c>
      <c r="AB18" s="429"/>
      <c r="AC18" s="275" t="s">
        <v>282</v>
      </c>
      <c r="AD18" s="3">
        <f>SUMIF(P:P,'2_TxCapability'!AC18,R:R)</f>
        <v>173</v>
      </c>
      <c r="AE18" s="3">
        <f>SUMIF(P:P,'2_TxCapability'!AC18,T:T)</f>
        <v>0</v>
      </c>
      <c r="AF18" s="276">
        <f t="shared" si="9"/>
        <v>827</v>
      </c>
      <c r="AG18" s="276">
        <f>IF(D18-AD18&lt;0,1,0)</f>
        <v>0</v>
      </c>
      <c r="AH18" s="276">
        <f t="shared" si="16"/>
        <v>1000</v>
      </c>
      <c r="AI18" s="276">
        <f t="shared" si="8"/>
        <v>0</v>
      </c>
      <c r="AJ18" s="3">
        <f>SUMIF(P:P,'2_TxCapability'!AC18,W:W)</f>
        <v>173</v>
      </c>
      <c r="AK18" s="3">
        <f>SUMIF(P:P,'2_TxCapability'!AC18,Y:Y)</f>
        <v>0</v>
      </c>
      <c r="AL18" s="276">
        <f t="shared" si="11"/>
        <v>827</v>
      </c>
      <c r="AM18" s="220">
        <f t="shared" si="12"/>
        <v>0</v>
      </c>
      <c r="AN18" s="276">
        <f t="shared" si="15"/>
        <v>1000</v>
      </c>
      <c r="AO18" s="220">
        <f t="shared" si="13"/>
        <v>0</v>
      </c>
    </row>
    <row r="19" spans="2:41">
      <c r="B19" s="510"/>
      <c r="C19" s="510"/>
      <c r="D19" s="510"/>
      <c r="E19" s="510"/>
      <c r="F19" s="510"/>
      <c r="G19" s="510"/>
      <c r="H19" s="510"/>
      <c r="I19" s="510"/>
      <c r="J19" s="510"/>
      <c r="K19" s="510"/>
      <c r="L19" s="3"/>
      <c r="M19" s="429"/>
      <c r="N19" s="429"/>
      <c r="O19" s="29" t="s">
        <v>65</v>
      </c>
      <c r="P19" s="40"/>
      <c r="Q19" s="76">
        <f t="shared" si="2"/>
        <v>0</v>
      </c>
      <c r="R19" s="76">
        <f>SUMIF(SelectedPortfolio_2019RSP!B:B,'2_TxCapability'!O19,SelectedPortfolio_2019RSP!D:D)</f>
        <v>0</v>
      </c>
      <c r="S19" s="76"/>
      <c r="T19" s="3">
        <f>SUMIF(SelectedPortfolio_2019RSP!B:B,'2_TxCapability'!O19,SelectedPortfolio_2019RSP!J:J)</f>
        <v>0</v>
      </c>
      <c r="U19" s="76" t="str">
        <f t="shared" si="4"/>
        <v/>
      </c>
      <c r="V19" s="76" t="str">
        <f t="shared" si="19"/>
        <v/>
      </c>
      <c r="W19" s="214">
        <f>SUMIF(SelectedPortfolio_2019RSP!B:B,'2_TxCapability'!O19,SelectedPortfolio_2019RSP!F:F)</f>
        <v>0</v>
      </c>
      <c r="X19" s="214" t="str">
        <f t="shared" si="5"/>
        <v/>
      </c>
      <c r="Y19" s="214">
        <f>SUMIF(SelectedPortfolio_2019RSP!B:B,'2_TxCapability'!O19,SelectedPortfolio_2019RSP!L:L)</f>
        <v>0</v>
      </c>
      <c r="Z19" s="214" t="str">
        <f t="shared" si="6"/>
        <v/>
      </c>
      <c r="AA19" s="214" t="str">
        <f t="shared" si="1"/>
        <v/>
      </c>
      <c r="AB19" s="429"/>
      <c r="AC19" s="275"/>
      <c r="AD19" s="3"/>
      <c r="AE19" s="3"/>
      <c r="AF19" s="275"/>
      <c r="AG19" s="276"/>
      <c r="AH19" s="276"/>
      <c r="AI19" s="276"/>
      <c r="AJ19" s="3"/>
      <c r="AK19" s="3"/>
      <c r="AL19" s="275"/>
      <c r="AM19" s="216"/>
      <c r="AN19" s="275"/>
      <c r="AO19" s="216"/>
    </row>
    <row r="20" spans="2:41">
      <c r="B20" s="512" t="s">
        <v>207</v>
      </c>
      <c r="C20" s="512"/>
      <c r="D20" s="58">
        <v>4300</v>
      </c>
      <c r="E20" s="58">
        <v>1000</v>
      </c>
      <c r="F20" s="58"/>
      <c r="G20" s="58"/>
      <c r="H20" s="60"/>
      <c r="I20" s="60">
        <v>100</v>
      </c>
      <c r="J20" s="60"/>
      <c r="K20" s="60"/>
      <c r="L20" s="214">
        <v>5100</v>
      </c>
      <c r="M20" s="429"/>
      <c r="N20" s="429"/>
      <c r="O20" s="29" t="s">
        <v>66</v>
      </c>
      <c r="P20" s="40"/>
      <c r="Q20" s="76">
        <f t="shared" si="2"/>
        <v>0</v>
      </c>
      <c r="R20" s="76">
        <f>SUMIF(SelectedPortfolio_2019RSP!B:B,'2_TxCapability'!O20,SelectedPortfolio_2019RSP!D:D)</f>
        <v>0</v>
      </c>
      <c r="S20" s="76"/>
      <c r="T20" s="3">
        <f>SUMIF(SelectedPortfolio_2019RSP!B:B,'2_TxCapability'!O20,SelectedPortfolio_2019RSP!J:J)</f>
        <v>0</v>
      </c>
      <c r="U20" s="76" t="str">
        <f t="shared" si="4"/>
        <v/>
      </c>
      <c r="V20" s="76" t="str">
        <f t="shared" si="19"/>
        <v/>
      </c>
      <c r="W20" s="214">
        <f>SUMIF(SelectedPortfolio_2019RSP!B:B,'2_TxCapability'!O20,SelectedPortfolio_2019RSP!F:F)</f>
        <v>0</v>
      </c>
      <c r="X20" s="214" t="str">
        <f t="shared" si="5"/>
        <v/>
      </c>
      <c r="Y20" s="214">
        <f>SUMIF(SelectedPortfolio_2019RSP!B:B,'2_TxCapability'!O20,SelectedPortfolio_2019RSP!L:L)</f>
        <v>0</v>
      </c>
      <c r="Z20" s="214" t="str">
        <f t="shared" si="6"/>
        <v/>
      </c>
      <c r="AA20" s="214" t="str">
        <f t="shared" si="1"/>
        <v/>
      </c>
      <c r="AB20" s="429"/>
      <c r="AC20" s="58" t="s">
        <v>207</v>
      </c>
      <c r="AD20" s="3">
        <f>SUMIF(P:P,'2_TxCapability'!AC20,R:R)</f>
        <v>3677</v>
      </c>
      <c r="AE20" s="3">
        <f>SUMIF(P:P,'2_TxCapability'!AC20,T:T)</f>
        <v>800</v>
      </c>
      <c r="AF20" s="276">
        <f t="shared" si="9"/>
        <v>623</v>
      </c>
      <c r="AG20" s="276">
        <f>IF(D20-AD20&lt;0,1,0)</f>
        <v>0</v>
      </c>
      <c r="AH20" s="387">
        <f>L20-D20-SUM(AE20)</f>
        <v>0</v>
      </c>
      <c r="AI20" s="276">
        <f>IFERROR(IF(L20-AE20&lt;0,1,0),"")</f>
        <v>0</v>
      </c>
      <c r="AJ20" s="3">
        <f>SUMIF(P:P,'2_TxCapability'!AC20,W:W)</f>
        <v>3677</v>
      </c>
      <c r="AK20" s="3">
        <f>SUMIF(P:P,'2_TxCapability'!AC20,Y:Y)</f>
        <v>800</v>
      </c>
      <c r="AL20" s="387">
        <f t="shared" si="11"/>
        <v>623</v>
      </c>
      <c r="AM20" s="220">
        <f t="shared" si="12"/>
        <v>0</v>
      </c>
      <c r="AN20" s="387">
        <f t="shared" ref="AN20" si="20">IFERROR(L20-D20-AK20,"")</f>
        <v>0</v>
      </c>
      <c r="AO20" s="220">
        <f t="shared" si="13"/>
        <v>0</v>
      </c>
    </row>
    <row r="21" spans="2:41">
      <c r="B21" s="510"/>
      <c r="C21" s="510"/>
      <c r="D21" s="510"/>
      <c r="E21" s="510"/>
      <c r="F21" s="510"/>
      <c r="G21" s="510"/>
      <c r="H21" s="510"/>
      <c r="I21" s="510"/>
      <c r="J21" s="510"/>
      <c r="K21" s="510"/>
      <c r="L21" s="3"/>
      <c r="M21" s="429"/>
      <c r="N21" s="429"/>
      <c r="O21" s="29" t="s">
        <v>67</v>
      </c>
      <c r="P21" s="275" t="s">
        <v>263</v>
      </c>
      <c r="Q21" s="76">
        <f t="shared" si="2"/>
        <v>547.9</v>
      </c>
      <c r="R21" s="76">
        <f>SUMIF(SelectedPortfolio_2019RSP!B:B,'2_TxCapability'!O21,SelectedPortfolio_2019RSP!D:D)</f>
        <v>0</v>
      </c>
      <c r="S21" s="76" t="str">
        <f t="shared" ref="S21:S55" si="21">IF(INDEX(AG:AG,MATCH(P21,AC:AC,0)),"breach","ok")</f>
        <v>ok</v>
      </c>
      <c r="T21" s="3">
        <f>SUMIF(SelectedPortfolio_2019RSP!B:B,'2_TxCapability'!O21,SelectedPortfolio_2019RSP!J:J)</f>
        <v>547.9</v>
      </c>
      <c r="U21" s="76" t="str">
        <f t="shared" si="4"/>
        <v>ok</v>
      </c>
      <c r="V21" s="76" t="str">
        <f t="shared" si="19"/>
        <v>ok</v>
      </c>
      <c r="W21" s="214">
        <f>SUMIF(SelectedPortfolio_2019RSP!B:B,'2_TxCapability'!O21,SelectedPortfolio_2019RSP!F:F)</f>
        <v>0</v>
      </c>
      <c r="X21" s="214" t="str">
        <f t="shared" si="5"/>
        <v>ok</v>
      </c>
      <c r="Y21" s="214">
        <f>SUMIF(SelectedPortfolio_2019RSP!B:B,'2_TxCapability'!O21,SelectedPortfolio_2019RSP!L:L)</f>
        <v>547.9</v>
      </c>
      <c r="Z21" s="214" t="str">
        <f t="shared" si="6"/>
        <v>ok</v>
      </c>
      <c r="AA21" s="214" t="str">
        <f t="shared" ref="AA21:AA55" si="22">IF(AND(X21="ok",Z21="ok"), "ok","breach")</f>
        <v>ok</v>
      </c>
      <c r="AB21" s="429"/>
      <c r="AC21" s="58" t="s">
        <v>284</v>
      </c>
      <c r="AD21" s="3"/>
      <c r="AE21" s="3"/>
      <c r="AF21" s="387">
        <f>D22-SUM(AD22:AD25)</f>
        <v>203</v>
      </c>
      <c r="AG21" s="276"/>
      <c r="AH21" s="387">
        <f>L21-D21-SUM(AE22:AE25)</f>
        <v>0</v>
      </c>
      <c r="AI21" s="276"/>
      <c r="AJ21" s="3"/>
      <c r="AK21" s="3"/>
      <c r="AL21" s="387">
        <f>D22-SUM(AJ22:AJ25)</f>
        <v>203</v>
      </c>
      <c r="AM21" s="220"/>
      <c r="AN21" s="387">
        <f>IFERROR(L21-D21-SUM(AK22:AK25),"")</f>
        <v>0</v>
      </c>
      <c r="AO21" s="220"/>
    </row>
    <row r="22" spans="2:41">
      <c r="B22" s="58" t="s">
        <v>284</v>
      </c>
      <c r="C22" s="58"/>
      <c r="D22" s="58">
        <v>600</v>
      </c>
      <c r="E22" s="58"/>
      <c r="F22" s="58">
        <v>400</v>
      </c>
      <c r="G22" s="58"/>
      <c r="H22" s="60"/>
      <c r="I22" s="60"/>
      <c r="J22" s="60">
        <v>146</v>
      </c>
      <c r="K22" s="60"/>
      <c r="L22" s="214">
        <v>600</v>
      </c>
      <c r="M22" s="429"/>
      <c r="N22" s="429"/>
      <c r="O22" s="29" t="s">
        <v>70</v>
      </c>
      <c r="P22" s="275" t="s">
        <v>263</v>
      </c>
      <c r="Q22" s="76">
        <f t="shared" si="2"/>
        <v>0</v>
      </c>
      <c r="R22" s="76">
        <f>SUMIF(SelectedPortfolio_2019RSP!B:B,'2_TxCapability'!O22,SelectedPortfolio_2019RSP!D:D)</f>
        <v>0</v>
      </c>
      <c r="S22" s="76" t="str">
        <f t="shared" si="21"/>
        <v>ok</v>
      </c>
      <c r="T22" s="3">
        <f>SUMIF(SelectedPortfolio_2019RSP!B:B,'2_TxCapability'!O22,SelectedPortfolio_2019RSP!J:J)</f>
        <v>0</v>
      </c>
      <c r="U22" s="76" t="str">
        <f t="shared" si="4"/>
        <v>ok</v>
      </c>
      <c r="V22" s="76" t="str">
        <f t="shared" si="19"/>
        <v>ok</v>
      </c>
      <c r="W22" s="214">
        <f>SUMIF(SelectedPortfolio_2019RSP!B:B,'2_TxCapability'!O22,SelectedPortfolio_2019RSP!F:F)</f>
        <v>0</v>
      </c>
      <c r="X22" s="214" t="str">
        <f t="shared" si="5"/>
        <v>ok</v>
      </c>
      <c r="Y22" s="214">
        <f>SUMIF(SelectedPortfolio_2019RSP!B:B,'2_TxCapability'!O22,SelectedPortfolio_2019RSP!L:L)</f>
        <v>0</v>
      </c>
      <c r="Z22" s="214" t="str">
        <f t="shared" si="6"/>
        <v>ok</v>
      </c>
      <c r="AA22" s="214" t="str">
        <f t="shared" si="22"/>
        <v>ok</v>
      </c>
      <c r="AB22" s="429"/>
      <c r="AC22" s="275" t="s">
        <v>285</v>
      </c>
      <c r="AD22" s="3">
        <f>SUMIF(P:P,'2_TxCapability'!AC22,R:R)</f>
        <v>0</v>
      </c>
      <c r="AE22" s="3">
        <f>SUMIF(P:P,'2_TxCapability'!AC22,T:T)</f>
        <v>0</v>
      </c>
      <c r="AF22" s="276">
        <f t="shared" si="9"/>
        <v>600</v>
      </c>
      <c r="AG22" s="276">
        <f>IF(SUM(AD23:AD25)&gt;D22,1,0)</f>
        <v>0</v>
      </c>
      <c r="AH22" s="276">
        <f>IFERROR(L22-D22-AE22,"")</f>
        <v>0</v>
      </c>
      <c r="AI22" s="276">
        <f>IFERROR(IF(L22-AE22&lt;0,1,0),"")</f>
        <v>0</v>
      </c>
      <c r="AJ22" s="3">
        <f>SUMIF(P:P,'2_TxCapability'!AC22,W:W)</f>
        <v>0</v>
      </c>
      <c r="AK22" s="3">
        <f>SUMIF(P:P,'2_TxCapability'!AC22,Y:Y)</f>
        <v>0</v>
      </c>
      <c r="AL22" s="276">
        <f t="shared" si="11"/>
        <v>600</v>
      </c>
      <c r="AM22" s="220">
        <f t="shared" si="12"/>
        <v>0</v>
      </c>
      <c r="AN22" s="276">
        <f t="shared" ref="AN22:AN25" si="23">IFERROR(L22-D22-AK22,"")</f>
        <v>0</v>
      </c>
      <c r="AO22" s="220">
        <f t="shared" si="13"/>
        <v>0</v>
      </c>
    </row>
    <row r="23" spans="2:41">
      <c r="B23" s="511" t="s">
        <v>286</v>
      </c>
      <c r="C23" s="511"/>
      <c r="D23" s="59">
        <v>300</v>
      </c>
      <c r="E23" s="59"/>
      <c r="F23" s="59">
        <v>400</v>
      </c>
      <c r="G23" s="59"/>
      <c r="H23" s="461"/>
      <c r="I23" s="59"/>
      <c r="J23" s="461">
        <v>485</v>
      </c>
      <c r="K23" s="59"/>
      <c r="L23" s="214">
        <v>300</v>
      </c>
      <c r="M23" s="429"/>
      <c r="N23" s="429"/>
      <c r="O23" s="29" t="s">
        <v>71</v>
      </c>
      <c r="P23" s="275" t="s">
        <v>285</v>
      </c>
      <c r="Q23" s="76">
        <f t="shared" si="2"/>
        <v>0</v>
      </c>
      <c r="R23" s="76">
        <f>SUMIF(SelectedPortfolio_2019RSP!B:B,'2_TxCapability'!O23,SelectedPortfolio_2019RSP!D:D)</f>
        <v>0</v>
      </c>
      <c r="S23" s="76" t="str">
        <f t="shared" si="21"/>
        <v>ok</v>
      </c>
      <c r="T23" s="3">
        <f>SUMIF(SelectedPortfolio_2019RSP!B:B,'2_TxCapability'!O23,SelectedPortfolio_2019RSP!J:J)</f>
        <v>0</v>
      </c>
      <c r="U23" s="76" t="str">
        <f t="shared" si="4"/>
        <v>ok</v>
      </c>
      <c r="V23" s="76" t="str">
        <f t="shared" si="19"/>
        <v>ok</v>
      </c>
      <c r="W23" s="214">
        <f>SUMIF(SelectedPortfolio_2019RSP!B:B,'2_TxCapability'!O23,SelectedPortfolio_2019RSP!F:F)</f>
        <v>0</v>
      </c>
      <c r="X23" s="214" t="str">
        <f t="shared" si="5"/>
        <v>ok</v>
      </c>
      <c r="Y23" s="214">
        <f>SUMIF(SelectedPortfolio_2019RSP!B:B,'2_TxCapability'!O23,SelectedPortfolio_2019RSP!L:L)</f>
        <v>0</v>
      </c>
      <c r="Z23" s="214" t="str">
        <f t="shared" si="6"/>
        <v>ok</v>
      </c>
      <c r="AA23" s="214" t="str">
        <f t="shared" si="22"/>
        <v>ok</v>
      </c>
      <c r="AB23" s="429"/>
      <c r="AC23" s="275" t="s">
        <v>287</v>
      </c>
      <c r="AD23" s="3">
        <f>SUMIF(P:P,'2_TxCapability'!AC23,R:R)</f>
        <v>300</v>
      </c>
      <c r="AE23" s="3">
        <f>SUMIF(P:P,'2_TxCapability'!AC23,T:T)</f>
        <v>0</v>
      </c>
      <c r="AF23" s="276">
        <f t="shared" si="9"/>
        <v>0</v>
      </c>
      <c r="AG23" s="276">
        <f>IF(SUM(AD23:AD25)&gt;D22,1,0)</f>
        <v>0</v>
      </c>
      <c r="AH23" s="276">
        <f t="shared" ref="AH23:AH31" si="24">IFERROR(L23-D23-AE23,"")</f>
        <v>0</v>
      </c>
      <c r="AI23" s="276">
        <f>IFERROR(IF(L23-AE23&lt;0,1,0),"")</f>
        <v>0</v>
      </c>
      <c r="AJ23" s="3">
        <f>SUMIF(P:P,'2_TxCapability'!AC23,W:W)</f>
        <v>300</v>
      </c>
      <c r="AK23" s="3">
        <f>SUMIF(P:P,'2_TxCapability'!AC23,Y:Y)</f>
        <v>0</v>
      </c>
      <c r="AL23" s="276">
        <f t="shared" si="11"/>
        <v>0</v>
      </c>
      <c r="AM23" s="220">
        <f t="shared" si="12"/>
        <v>0</v>
      </c>
      <c r="AN23" s="276">
        <f t="shared" si="23"/>
        <v>0</v>
      </c>
      <c r="AO23" s="220">
        <f t="shared" si="13"/>
        <v>0</v>
      </c>
    </row>
    <row r="24" spans="2:41">
      <c r="B24" s="61" t="s">
        <v>288</v>
      </c>
      <c r="C24" s="61"/>
      <c r="D24" s="61">
        <v>100</v>
      </c>
      <c r="E24" s="59"/>
      <c r="F24" s="59">
        <v>400</v>
      </c>
      <c r="G24" s="59"/>
      <c r="H24" s="461"/>
      <c r="I24" s="59"/>
      <c r="J24" s="461">
        <v>485</v>
      </c>
      <c r="K24" s="59"/>
      <c r="L24" s="214">
        <v>100</v>
      </c>
      <c r="M24" s="429"/>
      <c r="N24" s="429"/>
      <c r="O24" s="29" t="s">
        <v>72</v>
      </c>
      <c r="P24" s="275" t="s">
        <v>268</v>
      </c>
      <c r="Q24" s="76">
        <f t="shared" si="2"/>
        <v>34</v>
      </c>
      <c r="R24" s="76">
        <f>SUMIF(SelectedPortfolio_2019RSP!B:B,'2_TxCapability'!O24,SelectedPortfolio_2019RSP!D:D)</f>
        <v>0</v>
      </c>
      <c r="S24" s="76" t="str">
        <f t="shared" si="21"/>
        <v>ok</v>
      </c>
      <c r="T24" s="3">
        <f>SUMIF(SelectedPortfolio_2019RSP!B:B,'2_TxCapability'!O24,SelectedPortfolio_2019RSP!J:J)</f>
        <v>34</v>
      </c>
      <c r="U24" s="76" t="str">
        <f t="shared" si="4"/>
        <v>ok</v>
      </c>
      <c r="V24" s="76" t="str">
        <f t="shared" si="19"/>
        <v>ok</v>
      </c>
      <c r="W24" s="214">
        <f>SUMIF(SelectedPortfolio_2019RSP!B:B,'2_TxCapability'!O24,SelectedPortfolio_2019RSP!F:F)</f>
        <v>0</v>
      </c>
      <c r="X24" s="214" t="str">
        <f t="shared" si="5"/>
        <v>ok</v>
      </c>
      <c r="Y24" s="214">
        <f>SUMIF(SelectedPortfolio_2019RSP!B:B,'2_TxCapability'!O24,SelectedPortfolio_2019RSP!L:L)</f>
        <v>34</v>
      </c>
      <c r="Z24" s="214" t="str">
        <f t="shared" si="6"/>
        <v>ok</v>
      </c>
      <c r="AA24" s="214" t="str">
        <f t="shared" si="22"/>
        <v>ok</v>
      </c>
      <c r="AB24" s="429"/>
      <c r="AC24" s="275" t="s">
        <v>265</v>
      </c>
      <c r="AD24" s="3">
        <f>SUMIF(P:P,'2_TxCapability'!AC24,R:R)</f>
        <v>97</v>
      </c>
      <c r="AE24" s="3">
        <f>SUMIF(P:P,'2_TxCapability'!AC24,T:T)</f>
        <v>0</v>
      </c>
      <c r="AF24" s="276">
        <f t="shared" si="9"/>
        <v>3</v>
      </c>
      <c r="AG24" s="276">
        <f>IF(SUM(AD23:AD25)&gt;D22,1,0)</f>
        <v>0</v>
      </c>
      <c r="AH24" s="276">
        <f t="shared" si="24"/>
        <v>0</v>
      </c>
      <c r="AI24" s="276">
        <f>IFERROR(IF(L24-AE24&lt;0,1,0),"")</f>
        <v>0</v>
      </c>
      <c r="AJ24" s="3">
        <f>SUMIF(P:P,'2_TxCapability'!AC24,W:W)</f>
        <v>97</v>
      </c>
      <c r="AK24" s="3">
        <f>SUMIF(P:P,'2_TxCapability'!AC24,Y:Y)</f>
        <v>0</v>
      </c>
      <c r="AL24" s="276">
        <f t="shared" si="11"/>
        <v>3</v>
      </c>
      <c r="AM24" s="220">
        <f t="shared" si="12"/>
        <v>0</v>
      </c>
      <c r="AN24" s="276">
        <f t="shared" si="23"/>
        <v>0</v>
      </c>
      <c r="AO24" s="220">
        <f t="shared" si="13"/>
        <v>0</v>
      </c>
    </row>
    <row r="25" spans="2:41">
      <c r="B25" s="511" t="s">
        <v>289</v>
      </c>
      <c r="C25" s="511"/>
      <c r="D25" s="59">
        <v>400</v>
      </c>
      <c r="E25" s="59"/>
      <c r="F25" s="59">
        <v>400</v>
      </c>
      <c r="G25" s="59"/>
      <c r="H25" s="461"/>
      <c r="I25" s="59"/>
      <c r="J25" s="461">
        <v>261</v>
      </c>
      <c r="K25" s="59"/>
      <c r="L25" s="214">
        <v>400</v>
      </c>
      <c r="M25" s="429"/>
      <c r="N25" s="429"/>
      <c r="O25" s="29" t="s">
        <v>73</v>
      </c>
      <c r="P25" s="40" t="s">
        <v>265</v>
      </c>
      <c r="Q25" s="76">
        <f t="shared" si="2"/>
        <v>97</v>
      </c>
      <c r="R25" s="76">
        <f>SUMIF(SelectedPortfolio_2019RSP!B:B,'2_TxCapability'!O25,SelectedPortfolio_2019RSP!D:D)</f>
        <v>97</v>
      </c>
      <c r="S25" s="76" t="str">
        <f t="shared" si="21"/>
        <v>ok</v>
      </c>
      <c r="T25" s="3">
        <f>SUMIF(SelectedPortfolio_2019RSP!B:B,'2_TxCapability'!O25,SelectedPortfolio_2019RSP!J:J)</f>
        <v>0</v>
      </c>
      <c r="U25" s="76" t="str">
        <f t="shared" si="4"/>
        <v>ok</v>
      </c>
      <c r="V25" s="76" t="str">
        <f t="shared" si="19"/>
        <v>ok</v>
      </c>
      <c r="W25" s="214">
        <f>SUMIF(SelectedPortfolio_2019RSP!B:B,'2_TxCapability'!O25,SelectedPortfolio_2019RSP!F:F)</f>
        <v>97</v>
      </c>
      <c r="X25" s="214" t="str">
        <f t="shared" si="5"/>
        <v>ok</v>
      </c>
      <c r="Y25" s="214">
        <f>SUMIF(SelectedPortfolio_2019RSP!B:B,'2_TxCapability'!O25,SelectedPortfolio_2019RSP!L:L)</f>
        <v>0</v>
      </c>
      <c r="Z25" s="214" t="str">
        <f t="shared" si="6"/>
        <v>ok</v>
      </c>
      <c r="AA25" s="214" t="str">
        <f t="shared" si="22"/>
        <v>ok</v>
      </c>
      <c r="AB25" s="429"/>
      <c r="AC25" s="275" t="s">
        <v>290</v>
      </c>
      <c r="AD25" s="3">
        <f>SUMIF(P:P,'2_TxCapability'!AC25,R:R)</f>
        <v>0</v>
      </c>
      <c r="AE25" s="3">
        <f>SUMIF(P:P,'2_TxCapability'!AC25,T:T)</f>
        <v>0</v>
      </c>
      <c r="AF25" s="276">
        <f t="shared" si="9"/>
        <v>400</v>
      </c>
      <c r="AG25" s="276">
        <f>IF(SUM(AD23:AD25)&gt;D22,1,0)</f>
        <v>0</v>
      </c>
      <c r="AH25" s="276">
        <f t="shared" si="24"/>
        <v>0</v>
      </c>
      <c r="AI25" s="276">
        <f>IFERROR(IF(L25-AE25&lt;0,1,0),"")</f>
        <v>0</v>
      </c>
      <c r="AJ25" s="3">
        <f>SUMIF(P:P,'2_TxCapability'!AC25,W:W)</f>
        <v>0</v>
      </c>
      <c r="AK25" s="3">
        <f>SUMIF(P:P,'2_TxCapability'!AC25,Y:Y)</f>
        <v>0</v>
      </c>
      <c r="AL25" s="276">
        <f t="shared" si="11"/>
        <v>400</v>
      </c>
      <c r="AM25" s="220">
        <f t="shared" si="12"/>
        <v>0</v>
      </c>
      <c r="AN25" s="276">
        <f t="shared" si="23"/>
        <v>0</v>
      </c>
      <c r="AO25" s="220">
        <f t="shared" si="13"/>
        <v>0</v>
      </c>
    </row>
    <row r="26" spans="2:41">
      <c r="B26" s="510"/>
      <c r="C26" s="510"/>
      <c r="D26" s="510"/>
      <c r="E26" s="510"/>
      <c r="F26" s="510"/>
      <c r="G26" s="510"/>
      <c r="H26" s="510"/>
      <c r="I26" s="510"/>
      <c r="J26" s="510"/>
      <c r="K26" s="510"/>
      <c r="L26" s="3"/>
      <c r="M26" s="429"/>
      <c r="N26" s="429"/>
      <c r="O26" s="29" t="s">
        <v>75</v>
      </c>
      <c r="P26" s="275" t="s">
        <v>280</v>
      </c>
      <c r="Q26" s="76">
        <f t="shared" si="2"/>
        <v>241.66000000000003</v>
      </c>
      <c r="R26" s="76">
        <f>SUMIF(SelectedPortfolio_2019RSP!B:B,'2_TxCapability'!O26,SelectedPortfolio_2019RSP!D:D)</f>
        <v>96.73</v>
      </c>
      <c r="S26" s="76" t="str">
        <f t="shared" si="21"/>
        <v>ok</v>
      </c>
      <c r="T26" s="3">
        <f>SUMIF(SelectedPortfolio_2019RSP!B:B,'2_TxCapability'!O26,SelectedPortfolio_2019RSP!J:J)</f>
        <v>144.93</v>
      </c>
      <c r="U26" s="76" t="str">
        <f t="shared" si="4"/>
        <v>ok</v>
      </c>
      <c r="V26" s="76" t="str">
        <f t="shared" si="19"/>
        <v>ok</v>
      </c>
      <c r="W26" s="214">
        <f>SUMIF(SelectedPortfolio_2019RSP!B:B,'2_TxCapability'!O26,SelectedPortfolio_2019RSP!F:F)</f>
        <v>96.73</v>
      </c>
      <c r="X26" s="214" t="str">
        <f t="shared" si="5"/>
        <v>ok</v>
      </c>
      <c r="Y26" s="214">
        <f>SUMIF(SelectedPortfolio_2019RSP!B:B,'2_TxCapability'!O26,SelectedPortfolio_2019RSP!L:L)</f>
        <v>144.93</v>
      </c>
      <c r="Z26" s="214" t="str">
        <f t="shared" si="6"/>
        <v>ok</v>
      </c>
      <c r="AA26" s="214" t="str">
        <f t="shared" si="22"/>
        <v>ok</v>
      </c>
      <c r="AB26" s="429"/>
      <c r="AC26" s="58" t="s">
        <v>291</v>
      </c>
      <c r="AD26" s="3"/>
      <c r="AE26" s="3"/>
      <c r="AF26" s="387">
        <f>D27-SUM(AD27:AD31)</f>
        <v>349.92000000000007</v>
      </c>
      <c r="AG26" s="276"/>
      <c r="AH26" s="387">
        <f>L27-D27-SUM(AE27:AE31)</f>
        <v>4565.93</v>
      </c>
      <c r="AI26" s="276"/>
      <c r="AJ26" s="3"/>
      <c r="AK26" s="3"/>
      <c r="AL26" s="387">
        <f>D27-SUM(AJ27:AJ31)</f>
        <v>-512.07999999999993</v>
      </c>
      <c r="AM26" s="220">
        <f t="shared" si="12"/>
        <v>0</v>
      </c>
      <c r="AN26" s="387">
        <f>IFERROR(L27-D27-SUM(AK28:AK31),"")</f>
        <v>4895.93</v>
      </c>
      <c r="AO26" s="220">
        <f t="shared" si="13"/>
        <v>0</v>
      </c>
    </row>
    <row r="27" spans="2:41">
      <c r="B27" s="58" t="s">
        <v>291</v>
      </c>
      <c r="C27" s="58"/>
      <c r="D27" s="58">
        <v>3000</v>
      </c>
      <c r="E27" s="58"/>
      <c r="F27" s="58">
        <v>2800</v>
      </c>
      <c r="G27" s="58"/>
      <c r="H27" s="60"/>
      <c r="I27" s="60"/>
      <c r="J27" s="60">
        <v>2156</v>
      </c>
      <c r="K27" s="60"/>
      <c r="L27" s="214">
        <v>9600</v>
      </c>
      <c r="M27" s="429"/>
      <c r="N27" s="429"/>
      <c r="O27" s="29" t="s">
        <v>76</v>
      </c>
      <c r="P27" s="275" t="s">
        <v>280</v>
      </c>
      <c r="Q27" s="76">
        <f t="shared" si="2"/>
        <v>60</v>
      </c>
      <c r="R27" s="76">
        <f>SUMIF(SelectedPortfolio_2019RSP!B:B,'2_TxCapability'!O27,SelectedPortfolio_2019RSP!D:D)</f>
        <v>60</v>
      </c>
      <c r="S27" s="76" t="str">
        <f t="shared" si="21"/>
        <v>ok</v>
      </c>
      <c r="T27" s="3">
        <f>SUMIF(SelectedPortfolio_2019RSP!B:B,'2_TxCapability'!O27,SelectedPortfolio_2019RSP!J:J)</f>
        <v>0</v>
      </c>
      <c r="U27" s="76" t="str">
        <f t="shared" si="4"/>
        <v>ok</v>
      </c>
      <c r="V27" s="76" t="str">
        <f t="shared" si="19"/>
        <v>ok</v>
      </c>
      <c r="W27" s="214">
        <f>SUMIF(SelectedPortfolio_2019RSP!B:B,'2_TxCapability'!O27,SelectedPortfolio_2019RSP!F:F)</f>
        <v>60</v>
      </c>
      <c r="X27" s="214" t="str">
        <f t="shared" si="5"/>
        <v>ok</v>
      </c>
      <c r="Y27" s="214">
        <f>SUMIF(SelectedPortfolio_2019RSP!B:B,'2_TxCapability'!O27,SelectedPortfolio_2019RSP!L:L)</f>
        <v>0</v>
      </c>
      <c r="Z27" s="214" t="str">
        <f t="shared" si="6"/>
        <v>ok</v>
      </c>
      <c r="AA27" s="214" t="str">
        <f t="shared" si="22"/>
        <v>ok</v>
      </c>
      <c r="AB27" s="429"/>
      <c r="AC27" s="275" t="s">
        <v>275</v>
      </c>
      <c r="AD27" s="3">
        <f>SUMIF(P:P,'2_TxCapability'!AC27,R:R)</f>
        <v>0</v>
      </c>
      <c r="AE27" s="3">
        <f>SUMIF(P:P,'2_TxCapability'!AC27,T:T)</f>
        <v>330</v>
      </c>
      <c r="AF27" s="276">
        <f t="shared" si="9"/>
        <v>3000</v>
      </c>
      <c r="AG27" s="276">
        <f>IF(D27-AD27&lt;0,1,0)</f>
        <v>0</v>
      </c>
      <c r="AH27" s="276">
        <f t="shared" si="24"/>
        <v>6270</v>
      </c>
      <c r="AI27" s="276">
        <f>IFERROR(IF(L27-AE27&lt;0,1,0),"")</f>
        <v>0</v>
      </c>
      <c r="AJ27" s="3">
        <f>SUMIF(P:P,'2_TxCapability'!AC27,W:W)</f>
        <v>862</v>
      </c>
      <c r="AK27" s="3">
        <f>SUMIF(P:P,'2_TxCapability'!AC27,Y:Y)</f>
        <v>330</v>
      </c>
      <c r="AL27" s="276">
        <f t="shared" si="11"/>
        <v>2138</v>
      </c>
      <c r="AM27" s="220">
        <f t="shared" si="12"/>
        <v>0</v>
      </c>
      <c r="AN27" s="276">
        <f>IFERROR(L27-D27-AK27,"")</f>
        <v>6270</v>
      </c>
      <c r="AO27" s="220">
        <f t="shared" si="13"/>
        <v>0</v>
      </c>
    </row>
    <row r="28" spans="2:41">
      <c r="B28" s="61" t="s">
        <v>292</v>
      </c>
      <c r="C28" s="61"/>
      <c r="D28" s="61">
        <v>250</v>
      </c>
      <c r="E28" s="61"/>
      <c r="F28" s="61">
        <v>1400</v>
      </c>
      <c r="G28" s="61"/>
      <c r="H28" s="461"/>
      <c r="I28" s="59"/>
      <c r="J28" s="461">
        <v>76</v>
      </c>
      <c r="K28" s="59"/>
      <c r="L28" s="214">
        <v>2400</v>
      </c>
      <c r="M28" s="429"/>
      <c r="N28" s="429"/>
      <c r="O28" s="29" t="s">
        <v>77</v>
      </c>
      <c r="P28" s="275" t="s">
        <v>265</v>
      </c>
      <c r="Q28" s="76">
        <f t="shared" si="2"/>
        <v>0</v>
      </c>
      <c r="R28" s="76">
        <f>SUMIF(SelectedPortfolio_2019RSP!B:B,'2_TxCapability'!O28,SelectedPortfolio_2019RSP!D:D)</f>
        <v>0</v>
      </c>
      <c r="S28" s="76" t="str">
        <f t="shared" si="21"/>
        <v>ok</v>
      </c>
      <c r="T28" s="3">
        <f>SUMIF(SelectedPortfolio_2019RSP!B:B,'2_TxCapability'!O28,SelectedPortfolio_2019RSP!J:J)</f>
        <v>0</v>
      </c>
      <c r="U28" s="76" t="str">
        <f t="shared" si="4"/>
        <v>ok</v>
      </c>
      <c r="V28" s="76" t="str">
        <f t="shared" si="19"/>
        <v>ok</v>
      </c>
      <c r="W28" s="214">
        <f>SUMIF(SelectedPortfolio_2019RSP!B:B,'2_TxCapability'!O28,SelectedPortfolio_2019RSP!F:F)</f>
        <v>0</v>
      </c>
      <c r="X28" s="214" t="str">
        <f t="shared" si="5"/>
        <v>ok</v>
      </c>
      <c r="Y28" s="214">
        <f>SUMIF(SelectedPortfolio_2019RSP!B:B,'2_TxCapability'!O28,SelectedPortfolio_2019RSP!L:L)</f>
        <v>0</v>
      </c>
      <c r="Z28" s="214" t="str">
        <f t="shared" si="6"/>
        <v>ok</v>
      </c>
      <c r="AA28" s="214" t="str">
        <f t="shared" si="22"/>
        <v>ok</v>
      </c>
      <c r="AB28" s="429"/>
      <c r="AC28" s="275" t="s">
        <v>293</v>
      </c>
      <c r="AD28" s="3">
        <f>SUMIF(P:P,'2_TxCapability'!AC28,R:R)</f>
        <v>248</v>
      </c>
      <c r="AE28" s="3">
        <f>SUMIF(P:P,'2_TxCapability'!AC28,T:T)</f>
        <v>0</v>
      </c>
      <c r="AF28" s="276">
        <f t="shared" si="9"/>
        <v>2</v>
      </c>
      <c r="AG28" s="276">
        <f t="shared" ref="AG28:AG29" si="25">IF(D28-AD28&lt;0,1,0)</f>
        <v>0</v>
      </c>
      <c r="AH28" s="276">
        <f t="shared" si="24"/>
        <v>2150</v>
      </c>
      <c r="AI28" s="276">
        <f t="shared" ref="AI28:AI29" si="26">IFERROR(IF(L28-AE28&lt;0,1,0),"")</f>
        <v>0</v>
      </c>
      <c r="AJ28" s="3">
        <f>SUMIF(P:P,'2_TxCapability'!AC28,W:W)</f>
        <v>248</v>
      </c>
      <c r="AK28" s="3">
        <f>SUMIF(P:P,'2_TxCapability'!AC28,Y:Y)</f>
        <v>0</v>
      </c>
      <c r="AL28" s="276">
        <f t="shared" si="11"/>
        <v>2</v>
      </c>
      <c r="AM28" s="220">
        <f t="shared" ref="AM28:AM29" si="27">IF(D28-AJ28&lt;0,1,0)</f>
        <v>0</v>
      </c>
      <c r="AN28" s="276">
        <f t="shared" ref="AN28:AN29" si="28">IFERROR(L28-D28-AK28,"")</f>
        <v>2150</v>
      </c>
      <c r="AO28" s="220">
        <f t="shared" ref="AO28:AO29" si="29">IFERROR(IF(L28-AK28&lt;0,1,0),"")</f>
        <v>0</v>
      </c>
    </row>
    <row r="29" spans="2:41">
      <c r="B29" s="61" t="s">
        <v>294</v>
      </c>
      <c r="C29" s="61"/>
      <c r="D29" s="61">
        <v>700</v>
      </c>
      <c r="E29" s="463"/>
      <c r="F29" s="463">
        <v>1400</v>
      </c>
      <c r="G29" s="463"/>
      <c r="H29" s="461"/>
      <c r="I29" s="59"/>
      <c r="J29" s="461">
        <v>150</v>
      </c>
      <c r="K29" s="59"/>
      <c r="L29" s="214">
        <v>700</v>
      </c>
      <c r="M29" s="429"/>
      <c r="N29" s="429"/>
      <c r="O29" s="29" t="s">
        <v>78</v>
      </c>
      <c r="P29" s="275" t="s">
        <v>265</v>
      </c>
      <c r="Q29" s="76">
        <f t="shared" si="2"/>
        <v>0</v>
      </c>
      <c r="R29" s="76">
        <f>SUMIF(SelectedPortfolio_2019RSP!B:B,'2_TxCapability'!O29,SelectedPortfolio_2019RSP!D:D)</f>
        <v>0</v>
      </c>
      <c r="S29" s="76" t="str">
        <f t="shared" si="21"/>
        <v>ok</v>
      </c>
      <c r="T29" s="3">
        <f>SUMIF(SelectedPortfolio_2019RSP!B:B,'2_TxCapability'!O29,SelectedPortfolio_2019RSP!J:J)</f>
        <v>0</v>
      </c>
      <c r="U29" s="76" t="str">
        <f t="shared" si="4"/>
        <v>ok</v>
      </c>
      <c r="V29" s="76" t="str">
        <f t="shared" si="19"/>
        <v>ok</v>
      </c>
      <c r="W29" s="214">
        <f>SUMIF(SelectedPortfolio_2019RSP!B:B,'2_TxCapability'!O29,SelectedPortfolio_2019RSP!F:F)</f>
        <v>0</v>
      </c>
      <c r="X29" s="214" t="str">
        <f t="shared" si="5"/>
        <v>ok</v>
      </c>
      <c r="Y29" s="214">
        <f>SUMIF(SelectedPortfolio_2019RSP!B:B,'2_TxCapability'!O29,SelectedPortfolio_2019RSP!L:L)</f>
        <v>0</v>
      </c>
      <c r="Z29" s="214" t="str">
        <f t="shared" si="6"/>
        <v>ok</v>
      </c>
      <c r="AA29" s="214" t="str">
        <f t="shared" si="22"/>
        <v>ok</v>
      </c>
      <c r="AB29" s="429"/>
      <c r="AC29" s="275" t="s">
        <v>295</v>
      </c>
      <c r="AD29" s="3">
        <f>SUMIF(P:P,'2_TxCapability'!AC29,R:R)</f>
        <v>0</v>
      </c>
      <c r="AE29" s="3">
        <f>SUMIF(P:P,'2_TxCapability'!AC29,T:T)</f>
        <v>0</v>
      </c>
      <c r="AF29" s="276">
        <f t="shared" si="9"/>
        <v>700</v>
      </c>
      <c r="AG29" s="276">
        <f t="shared" si="25"/>
        <v>0</v>
      </c>
      <c r="AH29" s="276">
        <f>IFERROR(L29-D29-AE29,"")</f>
        <v>0</v>
      </c>
      <c r="AI29" s="276">
        <f t="shared" si="26"/>
        <v>0</v>
      </c>
      <c r="AJ29" s="3">
        <f>SUMIF(P:P,'2_TxCapability'!AC29,W:W)</f>
        <v>0</v>
      </c>
      <c r="AK29" s="3">
        <f>SUMIF(P:P,'2_TxCapability'!AC29,Y:Y)</f>
        <v>0</v>
      </c>
      <c r="AL29" s="276">
        <f t="shared" si="11"/>
        <v>700</v>
      </c>
      <c r="AM29" s="220">
        <f t="shared" si="27"/>
        <v>0</v>
      </c>
      <c r="AN29" s="276">
        <f t="shared" si="28"/>
        <v>0</v>
      </c>
      <c r="AO29" s="220">
        <f t="shared" si="29"/>
        <v>0</v>
      </c>
    </row>
    <row r="30" spans="2:41">
      <c r="B30" s="61" t="s">
        <v>296</v>
      </c>
      <c r="C30" s="61"/>
      <c r="D30" s="61">
        <v>1200</v>
      </c>
      <c r="E30" s="463"/>
      <c r="F30" s="463">
        <v>1400</v>
      </c>
      <c r="G30" s="463"/>
      <c r="H30" s="461"/>
      <c r="I30" s="59"/>
      <c r="J30" s="461">
        <v>2334</v>
      </c>
      <c r="K30" s="59"/>
      <c r="L30" s="214">
        <v>3100</v>
      </c>
      <c r="M30" s="429"/>
      <c r="N30" s="429"/>
      <c r="O30" s="18" t="s">
        <v>79</v>
      </c>
      <c r="P30" s="275" t="s">
        <v>293</v>
      </c>
      <c r="Q30" s="76">
        <f t="shared" ref="Q30" si="30">SUM(R30:T30)</f>
        <v>248</v>
      </c>
      <c r="R30" s="76">
        <f>SUMIF(SelectedPortfolio_2019RSP!B:B,'2_TxCapability'!O30,SelectedPortfolio_2019RSP!D:D)</f>
        <v>248</v>
      </c>
      <c r="S30" s="76" t="str">
        <f t="shared" si="21"/>
        <v>ok</v>
      </c>
      <c r="T30" s="3">
        <f>SUMIF(SelectedPortfolio_2019RSP!B:B,'2_TxCapability'!O30,SelectedPortfolio_2019RSP!J:J)</f>
        <v>0</v>
      </c>
      <c r="U30" s="76" t="str">
        <f t="shared" si="4"/>
        <v>ok</v>
      </c>
      <c r="V30" s="76" t="str">
        <f t="shared" si="19"/>
        <v>ok</v>
      </c>
      <c r="W30" s="214">
        <f>SUMIF(SelectedPortfolio_2019RSP!B:B,'2_TxCapability'!O30,SelectedPortfolio_2019RSP!F:F)</f>
        <v>248</v>
      </c>
      <c r="X30" s="214" t="str">
        <f t="shared" si="5"/>
        <v>ok</v>
      </c>
      <c r="Y30" s="214">
        <f>SUMIF(SelectedPortfolio_2019RSP!B:B,'2_TxCapability'!O30,SelectedPortfolio_2019RSP!L:L)</f>
        <v>0</v>
      </c>
      <c r="Z30" s="214" t="str">
        <f t="shared" si="6"/>
        <v>ok</v>
      </c>
      <c r="AA30" s="214" t="str">
        <f t="shared" si="22"/>
        <v>ok</v>
      </c>
      <c r="AB30" s="429"/>
      <c r="AC30" s="275" t="s">
        <v>263</v>
      </c>
      <c r="AD30" s="3">
        <f>SUMIF(P:P,'2_TxCapability'!AC30,R:R)</f>
        <v>600</v>
      </c>
      <c r="AE30" s="3">
        <f>SUMIF(P:P,'2_TxCapability'!AC30,T:T)</f>
        <v>547.9</v>
      </c>
      <c r="AF30" s="276">
        <f t="shared" si="9"/>
        <v>600</v>
      </c>
      <c r="AG30" s="276">
        <f>IF(D30-AD30&lt;0,1,0)</f>
        <v>0</v>
      </c>
      <c r="AH30" s="276">
        <f>IFERROR(L30-D30-AE30,"")</f>
        <v>1352.1</v>
      </c>
      <c r="AI30" s="276">
        <f>IFERROR(IF(L30-AE30&lt;0,1,0),"")</f>
        <v>0</v>
      </c>
      <c r="AJ30" s="3">
        <f>SUMIF(P:P,'2_TxCapability'!AC30,W:W)</f>
        <v>600</v>
      </c>
      <c r="AK30" s="3">
        <f>SUMIF(P:P,'2_TxCapability'!AC30,Y:Y)</f>
        <v>547.9</v>
      </c>
      <c r="AL30" s="276">
        <f t="shared" si="11"/>
        <v>600</v>
      </c>
      <c r="AM30" s="220">
        <f t="shared" ref="AM30:AM31" si="31">IF(D30-AJ30&lt;0,1,0)</f>
        <v>0</v>
      </c>
      <c r="AN30" s="276">
        <f>IFERROR(L30-D30-AK30,"")</f>
        <v>1352.1</v>
      </c>
      <c r="AO30" s="220">
        <f t="shared" ref="AO30:AO37" si="32">IFERROR(IF(L30-AK30&lt;0,1,0),"")</f>
        <v>0</v>
      </c>
    </row>
    <row r="31" spans="2:41">
      <c r="B31" s="61" t="s">
        <v>297</v>
      </c>
      <c r="C31" s="61"/>
      <c r="D31" s="61">
        <v>2950</v>
      </c>
      <c r="E31" s="463"/>
      <c r="F31" s="463">
        <v>1500</v>
      </c>
      <c r="G31" s="463"/>
      <c r="H31" s="461"/>
      <c r="I31" s="59"/>
      <c r="J31" s="461">
        <v>2156</v>
      </c>
      <c r="K31" s="59"/>
      <c r="L31" s="214">
        <v>5500</v>
      </c>
      <c r="M31" s="429"/>
      <c r="N31" s="429"/>
      <c r="O31" s="29" t="s">
        <v>81</v>
      </c>
      <c r="P31" s="275" t="s">
        <v>287</v>
      </c>
      <c r="Q31" s="76">
        <f t="shared" si="2"/>
        <v>300</v>
      </c>
      <c r="R31" s="76">
        <f>SUMIF(SelectedPortfolio_2019RSP!B:B,'2_TxCapability'!O31,SelectedPortfolio_2019RSP!D:D)</f>
        <v>300</v>
      </c>
      <c r="S31" s="76" t="str">
        <f t="shared" si="21"/>
        <v>ok</v>
      </c>
      <c r="T31" s="3">
        <f>SUMIF(SelectedPortfolio_2019RSP!B:B,'2_TxCapability'!O31,SelectedPortfolio_2019RSP!J:J)</f>
        <v>0</v>
      </c>
      <c r="U31" s="76" t="str">
        <f t="shared" si="4"/>
        <v>ok</v>
      </c>
      <c r="V31" s="76" t="str">
        <f t="shared" si="19"/>
        <v>ok</v>
      </c>
      <c r="W31" s="214">
        <f>SUMIF(SelectedPortfolio_2019RSP!B:B,'2_TxCapability'!O31,SelectedPortfolio_2019RSP!F:F)</f>
        <v>300</v>
      </c>
      <c r="X31" s="214" t="str">
        <f t="shared" si="5"/>
        <v>ok</v>
      </c>
      <c r="Y31" s="214">
        <f>SUMIF(SelectedPortfolio_2019RSP!B:B,'2_TxCapability'!O31,SelectedPortfolio_2019RSP!L:L)</f>
        <v>0</v>
      </c>
      <c r="Z31" s="214" t="str">
        <f t="shared" si="6"/>
        <v>ok</v>
      </c>
      <c r="AA31" s="214" t="str">
        <f t="shared" si="22"/>
        <v>ok</v>
      </c>
      <c r="AB31" s="429"/>
      <c r="AC31" s="275" t="s">
        <v>271</v>
      </c>
      <c r="AD31" s="3">
        <f>SUMIF(P:P,'2_TxCapability'!AC31,R:R)</f>
        <v>1802.08</v>
      </c>
      <c r="AE31" s="3">
        <f>SUMIF(P:P,'2_TxCapability'!AC31,T:T)</f>
        <v>1156.17</v>
      </c>
      <c r="AF31" s="276">
        <f t="shared" si="9"/>
        <v>1147.92</v>
      </c>
      <c r="AG31" s="276">
        <f>IF(D31-AD31&lt;0,1,0)</f>
        <v>0</v>
      </c>
      <c r="AH31" s="276">
        <f t="shared" si="24"/>
        <v>1393.83</v>
      </c>
      <c r="AI31" s="276">
        <f>IFERROR(IF(L31-AE31&lt;0,1,0),"")</f>
        <v>0</v>
      </c>
      <c r="AJ31" s="3">
        <f>SUMIF(P:P,'2_TxCapability'!AC31,W:W)</f>
        <v>1802.08</v>
      </c>
      <c r="AK31" s="3">
        <f>SUMIF(P:P,'2_TxCapability'!AC31,Y:Y)</f>
        <v>1156.17</v>
      </c>
      <c r="AL31" s="276">
        <f t="shared" si="11"/>
        <v>1147.92</v>
      </c>
      <c r="AM31" s="220">
        <f t="shared" si="31"/>
        <v>0</v>
      </c>
      <c r="AN31" s="276">
        <f>IFERROR(L31-D31-AK31,"")</f>
        <v>1393.83</v>
      </c>
      <c r="AO31" s="220">
        <f t="shared" si="32"/>
        <v>0</v>
      </c>
    </row>
    <row r="32" spans="2:41">
      <c r="B32" s="70"/>
      <c r="C32" s="70"/>
      <c r="D32" s="70"/>
      <c r="E32" s="66"/>
      <c r="F32" s="66"/>
      <c r="G32" s="66"/>
      <c r="H32" s="67"/>
      <c r="I32" s="68"/>
      <c r="J32" s="67"/>
      <c r="K32" s="68"/>
      <c r="L32" s="69"/>
      <c r="M32" s="429"/>
      <c r="N32" s="429"/>
      <c r="O32" s="29" t="s">
        <v>82</v>
      </c>
      <c r="P32" s="275" t="s">
        <v>298</v>
      </c>
      <c r="Q32" s="76">
        <f t="shared" si="2"/>
        <v>0</v>
      </c>
      <c r="R32" s="76">
        <f>SUMIF(SelectedPortfolio_2019RSP!B:B,'2_TxCapability'!O32,SelectedPortfolio_2019RSP!D:D)</f>
        <v>0</v>
      </c>
      <c r="S32" s="76" t="str">
        <f t="shared" si="21"/>
        <v>ok</v>
      </c>
      <c r="T32" s="3">
        <f>SUMIF(SelectedPortfolio_2019RSP!B:B,'2_TxCapability'!O32,SelectedPortfolio_2019RSP!J:J)</f>
        <v>0</v>
      </c>
      <c r="U32" s="76" t="str">
        <f t="shared" si="4"/>
        <v>ok</v>
      </c>
      <c r="V32" s="76" t="str">
        <f t="shared" si="19"/>
        <v>ok</v>
      </c>
      <c r="W32" s="214">
        <f>SUMIF(SelectedPortfolio_2019RSP!B:B,'2_TxCapability'!O32,SelectedPortfolio_2019RSP!F:F)</f>
        <v>0</v>
      </c>
      <c r="X32" s="214" t="str">
        <f t="shared" si="5"/>
        <v>ok</v>
      </c>
      <c r="Y32" s="214">
        <f>SUMIF(SelectedPortfolio_2019RSP!B:B,'2_TxCapability'!O32,SelectedPortfolio_2019RSP!L:L)</f>
        <v>0</v>
      </c>
      <c r="Z32" s="214" t="str">
        <f t="shared" si="6"/>
        <v>ok</v>
      </c>
      <c r="AA32" s="214" t="str">
        <f t="shared" si="22"/>
        <v>ok</v>
      </c>
      <c r="AB32" s="429"/>
      <c r="AC32" s="58" t="s">
        <v>299</v>
      </c>
      <c r="AD32" s="3"/>
      <c r="AE32" s="3"/>
      <c r="AF32" s="387">
        <f>SUM(D34:D38)-SUM(AD33:AD38)</f>
        <v>0.53000000000020009</v>
      </c>
      <c r="AG32" s="276"/>
      <c r="AH32" s="276"/>
      <c r="AI32" s="276"/>
      <c r="AJ32" s="3"/>
      <c r="AK32" s="3"/>
      <c r="AL32" s="275"/>
      <c r="AM32" s="216"/>
      <c r="AN32" s="275"/>
      <c r="AO32" s="216"/>
    </row>
    <row r="33" spans="2:41">
      <c r="B33" s="275" t="s">
        <v>214</v>
      </c>
      <c r="C33" s="61"/>
      <c r="D33" s="61">
        <v>0</v>
      </c>
      <c r="E33" s="429"/>
      <c r="F33" s="429"/>
      <c r="G33" s="429"/>
      <c r="H33" s="429"/>
      <c r="I33" s="429"/>
      <c r="J33" s="429"/>
      <c r="K33" s="429"/>
      <c r="L33" s="269"/>
      <c r="M33" s="429"/>
      <c r="N33" s="429"/>
      <c r="O33" s="29" t="s">
        <v>83</v>
      </c>
      <c r="P33" s="275" t="s">
        <v>298</v>
      </c>
      <c r="Q33" s="76">
        <f t="shared" si="2"/>
        <v>865.9</v>
      </c>
      <c r="R33" s="76">
        <f>SUMIF(SelectedPortfolio_2019RSP!B:B,'2_TxCapability'!O33,SelectedPortfolio_2019RSP!D:D)</f>
        <v>865.9</v>
      </c>
      <c r="S33" s="76" t="str">
        <f t="shared" si="21"/>
        <v>ok</v>
      </c>
      <c r="T33" s="3">
        <f>SUMIF(SelectedPortfolio_2019RSP!B:B,'2_TxCapability'!O33,SelectedPortfolio_2019RSP!J:J)</f>
        <v>0</v>
      </c>
      <c r="U33" s="76" t="str">
        <f t="shared" si="4"/>
        <v>ok</v>
      </c>
      <c r="V33" s="76" t="str">
        <f t="shared" si="19"/>
        <v>ok</v>
      </c>
      <c r="W33" s="214">
        <f>SUMIF(SelectedPortfolio_2019RSP!B:B,'2_TxCapability'!O33,SelectedPortfolio_2019RSP!F:F)</f>
        <v>865.9</v>
      </c>
      <c r="X33" s="214" t="str">
        <f t="shared" si="5"/>
        <v>ok</v>
      </c>
      <c r="Y33" s="214">
        <f>SUMIF(SelectedPortfolio_2019RSP!B:B,'2_TxCapability'!O33,SelectedPortfolio_2019RSP!L:L)</f>
        <v>0</v>
      </c>
      <c r="Z33" s="214" t="str">
        <f t="shared" si="6"/>
        <v>ok</v>
      </c>
      <c r="AA33" s="214" t="str">
        <f t="shared" si="22"/>
        <v>ok</v>
      </c>
      <c r="AB33" s="429"/>
      <c r="AC33" s="275" t="s">
        <v>214</v>
      </c>
      <c r="AD33" s="3">
        <f>SUMIF(P:P,'2_TxCapability'!AC33,R:R)</f>
        <v>0</v>
      </c>
      <c r="AE33" s="3">
        <f>SUMIF(P:P,'2_TxCapability'!AC33,T:T)</f>
        <v>0</v>
      </c>
      <c r="AF33" s="276">
        <f t="shared" si="9"/>
        <v>0</v>
      </c>
      <c r="AG33" s="276">
        <f t="shared" ref="AG33:AG38" si="33">IF(D33-AD33&lt;0,1,0)</f>
        <v>0</v>
      </c>
      <c r="AH33" s="276"/>
      <c r="AI33" s="276">
        <f t="shared" ref="AI33:AI38" si="34">IFERROR(IF(L33-AE33&lt;0,1,0),"")</f>
        <v>0</v>
      </c>
      <c r="AJ33" s="3">
        <f>SUMIF(P:P,'2_TxCapability'!AC33,W:W)</f>
        <v>974</v>
      </c>
      <c r="AK33" s="3">
        <f>SUMIF(P:P,'2_TxCapability'!AC33,Y:Y)</f>
        <v>0</v>
      </c>
      <c r="AL33" s="276">
        <f t="shared" si="11"/>
        <v>-974</v>
      </c>
      <c r="AM33" s="220">
        <f t="shared" ref="AM33:AM37" si="35">IF(D33-AJ33&lt;0,1,0)</f>
        <v>1</v>
      </c>
      <c r="AN33" s="276"/>
      <c r="AO33" s="220">
        <f t="shared" si="32"/>
        <v>0</v>
      </c>
    </row>
    <row r="34" spans="2:41">
      <c r="B34" s="275" t="s">
        <v>300</v>
      </c>
      <c r="C34" s="275"/>
      <c r="D34" s="218">
        <v>0</v>
      </c>
      <c r="E34" s="429"/>
      <c r="F34" s="429"/>
      <c r="G34" s="429"/>
      <c r="H34" s="429"/>
      <c r="I34" s="429"/>
      <c r="J34" s="429"/>
      <c r="K34" s="429"/>
      <c r="L34" s="269"/>
      <c r="M34" s="429"/>
      <c r="N34" s="429"/>
      <c r="O34" s="29" t="s">
        <v>86</v>
      </c>
      <c r="P34" s="275" t="s">
        <v>267</v>
      </c>
      <c r="Q34" s="76">
        <f t="shared" si="2"/>
        <v>0</v>
      </c>
      <c r="R34" s="76">
        <f>SUMIF(SelectedPortfolio_2019RSP!B:B,'2_TxCapability'!O34,SelectedPortfolio_2019RSP!D:D)</f>
        <v>0</v>
      </c>
      <c r="S34" s="76" t="str">
        <f t="shared" si="21"/>
        <v>ok</v>
      </c>
      <c r="T34" s="3">
        <f>SUMIF(SelectedPortfolio_2019RSP!B:B,'2_TxCapability'!O34,SelectedPortfolio_2019RSP!J:J)</f>
        <v>0</v>
      </c>
      <c r="U34" s="76" t="str">
        <f t="shared" si="4"/>
        <v>ok</v>
      </c>
      <c r="V34" s="76" t="str">
        <f t="shared" si="19"/>
        <v>ok</v>
      </c>
      <c r="W34" s="214">
        <f>SUMIF(SelectedPortfolio_2019RSP!B:B,'2_TxCapability'!O34,SelectedPortfolio_2019RSP!F:F)</f>
        <v>0</v>
      </c>
      <c r="X34" s="214" t="str">
        <f t="shared" si="5"/>
        <v>ok</v>
      </c>
      <c r="Y34" s="214">
        <f>SUMIF(SelectedPortfolio_2019RSP!B:B,'2_TxCapability'!O34,SelectedPortfolio_2019RSP!L:L)</f>
        <v>0</v>
      </c>
      <c r="Z34" s="214" t="str">
        <f t="shared" si="6"/>
        <v>ok</v>
      </c>
      <c r="AA34" s="214" t="str">
        <f t="shared" si="22"/>
        <v>ok</v>
      </c>
      <c r="AB34" s="429"/>
      <c r="AC34" s="275" t="s">
        <v>300</v>
      </c>
      <c r="AD34" s="3">
        <f>SUMIF(P:P,'2_TxCapability'!AC34,R:R)</f>
        <v>0</v>
      </c>
      <c r="AE34" s="3">
        <f>SUMIF(P:P,'2_TxCapability'!AC34,T:T)</f>
        <v>0</v>
      </c>
      <c r="AF34" s="276">
        <f t="shared" si="9"/>
        <v>0</v>
      </c>
      <c r="AG34" s="276">
        <f t="shared" si="33"/>
        <v>0</v>
      </c>
      <c r="AH34" s="276"/>
      <c r="AI34" s="276">
        <f t="shared" si="34"/>
        <v>0</v>
      </c>
      <c r="AJ34" s="3">
        <f>SUMIF(P:P,'2_TxCapability'!AC34,W:W)</f>
        <v>0</v>
      </c>
      <c r="AK34" s="3">
        <f>SUMIF(P:P,'2_TxCapability'!AC34,Y:Y)</f>
        <v>0</v>
      </c>
      <c r="AL34" s="276">
        <f t="shared" si="11"/>
        <v>0</v>
      </c>
      <c r="AM34" s="220">
        <f t="shared" si="35"/>
        <v>0</v>
      </c>
      <c r="AN34" s="276"/>
      <c r="AO34" s="220">
        <f t="shared" si="32"/>
        <v>0</v>
      </c>
    </row>
    <row r="35" spans="2:41">
      <c r="B35" s="275" t="s">
        <v>298</v>
      </c>
      <c r="C35" s="275"/>
      <c r="D35" s="275">
        <v>866</v>
      </c>
      <c r="E35" s="429"/>
      <c r="F35" s="429"/>
      <c r="G35" s="429"/>
      <c r="H35" s="429"/>
      <c r="I35" s="429"/>
      <c r="J35" s="429"/>
      <c r="K35" s="429"/>
      <c r="L35" s="269"/>
      <c r="M35" s="429"/>
      <c r="N35" s="429"/>
      <c r="O35" s="29" t="s">
        <v>87</v>
      </c>
      <c r="P35" s="33" t="s">
        <v>271</v>
      </c>
      <c r="Q35" s="76">
        <f t="shared" si="2"/>
        <v>0</v>
      </c>
      <c r="R35" s="76">
        <f>SUMIF(SelectedPortfolio_2019RSP!B:B,'2_TxCapability'!O35,SelectedPortfolio_2019RSP!D:D)</f>
        <v>0</v>
      </c>
      <c r="S35" s="76" t="str">
        <f t="shared" si="21"/>
        <v>ok</v>
      </c>
      <c r="T35" s="3">
        <f>SUMIF(SelectedPortfolio_2019RSP!B:B,'2_TxCapability'!O35,SelectedPortfolio_2019RSP!J:J)</f>
        <v>0</v>
      </c>
      <c r="U35" s="76" t="str">
        <f t="shared" si="4"/>
        <v>ok</v>
      </c>
      <c r="V35" s="76" t="str">
        <f t="shared" si="19"/>
        <v>ok</v>
      </c>
      <c r="W35" s="214">
        <f>SUMIF(SelectedPortfolio_2019RSP!B:B,'2_TxCapability'!O35,SelectedPortfolio_2019RSP!F:F)</f>
        <v>0</v>
      </c>
      <c r="X35" s="214" t="str">
        <f t="shared" si="5"/>
        <v>ok</v>
      </c>
      <c r="Y35" s="214">
        <f>SUMIF(SelectedPortfolio_2019RSP!B:B,'2_TxCapability'!O35,SelectedPortfolio_2019RSP!L:L)</f>
        <v>0</v>
      </c>
      <c r="Z35" s="214" t="str">
        <f t="shared" si="6"/>
        <v>ok</v>
      </c>
      <c r="AA35" s="214" t="str">
        <f t="shared" si="22"/>
        <v>ok</v>
      </c>
      <c r="AB35" s="429"/>
      <c r="AC35" s="275" t="s">
        <v>298</v>
      </c>
      <c r="AD35" s="3">
        <f>SUMIF(P:P,'2_TxCapability'!AC35,R:R)</f>
        <v>865.9</v>
      </c>
      <c r="AE35" s="3">
        <f>SUMIF(P:P,'2_TxCapability'!AC35,T:T)</f>
        <v>0</v>
      </c>
      <c r="AF35" s="276">
        <f t="shared" si="9"/>
        <v>0.10000000000002274</v>
      </c>
      <c r="AG35" s="276">
        <f t="shared" si="33"/>
        <v>0</v>
      </c>
      <c r="AH35" s="276"/>
      <c r="AI35" s="276">
        <f t="shared" si="34"/>
        <v>0</v>
      </c>
      <c r="AJ35" s="3">
        <f>SUMIF(P:P,'2_TxCapability'!AC35,W:W)</f>
        <v>865.9</v>
      </c>
      <c r="AK35" s="3">
        <f>SUMIF(P:P,'2_TxCapability'!AC35,Y:Y)</f>
        <v>0</v>
      </c>
      <c r="AL35" s="276">
        <f t="shared" si="11"/>
        <v>0.10000000000002274</v>
      </c>
      <c r="AM35" s="220">
        <f t="shared" si="35"/>
        <v>0</v>
      </c>
      <c r="AN35" s="276"/>
      <c r="AO35" s="220">
        <f t="shared" si="32"/>
        <v>0</v>
      </c>
    </row>
    <row r="36" spans="2:41">
      <c r="B36" s="275" t="s">
        <v>301</v>
      </c>
      <c r="C36" s="275"/>
      <c r="D36" s="275">
        <v>0</v>
      </c>
      <c r="E36" s="429"/>
      <c r="F36" s="429"/>
      <c r="G36" s="429"/>
      <c r="H36" s="429"/>
      <c r="I36" s="429"/>
      <c r="J36" s="429"/>
      <c r="K36" s="429"/>
      <c r="L36" s="269"/>
      <c r="M36" s="429"/>
      <c r="N36" s="429"/>
      <c r="O36" s="29" t="s">
        <v>89</v>
      </c>
      <c r="P36" s="33" t="s">
        <v>271</v>
      </c>
      <c r="Q36" s="76">
        <f t="shared" si="2"/>
        <v>0</v>
      </c>
      <c r="R36" s="76">
        <f>SUMIF(SelectedPortfolio_2019RSP!B:B,'2_TxCapability'!O36,SelectedPortfolio_2019RSP!D:D)</f>
        <v>0</v>
      </c>
      <c r="S36" s="76" t="str">
        <f t="shared" si="21"/>
        <v>ok</v>
      </c>
      <c r="T36" s="3">
        <f>SUMIF(SelectedPortfolio_2019RSP!B:B,'2_TxCapability'!O36,SelectedPortfolio_2019RSP!J:J)</f>
        <v>0</v>
      </c>
      <c r="U36" s="76" t="str">
        <f t="shared" si="4"/>
        <v>ok</v>
      </c>
      <c r="V36" s="76" t="str">
        <f t="shared" si="19"/>
        <v>ok</v>
      </c>
      <c r="W36" s="214">
        <f>SUMIF(SelectedPortfolio_2019RSP!B:B,'2_TxCapability'!O36,SelectedPortfolio_2019RSP!F:F)</f>
        <v>0</v>
      </c>
      <c r="X36" s="214" t="str">
        <f t="shared" si="5"/>
        <v>ok</v>
      </c>
      <c r="Y36" s="214">
        <f>SUMIF(SelectedPortfolio_2019RSP!B:B,'2_TxCapability'!O36,SelectedPortfolio_2019RSP!L:L)</f>
        <v>0</v>
      </c>
      <c r="Z36" s="214" t="str">
        <f t="shared" si="6"/>
        <v>ok</v>
      </c>
      <c r="AA36" s="214" t="str">
        <f t="shared" si="22"/>
        <v>ok</v>
      </c>
      <c r="AB36" s="429"/>
      <c r="AC36" s="275" t="s">
        <v>301</v>
      </c>
      <c r="AD36" s="3">
        <f>SUMIF(P:P,'2_TxCapability'!AC36,R:R)</f>
        <v>0</v>
      </c>
      <c r="AE36" s="3">
        <f>SUMIF(P:P,'2_TxCapability'!AC36,T:T)</f>
        <v>0</v>
      </c>
      <c r="AF36" s="276">
        <f t="shared" si="9"/>
        <v>0</v>
      </c>
      <c r="AG36" s="276">
        <f t="shared" si="33"/>
        <v>0</v>
      </c>
      <c r="AH36" s="276"/>
      <c r="AI36" s="276">
        <f t="shared" si="34"/>
        <v>0</v>
      </c>
      <c r="AJ36" s="3">
        <f>SUMIF(P:P,'2_TxCapability'!AC36,W:W)</f>
        <v>0</v>
      </c>
      <c r="AK36" s="3">
        <f>SUMIF(P:P,'2_TxCapability'!AC36,Y:Y)</f>
        <v>0</v>
      </c>
      <c r="AL36" s="276">
        <f t="shared" si="11"/>
        <v>0</v>
      </c>
      <c r="AM36" s="220">
        <f t="shared" si="35"/>
        <v>0</v>
      </c>
      <c r="AN36" s="276"/>
      <c r="AO36" s="220">
        <f t="shared" si="32"/>
        <v>0</v>
      </c>
    </row>
    <row r="37" spans="2:41">
      <c r="B37" s="275" t="s">
        <v>302</v>
      </c>
      <c r="C37" s="275"/>
      <c r="D37" s="218">
        <v>1779</v>
      </c>
      <c r="E37" s="429"/>
      <c r="F37" s="429"/>
      <c r="G37" s="429"/>
      <c r="H37" s="429"/>
      <c r="I37" s="429"/>
      <c r="J37" s="429"/>
      <c r="K37" s="429"/>
      <c r="L37" s="269"/>
      <c r="M37" s="429"/>
      <c r="N37" s="429"/>
      <c r="O37" s="29" t="s">
        <v>92</v>
      </c>
      <c r="P37" s="275" t="s">
        <v>267</v>
      </c>
      <c r="Q37" s="76">
        <f t="shared" si="2"/>
        <v>0</v>
      </c>
      <c r="R37" s="76">
        <f>SUMIF(SelectedPortfolio_2019RSP!B:B,'2_TxCapability'!O37,SelectedPortfolio_2019RSP!D:D)</f>
        <v>0</v>
      </c>
      <c r="S37" s="76" t="str">
        <f t="shared" si="21"/>
        <v>ok</v>
      </c>
      <c r="T37" s="3">
        <f>SUMIF(SelectedPortfolio_2019RSP!B:B,'2_TxCapability'!O37,SelectedPortfolio_2019RSP!J:J)</f>
        <v>0</v>
      </c>
      <c r="U37" s="76" t="str">
        <f t="shared" si="4"/>
        <v>ok</v>
      </c>
      <c r="V37" s="76" t="str">
        <f t="shared" si="19"/>
        <v>ok</v>
      </c>
      <c r="W37" s="214">
        <f>SUMIF(SelectedPortfolio_2019RSP!B:B,'2_TxCapability'!O37,SelectedPortfolio_2019RSP!F:F)</f>
        <v>0</v>
      </c>
      <c r="X37" s="214" t="str">
        <f t="shared" si="5"/>
        <v>ok</v>
      </c>
      <c r="Y37" s="214">
        <f>SUMIF(SelectedPortfolio_2019RSP!B:B,'2_TxCapability'!O37,SelectedPortfolio_2019RSP!L:L)</f>
        <v>0</v>
      </c>
      <c r="Z37" s="214" t="str">
        <f t="shared" si="6"/>
        <v>ok</v>
      </c>
      <c r="AA37" s="214" t="str">
        <f t="shared" si="22"/>
        <v>ok</v>
      </c>
      <c r="AB37" s="429"/>
      <c r="AC37" s="275" t="s">
        <v>302</v>
      </c>
      <c r="AD37" s="3">
        <f>SUMIF(P:P,'2_TxCapability'!AC37,R:R)</f>
        <v>1778.57</v>
      </c>
      <c r="AE37" s="3">
        <f>SUMIF(P:P,'2_TxCapability'!AC37,T:T)</f>
        <v>0</v>
      </c>
      <c r="AF37" s="276">
        <f t="shared" si="9"/>
        <v>0.43000000000006366</v>
      </c>
      <c r="AG37" s="276">
        <f t="shared" si="33"/>
        <v>0</v>
      </c>
      <c r="AH37" s="276"/>
      <c r="AI37" s="276">
        <f t="shared" si="34"/>
        <v>0</v>
      </c>
      <c r="AJ37" s="3">
        <f>SUMIF(P:P,'2_TxCapability'!AC37,W:W)</f>
        <v>-0.43000000000006366</v>
      </c>
      <c r="AK37" s="3">
        <f>SUMIF(P:P,'2_TxCapability'!AC37,Y:Y)</f>
        <v>0</v>
      </c>
      <c r="AL37" s="276">
        <f t="shared" si="11"/>
        <v>1779.43</v>
      </c>
      <c r="AM37" s="220">
        <f t="shared" si="35"/>
        <v>0</v>
      </c>
      <c r="AN37" s="276"/>
      <c r="AO37" s="220">
        <f t="shared" si="32"/>
        <v>0</v>
      </c>
    </row>
    <row r="38" spans="2:41">
      <c r="B38" s="275" t="s">
        <v>303</v>
      </c>
      <c r="C38" s="275"/>
      <c r="D38" s="218">
        <v>862</v>
      </c>
      <c r="E38" s="429"/>
      <c r="F38" s="429"/>
      <c r="G38" s="429"/>
      <c r="H38" s="429"/>
      <c r="I38" s="429"/>
      <c r="J38" s="429"/>
      <c r="K38" s="429"/>
      <c r="L38" s="269"/>
      <c r="M38" s="429"/>
      <c r="N38" s="429"/>
      <c r="O38" s="29" t="s">
        <v>93</v>
      </c>
      <c r="P38" s="275" t="s">
        <v>267</v>
      </c>
      <c r="Q38" s="76">
        <f t="shared" si="2"/>
        <v>0</v>
      </c>
      <c r="R38" s="76">
        <f>SUMIF(SelectedPortfolio_2019RSP!B:B,'2_TxCapability'!O38,SelectedPortfolio_2019RSP!D:D)</f>
        <v>0</v>
      </c>
      <c r="S38" s="76" t="str">
        <f t="shared" si="21"/>
        <v>ok</v>
      </c>
      <c r="T38" s="3">
        <f>SUMIF(SelectedPortfolio_2019RSP!B:B,'2_TxCapability'!O38,SelectedPortfolio_2019RSP!J:J)</f>
        <v>0</v>
      </c>
      <c r="U38" s="76" t="str">
        <f t="shared" si="4"/>
        <v>ok</v>
      </c>
      <c r="V38" s="76" t="str">
        <f t="shared" si="19"/>
        <v>ok</v>
      </c>
      <c r="W38" s="214">
        <f>SUMIF(SelectedPortfolio_2019RSP!B:B,'2_TxCapability'!O38,SelectedPortfolio_2019RSP!F:F)</f>
        <v>0</v>
      </c>
      <c r="X38" s="214" t="str">
        <f t="shared" si="5"/>
        <v>ok</v>
      </c>
      <c r="Y38" s="214">
        <f>SUMIF(SelectedPortfolio_2019RSP!B:B,'2_TxCapability'!O38,SelectedPortfolio_2019RSP!L:L)</f>
        <v>0</v>
      </c>
      <c r="Z38" s="214" t="str">
        <f t="shared" si="6"/>
        <v>ok</v>
      </c>
      <c r="AA38" s="214" t="str">
        <f t="shared" si="22"/>
        <v>ok</v>
      </c>
      <c r="AB38" s="429"/>
      <c r="AC38" s="275" t="s">
        <v>303</v>
      </c>
      <c r="AD38" s="3">
        <f>SUMIF(P:P,'2_TxCapability'!AC38,R:R)</f>
        <v>862</v>
      </c>
      <c r="AE38" s="3">
        <f>SUMIF(P:P,'2_TxCapability'!AC38,T:T)</f>
        <v>0</v>
      </c>
      <c r="AF38" s="276">
        <f t="shared" si="9"/>
        <v>0</v>
      </c>
      <c r="AG38" s="276">
        <f t="shared" si="33"/>
        <v>0</v>
      </c>
      <c r="AH38" s="276"/>
      <c r="AI38" s="276">
        <f t="shared" si="34"/>
        <v>0</v>
      </c>
      <c r="AJ38" s="3">
        <f>SUMIF(P:P,'2_TxCapability'!AC38,W:W)</f>
        <v>0</v>
      </c>
      <c r="AK38" s="3">
        <f>SUMIF(P:P,'2_TxCapability'!AC38,Y:Y)</f>
        <v>0</v>
      </c>
      <c r="AL38" s="276">
        <f t="shared" si="11"/>
        <v>862</v>
      </c>
      <c r="AM38" s="220">
        <f t="shared" ref="AM38" si="36">IF(D38-AJ38&lt;0,1,0)</f>
        <v>0</v>
      </c>
      <c r="AN38" s="276"/>
      <c r="AO38" s="220">
        <f t="shared" ref="AO38" si="37">IFERROR(IF(L38-AK38&lt;0,1,0),"")</f>
        <v>0</v>
      </c>
    </row>
    <row r="39" spans="2:41">
      <c r="B39" s="429"/>
      <c r="C39" s="429"/>
      <c r="D39" s="429"/>
      <c r="E39" s="429"/>
      <c r="F39" s="429"/>
      <c r="G39" s="429"/>
      <c r="H39" s="429"/>
      <c r="I39" s="429"/>
      <c r="J39" s="429"/>
      <c r="K39" s="429"/>
      <c r="L39" s="269"/>
      <c r="M39" s="429"/>
      <c r="N39" s="429"/>
      <c r="O39" s="29" t="s">
        <v>94</v>
      </c>
      <c r="P39" s="275" t="s">
        <v>275</v>
      </c>
      <c r="Q39" s="76">
        <f t="shared" si="2"/>
        <v>330</v>
      </c>
      <c r="R39" s="76">
        <f>SUMIF(SelectedPortfolio_2019RSP!B:B,'2_TxCapability'!O39,SelectedPortfolio_2019RSP!D:D)</f>
        <v>0</v>
      </c>
      <c r="S39" s="76" t="str">
        <f t="shared" si="21"/>
        <v>ok</v>
      </c>
      <c r="T39" s="3">
        <f>SUMIF(SelectedPortfolio_2019RSP!B:B,'2_TxCapability'!O39,SelectedPortfolio_2019RSP!J:J)</f>
        <v>330</v>
      </c>
      <c r="U39" s="76" t="str">
        <f t="shared" si="4"/>
        <v>ok</v>
      </c>
      <c r="V39" s="76" t="str">
        <f t="shared" si="19"/>
        <v>ok</v>
      </c>
      <c r="W39" s="214">
        <f>SUMIF(SelectedPortfolio_2019RSP!B:B,'2_TxCapability'!O39,SelectedPortfolio_2019RSP!F:F)</f>
        <v>0</v>
      </c>
      <c r="X39" s="214" t="str">
        <f t="shared" si="5"/>
        <v>ok</v>
      </c>
      <c r="Y39" s="214">
        <f>SUMIF(SelectedPortfolio_2019RSP!B:B,'2_TxCapability'!O39,SelectedPortfolio_2019RSP!L:L)</f>
        <v>330</v>
      </c>
      <c r="Z39" s="214" t="str">
        <f t="shared" si="6"/>
        <v>ok</v>
      </c>
      <c r="AA39" s="214" t="str">
        <f t="shared" si="22"/>
        <v>ok</v>
      </c>
      <c r="AB39" s="429"/>
      <c r="AC39" s="275" t="s">
        <v>138</v>
      </c>
      <c r="AD39" s="3">
        <f>SUM(AD8:AD38)</f>
        <v>11447.49</v>
      </c>
      <c r="AE39" s="3">
        <f>SUM(AE8:AE38)</f>
        <v>3013</v>
      </c>
      <c r="AF39" s="215"/>
      <c r="AG39" s="275"/>
      <c r="AH39" s="275"/>
      <c r="AI39" s="275"/>
      <c r="AJ39" s="3">
        <f>SUM(AJ8:AJ38)</f>
        <v>12420.49</v>
      </c>
      <c r="AK39" s="3">
        <f>SUM(AK8:AK38)</f>
        <v>3013</v>
      </c>
      <c r="AL39" s="215"/>
      <c r="AM39" s="216"/>
      <c r="AN39" s="275"/>
      <c r="AO39" s="216"/>
    </row>
    <row r="40" spans="2:41">
      <c r="B40" s="429"/>
      <c r="C40" s="429"/>
      <c r="D40" s="429"/>
      <c r="E40" s="429"/>
      <c r="F40" s="429"/>
      <c r="G40" s="429"/>
      <c r="H40" s="429"/>
      <c r="I40" s="429"/>
      <c r="J40" s="429"/>
      <c r="K40" s="429"/>
      <c r="L40" s="269"/>
      <c r="M40" s="429"/>
      <c r="N40" s="429"/>
      <c r="O40" s="29" t="s">
        <v>95</v>
      </c>
      <c r="P40" s="275" t="s">
        <v>275</v>
      </c>
      <c r="Q40" s="76">
        <f t="shared" si="2"/>
        <v>0</v>
      </c>
      <c r="R40" s="76">
        <f>SUMIF(SelectedPortfolio_2019RSP!B:B,'2_TxCapability'!O40,SelectedPortfolio_2019RSP!D:D)</f>
        <v>0</v>
      </c>
      <c r="S40" s="76" t="str">
        <f t="shared" si="21"/>
        <v>ok</v>
      </c>
      <c r="T40" s="3">
        <f>SUMIF(SelectedPortfolio_2019RSP!B:B,'2_TxCapability'!O40,SelectedPortfolio_2019RSP!J:J)</f>
        <v>0</v>
      </c>
      <c r="U40" s="76" t="str">
        <f t="shared" ref="U40:U73" si="38">IFERROR(IF(INDEX(AI:AI,MATCH(P40,AC:AC,0)),"breach","ok"),"")</f>
        <v>ok</v>
      </c>
      <c r="V40" s="76" t="str">
        <f t="shared" si="19"/>
        <v>ok</v>
      </c>
      <c r="W40" s="214">
        <f>SUMIF(SelectedPortfolio_2019RSP!B:B,'2_TxCapability'!O40,SelectedPortfolio_2019RSP!F:F)</f>
        <v>0</v>
      </c>
      <c r="X40" s="214" t="str">
        <f t="shared" ref="X40:X73" si="39">IFERROR(IF(INDEX(AM:AM,MATCH(P40,AC:AC,0)),"breach","ok"),"")</f>
        <v>ok</v>
      </c>
      <c r="Y40" s="214">
        <f>SUMIF(SelectedPortfolio_2019RSP!B:B,'2_TxCapability'!O40,SelectedPortfolio_2019RSP!L:L)</f>
        <v>0</v>
      </c>
      <c r="Z40" s="214" t="str">
        <f t="shared" ref="Z40:Z73" si="40">IFERROR(IF(INDEX(AI:AI,MATCH(P40,AC:AC,0)),"breach","ok"),"")</f>
        <v>ok</v>
      </c>
      <c r="AA40" s="214" t="str">
        <f t="shared" si="22"/>
        <v>ok</v>
      </c>
      <c r="AB40" s="429"/>
      <c r="AC40" s="429"/>
      <c r="AD40" s="429"/>
      <c r="AE40" s="429"/>
      <c r="AF40" s="429"/>
      <c r="AG40" s="429"/>
      <c r="AH40" s="429"/>
      <c r="AI40" s="429"/>
      <c r="AJ40" s="429"/>
      <c r="AK40" s="429"/>
      <c r="AL40" s="429"/>
      <c r="AN40" s="429"/>
    </row>
    <row r="41" spans="2:41">
      <c r="B41" s="429"/>
      <c r="C41" s="429"/>
      <c r="D41" s="429"/>
      <c r="E41" s="429"/>
      <c r="F41" s="429"/>
      <c r="G41" s="429"/>
      <c r="H41" s="429"/>
      <c r="I41" s="429"/>
      <c r="J41" s="429"/>
      <c r="K41" s="429"/>
      <c r="L41" s="269"/>
      <c r="M41" s="429"/>
      <c r="N41" s="429"/>
      <c r="O41" s="29" t="s">
        <v>96</v>
      </c>
      <c r="P41" s="275" t="s">
        <v>272</v>
      </c>
      <c r="Q41" s="76">
        <f t="shared" si="2"/>
        <v>0</v>
      </c>
      <c r="R41" s="76">
        <f>SUMIF(SelectedPortfolio_2019RSP!B:B,'2_TxCapability'!O41,SelectedPortfolio_2019RSP!D:D)</f>
        <v>0</v>
      </c>
      <c r="S41" s="76" t="str">
        <f t="shared" si="21"/>
        <v>ok</v>
      </c>
      <c r="T41" s="3">
        <f>SUMIF(SelectedPortfolio_2019RSP!B:B,'2_TxCapability'!O41,SelectedPortfolio_2019RSP!J:J)</f>
        <v>0</v>
      </c>
      <c r="U41" s="76" t="str">
        <f t="shared" si="38"/>
        <v>ok</v>
      </c>
      <c r="V41" s="76" t="str">
        <f t="shared" si="19"/>
        <v>ok</v>
      </c>
      <c r="W41" s="214">
        <f>SUMIF(SelectedPortfolio_2019RSP!B:B,'2_TxCapability'!O41,SelectedPortfolio_2019RSP!F:F)</f>
        <v>0</v>
      </c>
      <c r="X41" s="214" t="str">
        <f t="shared" si="39"/>
        <v>ok</v>
      </c>
      <c r="Y41" s="214">
        <f>SUMIF(SelectedPortfolio_2019RSP!B:B,'2_TxCapability'!O41,SelectedPortfolio_2019RSP!L:L)</f>
        <v>0</v>
      </c>
      <c r="Z41" s="214" t="str">
        <f t="shared" si="40"/>
        <v>ok</v>
      </c>
      <c r="AA41" s="214" t="str">
        <f t="shared" si="22"/>
        <v>ok</v>
      </c>
      <c r="AB41" s="429"/>
      <c r="AC41" s="429"/>
      <c r="AD41" s="429"/>
      <c r="AE41" s="429"/>
      <c r="AF41" s="429"/>
      <c r="AG41" s="429"/>
      <c r="AH41" s="429"/>
      <c r="AI41" s="429"/>
      <c r="AJ41" s="429"/>
      <c r="AK41" s="429"/>
      <c r="AL41" s="429"/>
      <c r="AN41" s="429"/>
    </row>
    <row r="42" spans="2:41">
      <c r="B42" s="429"/>
      <c r="C42" s="429"/>
      <c r="D42" s="429"/>
      <c r="E42" s="429"/>
      <c r="F42" s="429"/>
      <c r="G42" s="429"/>
      <c r="H42" s="429"/>
      <c r="I42" s="429"/>
      <c r="J42" s="429"/>
      <c r="K42" s="429"/>
      <c r="L42" s="269"/>
      <c r="M42" s="429"/>
      <c r="N42" s="429"/>
      <c r="O42" s="29" t="s">
        <v>97</v>
      </c>
      <c r="P42" s="275" t="s">
        <v>273</v>
      </c>
      <c r="Q42" s="76">
        <f t="shared" si="2"/>
        <v>0</v>
      </c>
      <c r="R42" s="76">
        <f>SUMIF(SelectedPortfolio_2019RSP!B:B,'2_TxCapability'!O42,SelectedPortfolio_2019RSP!D:D)</f>
        <v>0</v>
      </c>
      <c r="S42" s="76" t="str">
        <f t="shared" si="21"/>
        <v>ok</v>
      </c>
      <c r="T42" s="3">
        <f>SUMIF(SelectedPortfolio_2019RSP!B:B,'2_TxCapability'!O42,SelectedPortfolio_2019RSP!J:J)</f>
        <v>0</v>
      </c>
      <c r="U42" s="76" t="str">
        <f t="shared" si="38"/>
        <v>ok</v>
      </c>
      <c r="V42" s="76" t="str">
        <f t="shared" si="19"/>
        <v>ok</v>
      </c>
      <c r="W42" s="214">
        <f>SUMIF(SelectedPortfolio_2019RSP!B:B,'2_TxCapability'!O42,SelectedPortfolio_2019RSP!F:F)</f>
        <v>0</v>
      </c>
      <c r="X42" s="214" t="str">
        <f t="shared" si="39"/>
        <v>ok</v>
      </c>
      <c r="Y42" s="214">
        <f>SUMIF(SelectedPortfolio_2019RSP!B:B,'2_TxCapability'!O42,SelectedPortfolio_2019RSP!L:L)</f>
        <v>0</v>
      </c>
      <c r="Z42" s="214" t="str">
        <f t="shared" si="40"/>
        <v>ok</v>
      </c>
      <c r="AA42" s="214" t="str">
        <f t="shared" si="22"/>
        <v>ok</v>
      </c>
      <c r="AB42" s="429"/>
      <c r="AC42" s="429"/>
      <c r="AD42" s="429"/>
      <c r="AE42" s="429"/>
      <c r="AF42" s="429"/>
      <c r="AG42" s="429"/>
      <c r="AH42" s="429"/>
      <c r="AI42" s="429"/>
      <c r="AJ42" s="429"/>
      <c r="AK42" s="429"/>
      <c r="AL42" s="429"/>
      <c r="AN42" s="429"/>
    </row>
    <row r="43" spans="2:41">
      <c r="B43" s="429"/>
      <c r="C43" s="429"/>
      <c r="D43" s="429"/>
      <c r="E43" s="429"/>
      <c r="F43" s="429"/>
      <c r="G43" s="429"/>
      <c r="H43" s="429"/>
      <c r="I43" s="429"/>
      <c r="J43" s="429"/>
      <c r="K43" s="429"/>
      <c r="L43" s="269"/>
      <c r="M43" s="429"/>
      <c r="N43" s="429"/>
      <c r="O43" s="29" t="s">
        <v>98</v>
      </c>
      <c r="P43" s="275" t="s">
        <v>273</v>
      </c>
      <c r="Q43" s="76">
        <f t="shared" si="2"/>
        <v>0</v>
      </c>
      <c r="R43" s="76">
        <f>SUMIF(SelectedPortfolio_2019RSP!B:B,'2_TxCapability'!O43,SelectedPortfolio_2019RSP!D:D)</f>
        <v>0</v>
      </c>
      <c r="S43" s="76" t="str">
        <f t="shared" si="21"/>
        <v>ok</v>
      </c>
      <c r="T43" s="3">
        <f>SUMIF(SelectedPortfolio_2019RSP!B:B,'2_TxCapability'!O43,SelectedPortfolio_2019RSP!J:J)</f>
        <v>0</v>
      </c>
      <c r="U43" s="76" t="str">
        <f t="shared" si="38"/>
        <v>ok</v>
      </c>
      <c r="V43" s="76" t="str">
        <f t="shared" si="19"/>
        <v>ok</v>
      </c>
      <c r="W43" s="214">
        <f>SUMIF(SelectedPortfolio_2019RSP!B:B,'2_TxCapability'!O43,SelectedPortfolio_2019RSP!F:F)</f>
        <v>0</v>
      </c>
      <c r="X43" s="214" t="str">
        <f t="shared" si="39"/>
        <v>ok</v>
      </c>
      <c r="Y43" s="214">
        <f>SUMIF(SelectedPortfolio_2019RSP!B:B,'2_TxCapability'!O43,SelectedPortfolio_2019RSP!L:L)</f>
        <v>0</v>
      </c>
      <c r="Z43" s="214" t="str">
        <f t="shared" si="40"/>
        <v>ok</v>
      </c>
      <c r="AA43" s="214" t="str">
        <f t="shared" si="22"/>
        <v>ok</v>
      </c>
      <c r="AB43" s="429"/>
      <c r="AC43" s="429"/>
      <c r="AD43" s="429"/>
      <c r="AE43" s="429"/>
      <c r="AF43" s="429"/>
      <c r="AG43" s="429"/>
      <c r="AH43" s="429"/>
      <c r="AI43" s="429"/>
      <c r="AJ43" s="429"/>
      <c r="AK43" s="429"/>
      <c r="AL43" s="429"/>
      <c r="AN43" s="429"/>
    </row>
    <row r="44" spans="2:41">
      <c r="B44" s="429"/>
      <c r="C44" s="429"/>
      <c r="D44" s="429"/>
      <c r="E44" s="429"/>
      <c r="F44" s="429"/>
      <c r="G44" s="429"/>
      <c r="H44" s="429"/>
      <c r="I44" s="429"/>
      <c r="J44" s="429"/>
      <c r="K44" s="429"/>
      <c r="L44" s="269"/>
      <c r="M44" s="429"/>
      <c r="N44" s="429"/>
      <c r="O44" s="29" t="s">
        <v>99</v>
      </c>
      <c r="P44" s="33" t="s">
        <v>272</v>
      </c>
      <c r="Q44" s="76">
        <f t="shared" si="2"/>
        <v>542</v>
      </c>
      <c r="R44" s="76">
        <f>SUMIF(SelectedPortfolio_2019RSP!B:B,'2_TxCapability'!O44,SelectedPortfolio_2019RSP!D:D)</f>
        <v>542</v>
      </c>
      <c r="S44" s="76" t="str">
        <f t="shared" si="21"/>
        <v>ok</v>
      </c>
      <c r="T44" s="3">
        <f>SUMIF(SelectedPortfolio_2019RSP!B:B,'2_TxCapability'!O44,SelectedPortfolio_2019RSP!J:J)</f>
        <v>0</v>
      </c>
      <c r="U44" s="76" t="str">
        <f t="shared" si="38"/>
        <v>ok</v>
      </c>
      <c r="V44" s="76" t="str">
        <f t="shared" si="19"/>
        <v>ok</v>
      </c>
      <c r="W44" s="214">
        <f>SUMIF(SelectedPortfolio_2019RSP!B:B,'2_TxCapability'!O44,SelectedPortfolio_2019RSP!F:F)</f>
        <v>542</v>
      </c>
      <c r="X44" s="214" t="str">
        <f t="shared" si="39"/>
        <v>ok</v>
      </c>
      <c r="Y44" s="214">
        <f>SUMIF(SelectedPortfolio_2019RSP!B:B,'2_TxCapability'!O44,SelectedPortfolio_2019RSP!L:L)</f>
        <v>0</v>
      </c>
      <c r="Z44" s="214" t="str">
        <f t="shared" si="40"/>
        <v>ok</v>
      </c>
      <c r="AA44" s="214" t="str">
        <f t="shared" si="22"/>
        <v>ok</v>
      </c>
      <c r="AB44" s="429"/>
      <c r="AC44" s="429"/>
      <c r="AD44" s="429"/>
      <c r="AE44" s="429"/>
      <c r="AF44" s="429"/>
      <c r="AG44" s="429"/>
      <c r="AH44" s="429"/>
      <c r="AI44" s="429"/>
      <c r="AJ44" s="429"/>
      <c r="AK44" s="429"/>
      <c r="AL44" s="429"/>
      <c r="AN44" s="429"/>
    </row>
    <row r="45" spans="2:41">
      <c r="B45" s="429"/>
      <c r="C45" s="429"/>
      <c r="D45" s="429"/>
      <c r="E45" s="429"/>
      <c r="F45" s="429"/>
      <c r="G45" s="429"/>
      <c r="H45" s="429"/>
      <c r="I45" s="429"/>
      <c r="J45" s="429"/>
      <c r="K45" s="429"/>
      <c r="L45" s="269"/>
      <c r="M45" s="429"/>
      <c r="N45" s="429"/>
      <c r="O45" s="29" t="s">
        <v>100</v>
      </c>
      <c r="P45" s="275" t="s">
        <v>303</v>
      </c>
      <c r="Q45" s="76">
        <f t="shared" si="2"/>
        <v>862</v>
      </c>
      <c r="R45" s="76">
        <f>SUMIF(SelectedPortfolio_2019RSP!B:B,'2_TxCapability'!O45,SelectedPortfolio_2019RSP!D:D)</f>
        <v>862</v>
      </c>
      <c r="S45" s="76" t="str">
        <f t="shared" si="21"/>
        <v>ok</v>
      </c>
      <c r="T45" s="3">
        <f>SUMIF(SelectedPortfolio_2019RSP!B:B,'2_TxCapability'!O45,SelectedPortfolio_2019RSP!J:J)</f>
        <v>0</v>
      </c>
      <c r="U45" s="76" t="str">
        <f t="shared" si="38"/>
        <v>ok</v>
      </c>
      <c r="V45" s="76" t="str">
        <f t="shared" si="19"/>
        <v>ok</v>
      </c>
      <c r="W45" s="214">
        <f>SUMIF(SelectedPortfolio_2019RSP!B:B,'2_TxCapability'!O45,SelectedPortfolio_2019RSP!F:F)</f>
        <v>0</v>
      </c>
      <c r="X45" s="214" t="str">
        <f t="shared" si="39"/>
        <v>ok</v>
      </c>
      <c r="Y45" s="214">
        <f>SUMIF(SelectedPortfolio_2019RSP!B:B,'2_TxCapability'!O45,SelectedPortfolio_2019RSP!L:L)</f>
        <v>0</v>
      </c>
      <c r="Z45" s="214" t="str">
        <f t="shared" si="40"/>
        <v>ok</v>
      </c>
      <c r="AA45" s="214" t="str">
        <f t="shared" si="22"/>
        <v>ok</v>
      </c>
      <c r="AB45" s="429"/>
      <c r="AC45" s="429"/>
      <c r="AD45" s="429"/>
      <c r="AE45" s="429"/>
      <c r="AF45" s="429"/>
      <c r="AG45" s="429"/>
      <c r="AH45" s="429"/>
      <c r="AI45" s="429"/>
      <c r="AJ45" s="429"/>
      <c r="AK45" s="429"/>
      <c r="AL45" s="429"/>
      <c r="AN45" s="429"/>
    </row>
    <row r="46" spans="2:41">
      <c r="B46" s="429"/>
      <c r="C46" s="429"/>
      <c r="D46" s="429"/>
      <c r="E46" s="429"/>
      <c r="F46" s="429"/>
      <c r="G46" s="429"/>
      <c r="H46" s="429"/>
      <c r="I46" s="429"/>
      <c r="J46" s="429"/>
      <c r="K46" s="429"/>
      <c r="L46" s="269"/>
      <c r="M46" s="429"/>
      <c r="N46" s="429"/>
      <c r="O46" s="29" t="s">
        <v>102</v>
      </c>
      <c r="P46" s="275" t="s">
        <v>303</v>
      </c>
      <c r="Q46" s="76">
        <f t="shared" si="2"/>
        <v>0</v>
      </c>
      <c r="R46" s="76">
        <f>SUMIF(SelectedPortfolio_2019RSP!B:B,'2_TxCapability'!O46,SelectedPortfolio_2019RSP!D:D)</f>
        <v>0</v>
      </c>
      <c r="S46" s="76" t="str">
        <f t="shared" si="21"/>
        <v>ok</v>
      </c>
      <c r="T46" s="3">
        <f>SUMIF(SelectedPortfolio_2019RSP!B:B,'2_TxCapability'!O46,SelectedPortfolio_2019RSP!J:J)</f>
        <v>0</v>
      </c>
      <c r="U46" s="76" t="str">
        <f t="shared" si="38"/>
        <v>ok</v>
      </c>
      <c r="V46" s="76" t="str">
        <f t="shared" si="19"/>
        <v>ok</v>
      </c>
      <c r="W46" s="214">
        <f>SUMIF(SelectedPortfolio_2019RSP!B:B,'2_TxCapability'!O46,SelectedPortfolio_2019RSP!F:F)</f>
        <v>0</v>
      </c>
      <c r="X46" s="214" t="str">
        <f t="shared" si="39"/>
        <v>ok</v>
      </c>
      <c r="Y46" s="214">
        <f>SUMIF(SelectedPortfolio_2019RSP!B:B,'2_TxCapability'!O46,SelectedPortfolio_2019RSP!L:L)</f>
        <v>0</v>
      </c>
      <c r="Z46" s="214" t="str">
        <f t="shared" si="40"/>
        <v>ok</v>
      </c>
      <c r="AA46" s="214" t="str">
        <f t="shared" si="22"/>
        <v>ok</v>
      </c>
      <c r="AB46" s="429"/>
      <c r="AC46" s="429"/>
      <c r="AD46" s="429"/>
      <c r="AE46" s="429"/>
      <c r="AF46" s="429"/>
      <c r="AG46" s="429"/>
      <c r="AH46" s="429"/>
      <c r="AI46" s="429"/>
      <c r="AJ46" s="429"/>
      <c r="AK46" s="429"/>
      <c r="AL46" s="429"/>
      <c r="AN46" s="429"/>
    </row>
    <row r="47" spans="2:41">
      <c r="B47" s="429"/>
      <c r="C47" s="429"/>
      <c r="D47" s="429"/>
      <c r="E47" s="429"/>
      <c r="F47" s="429"/>
      <c r="G47" s="429"/>
      <c r="H47" s="429"/>
      <c r="I47" s="429"/>
      <c r="J47" s="429"/>
      <c r="K47" s="429"/>
      <c r="L47" s="269"/>
      <c r="M47" s="429"/>
      <c r="N47" s="429"/>
      <c r="O47" s="29" t="s">
        <v>103</v>
      </c>
      <c r="P47" s="33" t="s">
        <v>275</v>
      </c>
      <c r="Q47" s="76">
        <f t="shared" si="2"/>
        <v>0</v>
      </c>
      <c r="R47" s="76">
        <f>SUMIF(SelectedPortfolio_2019RSP!B:B,'2_TxCapability'!O47,SelectedPortfolio_2019RSP!D:D)</f>
        <v>0</v>
      </c>
      <c r="S47" s="76" t="str">
        <f t="shared" si="21"/>
        <v>ok</v>
      </c>
      <c r="T47" s="3">
        <f>SUMIF(SelectedPortfolio_2019RSP!B:B,'2_TxCapability'!O47,SelectedPortfolio_2019RSP!J:J)</f>
        <v>0</v>
      </c>
      <c r="U47" s="76" t="str">
        <f t="shared" si="38"/>
        <v>ok</v>
      </c>
      <c r="V47" s="76" t="str">
        <f t="shared" si="19"/>
        <v>ok</v>
      </c>
      <c r="W47" s="214">
        <f>SUMIF(SelectedPortfolio_2019RSP!B:B,'2_TxCapability'!O47,SelectedPortfolio_2019RSP!F:F)</f>
        <v>862</v>
      </c>
      <c r="X47" s="214" t="str">
        <f t="shared" si="39"/>
        <v>ok</v>
      </c>
      <c r="Y47" s="214">
        <f>SUMIF(SelectedPortfolio_2019RSP!B:B,'2_TxCapability'!O47,SelectedPortfolio_2019RSP!L:L)</f>
        <v>0</v>
      </c>
      <c r="Z47" s="214" t="str">
        <f t="shared" si="40"/>
        <v>ok</v>
      </c>
      <c r="AA47" s="214" t="str">
        <f t="shared" si="22"/>
        <v>ok</v>
      </c>
      <c r="AB47" s="429"/>
      <c r="AC47" s="429"/>
      <c r="AD47" s="429"/>
      <c r="AE47" s="429"/>
      <c r="AF47" s="429"/>
      <c r="AG47" s="429"/>
      <c r="AH47" s="429"/>
      <c r="AI47" s="429"/>
      <c r="AJ47" s="429"/>
      <c r="AK47" s="429"/>
      <c r="AL47" s="429"/>
      <c r="AN47" s="429"/>
    </row>
    <row r="48" spans="2:41">
      <c r="B48" s="429"/>
      <c r="C48" s="429"/>
      <c r="D48" s="429"/>
      <c r="E48" s="429"/>
      <c r="F48" s="429"/>
      <c r="G48" s="429"/>
      <c r="H48" s="429"/>
      <c r="I48" s="429"/>
      <c r="J48" s="429"/>
      <c r="K48" s="429"/>
      <c r="L48" s="269"/>
      <c r="M48" s="429"/>
      <c r="N48" s="429"/>
      <c r="O48" s="29" t="s">
        <v>105</v>
      </c>
      <c r="P48" s="275" t="s">
        <v>275</v>
      </c>
      <c r="Q48" s="76">
        <f t="shared" si="2"/>
        <v>0</v>
      </c>
      <c r="R48" s="76">
        <f>SUMIF(SelectedPortfolio_2019RSP!B:B,'2_TxCapability'!O48,SelectedPortfolio_2019RSP!D:D)</f>
        <v>0</v>
      </c>
      <c r="S48" s="76" t="str">
        <f t="shared" si="21"/>
        <v>ok</v>
      </c>
      <c r="T48" s="3">
        <f>SUMIF(SelectedPortfolio_2019RSP!B:B,'2_TxCapability'!O48,SelectedPortfolio_2019RSP!J:J)</f>
        <v>0</v>
      </c>
      <c r="U48" s="76" t="str">
        <f t="shared" si="38"/>
        <v>ok</v>
      </c>
      <c r="V48" s="76" t="str">
        <f t="shared" si="19"/>
        <v>ok</v>
      </c>
      <c r="W48" s="214">
        <f>SUMIF(SelectedPortfolio_2019RSP!B:B,'2_TxCapability'!O48,SelectedPortfolio_2019RSP!F:F)</f>
        <v>0</v>
      </c>
      <c r="X48" s="214" t="str">
        <f t="shared" si="39"/>
        <v>ok</v>
      </c>
      <c r="Y48" s="214">
        <f>SUMIF(SelectedPortfolio_2019RSP!B:B,'2_TxCapability'!O48,SelectedPortfolio_2019RSP!L:L)</f>
        <v>0</v>
      </c>
      <c r="Z48" s="214" t="str">
        <f t="shared" si="40"/>
        <v>ok</v>
      </c>
      <c r="AA48" s="214" t="str">
        <f t="shared" si="22"/>
        <v>ok</v>
      </c>
      <c r="AB48" s="429"/>
      <c r="AC48" s="429"/>
      <c r="AD48" s="429"/>
      <c r="AE48" s="429"/>
      <c r="AF48" s="429"/>
      <c r="AG48" s="429"/>
      <c r="AH48" s="429"/>
      <c r="AI48" s="429"/>
      <c r="AJ48" s="429"/>
      <c r="AK48" s="429"/>
      <c r="AL48" s="429"/>
      <c r="AN48" s="429"/>
    </row>
    <row r="49" spans="15:27">
      <c r="O49" s="29" t="s">
        <v>106</v>
      </c>
      <c r="P49" s="275" t="s">
        <v>271</v>
      </c>
      <c r="Q49" s="76">
        <f t="shared" si="2"/>
        <v>0</v>
      </c>
      <c r="R49" s="76">
        <f>SUMIF(SelectedPortfolio_2019RSP!B:B,'2_TxCapability'!O49,SelectedPortfolio_2019RSP!D:D)</f>
        <v>0</v>
      </c>
      <c r="S49" s="76" t="str">
        <f t="shared" si="21"/>
        <v>ok</v>
      </c>
      <c r="T49" s="3">
        <f>SUMIF(SelectedPortfolio_2019RSP!B:B,'2_TxCapability'!O49,SelectedPortfolio_2019RSP!J:J)</f>
        <v>0</v>
      </c>
      <c r="U49" s="76" t="str">
        <f t="shared" si="38"/>
        <v>ok</v>
      </c>
      <c r="V49" s="76" t="str">
        <f t="shared" si="19"/>
        <v>ok</v>
      </c>
      <c r="W49" s="214">
        <f>SUMIF(SelectedPortfolio_2019RSP!B:B,'2_TxCapability'!O49,SelectedPortfolio_2019RSP!F:F)</f>
        <v>0</v>
      </c>
      <c r="X49" s="214" t="str">
        <f t="shared" si="39"/>
        <v>ok</v>
      </c>
      <c r="Y49" s="214">
        <f>SUMIF(SelectedPortfolio_2019RSP!B:B,'2_TxCapability'!O49,SelectedPortfolio_2019RSP!L:L)</f>
        <v>0</v>
      </c>
      <c r="Z49" s="214" t="str">
        <f t="shared" si="40"/>
        <v>ok</v>
      </c>
      <c r="AA49" s="214" t="str">
        <f t="shared" si="22"/>
        <v>ok</v>
      </c>
    </row>
    <row r="50" spans="15:27">
      <c r="O50" s="29" t="s">
        <v>107</v>
      </c>
      <c r="P50" s="33" t="s">
        <v>207</v>
      </c>
      <c r="Q50" s="76">
        <f t="shared" si="2"/>
        <v>4202</v>
      </c>
      <c r="R50" s="76">
        <f>SUMIF(SelectedPortfolio_2019RSP!B:B,'2_TxCapability'!O50,SelectedPortfolio_2019RSP!D:D)</f>
        <v>3402</v>
      </c>
      <c r="S50" s="76" t="str">
        <f t="shared" si="21"/>
        <v>ok</v>
      </c>
      <c r="T50" s="3">
        <f>SUMIF(SelectedPortfolio_2019RSP!B:B,'2_TxCapability'!O50,SelectedPortfolio_2019RSP!J:J)</f>
        <v>800</v>
      </c>
      <c r="U50" s="76" t="str">
        <f t="shared" si="38"/>
        <v>ok</v>
      </c>
      <c r="V50" s="76" t="str">
        <f t="shared" si="19"/>
        <v>ok</v>
      </c>
      <c r="W50" s="214">
        <f>SUMIF(SelectedPortfolio_2019RSP!B:B,'2_TxCapability'!O50,SelectedPortfolio_2019RSP!F:F)</f>
        <v>3402</v>
      </c>
      <c r="X50" s="214" t="str">
        <f t="shared" si="39"/>
        <v>ok</v>
      </c>
      <c r="Y50" s="214">
        <f>SUMIF(SelectedPortfolio_2019RSP!B:B,'2_TxCapability'!O50,SelectedPortfolio_2019RSP!L:L)</f>
        <v>800</v>
      </c>
      <c r="Z50" s="214" t="str">
        <f t="shared" si="40"/>
        <v>ok</v>
      </c>
      <c r="AA50" s="214" t="str">
        <f t="shared" si="22"/>
        <v>ok</v>
      </c>
    </row>
    <row r="51" spans="15:27">
      <c r="O51" s="29" t="s">
        <v>109</v>
      </c>
      <c r="P51" s="275" t="s">
        <v>301</v>
      </c>
      <c r="Q51" s="76">
        <f t="shared" si="2"/>
        <v>0</v>
      </c>
      <c r="R51" s="76">
        <f>SUMIF(SelectedPortfolio_2019RSP!B:B,'2_TxCapability'!O51,SelectedPortfolio_2019RSP!D:D)</f>
        <v>0</v>
      </c>
      <c r="S51" s="76" t="str">
        <f t="shared" si="21"/>
        <v>ok</v>
      </c>
      <c r="T51" s="3">
        <f>SUMIF(SelectedPortfolio_2019RSP!B:B,'2_TxCapability'!O51,SelectedPortfolio_2019RSP!J:J)</f>
        <v>0</v>
      </c>
      <c r="U51" s="76" t="str">
        <f t="shared" si="38"/>
        <v>ok</v>
      </c>
      <c r="V51" s="76" t="str">
        <f t="shared" si="19"/>
        <v>ok</v>
      </c>
      <c r="W51" s="214">
        <f>SUMIF(SelectedPortfolio_2019RSP!B:B,'2_TxCapability'!O51,SelectedPortfolio_2019RSP!F:F)</f>
        <v>0</v>
      </c>
      <c r="X51" s="214" t="str">
        <f t="shared" si="39"/>
        <v>ok</v>
      </c>
      <c r="Y51" s="214">
        <f>SUMIF(SelectedPortfolio_2019RSP!B:B,'2_TxCapability'!O51,SelectedPortfolio_2019RSP!L:L)</f>
        <v>0</v>
      </c>
      <c r="Z51" s="214" t="str">
        <f t="shared" si="40"/>
        <v>ok</v>
      </c>
      <c r="AA51" s="214" t="str">
        <f t="shared" si="22"/>
        <v>ok</v>
      </c>
    </row>
    <row r="52" spans="15:27">
      <c r="O52" s="29" t="s">
        <v>110</v>
      </c>
      <c r="P52" s="33" t="s">
        <v>207</v>
      </c>
      <c r="Q52" s="76">
        <f t="shared" si="2"/>
        <v>275</v>
      </c>
      <c r="R52" s="76">
        <f>SUMIF(SelectedPortfolio_2019RSP!B:B,'2_TxCapability'!O52,SelectedPortfolio_2019RSP!D:D)</f>
        <v>275</v>
      </c>
      <c r="S52" s="76" t="str">
        <f t="shared" si="21"/>
        <v>ok</v>
      </c>
      <c r="T52" s="3">
        <f>SUMIF(SelectedPortfolio_2019RSP!B:B,'2_TxCapability'!O52,SelectedPortfolio_2019RSP!J:J)</f>
        <v>0</v>
      </c>
      <c r="U52" s="76" t="str">
        <f t="shared" si="38"/>
        <v>ok</v>
      </c>
      <c r="V52" s="76" t="str">
        <f t="shared" si="19"/>
        <v>ok</v>
      </c>
      <c r="W52" s="214">
        <f>SUMIF(SelectedPortfolio_2019RSP!B:B,'2_TxCapability'!O52,SelectedPortfolio_2019RSP!F:F)</f>
        <v>275</v>
      </c>
      <c r="X52" s="214" t="str">
        <f t="shared" si="39"/>
        <v>ok</v>
      </c>
      <c r="Y52" s="214">
        <f>SUMIF(SelectedPortfolio_2019RSP!B:B,'2_TxCapability'!O52,SelectedPortfolio_2019RSP!L:L)</f>
        <v>0</v>
      </c>
      <c r="Z52" s="214" t="str">
        <f t="shared" si="40"/>
        <v>ok</v>
      </c>
      <c r="AA52" s="214" t="str">
        <f t="shared" si="22"/>
        <v>ok</v>
      </c>
    </row>
    <row r="53" spans="15:27">
      <c r="O53" s="29" t="s">
        <v>112</v>
      </c>
      <c r="P53" s="275" t="s">
        <v>302</v>
      </c>
      <c r="Q53" s="76">
        <f t="shared" si="2"/>
        <v>1778.57</v>
      </c>
      <c r="R53" s="76">
        <f>SUMIF(SelectedPortfolio_2019RSP!B:B,'2_TxCapability'!O53,SelectedPortfolio_2019RSP!D:D)</f>
        <v>1778.57</v>
      </c>
      <c r="S53" s="76" t="str">
        <f t="shared" si="21"/>
        <v>ok</v>
      </c>
      <c r="T53" s="3">
        <f>SUMIF(SelectedPortfolio_2019RSP!B:B,'2_TxCapability'!O53,SelectedPortfolio_2019RSP!J:J)</f>
        <v>0</v>
      </c>
      <c r="U53" s="76" t="str">
        <f t="shared" si="38"/>
        <v>ok</v>
      </c>
      <c r="V53" s="76" t="str">
        <f t="shared" si="19"/>
        <v>ok</v>
      </c>
      <c r="W53" s="214">
        <f>SUMIF(SelectedPortfolio_2019RSP!B:B,'2_TxCapability'!O53,SelectedPortfolio_2019RSP!F:F)</f>
        <v>-0.43000000000006366</v>
      </c>
      <c r="X53" s="214" t="str">
        <f t="shared" si="39"/>
        <v>ok</v>
      </c>
      <c r="Y53" s="214">
        <f>SUMIF(SelectedPortfolio_2019RSP!B:B,'2_TxCapability'!O53,SelectedPortfolio_2019RSP!L:L)</f>
        <v>0</v>
      </c>
      <c r="Z53" s="214" t="str">
        <f t="shared" si="40"/>
        <v>ok</v>
      </c>
      <c r="AA53" s="214" t="str">
        <f t="shared" si="22"/>
        <v>ok</v>
      </c>
    </row>
    <row r="54" spans="15:27">
      <c r="O54" s="29" t="s">
        <v>114</v>
      </c>
      <c r="P54" s="275" t="s">
        <v>302</v>
      </c>
      <c r="Q54" s="76">
        <f t="shared" si="2"/>
        <v>0</v>
      </c>
      <c r="R54" s="76">
        <f>SUMIF(SelectedPortfolio_2019RSP!B:B,'2_TxCapability'!O54,SelectedPortfolio_2019RSP!D:D)</f>
        <v>0</v>
      </c>
      <c r="S54" s="76" t="str">
        <f t="shared" si="21"/>
        <v>ok</v>
      </c>
      <c r="T54" s="3">
        <f>SUMIF(SelectedPortfolio_2019RSP!B:B,'2_TxCapability'!O54,SelectedPortfolio_2019RSP!J:J)</f>
        <v>0</v>
      </c>
      <c r="U54" s="76" t="str">
        <f t="shared" si="38"/>
        <v>ok</v>
      </c>
      <c r="V54" s="76" t="str">
        <f t="shared" si="19"/>
        <v>ok</v>
      </c>
      <c r="W54" s="214">
        <f>SUMIF(SelectedPortfolio_2019RSP!B:B,'2_TxCapability'!O54,SelectedPortfolio_2019RSP!F:F)</f>
        <v>0</v>
      </c>
      <c r="X54" s="214" t="str">
        <f t="shared" si="39"/>
        <v>ok</v>
      </c>
      <c r="Y54" s="214">
        <f>SUMIF(SelectedPortfolio_2019RSP!B:B,'2_TxCapability'!O54,SelectedPortfolio_2019RSP!L:L)</f>
        <v>0</v>
      </c>
      <c r="Z54" s="214" t="str">
        <f t="shared" si="40"/>
        <v>ok</v>
      </c>
      <c r="AA54" s="214" t="str">
        <f t="shared" si="22"/>
        <v>ok</v>
      </c>
    </row>
    <row r="55" spans="15:27">
      <c r="O55" s="29" t="s">
        <v>115</v>
      </c>
      <c r="P55" s="275" t="s">
        <v>278</v>
      </c>
      <c r="Q55" s="76">
        <f t="shared" si="2"/>
        <v>58.21</v>
      </c>
      <c r="R55" s="76">
        <f>SUMIF(SelectedPortfolio_2019RSP!B:B,'2_TxCapability'!O55,SelectedPortfolio_2019RSP!D:D)</f>
        <v>58.21</v>
      </c>
      <c r="S55" s="76" t="str">
        <f t="shared" si="21"/>
        <v>ok</v>
      </c>
      <c r="T55" s="3">
        <f>SUMIF(SelectedPortfolio_2019RSP!B:B,'2_TxCapability'!O55,SelectedPortfolio_2019RSP!J:J)</f>
        <v>0</v>
      </c>
      <c r="U55" s="76" t="str">
        <f t="shared" si="38"/>
        <v>ok</v>
      </c>
      <c r="V55" s="76" t="str">
        <f t="shared" si="19"/>
        <v>ok</v>
      </c>
      <c r="W55" s="214">
        <f>SUMIF(SelectedPortfolio_2019RSP!B:B,'2_TxCapability'!O55,SelectedPortfolio_2019RSP!F:F)</f>
        <v>1836.21</v>
      </c>
      <c r="X55" s="214" t="str">
        <f t="shared" si="39"/>
        <v>breach</v>
      </c>
      <c r="Y55" s="214">
        <f>SUMIF(SelectedPortfolio_2019RSP!B:B,'2_TxCapability'!O55,SelectedPortfolio_2019RSP!L:L)</f>
        <v>0</v>
      </c>
      <c r="Z55" s="214" t="str">
        <f t="shared" si="40"/>
        <v>ok</v>
      </c>
      <c r="AA55" s="214" t="str">
        <f t="shared" si="22"/>
        <v>breach</v>
      </c>
    </row>
    <row r="56" spans="15:27">
      <c r="O56" s="29" t="s">
        <v>117</v>
      </c>
      <c r="P56" s="275"/>
      <c r="Q56" s="76">
        <f t="shared" si="2"/>
        <v>0</v>
      </c>
      <c r="R56" s="76">
        <f>SUMIF(SelectedPortfolio_2019RSP!B:B,'2_TxCapability'!O56,SelectedPortfolio_2019RSP!D:D)</f>
        <v>0</v>
      </c>
      <c r="S56" s="76"/>
      <c r="T56" s="3">
        <f>SUMIF(SelectedPortfolio_2019RSP!B:B,'2_TxCapability'!O56,SelectedPortfolio_2019RSP!J:J)</f>
        <v>0</v>
      </c>
      <c r="U56" s="76" t="str">
        <f t="shared" si="38"/>
        <v/>
      </c>
      <c r="V56" s="76" t="str">
        <f t="shared" si="19"/>
        <v/>
      </c>
      <c r="W56" s="214">
        <f>SUMIF(SelectedPortfolio_2019RSP!B:B,'2_TxCapability'!O56,SelectedPortfolio_2019RSP!F:F)</f>
        <v>0</v>
      </c>
      <c r="X56" s="214" t="str">
        <f t="shared" si="39"/>
        <v/>
      </c>
      <c r="Y56" s="214">
        <f>SUMIF(SelectedPortfolio_2019RSP!B:B,'2_TxCapability'!O56,SelectedPortfolio_2019RSP!L:L)</f>
        <v>0</v>
      </c>
      <c r="Z56" s="214" t="str">
        <f t="shared" si="40"/>
        <v/>
      </c>
      <c r="AA56" s="214" t="str">
        <f t="shared" si="1"/>
        <v/>
      </c>
    </row>
    <row r="57" spans="15:27">
      <c r="O57" s="29" t="s">
        <v>118</v>
      </c>
      <c r="P57" s="275"/>
      <c r="Q57" s="76">
        <f t="shared" si="2"/>
        <v>0</v>
      </c>
      <c r="R57" s="76">
        <f>SUMIF(SelectedPortfolio_2019RSP!B:B,'2_TxCapability'!O57,SelectedPortfolio_2019RSP!D:D)</f>
        <v>0</v>
      </c>
      <c r="S57" s="76"/>
      <c r="T57" s="3">
        <f>SUMIF(SelectedPortfolio_2019RSP!B:B,'2_TxCapability'!O57,SelectedPortfolio_2019RSP!J:J)</f>
        <v>0</v>
      </c>
      <c r="U57" s="76" t="str">
        <f t="shared" si="38"/>
        <v/>
      </c>
      <c r="V57" s="76" t="str">
        <f t="shared" si="19"/>
        <v/>
      </c>
      <c r="W57" s="214">
        <f>SUMIF(SelectedPortfolio_2019RSP!B:B,'2_TxCapability'!O57,SelectedPortfolio_2019RSP!F:F)</f>
        <v>0</v>
      </c>
      <c r="X57" s="214" t="str">
        <f t="shared" si="39"/>
        <v/>
      </c>
      <c r="Y57" s="214">
        <f>SUMIF(SelectedPortfolio_2019RSP!B:B,'2_TxCapability'!O57,SelectedPortfolio_2019RSP!L:L)</f>
        <v>0</v>
      </c>
      <c r="Z57" s="214" t="str">
        <f t="shared" si="40"/>
        <v/>
      </c>
      <c r="AA57" s="214" t="str">
        <f t="shared" si="1"/>
        <v/>
      </c>
    </row>
    <row r="58" spans="15:27">
      <c r="O58" s="29" t="s">
        <v>119</v>
      </c>
      <c r="P58" s="33"/>
      <c r="Q58" s="76">
        <f t="shared" si="2"/>
        <v>0</v>
      </c>
      <c r="R58" s="76">
        <f>SUMIF(SelectedPortfolio_2019RSP!B:B,'2_TxCapability'!O58,SelectedPortfolio_2019RSP!D:D)</f>
        <v>0</v>
      </c>
      <c r="S58" s="76"/>
      <c r="T58" s="3">
        <f>SUMIF(SelectedPortfolio_2019RSP!B:B,'2_TxCapability'!O58,SelectedPortfolio_2019RSP!J:J)</f>
        <v>0</v>
      </c>
      <c r="U58" s="76" t="str">
        <f t="shared" si="38"/>
        <v/>
      </c>
      <c r="V58" s="76" t="str">
        <f t="shared" si="19"/>
        <v/>
      </c>
      <c r="W58" s="214">
        <f>SUMIF(SelectedPortfolio_2019RSP!B:B,'2_TxCapability'!O58,SelectedPortfolio_2019RSP!F:F)</f>
        <v>0</v>
      </c>
      <c r="X58" s="214" t="str">
        <f t="shared" si="39"/>
        <v/>
      </c>
      <c r="Y58" s="214">
        <f>SUMIF(SelectedPortfolio_2019RSP!B:B,'2_TxCapability'!O58,SelectedPortfolio_2019RSP!L:L)</f>
        <v>0</v>
      </c>
      <c r="Z58" s="214" t="str">
        <f t="shared" si="40"/>
        <v/>
      </c>
      <c r="AA58" s="214" t="str">
        <f t="shared" si="1"/>
        <v/>
      </c>
    </row>
    <row r="59" spans="15:27">
      <c r="O59" s="29" t="s">
        <v>120</v>
      </c>
      <c r="P59" s="33"/>
      <c r="Q59" s="76">
        <f t="shared" si="2"/>
        <v>0</v>
      </c>
      <c r="R59" s="76">
        <f>SUMIF(SelectedPortfolio_2019RSP!B:B,'2_TxCapability'!O59,SelectedPortfolio_2019RSP!D:D)</f>
        <v>0</v>
      </c>
      <c r="S59" s="76"/>
      <c r="T59" s="3">
        <f>SUMIF(SelectedPortfolio_2019RSP!B:B,'2_TxCapability'!O59,SelectedPortfolio_2019RSP!J:J)</f>
        <v>0</v>
      </c>
      <c r="U59" s="76" t="str">
        <f t="shared" si="38"/>
        <v/>
      </c>
      <c r="V59" s="76" t="str">
        <f t="shared" si="19"/>
        <v/>
      </c>
      <c r="W59" s="214">
        <f>SUMIF(SelectedPortfolio_2019RSP!B:B,'2_TxCapability'!O59,SelectedPortfolio_2019RSP!F:F)</f>
        <v>0</v>
      </c>
      <c r="X59" s="214" t="str">
        <f t="shared" si="39"/>
        <v/>
      </c>
      <c r="Y59" s="214">
        <f>SUMIF(SelectedPortfolio_2019RSP!B:B,'2_TxCapability'!O59,SelectedPortfolio_2019RSP!L:L)</f>
        <v>0</v>
      </c>
      <c r="Z59" s="214" t="str">
        <f t="shared" si="40"/>
        <v/>
      </c>
      <c r="AA59" s="214" t="str">
        <f t="shared" si="1"/>
        <v/>
      </c>
    </row>
    <row r="60" spans="15:27">
      <c r="O60" s="29" t="s">
        <v>121</v>
      </c>
      <c r="P60" s="275" t="s">
        <v>268</v>
      </c>
      <c r="Q60" s="76">
        <f t="shared" si="2"/>
        <v>0</v>
      </c>
      <c r="R60" s="76">
        <f>SUMIF(SelectedPortfolio_2019RSP!B:B,'2_TxCapability'!O60,SelectedPortfolio_2019RSP!D:D)</f>
        <v>0</v>
      </c>
      <c r="S60" s="76" t="str">
        <f>IF(INDEX(AG:AG,MATCH(P60,AC:AC,0)),"breach","ok")</f>
        <v>ok</v>
      </c>
      <c r="T60" s="3">
        <f>SUMIF(SelectedPortfolio_2019RSP!B:B,'2_TxCapability'!O60,SelectedPortfolio_2019RSP!J:J)</f>
        <v>0</v>
      </c>
      <c r="U60" s="76" t="str">
        <f t="shared" si="38"/>
        <v>ok</v>
      </c>
      <c r="V60" s="76" t="str">
        <f t="shared" si="19"/>
        <v>ok</v>
      </c>
      <c r="W60" s="214">
        <f>SUMIF(SelectedPortfolio_2019RSP!B:B,'2_TxCapability'!O60,SelectedPortfolio_2019RSP!F:F)</f>
        <v>0</v>
      </c>
      <c r="X60" s="214" t="str">
        <f t="shared" si="39"/>
        <v>ok</v>
      </c>
      <c r="Y60" s="214">
        <f>SUMIF(SelectedPortfolio_2019RSP!B:B,'2_TxCapability'!O60,SelectedPortfolio_2019RSP!L:L)</f>
        <v>0</v>
      </c>
      <c r="Z60" s="214" t="str">
        <f t="shared" si="40"/>
        <v>ok</v>
      </c>
      <c r="AA60" s="214" t="str">
        <f t="shared" ref="AA60" si="41">IF(AND(X60="ok",Z60="ok"), "ok","breach")</f>
        <v>ok</v>
      </c>
    </row>
    <row r="61" spans="15:27">
      <c r="O61" s="29" t="s">
        <v>122</v>
      </c>
      <c r="P61" s="33"/>
      <c r="Q61" s="76">
        <f t="shared" si="2"/>
        <v>0</v>
      </c>
      <c r="R61" s="76">
        <f>SUMIF(SelectedPortfolio_2019RSP!B:B,'2_TxCapability'!O61,SelectedPortfolio_2019RSP!D:D)</f>
        <v>0</v>
      </c>
      <c r="S61" s="76"/>
      <c r="T61" s="3">
        <f>SUMIF(SelectedPortfolio_2019RSP!B:B,'2_TxCapability'!O61,SelectedPortfolio_2019RSP!J:J)</f>
        <v>0</v>
      </c>
      <c r="U61" s="76" t="str">
        <f t="shared" si="38"/>
        <v/>
      </c>
      <c r="V61" s="76" t="str">
        <f t="shared" si="19"/>
        <v/>
      </c>
      <c r="W61" s="214">
        <f>SUMIF(SelectedPortfolio_2019RSP!B:B,'2_TxCapability'!O61,SelectedPortfolio_2019RSP!F:F)</f>
        <v>0</v>
      </c>
      <c r="X61" s="214" t="str">
        <f t="shared" si="39"/>
        <v/>
      </c>
      <c r="Y61" s="214">
        <f>SUMIF(SelectedPortfolio_2019RSP!B:B,'2_TxCapability'!O61,SelectedPortfolio_2019RSP!L:L)</f>
        <v>0</v>
      </c>
      <c r="Z61" s="214" t="str">
        <f t="shared" si="40"/>
        <v/>
      </c>
      <c r="AA61" s="214" t="str">
        <f t="shared" si="1"/>
        <v/>
      </c>
    </row>
    <row r="62" spans="15:27">
      <c r="O62" s="29" t="s">
        <v>123</v>
      </c>
      <c r="P62" s="33"/>
      <c r="Q62" s="76">
        <f t="shared" si="2"/>
        <v>0</v>
      </c>
      <c r="R62" s="76">
        <f>SUMIF(SelectedPortfolio_2019RSP!B:B,'2_TxCapability'!O62,SelectedPortfolio_2019RSP!D:D)</f>
        <v>0</v>
      </c>
      <c r="S62" s="76"/>
      <c r="T62" s="3">
        <f>SUMIF(SelectedPortfolio_2019RSP!B:B,'2_TxCapability'!O62,SelectedPortfolio_2019RSP!J:J)</f>
        <v>0</v>
      </c>
      <c r="U62" s="76" t="str">
        <f t="shared" si="38"/>
        <v/>
      </c>
      <c r="V62" s="76" t="str">
        <f t="shared" si="19"/>
        <v/>
      </c>
      <c r="W62" s="214">
        <f>SUMIF(SelectedPortfolio_2019RSP!B:B,'2_TxCapability'!O62,SelectedPortfolio_2019RSP!F:F)</f>
        <v>0</v>
      </c>
      <c r="X62" s="214" t="str">
        <f t="shared" si="39"/>
        <v/>
      </c>
      <c r="Y62" s="214">
        <f>SUMIF(SelectedPortfolio_2019RSP!B:B,'2_TxCapability'!O62,SelectedPortfolio_2019RSP!L:L)</f>
        <v>0</v>
      </c>
      <c r="Z62" s="214" t="str">
        <f t="shared" si="40"/>
        <v/>
      </c>
      <c r="AA62" s="214" t="str">
        <f t="shared" si="1"/>
        <v/>
      </c>
    </row>
    <row r="63" spans="15:27">
      <c r="O63" s="29" t="s">
        <v>124</v>
      </c>
      <c r="P63" s="275" t="s">
        <v>271</v>
      </c>
      <c r="Q63" s="76">
        <f t="shared" si="2"/>
        <v>2352.08</v>
      </c>
      <c r="R63" s="76">
        <f>SUMIF(SelectedPortfolio_2019RSP!B:B,'2_TxCapability'!O63,SelectedPortfolio_2019RSP!D:D)</f>
        <v>1195.9100000000001</v>
      </c>
      <c r="S63" s="76" t="str">
        <f>IF(INDEX(AG:AG,MATCH(P63,AC:AC,0)),"breach","ok")</f>
        <v>ok</v>
      </c>
      <c r="T63" s="3">
        <f>SUMIF(SelectedPortfolio_2019RSP!B:B,'2_TxCapability'!O63,SelectedPortfolio_2019RSP!J:J)</f>
        <v>1156.17</v>
      </c>
      <c r="U63" s="76" t="str">
        <f t="shared" si="38"/>
        <v>ok</v>
      </c>
      <c r="V63" s="76" t="str">
        <f t="shared" si="19"/>
        <v>ok</v>
      </c>
      <c r="W63" s="214">
        <f>SUMIF(SelectedPortfolio_2019RSP!B:B,'2_TxCapability'!O63,SelectedPortfolio_2019RSP!F:F)</f>
        <v>1195.9100000000001</v>
      </c>
      <c r="X63" s="214" t="str">
        <f t="shared" si="39"/>
        <v>ok</v>
      </c>
      <c r="Y63" s="214">
        <f>SUMIF(SelectedPortfolio_2019RSP!B:B,'2_TxCapability'!O63,SelectedPortfolio_2019RSP!L:L)</f>
        <v>1156.17</v>
      </c>
      <c r="Z63" s="214" t="str">
        <f t="shared" si="40"/>
        <v>ok</v>
      </c>
      <c r="AA63" s="214" t="str">
        <f t="shared" ref="AA63:AA67" si="42">IF(AND(X63="ok",Z63="ok"), "ok","breach")</f>
        <v>ok</v>
      </c>
    </row>
    <row r="64" spans="15:27">
      <c r="O64" s="29" t="s">
        <v>126</v>
      </c>
      <c r="P64" s="275" t="s">
        <v>271</v>
      </c>
      <c r="Q64" s="76">
        <f t="shared" si="2"/>
        <v>0</v>
      </c>
      <c r="R64" s="76">
        <f>SUMIF(SelectedPortfolio_2019RSP!B:B,'2_TxCapability'!O64,SelectedPortfolio_2019RSP!D:D)</f>
        <v>0</v>
      </c>
      <c r="S64" s="76" t="str">
        <f>IF(INDEX(AG:AG,MATCH(P64,AC:AC,0)),"breach","ok")</f>
        <v>ok</v>
      </c>
      <c r="T64" s="3">
        <f>SUMIF(SelectedPortfolio_2019RSP!B:B,'2_TxCapability'!O64,SelectedPortfolio_2019RSP!J:J)</f>
        <v>0</v>
      </c>
      <c r="U64" s="76" t="str">
        <f t="shared" si="38"/>
        <v>ok</v>
      </c>
      <c r="V64" s="76" t="str">
        <f t="shared" si="19"/>
        <v>ok</v>
      </c>
      <c r="W64" s="214">
        <f>SUMIF(SelectedPortfolio_2019RSP!B:B,'2_TxCapability'!O64,SelectedPortfolio_2019RSP!F:F)</f>
        <v>0</v>
      </c>
      <c r="X64" s="214" t="str">
        <f t="shared" si="39"/>
        <v>ok</v>
      </c>
      <c r="Y64" s="214">
        <f>SUMIF(SelectedPortfolio_2019RSP!B:B,'2_TxCapability'!O64,SelectedPortfolio_2019RSP!L:L)</f>
        <v>0</v>
      </c>
      <c r="Z64" s="214" t="str">
        <f t="shared" si="40"/>
        <v>ok</v>
      </c>
      <c r="AA64" s="214" t="str">
        <f t="shared" si="42"/>
        <v>ok</v>
      </c>
    </row>
    <row r="65" spans="12:41">
      <c r="L65" s="269"/>
      <c r="M65" s="429"/>
      <c r="N65" s="429"/>
      <c r="O65" s="29" t="s">
        <v>127</v>
      </c>
      <c r="P65" s="275" t="s">
        <v>263</v>
      </c>
      <c r="Q65" s="76">
        <f t="shared" si="2"/>
        <v>0</v>
      </c>
      <c r="R65" s="76">
        <f>SUMIF(SelectedPortfolio_2019RSP!B:B,'2_TxCapability'!O65,SelectedPortfolio_2019RSP!D:D)</f>
        <v>0</v>
      </c>
      <c r="S65" s="76" t="str">
        <f>IF(INDEX(AG:AG,MATCH(P65,AC:AC,0)),"breach","ok")</f>
        <v>ok</v>
      </c>
      <c r="T65" s="3">
        <f>SUMIF(SelectedPortfolio_2019RSP!B:B,'2_TxCapability'!O65,SelectedPortfolio_2019RSP!J:J)</f>
        <v>0</v>
      </c>
      <c r="U65" s="76" t="str">
        <f t="shared" si="38"/>
        <v>ok</v>
      </c>
      <c r="V65" s="76" t="str">
        <f t="shared" si="19"/>
        <v>ok</v>
      </c>
      <c r="W65" s="214">
        <f>SUMIF(SelectedPortfolio_2019RSP!B:B,'2_TxCapability'!O65,SelectedPortfolio_2019RSP!F:F)</f>
        <v>0</v>
      </c>
      <c r="X65" s="214" t="str">
        <f t="shared" si="39"/>
        <v>ok</v>
      </c>
      <c r="Y65" s="214">
        <f>SUMIF(SelectedPortfolio_2019RSP!B:B,'2_TxCapability'!O65,SelectedPortfolio_2019RSP!L:L)</f>
        <v>0</v>
      </c>
      <c r="Z65" s="214" t="str">
        <f t="shared" si="40"/>
        <v>ok</v>
      </c>
      <c r="AA65" s="214" t="str">
        <f t="shared" si="42"/>
        <v>ok</v>
      </c>
      <c r="AB65" s="429"/>
      <c r="AC65" s="429"/>
      <c r="AD65" s="429"/>
      <c r="AE65" s="429"/>
      <c r="AF65" s="429"/>
      <c r="AG65" s="429"/>
      <c r="AH65" s="429"/>
      <c r="AI65" s="429"/>
      <c r="AJ65" s="429"/>
      <c r="AK65" s="429"/>
      <c r="AL65" s="429"/>
      <c r="AN65" s="429"/>
    </row>
    <row r="66" spans="12:41">
      <c r="L66" s="269"/>
      <c r="M66" s="429"/>
      <c r="N66" s="429"/>
      <c r="O66" s="29" t="s">
        <v>128</v>
      </c>
      <c r="P66" s="275" t="s">
        <v>263</v>
      </c>
      <c r="Q66" s="76">
        <f t="shared" si="2"/>
        <v>600</v>
      </c>
      <c r="R66" s="76">
        <f>SUMIF(SelectedPortfolio_2019RSP!B:B,'2_TxCapability'!O66,SelectedPortfolio_2019RSP!D:D)</f>
        <v>600</v>
      </c>
      <c r="S66" s="76" t="str">
        <f>IF(INDEX(AG:AG,MATCH(P66,AC:AC,0)),"breach","ok")</f>
        <v>ok</v>
      </c>
      <c r="T66" s="3">
        <f>SUMIF(SelectedPortfolio_2019RSP!B:B,'2_TxCapability'!O66,SelectedPortfolio_2019RSP!J:J)</f>
        <v>0</v>
      </c>
      <c r="U66" s="76" t="str">
        <f t="shared" si="38"/>
        <v>ok</v>
      </c>
      <c r="V66" s="76" t="str">
        <f t="shared" si="19"/>
        <v>ok</v>
      </c>
      <c r="W66" s="214">
        <f>SUMIF(SelectedPortfolio_2019RSP!B:B,'2_TxCapability'!O66,SelectedPortfolio_2019RSP!F:F)</f>
        <v>600</v>
      </c>
      <c r="X66" s="214" t="str">
        <f t="shared" si="39"/>
        <v>ok</v>
      </c>
      <c r="Y66" s="214">
        <f>SUMIF(SelectedPortfolio_2019RSP!B:B,'2_TxCapability'!O66,SelectedPortfolio_2019RSP!L:L)</f>
        <v>0</v>
      </c>
      <c r="Z66" s="214" t="str">
        <f t="shared" si="40"/>
        <v>ok</v>
      </c>
      <c r="AA66" s="214" t="str">
        <f t="shared" si="42"/>
        <v>ok</v>
      </c>
      <c r="AB66" s="429"/>
      <c r="AC66" s="429"/>
      <c r="AD66" s="429"/>
      <c r="AE66" s="429"/>
      <c r="AF66" s="429"/>
      <c r="AG66" s="429"/>
      <c r="AH66" s="429"/>
      <c r="AI66" s="429"/>
      <c r="AJ66" s="429"/>
      <c r="AK66" s="429"/>
      <c r="AL66" s="429"/>
      <c r="AN66" s="429"/>
    </row>
    <row r="67" spans="12:41">
      <c r="L67" s="269"/>
      <c r="M67" s="429"/>
      <c r="N67" s="429"/>
      <c r="O67" s="29" t="s">
        <v>130</v>
      </c>
      <c r="P67" s="275" t="s">
        <v>267</v>
      </c>
      <c r="Q67" s="76">
        <f t="shared" si="2"/>
        <v>0</v>
      </c>
      <c r="R67" s="76">
        <f>SUMIF(SelectedPortfolio_2019RSP!B:B,'2_TxCapability'!O67,SelectedPortfolio_2019RSP!D:D)</f>
        <v>0</v>
      </c>
      <c r="S67" s="76" t="str">
        <f>IF(INDEX(AG:AG,MATCH(P67,AC:AC,0)),"breach","ok")</f>
        <v>ok</v>
      </c>
      <c r="T67" s="3">
        <f>SUMIF(SelectedPortfolio_2019RSP!B:B,'2_TxCapability'!O67,SelectedPortfolio_2019RSP!J:J)</f>
        <v>0</v>
      </c>
      <c r="U67" s="76" t="str">
        <f t="shared" si="38"/>
        <v>ok</v>
      </c>
      <c r="V67" s="76" t="str">
        <f t="shared" si="19"/>
        <v>ok</v>
      </c>
      <c r="W67" s="214">
        <f>SUMIF(SelectedPortfolio_2019RSP!B:B,'2_TxCapability'!O67,SelectedPortfolio_2019RSP!F:F)</f>
        <v>0</v>
      </c>
      <c r="X67" s="214" t="str">
        <f t="shared" si="39"/>
        <v>ok</v>
      </c>
      <c r="Y67" s="214">
        <f>SUMIF(SelectedPortfolio_2019RSP!B:B,'2_TxCapability'!O67,SelectedPortfolio_2019RSP!L:L)</f>
        <v>0</v>
      </c>
      <c r="Z67" s="214" t="str">
        <f t="shared" si="40"/>
        <v>ok</v>
      </c>
      <c r="AA67" s="214" t="str">
        <f t="shared" si="42"/>
        <v>ok</v>
      </c>
      <c r="AB67" s="429"/>
      <c r="AC67" s="429"/>
      <c r="AD67" s="429"/>
      <c r="AE67" s="429"/>
      <c r="AF67" s="429"/>
      <c r="AG67" s="429"/>
      <c r="AH67" s="429"/>
      <c r="AI67" s="429"/>
      <c r="AJ67" s="429"/>
      <c r="AK67" s="429"/>
      <c r="AL67" s="429"/>
      <c r="AN67" s="429"/>
    </row>
    <row r="68" spans="12:41">
      <c r="L68" s="269"/>
      <c r="M68" s="429"/>
      <c r="N68" s="429"/>
      <c r="O68" s="29" t="s">
        <v>131</v>
      </c>
      <c r="P68" s="33"/>
      <c r="Q68" s="76">
        <f t="shared" si="2"/>
        <v>0</v>
      </c>
      <c r="R68" s="76">
        <f>SUMIF(SelectedPortfolio_2019RSP!B:B,'2_TxCapability'!O68,SelectedPortfolio_2019RSP!D:D)</f>
        <v>0</v>
      </c>
      <c r="S68" s="76"/>
      <c r="T68" s="3">
        <f>SUMIF(SelectedPortfolio_2019RSP!B:B,'2_TxCapability'!O68,SelectedPortfolio_2019RSP!J:J)</f>
        <v>0</v>
      </c>
      <c r="U68" s="76" t="str">
        <f t="shared" si="38"/>
        <v/>
      </c>
      <c r="V68" s="76" t="str">
        <f t="shared" si="19"/>
        <v/>
      </c>
      <c r="W68" s="214">
        <f>SUMIF(SelectedPortfolio_2019RSP!B:B,'2_TxCapability'!O68,SelectedPortfolio_2019RSP!F:F)</f>
        <v>0</v>
      </c>
      <c r="X68" s="214" t="str">
        <f t="shared" si="39"/>
        <v/>
      </c>
      <c r="Y68" s="214">
        <f>SUMIF(SelectedPortfolio_2019RSP!B:B,'2_TxCapability'!O68,SelectedPortfolio_2019RSP!L:L)</f>
        <v>0</v>
      </c>
      <c r="Z68" s="214" t="str">
        <f t="shared" si="40"/>
        <v/>
      </c>
      <c r="AA68" s="214" t="str">
        <f t="shared" si="1"/>
        <v/>
      </c>
      <c r="AB68" s="429"/>
      <c r="AC68" s="429"/>
      <c r="AD68" s="429"/>
      <c r="AE68" s="429"/>
      <c r="AF68" s="429"/>
      <c r="AG68" s="429"/>
      <c r="AH68" s="429"/>
      <c r="AI68" s="429"/>
      <c r="AJ68" s="429"/>
      <c r="AK68" s="429"/>
      <c r="AL68" s="429"/>
      <c r="AN68" s="429"/>
    </row>
    <row r="69" spans="12:41">
      <c r="L69" s="269"/>
      <c r="M69" s="429"/>
      <c r="N69" s="429"/>
      <c r="O69" s="29" t="s">
        <v>132</v>
      </c>
      <c r="P69" s="33"/>
      <c r="Q69" s="76">
        <f t="shared" si="2"/>
        <v>0</v>
      </c>
      <c r="R69" s="76">
        <f>SUMIF(SelectedPortfolio_2019RSP!B:B,'2_TxCapability'!O69,SelectedPortfolio_2019RSP!D:D)</f>
        <v>0</v>
      </c>
      <c r="S69" s="76"/>
      <c r="T69" s="3">
        <f>SUMIF(SelectedPortfolio_2019RSP!B:B,'2_TxCapability'!O69,SelectedPortfolio_2019RSP!J:J)</f>
        <v>0</v>
      </c>
      <c r="U69" s="76" t="str">
        <f t="shared" si="38"/>
        <v/>
      </c>
      <c r="V69" s="76" t="str">
        <f t="shared" si="19"/>
        <v/>
      </c>
      <c r="W69" s="214">
        <f>SUMIF(SelectedPortfolio_2019RSP!B:B,'2_TxCapability'!O69,SelectedPortfolio_2019RSP!F:F)</f>
        <v>0</v>
      </c>
      <c r="X69" s="214" t="str">
        <f t="shared" si="39"/>
        <v/>
      </c>
      <c r="Y69" s="214">
        <f>SUMIF(SelectedPortfolio_2019RSP!B:B,'2_TxCapability'!O69,SelectedPortfolio_2019RSP!L:L)</f>
        <v>0</v>
      </c>
      <c r="Z69" s="214" t="str">
        <f t="shared" si="40"/>
        <v/>
      </c>
      <c r="AA69" s="214" t="str">
        <f t="shared" si="1"/>
        <v/>
      </c>
      <c r="AB69" s="429"/>
      <c r="AC69" s="429"/>
      <c r="AD69" s="429"/>
      <c r="AE69" s="429"/>
      <c r="AF69" s="429"/>
      <c r="AG69" s="429"/>
      <c r="AH69" s="429"/>
      <c r="AI69" s="429"/>
      <c r="AJ69" s="429"/>
      <c r="AK69" s="429"/>
      <c r="AL69" s="429"/>
      <c r="AN69" s="429"/>
    </row>
    <row r="70" spans="12:41">
      <c r="L70" s="269"/>
      <c r="M70" s="429"/>
      <c r="N70" s="429"/>
      <c r="O70" s="29" t="s">
        <v>133</v>
      </c>
      <c r="P70" s="275" t="s">
        <v>275</v>
      </c>
      <c r="Q70" s="76">
        <f t="shared" si="2"/>
        <v>0</v>
      </c>
      <c r="R70" s="76">
        <f>SUMIF(SelectedPortfolio_2019RSP!B:B,'2_TxCapability'!O70,SelectedPortfolio_2019RSP!D:D)</f>
        <v>0</v>
      </c>
      <c r="S70" s="76" t="str">
        <f>IF(INDEX(AG:AG,MATCH(P70,AC:AC,0)),"breach","ok")</f>
        <v>ok</v>
      </c>
      <c r="T70" s="3">
        <f>SUMIF(SelectedPortfolio_2019RSP!B:B,'2_TxCapability'!O70,SelectedPortfolio_2019RSP!J:J)</f>
        <v>0</v>
      </c>
      <c r="U70" s="76" t="str">
        <f t="shared" si="38"/>
        <v>ok</v>
      </c>
      <c r="V70" s="76" t="str">
        <f t="shared" si="19"/>
        <v>ok</v>
      </c>
      <c r="W70" s="214">
        <f>SUMIF(SelectedPortfolio_2019RSP!B:B,'2_TxCapability'!O70,SelectedPortfolio_2019RSP!F:F)</f>
        <v>0</v>
      </c>
      <c r="X70" s="214" t="str">
        <f t="shared" si="39"/>
        <v>ok</v>
      </c>
      <c r="Y70" s="214">
        <f>SUMIF(SelectedPortfolio_2019RSP!B:B,'2_TxCapability'!O70,SelectedPortfolio_2019RSP!L:L)</f>
        <v>0</v>
      </c>
      <c r="Z70" s="214" t="str">
        <f t="shared" si="40"/>
        <v>ok</v>
      </c>
      <c r="AA70" s="214" t="str">
        <f t="shared" ref="AA70:AA72" si="43">IF(AND(X70="ok",Z70="ok"), "ok","breach")</f>
        <v>ok</v>
      </c>
      <c r="AB70" s="429"/>
      <c r="AC70" s="429"/>
      <c r="AD70" s="429"/>
      <c r="AE70" s="429"/>
      <c r="AF70" s="429"/>
      <c r="AG70" s="429"/>
      <c r="AH70" s="429"/>
      <c r="AI70" s="429"/>
      <c r="AJ70" s="429"/>
      <c r="AK70" s="429"/>
      <c r="AL70" s="429"/>
      <c r="AN70" s="429"/>
    </row>
    <row r="71" spans="12:41">
      <c r="L71" s="269"/>
      <c r="M71" s="429"/>
      <c r="N71" s="429"/>
      <c r="O71" s="29" t="s">
        <v>134</v>
      </c>
      <c r="P71" s="275" t="s">
        <v>271</v>
      </c>
      <c r="Q71" s="76">
        <f t="shared" si="2"/>
        <v>0</v>
      </c>
      <c r="R71" s="76">
        <f>SUMIF(SelectedPortfolio_2019RSP!B:B,'2_TxCapability'!O71,SelectedPortfolio_2019RSP!D:D)</f>
        <v>0</v>
      </c>
      <c r="S71" s="76" t="str">
        <f>IF(INDEX(AG:AG,MATCH(P71,AC:AC,0)),"breach","ok")</f>
        <v>ok</v>
      </c>
      <c r="T71" s="3">
        <f>SUMIF(SelectedPortfolio_2019RSP!B:B,'2_TxCapability'!O71,SelectedPortfolio_2019RSP!J:J)</f>
        <v>0</v>
      </c>
      <c r="U71" s="76" t="str">
        <f t="shared" si="38"/>
        <v>ok</v>
      </c>
      <c r="V71" s="76" t="str">
        <f t="shared" si="19"/>
        <v>ok</v>
      </c>
      <c r="W71" s="214">
        <f>SUMIF(SelectedPortfolio_2019RSP!B:B,'2_TxCapability'!O71,SelectedPortfolio_2019RSP!F:F)</f>
        <v>0</v>
      </c>
      <c r="X71" s="214" t="str">
        <f t="shared" si="39"/>
        <v>ok</v>
      </c>
      <c r="Y71" s="214">
        <f>SUMIF(SelectedPortfolio_2019RSP!B:B,'2_TxCapability'!O71,SelectedPortfolio_2019RSP!L:L)</f>
        <v>0</v>
      </c>
      <c r="Z71" s="214" t="str">
        <f t="shared" si="40"/>
        <v>ok</v>
      </c>
      <c r="AA71" s="214" t="str">
        <f t="shared" si="43"/>
        <v>ok</v>
      </c>
      <c r="AB71" s="429"/>
      <c r="AC71" s="429"/>
      <c r="AD71" s="429"/>
      <c r="AE71" s="429"/>
      <c r="AF71" s="429"/>
      <c r="AG71" s="429"/>
      <c r="AH71" s="429"/>
      <c r="AI71" s="429"/>
      <c r="AJ71" s="429"/>
      <c r="AK71" s="429"/>
      <c r="AL71" s="429"/>
      <c r="AN71" s="429"/>
    </row>
    <row r="72" spans="12:41">
      <c r="L72" s="269"/>
      <c r="M72" s="429"/>
      <c r="N72" s="429"/>
      <c r="O72" s="29" t="s">
        <v>135</v>
      </c>
      <c r="P72" s="275" t="s">
        <v>271</v>
      </c>
      <c r="Q72" s="76">
        <f t="shared" si="2"/>
        <v>606.16999999999996</v>
      </c>
      <c r="R72" s="76">
        <f>SUMIF(SelectedPortfolio_2019RSP!B:B,'2_TxCapability'!O72,SelectedPortfolio_2019RSP!D:D)</f>
        <v>606.16999999999996</v>
      </c>
      <c r="S72" s="76" t="str">
        <f>IF(INDEX(AG:AG,MATCH(P72,AC:AC,0)),"breach","ok")</f>
        <v>ok</v>
      </c>
      <c r="T72" s="3">
        <f>SUMIF(SelectedPortfolio_2019RSP!B:B,'2_TxCapability'!O72,SelectedPortfolio_2019RSP!J:J)</f>
        <v>0</v>
      </c>
      <c r="U72" s="76" t="str">
        <f t="shared" si="38"/>
        <v>ok</v>
      </c>
      <c r="V72" s="76" t="str">
        <f t="shared" si="19"/>
        <v>ok</v>
      </c>
      <c r="W72" s="214">
        <f>SUMIF(SelectedPortfolio_2019RSP!B:B,'2_TxCapability'!O72,SelectedPortfolio_2019RSP!F:F)</f>
        <v>606.16999999999996</v>
      </c>
      <c r="X72" s="214" t="str">
        <f t="shared" si="39"/>
        <v>ok</v>
      </c>
      <c r="Y72" s="214">
        <f>SUMIF(SelectedPortfolio_2019RSP!B:B,'2_TxCapability'!O72,SelectedPortfolio_2019RSP!L:L)</f>
        <v>0</v>
      </c>
      <c r="Z72" s="214" t="str">
        <f t="shared" si="40"/>
        <v>ok</v>
      </c>
      <c r="AA72" s="214" t="str">
        <f t="shared" si="43"/>
        <v>ok</v>
      </c>
      <c r="AB72" s="429"/>
      <c r="AC72" s="429"/>
      <c r="AD72" s="429"/>
      <c r="AE72" s="429"/>
      <c r="AF72" s="429"/>
      <c r="AG72" s="429"/>
      <c r="AH72" s="429"/>
      <c r="AI72" s="429"/>
      <c r="AJ72" s="429"/>
      <c r="AK72" s="429"/>
      <c r="AL72" s="429"/>
      <c r="AN72" s="429"/>
    </row>
    <row r="73" spans="12:41" s="405" customFormat="1">
      <c r="L73" s="269"/>
      <c r="M73" s="429"/>
      <c r="N73" s="429"/>
      <c r="O73" s="423" t="s">
        <v>169</v>
      </c>
      <c r="P73" s="382" t="s">
        <v>214</v>
      </c>
      <c r="Q73" s="424"/>
      <c r="R73" s="424">
        <f>SUMIF(SelectedPortfolio_2019RSP!B:B,'2_TxCapability'!O73,SelectedPortfolio_2019RSP!D:D)</f>
        <v>0</v>
      </c>
      <c r="S73" s="424" t="str">
        <f>IF(INDEX(AG:AG,MATCH(P73,AC:AC,0)),"breach","ok")</f>
        <v>ok</v>
      </c>
      <c r="T73" s="424">
        <f>SUMIF(SelectedPortfolio_2019RSP!B:B,'2_TxCapability'!O73,SelectedPortfolio_2019RSP!J:J)</f>
        <v>0</v>
      </c>
      <c r="U73" s="424" t="str">
        <f t="shared" si="38"/>
        <v>ok</v>
      </c>
      <c r="V73" s="424" t="str">
        <f t="shared" ref="V73" si="44">IF(AND(S73="ok",U73="ok"), "ok","")</f>
        <v>ok</v>
      </c>
      <c r="W73" s="424">
        <f>SUMIF(SelectedPortfolio_2019RSP!B:B,'2_TxCapability'!O73,SelectedPortfolio_2019RSP!F:F)</f>
        <v>974</v>
      </c>
      <c r="X73" s="424" t="str">
        <f t="shared" si="39"/>
        <v>breach</v>
      </c>
      <c r="Y73" s="424">
        <f>SUMIF(SelectedPortfolio_2019RSP!B:B,'2_TxCapability'!O73,SelectedPortfolio_2019RSP!L:L)</f>
        <v>0</v>
      </c>
      <c r="Z73" s="424" t="str">
        <f t="shared" si="40"/>
        <v>ok</v>
      </c>
      <c r="AA73" s="424" t="str">
        <f t="shared" ref="AA73" si="45">IF(AND(X73="ok",Z73="ok"), "ok","breach")</f>
        <v>breach</v>
      </c>
      <c r="AB73" s="429"/>
      <c r="AC73" s="429"/>
      <c r="AD73" s="429"/>
      <c r="AE73" s="429"/>
      <c r="AF73" s="429"/>
      <c r="AG73" s="429"/>
      <c r="AH73" s="429"/>
      <c r="AI73" s="429"/>
      <c r="AJ73" s="429"/>
      <c r="AK73" s="429"/>
      <c r="AL73" s="429"/>
      <c r="AM73" s="210"/>
      <c r="AN73" s="429"/>
      <c r="AO73" s="210"/>
    </row>
    <row r="74" spans="12:41">
      <c r="L74" s="269"/>
      <c r="M74" s="429"/>
      <c r="N74" s="429"/>
      <c r="O74" s="208" t="s">
        <v>138</v>
      </c>
      <c r="P74" s="429"/>
      <c r="Q74" s="271">
        <f>SUM(Q7:Q73)</f>
        <v>14460.489999999998</v>
      </c>
      <c r="R74" s="217">
        <f>SUM(R7:R73)</f>
        <v>11447.49</v>
      </c>
      <c r="S74" s="217"/>
      <c r="T74" s="271">
        <f>SUM(T7:T73)</f>
        <v>3013</v>
      </c>
      <c r="U74" s="271"/>
      <c r="V74" s="271"/>
      <c r="W74" s="211">
        <f>SUM(W7:W73)</f>
        <v>12420.49</v>
      </c>
      <c r="X74" s="211"/>
      <c r="Y74" s="211">
        <f>SUM(Y7:Y73)</f>
        <v>3013</v>
      </c>
      <c r="Z74" s="211"/>
      <c r="AA74" s="211"/>
      <c r="AB74" s="429"/>
      <c r="AC74" s="429"/>
      <c r="AD74" s="429"/>
      <c r="AE74" s="429"/>
      <c r="AF74" s="429"/>
      <c r="AG74" s="429"/>
      <c r="AH74" s="429"/>
      <c r="AI74" s="429"/>
      <c r="AJ74" s="429"/>
      <c r="AK74" s="429"/>
      <c r="AL74" s="429"/>
      <c r="AN74" s="429"/>
    </row>
  </sheetData>
  <autoFilter ref="O6:AA72" xr:uid="{D7C81E7B-2CE4-436D-B588-231B2A6D074E}"/>
  <mergeCells count="20">
    <mergeCell ref="B19:K19"/>
    <mergeCell ref="D6:G6"/>
    <mergeCell ref="H6:K6"/>
    <mergeCell ref="B5:L5"/>
    <mergeCell ref="B9:C9"/>
    <mergeCell ref="B10:C10"/>
    <mergeCell ref="B11:C11"/>
    <mergeCell ref="B13:K13"/>
    <mergeCell ref="B17:C17"/>
    <mergeCell ref="B15:C15"/>
    <mergeCell ref="B26:K26"/>
    <mergeCell ref="B21:K21"/>
    <mergeCell ref="B23:C23"/>
    <mergeCell ref="B25:C25"/>
    <mergeCell ref="B20:C20"/>
    <mergeCell ref="AD6:AI6"/>
    <mergeCell ref="AJ6:AO6"/>
    <mergeCell ref="AC5:AO5"/>
    <mergeCell ref="O5:T5"/>
    <mergeCell ref="B6:C6"/>
  </mergeCells>
  <conditionalFormatting sqref="AG10:AG38">
    <cfRule type="colorScale" priority="3">
      <colorScale>
        <cfvo type="min"/>
        <cfvo type="percentile" val="50"/>
        <cfvo type="max"/>
        <color rgb="FFF8696B"/>
        <color rgb="FFFFEB84"/>
        <color rgb="FF63BE7B"/>
      </colorScale>
    </cfRule>
  </conditionalFormatting>
  <conditionalFormatting sqref="AI10:AI38">
    <cfRule type="colorScale" priority="31">
      <colorScale>
        <cfvo type="min"/>
        <cfvo type="percentile" val="50"/>
        <cfvo type="max"/>
        <color rgb="FFF8696B"/>
        <color rgb="FFFFEB84"/>
        <color rgb="FF63BE7B"/>
      </colorScale>
    </cfRule>
  </conditionalFormatting>
  <conditionalFormatting sqref="AM10:AM13">
    <cfRule type="colorScale" priority="22">
      <colorScale>
        <cfvo type="min"/>
        <cfvo type="percentile" val="50"/>
        <cfvo type="max"/>
        <color rgb="FF63BE7B"/>
        <color rgb="FFFFEB84"/>
        <color rgb="FFF8696B"/>
      </colorScale>
    </cfRule>
  </conditionalFormatting>
  <conditionalFormatting sqref="AO10:AO13">
    <cfRule type="colorScale" priority="23">
      <colorScale>
        <cfvo type="min"/>
        <cfvo type="percentile" val="50"/>
        <cfvo type="max"/>
        <color rgb="FFF8696B"/>
        <color rgb="FFFFEB84"/>
        <color rgb="FF63BE7B"/>
      </colorScale>
    </cfRule>
  </conditionalFormatting>
  <conditionalFormatting sqref="AM15:AM18">
    <cfRule type="colorScale" priority="20">
      <colorScale>
        <cfvo type="min"/>
        <cfvo type="percentile" val="50"/>
        <cfvo type="max"/>
        <color rgb="FF63BE7B"/>
        <color rgb="FFFFEB84"/>
        <color rgb="FFF8696B"/>
      </colorScale>
    </cfRule>
  </conditionalFormatting>
  <conditionalFormatting sqref="AM20:AM29">
    <cfRule type="colorScale" priority="18">
      <colorScale>
        <cfvo type="min"/>
        <cfvo type="percentile" val="50"/>
        <cfvo type="max"/>
        <color rgb="FF63BE7B"/>
        <color rgb="FFFFEB84"/>
        <color rgb="FFF8696B"/>
      </colorScale>
    </cfRule>
  </conditionalFormatting>
  <conditionalFormatting sqref="AM30:AM31">
    <cfRule type="colorScale" priority="16">
      <colorScale>
        <cfvo type="min"/>
        <cfvo type="percentile" val="50"/>
        <cfvo type="max"/>
        <color rgb="FF63BE7B"/>
        <color rgb="FFFFEB84"/>
        <color rgb="FFF8696B"/>
      </colorScale>
    </cfRule>
  </conditionalFormatting>
  <conditionalFormatting sqref="AM33:AM38">
    <cfRule type="colorScale" priority="14">
      <colorScale>
        <cfvo type="min"/>
        <cfvo type="percentile" val="50"/>
        <cfvo type="max"/>
        <color rgb="FF63BE7B"/>
        <color rgb="FFFFEB84"/>
        <color rgb="FFF8696B"/>
      </colorScale>
    </cfRule>
  </conditionalFormatting>
  <conditionalFormatting sqref="AM8:AM38">
    <cfRule type="colorScale" priority="13">
      <colorScale>
        <cfvo type="min"/>
        <cfvo type="percentile" val="50"/>
        <cfvo type="max"/>
        <color rgb="FF63BE7B"/>
        <color rgb="FFFFEB84"/>
        <color rgb="FFF8696B"/>
      </colorScale>
    </cfRule>
  </conditionalFormatting>
  <conditionalFormatting sqref="AM15:AM18">
    <cfRule type="colorScale" priority="12">
      <colorScale>
        <cfvo type="min"/>
        <cfvo type="percentile" val="50"/>
        <cfvo type="max"/>
        <color rgb="FF63BE7B"/>
        <color rgb="FFFFEB84"/>
        <color rgb="FFF8696B"/>
      </colorScale>
    </cfRule>
  </conditionalFormatting>
  <conditionalFormatting sqref="AM26">
    <cfRule type="colorScale" priority="11">
      <colorScale>
        <cfvo type="min"/>
        <cfvo type="percentile" val="50"/>
        <cfvo type="max"/>
        <color rgb="FF63BE7B"/>
        <color rgb="FFFFEB84"/>
        <color rgb="FFF8696B"/>
      </colorScale>
    </cfRule>
  </conditionalFormatting>
  <conditionalFormatting sqref="AM30:AM31">
    <cfRule type="colorScale" priority="10">
      <colorScale>
        <cfvo type="min"/>
        <cfvo type="percentile" val="50"/>
        <cfvo type="max"/>
        <color rgb="FF63BE7B"/>
        <color rgb="FFFFEB84"/>
        <color rgb="FFF8696B"/>
      </colorScale>
    </cfRule>
  </conditionalFormatting>
  <conditionalFormatting sqref="AM33:AM38">
    <cfRule type="colorScale" priority="9">
      <colorScale>
        <cfvo type="min"/>
        <cfvo type="percentile" val="50"/>
        <cfvo type="max"/>
        <color rgb="FF63BE7B"/>
        <color rgb="FFFFEB84"/>
        <color rgb="FFF8696B"/>
      </colorScale>
    </cfRule>
  </conditionalFormatting>
  <conditionalFormatting sqref="AM10:AM38">
    <cfRule type="colorScale" priority="8">
      <colorScale>
        <cfvo type="min"/>
        <cfvo type="percentile" val="50"/>
        <cfvo type="max"/>
        <color rgb="FF63BE7B"/>
        <color rgb="FFFFEB84"/>
        <color rgb="FFF8696B"/>
      </colorScale>
    </cfRule>
  </conditionalFormatting>
  <conditionalFormatting sqref="AO15:AO18">
    <cfRule type="colorScale" priority="7">
      <colorScale>
        <cfvo type="min"/>
        <cfvo type="percentile" val="50"/>
        <cfvo type="max"/>
        <color rgb="FFF8696B"/>
        <color rgb="FFFFEB84"/>
        <color rgb="FF63BE7B"/>
      </colorScale>
    </cfRule>
  </conditionalFormatting>
  <conditionalFormatting sqref="AO20:AO29">
    <cfRule type="colorScale" priority="6">
      <colorScale>
        <cfvo type="min"/>
        <cfvo type="percentile" val="50"/>
        <cfvo type="max"/>
        <color rgb="FFF8696B"/>
        <color rgb="FFFFEB84"/>
        <color rgb="FF63BE7B"/>
      </colorScale>
    </cfRule>
  </conditionalFormatting>
  <conditionalFormatting sqref="AO30:AO31">
    <cfRule type="colorScale" priority="5">
      <colorScale>
        <cfvo type="min"/>
        <cfvo type="percentile" val="50"/>
        <cfvo type="max"/>
        <color rgb="FFF8696B"/>
        <color rgb="FFFFEB84"/>
        <color rgb="FF63BE7B"/>
      </colorScale>
    </cfRule>
  </conditionalFormatting>
  <conditionalFormatting sqref="AO33:AO38">
    <cfRule type="colorScale" priority="4">
      <colorScale>
        <cfvo type="min"/>
        <cfvo type="percentile" val="50"/>
        <cfvo type="max"/>
        <color rgb="FFF8696B"/>
        <color rgb="FFFFEB84"/>
        <color rgb="FF63BE7B"/>
      </colorScale>
    </cfRule>
  </conditionalFormatting>
  <conditionalFormatting sqref="AM10:AM38">
    <cfRule type="colorScale" priority="2">
      <colorScale>
        <cfvo type="min"/>
        <cfvo type="percentile" val="50"/>
        <cfvo type="max"/>
        <color rgb="FFF8696B"/>
        <color rgb="FFFFEB84"/>
        <color rgb="FF63BE7B"/>
      </colorScale>
    </cfRule>
  </conditionalFormatting>
  <conditionalFormatting sqref="AM10:AM39">
    <cfRule type="colorScale" priority="1">
      <colorScale>
        <cfvo type="min"/>
        <cfvo type="percentile" val="50"/>
        <cfvo type="max"/>
        <color rgb="FF63BE7B"/>
        <color rgb="FFFFEB84"/>
        <color rgb="FFF8696B"/>
      </colorScale>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w J A A B Q S w M E F A A C A A g A Z Z F K 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Z Z F K 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W R S l A q 2 Z f 3 s w Y A A H s 2 A A A T A B w A R m 9 y b X V s Y X M v U 2 V j d G l v b j E u b S C i G A A o o B Q A A A A A A A A A A A A A A A A A A A A A A A A A A A D t W V 1 P 4 z g U f U f i P 1 T d F 0 a q E C n D s K M V D y F N I W z b d J K U 7 s 6 w s k x j W i + p 0 0 1 c P j S a / 7 4 O 7 d A Q X 4 c Y m N F q F V 4 A n + P r 6 + t r X 8 c n J R N O Y 9 b w V 7 + N 3 7 a 3 t r f S G U 5 I 2 A i O O 8 h h H E 8 4 I 2 m K R k w Q k D 8 6 9 o 0 D 1 N 5 r 7 y F / e O Y 6 g 8 Z R I y J 8 e 6 s h f v x 4 m U y I a L H S m 9 1 O P F n O C e M 7 X R q R X S t m X P y T 7 j Q v L h b p 1 c V p P C c X 3 y n p h Z l M T h z / o u K Y u / y O N 9 + 1 v n R I R O e U k + S o 2 W q 2 G l Y c L e c s P T I O 2 q 2 G z S Z x S N n 0 y G h n / 3 5 a x p z 4 / D 4 i R 5 s / d w c x I 3 + 9 a 6 2 8 / 6 U 5 T O K 5 w M L G K c E h S d K m m E q A L w V x j a z b d 1 Y T b T W + r N v N K P I n O M J J e s S T Z d 6 k N c N s m k X z f k E 2 5 o I E s / Q q T u Y r l z M w 3 Q H G b 3 3 9 2 n S P z 2 w r c D p i g i I 0 H 9 7 v Z u x v r c b X 5 l l M G b L i J e M y F p j e i R 2 g b n k / Z J T 1 B F F o h T K u Z a L A Q b b d 9 9 v I + L 2 P O g m + 4 m i 0 C D E n X c 8 8 8 Q M z 8 N F N R Y v C l G + 5 n q 3 h Q J i 2 D / c / V u x w S u 4 Q F B q Q f E x j D 7 N r e x J X 7 + A v 5 1 r 8 b A B / r G W / M n 3 A b / T 8 F x 2 0 / F 8 P o O O Q j v 8 e T v T 8 F x 2 0 / F 8 P o O O Q l v + 3 V N P / W 9 r H d 1 p 8 P f 8 f 7 F d f L s z p D V E d N I o F N u e L m U b 6 k I W G 7 W O a h N X Z f T y f V 2 c P o 8 q z P M F z r a h Y o l q d L y O d L i L T t I Y Q f I 3 A Z 3 l f P f C C r R F 4 w d Y I v G B r B F 6 U 2 w D f Y Z u F p O o A W V R 0 + F l c d P h Z Z H T 4 W W x 0 + F l 0 d P j i 8 E D Z r U 7 Q u S A 2 O L n j 5 e y B y O Z q 7 D O y S F e d q v E f E v i + G r f v d u z e Y + 2 v 0 M G 0 P N v / T m X L + S V J H s g P 1 4 H 3 K H d 7 e m p s j T 9 e B E B U 3 F p Z d j W + o f w e i T v b t Y r Y o + w a T 0 k l j r g R 4 Z T w V M U b 9 I 5 L 7 W T 4 Y s L k p V 3 j / j + o L 6 7 c S v v K 1 M j h Y D K s 8 Z L l f w w b u O A Z 2 j b K l 0 T g J U s i 0 I A k y S m + 9 F Q B 2 l D 8 8 U D c s J 8 h B T E c B 8 H I z t 5 z M l V O A 1 + P 4 z i M Q m V / u s A J x U y F d x O S z s a E q y 3 0 x W d A f N u 1 x y r C M G Y h v M 4 C 9 A l Z + I t E f A O p G O c k Y T g a x n G k t I E j X u p i a T K t c W U y C f y Z Z B K M k m Q S X 4 W l y S T w k m Q S 6 J O b m Y r x e B U r M + H D a / R o Q Y 0 X i h n M y V U v e J B c u Q I J + f o E E v I F C S T k K x B I K E 2 F N a 5 M B Y E / k w q C o U i F 7 z k A f a 8 C a z 8 w + 3 J t s Z z g T 6 k x + 2 a V q Z + d o S W q l G z C H Q 0 C T 7 b S c w a b C v X Y 2 j f / Q O d u L 5 A B Z 6 A A R A 9 n 0 L U 9 s A u M 9 M z A C U Y b Z 3 M F s u c O T p 5 g G 3 N 2 c O r K c e t A w f D d k W c B z c v L l O P s T Q n a f T k U T A g z o l g + 1 n z R Z S k 3 u 7 e M J P I c 8 A K p k S F O 5 D S 1 2 Z Q y Q r I D E 3 L 6 + h w Z b R S 4 a L 8 N Y f v 7 G f Y R x A x j L w O N D w a E t t s C j V H 7 1 0 P Q 7 v u D D D 3 Y 2 4 N Q 0 Y w 6 l o S c 0 u m M p B x d n 0 v Q M B a h j 5 B F g Y 2 k 2 F + f 6 U J s v Z D I u 6 s X i 5 j x J S d A f l n x / O F t T x 4 l I Z j H 8 s K s 2 1 E H b + x l r 0 e c z t e j Y T E l O 6 R Q 5 x y m N u B 4 Q 3 R i u 1 L n r H 3 s D O Q 1 z w D f N X v y x j o e d b u o 4 / g B M H P X c 0 7 g l z d / h h c E 9 Q i b 8 h k y g K 4 r g i k i A c J 2 J M 7 X h E 6 w X L C 7 O I r S M e U z q o S Q n H 4 b h 5 5 x p q 3 E V 7 M p 7 V 4 A v 7 3 b 3 q I M f C H N P 0 C P K Q u R m a Z 0 y r J E Q v t v + t Q s W X / m U f n w 8 H / 4 p g x V z B e / K r u i C o G I + g U b a n u 7 8 l w w / F x 9 L t B z B b q I b C o 0 0 O d H l u g c V q F I P z n 7 6 k J d F + q 6 U F c t 1 K s A A w V z 6 L n Z Y S Y n K / C Y b n V L i y Y E f u o 7 U D N J b u i E i F I K h r M v i t I V V a 5 E B g M z s U z H d 5 E N 7 T x / N L Q 9 y 7 M / y 9 E 8 H w 2 c T y M b O R J k 7 0 O b U b S C J 0 f P t Z B p W S P P l K C A T G Y s j u K p n O D i P O I r F A g E R 2 E I B C 9 L f R g R p f F v c Z 8 S / s n H K O Z 4 V Z D l M 0 / x 4 P j a u 5 3 V c 4 b K 1 8 w f f N X y 3 Z 7 p I c 8 f i p P T 2 G v v G R / f 9 K 4 l m 6 8 V / N f d t W o F / + c p + M X N 9 t Y S f i X 7 r 9 L w d U Z 4 i Y h f y f 6 r V H y d E V 4 i 4 1 e z / x o d X 2 e E l w j 5 1 d a 4 V v J r J b 9 W 8 p 8 5 m W s l X 5 n 3 L 1 b y K 6 1 s Z S m / Y K 2 o 5 c M w J O b D z I K a X 0 7 S k P N h Q 0 U 9 X 5 5 5 U d G X G f 8 h T R + Y Z F 7 U h + G n q n 4 p 5 6 m s X w h F U d i H L f 1 U Z R 9 2 o Z b 2 d a R 9 I I Z 5 b R + G y 6 5 r K n W / k E 4 F f b / M C H g J g y V + 2 E x J X Q N E f p h R U r s A m R 9 m l N S n W u h f m a i F / l o / q P W D W j + o h f 5 C 9 w J Y 9 v r 8 L 1 B L A Q I t A B Q A A g A I A G W R S l C B 2 R a u p w A A A P g A A A A S A A A A A A A A A A A A A A A A A A A A A A B D b 2 5 m a W c v U G F j a 2 F n Z S 5 4 b W x Q S w E C L Q A U A A I A C A B l k U p Q D 8 r p q 6 Q A A A D p A A A A E w A A A A A A A A A A A A A A A A D z A A A A W 0 N v b n R l b n R f V H l w Z X N d L n h t b F B L A Q I t A B Q A A g A I A G W R S l A q 2 Z f 3 s w Y A A H s 2 A A A T A A A A A A A A A A A A A A A A A O Q B A A B G b 3 J t d W x h c y 9 T Z W N 0 a W 9 u M S 5 t U E s F B g A A A A A D A A M A w g A A A O Q 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k 5 A Q A A A A A A 1 z k B 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Q k R f S W 5 0 Y W N 0 b m V z c 1 9 V b m l v b l 9 T V U J T M T V f M j A y M F 9 T U E p P S U 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V E J E X 0 l u d G F j d G 5 l c 3 N f V W 5 p b 2 5 f U 1 V C U z E 1 X z I w M j B f U 1 B K T 0 l O I i A v P j x F b n R y e S B U e X B l P S J G a W x s Z W R D b 2 1 w b G V 0 Z V J l c 3 V s d F R v V 2 9 y a 3 N o Z W V 0 I i B W Y W x 1 Z T 0 i b D E i I C 8 + P E V u d H J 5 I F R 5 c G U 9 I k F k Z G V k V G 9 E Y X R h T W 9 k Z W w i I F Z h b H V l P S J s M C I g L z 4 8 R W 5 0 c n k g V H l w Z T 0 i R m l s b E N v d W 5 0 I i B W Y W x 1 Z T 0 i b D E y N T E 2 M y I g L z 4 8 R W 5 0 c n k g V H l w Z T 0 i R m l s b E V y c m 9 y Q 2 9 k Z S I g V m F s d W U 9 I n N V b m t u b 3 d u I i A v P j x F b n R y e S B U e X B l P S J G a W x s R X J y b 3 J D b 3 V u d C I g V m F s d W U 9 I m w w I i A v P j x F b n R y e S B U e X B l P S J G a W x s T G F z d F V w Z G F 0 Z W Q i I F Z h b H V l P S J k M j A x O S 0 x M C 0 w O F Q y M T o y M z o x N i 4 x N T Y x M D k z W i I g L z 4 8 R W 5 0 c n k g V H l w Z T 0 i R m l s b E N v b H V t b l R 5 c G V z I i B W Y W x 1 Z T 0 i c 0 F 3 T U R B d 0 1 E Q X d N R E F 3 T U R B d 0 1 E Q X d N R E F 3 T U R B d 0 1 E Q X d N R E F 3 T U R B d 0 1 E Q X d N R E F 3 T U R B d 0 1 E Q X d N R E J n W U d C Z 1 l G Q m d Z R 0 J n W U d C Z 1 l H Q m d Z R 0 J n W U d C Z 1 l H Q m d Z R 0 J n W U d C Z 1 l H Q m d Z R 0 J n W U d C Z 1 l H Q m d Z R 0 J n W U d C Z 1 l H Q m d N R 0 J n W U d C Z 1 l H Q m d Z R 0 J n V U d C Z 1 l H Q m d Z R 0 J n W U d C Z 1 l H Q m d Z R 0 J n W U d C Z 1 l E Q l F Z R 0 J 3 W U h C Z 1 l H Q l F N R k J R W U d C Z 1 V G Q l F V P S I g L z 4 8 R W 5 0 c n k g V H l w Z T 0 i R m l s b E N v b H V t b k 5 h b W V z I i B W Y W x 1 Z T 0 i c 1 s m c X V v d D t P Q k p F Q 1 R J R C Z x d W 9 0 O y w m c X V v d D t K b 2 l u X 0 N v d W 5 0 J n F 1 b 3 Q 7 L C Z x d W 9 0 O 1 R B U k d F V F 9 G S U Q m c X V v d D s s J n F 1 b 3 Q 7 S m 9 p b l 9 D b 3 V u d F 8 x J n F 1 b 3 Q 7 L C Z x d W 9 0 O 1 R B U k d F V F 9 G S U R f M S Z x d W 9 0 O y w m c X V v d D t U Q k R f S W 5 0 Y W N 0 b m V z c 1 9 V b m l v b l 9 G S U R f Q 0 F f V E l f R U V N U z J f M U t N X 0 R y Y W Z 0 X 1 V w Z G F 0 Z U Z S Q U d T V E F U U 1 9 2 J n F 1 b 3 Q 7 L C Z x d W 9 0 O 1 R C R F 9 J b n R h Y 3 R u Z X N z X 1 V u a W 9 u X 1 R J X 1 N D T 1 J F J n F 1 b 3 Q 7 L C Z x d W 9 0 O 1 R C R F 9 J b n R h Y 3 R u Z X N z X 1 V u a W 9 u X 0 Z J R F 9 k c z I 3 M z k m c X V v d D s s J n F 1 b 3 Q 7 V E J E X 0 l u d G F j d G 5 l c 3 N f V W 5 p b 2 5 f S G V 4 X 0 l E J n F 1 b 3 Q 7 L C Z x d W 9 0 O 1 R C R F 9 J b n R h Y 3 R u Z X N z X 1 V u a W 9 u X 0 J p b 1 J h b m t F Y 2 8 m c X V v d D s s J n F 1 b 3 Q 7 V E J E X 0 l u d G F j d G 5 l c 3 N f V W 5 p b 2 5 f Q m l v U 3 V t R W N v J n F 1 b 3 Q 7 L C Z x d W 9 0 O 1 R C R F 9 J b n R h Y 3 R u Z X N z X 1 V u a W 9 u X 0 J p b 1 J h b m t T V y Z x d W 9 0 O y w m c X V v d D t U Q k R f S W 5 0 Y W N 0 b m V z c 1 9 V b m l v b l 9 C a W 9 T d W 1 T V y Z x d W 9 0 O y w m c X V v d D t U Q k R f S W 5 0 Y W N 0 b m V z c 1 9 V b m l v b l 9 O d H Z S Y W 5 r R W N v J n F 1 b 3 Q 7 L C Z x d W 9 0 O 1 R C R F 9 J b n R h Y 3 R u Z X N z X 1 V u a W 9 u X 0 5 0 d l N 1 b U V j b y Z x d W 9 0 O y w m c X V v d D t U Q k R f S W 5 0 Y W N 0 b m V z c 1 9 V b m l v b l 9 O d H Z S Y W 5 r U 1 c m c X V v d D s s J n F 1 b 3 Q 7 V E J E X 0 l u d G F j d G 5 l c 3 N f V W 5 p b 2 5 f T n R 2 U 3 V t U 1 c m c X V v d D s s J n F 1 b 3 Q 7 V E J E X 0 l u d G F j d G 5 l c 3 N f V W 5 p b 2 5 f U m F y U m F u a 0 V j b y Z x d W 9 0 O y w m c X V v d D t U Q k R f S W 5 0 Y W N 0 b m V z c 1 9 V b m l v b l 9 S Y X J T d W 1 F Y 2 8 m c X V v d D s s J n F 1 b 3 Q 7 V E J E X 0 l u d G F j d G 5 l c 3 N f V W 5 p b 2 5 f U m F y U m F u a 1 N X J n F 1 b 3 Q 7 L C Z x d W 9 0 O 1 R C R F 9 J b n R h Y 3 R u Z X N z X 1 V u a W 9 u X 1 J h c l N 1 b V N X J n F 1 b 3 Q 7 L C Z x d W 9 0 O 1 R C R F 9 J b n R h Y 3 R u Z X N z X 1 V u a W 9 u X 1 J 3 a V J h b m t F Y 2 8 m c X V v d D s s J n F 1 b 3 Q 7 V E J E X 0 l u d G F j d G 5 l c 3 N f V W 5 p b 2 5 f U n d p T W F 4 R W N v J n F 1 b 3 Q 7 L C Z x d W 9 0 O 1 R C R F 9 J b n R h Y 3 R u Z X N z X 1 V u a W 9 u X 1 J 3 a V J h b m t T V y Z x d W 9 0 O y w m c X V v d D t U Q k R f S W 5 0 Y W N 0 b m V z c 1 9 V b m l v b l 9 S d 2 l N Y X h T V y Z x d W 9 0 O y w m c X V v d D t U Q k R f S W 5 0 Y W N 0 b m V z c 1 9 V b m l v b l 9 O Y X R p d m V D b 3 V u d C Z x d W 9 0 O y w m c X V v d D t U Q k R f S W 5 0 Y W N 0 b m V z c 1 9 V b m l v b l 9 O d H Z B b X B o J n F 1 b 3 Q 7 L C Z x d W 9 0 O 1 R C R F 9 J b n R h Y 3 R u Z X N z X 1 V u a W 9 u X 0 5 0 d l J l c H Q m c X V v d D s s J n F 1 b 3 Q 7 V E J E X 0 l u d G F j d G 5 l c 3 N f V W 5 p b 2 5 f T n R 2 Q m l y Z C Z x d W 9 0 O y w m c X V v d D t U Q k R f S W 5 0 Y W N 0 b m V z c 1 9 V b m l v b l 9 O d H Z N Y W 1 t J n F 1 b 3 Q 7 L C Z x d W 9 0 O 1 R C R F 9 J b n R h Y 3 R u Z X N z X 1 V u a W 9 u X 0 5 0 d l B s b n Q m c X V v d D s s J n F 1 b 3 Q 7 V E J E X 0 l u d G F j d G 5 l c 3 N f V W 5 p b 2 5 f R 2 F t Z U N v d W 5 0 J n F 1 b 3 Q 7 L C Z x d W 9 0 O 1 R C R F 9 J b n R h Y 3 R u Z X N z X 1 V u a W 9 u X 0 N s a W 1 W d W x D b 3 V u d C Z x d W 9 0 O y w m c X V v d D t U Q k R f S W 5 0 Y W N 0 b m V z c 1 9 V b m l v b l 9 S Y X J l Q 2 9 1 b n Q m c X V v d D s s J n F 1 b 3 Q 7 V E J E X 0 l u d G F j d G 5 l c 3 N f V W 5 p b 2 5 f U m F y Q W 1 w a C Z x d W 9 0 O y w m c X V v d D t U Q k R f S W 5 0 Y W N 0 b m V z c 1 9 V b m l v b l 9 S Y X J S Z X B 0 J n F 1 b 3 Q 7 L C Z x d W 9 0 O 1 R C R F 9 J b n R h Y 3 R u Z X N z X 1 V u a W 9 u X 1 J h c k J p c m Q m c X V v d D s s J n F 1 b 3 Q 7 V E J E X 0 l u d G F j d G 5 l c 3 N f V W 5 p b 2 5 f U m F y T W F t b S Z x d W 9 0 O y w m c X V v d D t U Q k R f S W 5 0 Y W N 0 b m V z c 1 9 V b m l v b l 9 S Y X J Q b G 5 0 J n F 1 b 3 Q 7 L C Z x d W 9 0 O 1 R C R F 9 J b n R h Y 3 R u Z X N z X 1 V u a W 9 u X 0 F s b F R h e G F F b m R l b S Z x d W 9 0 O y w m c X V v d D t U Q k R f S W 5 0 Y W N 0 b m V z c 1 9 V b m l v b l 9 B b X B o R W 5 k Z W 0 m c X V v d D s s J n F 1 b 3 Q 7 V E J E X 0 l u d G F j d G 5 l c 3 N f V W 5 p b 2 5 f U m V w d E V u Z G V t J n F 1 b 3 Q 7 L C Z x d W 9 0 O 1 R C R F 9 J b n R h Y 3 R u Z X N z X 1 V u a W 9 u X 0 J p c m R F b m R l b S Z x d W 9 0 O y w m c X V v d D t U Q k R f S W 5 0 Y W N 0 b m V z c 1 9 V b m l v b l 9 N Y W 1 t R W 5 k Z W 0 m c X V v d D s s J n F 1 b 3 Q 7 V E J E X 0 l u d G F j d G 5 l c 3 N f V W 5 p b 2 5 f U G x u d E V u Z G V t J n F 1 b 3 Q 7 L C Z x d W 9 0 O 1 R C R F 9 J b n R h Y 3 R u Z X N z X 1 V u a W 9 u X 0 V j b 1 9 T Z W N 0 J n F 1 b 3 Q 7 L C Z x d W 9 0 O 1 R C R F 9 J b n R h Y 3 R u Z X N z X 1 V u a W 9 u X 0 V j b 1 9 O Y W 1 l J n F 1 b 3 Q 7 L C Z x d W 9 0 O 1 R C R F 9 J b n R h Y 3 R u Z X N z X 1 V u a W 9 u X 0 p l c H N v b l 9 F Y 2 8 m c X V v d D s s J n F 1 b 3 Q 7 V E J E X 0 l u d G F j d G 5 l c 3 N f V W 5 p b 2 5 f Q 2 9 1 b n R 5 J n F 1 b 3 Q 7 L C Z x d W 9 0 O 1 R C R F 9 J b n R h Y 3 R u Z X N z X 1 V u a W 9 u X 0 1 P R E V M X 1 N D T 1 J F J n F 1 b 3 Q 7 L C Z x d W 9 0 O 1 R C R F 9 J b n R h Y 3 R u Z X N z X 1 V u a W 9 u X 0 F D U k V T J n F 1 b 3 Q 7 L C Z x d W 9 0 O 2 R z M j c z N F 9 P Q k p F Q 1 R J R C Z x d W 9 0 O y w m c X V v d D t k c z I 3 M z R f S G V 4 X 0 l E J n F 1 b 3 Q 7 L C Z x d W 9 0 O 2 R z M j c z N F 9 D b 2 5 u Z W N 0 a X Z p d H l f c m F u a y Z x d W 9 0 O y w m c X V v d D t k c z I 3 M z R f T G l u a 2 F n Z V 9 y Y W 5 r J n F 1 b 3 Q 7 L C Z x d W 9 0 O 2 R z M j c z N F 9 M a W 5 r Y W d l X 2 R h d G F z Z X R z J n F 1 b 3 Q 7 L C Z x d W 9 0 O 2 R z M j c z N F 9 O T E J f c m F u a y Z x d W 9 0 O y w m c X V v d D t k c z I 3 M z R f T k x C X 3 B j b n Q m c X V v d D s s J n F 1 b 3 Q 7 Z H M y N z M 0 X 1 N x X 0 1 p b G V z J n F 1 b 3 Q 7 L C Z x d W 9 0 O 2 R z M j c z N F 9 F Y 2 9 f U 2 V j d C Z x d W 9 0 O y w m c X V v d D t k c z I 3 M z R f R W N v X 0 5 h b W U m c X V v d D s s J n F 1 b 3 Q 7 Z H M y N z M 0 X 0 p l c H N v b l 9 F Y 2 8 m c X V v d D s s J n F 1 b 3 Q 7 Z H M y N z M 0 X 0 N v d W 5 0 e S Z x d W 9 0 O y w m c X V v d D t k c z I 3 M j F f T 0 J K R U N U S U Q m c X V v d D s s J n F 1 b 3 Q 7 Z H M y N z I x X 0 h l e F 9 J R C Z x d W 9 0 O y w m c X V v d D t k c z I 3 M j F f V G V y c k h h Y l J h b m s m c X V v d D s s J n F 1 b 3 Q 7 Z H M y N z I x X 1 R l c n J I Y W J T V 0 5 v c m 0 m c X V v d D s s J n F 1 b 3 Q 7 Z H M y N z I x X 1 R l c n J I Y W J U b 3 Q m c X V v d D s s J n F 1 b 3 Q 7 Z H M y N z I x X 1 J h c m V W Z W c m c X V v d D s s J n F 1 b 3 Q 7 Z H M y N z I x X 0 9 h a 1 d v b 2 R s Z C Z x d W 9 0 O y w m c X V v d D t k c z I 3 M j F f U m l w Y X J p Y W 4 m c X V v d D s s J n F 1 b 3 Q 7 Z H M y N z I x X 0 Z y Z X N o V 2 V 0 b G Q m c X V v d D s s J n F 1 b 3 Q 7 Z H M y N z I x X 0 1 l Y W R v d 0 Z F V y Z x d W 9 0 O y w m c X V v d D t k c z I 3 M j F f U G 9 u Z H M m c X V v d D s s J n F 1 b 3 Q 7 Z H M y N z I x X 1 N l Z X B T c H J p b m c m c X V v d D s s J n F 1 b 3 Q 7 Z H M y N z I x X 1 Z l c m 5 h b F B v b 2 w m c X V v d D s s J n F 1 b 3 Q 7 Z H M y N z I x X 1 N h b H R X Z X R s Z C Z x d W 9 0 O y w m c X V v d D t k c z I 3 M j F f R W N v X 1 N l Y 3 Q m c X V v d D s s J n F 1 b 3 Q 7 Z H M y N z I x X 0 V j b 1 9 O Y W 1 l J n F 1 b 3 Q 7 L C Z x d W 9 0 O 2 R z M j c y M V 9 K Z X B z b 2 5 f R W N v J n F 1 b 3 Q 7 L C Z x d W 9 0 O 2 R z M j c y M V 9 D b 3 V u d H k m c X V v d D s s J n F 1 b 3 Q 7 Z H M y N z E 1 X 0 9 C S k V D V E l E J n F 1 b 3 Q 7 L C Z x d W 9 0 O 2 R z M j c x N V 9 I Z X h f S U Q m c X V v d D s s J n F 1 b 3 Q 7 Z H M y N z E 1 X 1 J 3 a V J h b m t F Y 2 8 m c X V v d D s s J n F 1 b 3 Q 7 Z H M y N z E 1 X 1 J 3 a U 1 h e E V j b y Z x d W 9 0 O y w m c X V v d D t k c z I 3 M T V f U n d p U m F u a 1 N X J n F 1 b 3 Q 7 L C Z x d W 9 0 O 2 R z M j c x N V 9 S d 2 l N Y X h T V y Z x d W 9 0 O y w m c X V v d D t k c z I 3 M T V f Q W x s V G F 4 Y U V u Z G V t J n F 1 b 3 Q 7 L C Z x d W 9 0 O 2 R z M j c x N V 9 B b X B o R W 5 k Z W 0 m c X V v d D s s J n F 1 b 3 Q 7 Z H M y N z E 1 X 1 J l c H R F b m R l b S Z x d W 9 0 O y w m c X V v d D t k c z I 3 M T V f Q m l y Z E V u Z G V t J n F 1 b 3 Q 7 L C Z x d W 9 0 O 2 R z M j c x N V 9 N Y W 1 t R W 5 k Z W 0 m c X V v d D s s J n F 1 b 3 Q 7 Z H M y N z E 1 X 1 B s b n R F b m R l b S Z x d W 9 0 O y w m c X V v d D t k c z I 3 M T V f R W N v X 1 N l Y 3 Q m c X V v d D s s J n F 1 b 3 Q 7 Z H M y N z E 1 X 0 V j b 1 9 O Y W 1 l J n F 1 b 3 Q 7 L C Z x d W 9 0 O 2 R z M j c x N V 9 K Z X B z b 2 5 f R W N v J n F 1 b 3 Q 7 L C Z x d W 9 0 O 2 R z M j c x N V 9 D b 3 V u d H k m c X V v d D s s J n F 1 b 3 Q 7 T 0 J K R U N U S U R f M S Z x d W 9 0 O y w m c X V v d D t J R C Z x d W 9 0 O y w m c X V v d D t O Q U 1 F J n F 1 b 3 Q 7 L C Z x d W 9 0 O 0 N J V F k m c X V v d D s s J n F 1 b 3 Q 7 U 1 R B V E U m c X V v d D s s J n F 1 b 3 Q 7 W k l Q Q 0 9 E R S Z x d W 9 0 O y w m c X V v d D t D T 1 V O V F J Z J n F 1 b 3 Q 7 L C Z x d W 9 0 O 0 x J T k V T J n F 1 b 3 Q 7 L C Z x d W 9 0 O 0 1 B W F 9 W T 0 x U J n F 1 b 3 Q 7 L C Z x d W 9 0 O 0 1 J T l 9 W T 0 x U J n F 1 b 3 Q 7 L C Z x d W 9 0 O 0 1 B W F 9 J T k Z F U i Z x d W 9 0 O y w m c X V v d D t N S U 5 f S U 5 G R V I m c X V v d D s s J n F 1 b 3 Q 7 T E F U S V R V R E U m c X V v d D s s J n F 1 b 3 Q 7 T E 9 O R 0 l U V U R F J n F 1 b 3 Q 7 L C Z x d W 9 0 O 0 1 F V E h P R C Z x d W 9 0 O y w m c X V v d D t E Q V R F J n F 1 b 3 Q 7 L C Z x d W 9 0 O 1 N P V V J D R S Z x d W 9 0 O y w m c X V v d D t T d W J z d G F 0 a W 9 u X 0 l E J n F 1 b 3 Q 7 L C Z x d W 9 0 O 1 N 1 Y n N 0 Y X R p b 2 5 f T m F t Z S Z x d W 9 0 O y w m c X V v d D t B b G l h c y Z x d W 9 0 O y w m c X V v d D t T d G F 0 d X M m c X V v d D s s J n F 1 b 3 Q 7 T 3 d u Z X I m c X V v d D s s J n F 1 b 3 Q 7 T W F w X 0 9 3 b m V y J n F 1 b 3 Q 7 L C Z x d W 9 0 O 0 1 h c F 9 Q Y X J 0 J n F 1 b 3 Q 7 L C Z x d W 9 0 O 0 V u Z 2 l u Z W V y a W 5 n X 0 l E J n F 1 b 3 Q 7 L C Z x d W 9 0 O 2 t W X z E y X 1 R P X z M y J n F 1 b 3 Q 7 L C Z x d W 9 0 O 2 t W X z M z X 1 R P X z k y J n F 1 b 3 Q 7 L C Z x d W 9 0 O 2 t W X z E x M F 9 U T 1 8 x N j E m c X V v d D s s J n F 1 b 3 Q 7 a 1 Z f M j I w X 1 R v X z I 4 N y Z x d W 9 0 O y w m c X V v d D t r V l 8 z N D V f V G 9 f N T A w J n F 1 b 3 Q 7 L C Z x d W 9 0 O 2 t W X z U w M F 9 E Q y Z x d W 9 0 O y w m c X V v d D t I a W d o Z X N 0 X 2 t W J n F 1 b 3 Q 7 L C Z x d W 9 0 O 1 B v c 3 R h b F 9 D a X R 5 J n F 1 b 3 Q 7 L C Z x d W 9 0 O 0 N v d W 5 0 e S Z x d W 9 0 O y w m c X V v d D t a a X B f Q 2 9 k Z S Z x d W 9 0 O y w m c X V v d D t M b 2 5 n a X R 1 d G U m c X V v d D s s J n F 1 b 3 Q 7 Q 2 9 t b W V u d H M m c X V v d D s s J n F 1 b 3 Q 7 Q 3 J l Y X R v c i Z x d W 9 0 O y w m c X V v d D t D c m V h d G 9 y X 0 R h d G U m c X V v d D s s J n F 1 b 3 Q 7 T G F z d F 9 F Z G l 0 b 3 I m c X V v d D s s J n F 1 b 3 Q 7 T G F z d F 9 F Z G l 0 b 3 J f R G F 0 Z S Z x d W 9 0 O y w m c X V v d D t J U l B f R 0 V P J n F 1 b 3 Q 7 L C Z x d W 9 0 O 0 l S U F 9 X S U 5 E J n F 1 b 3 Q 7 L C Z x d W 9 0 O 0 l S U F 9 T T 0 F M U i Z x d W 9 0 O y w m c X V v d D t C V U Z G X 0 R J U 1 Q m c X V v d D s s J n F 1 b 3 Q 7 T 1 J J R 1 9 G S U Q m c X V v d D s s J n F 1 b 3 Q 7 U 2 h h c G V f T G V u Z 3 R o X z E m c X V v d D s s J n F 1 b 3 Q 7 U 2 h h c G V f Q X J l Y V 8 x J n F 1 b 3 Q 7 L C Z x d W 9 0 O 0 V s Z W N 0 c m l j Y W w m c X V v d D s s J n F 1 b 3 Q 7 R m F s b H N X a X R o a S Z x d W 9 0 O y w m c X V v d D t G Y W x s c 1 d p d F 8 x J n F 1 b 3 Q 7 L C Z x d W 9 0 O 1 N o Y X B l X 0 x l b m c m c X V v d D s s J n F 1 b 3 Q 7 U 2 h h c G V f Q X J l Y V 8 x M i Z x d W 9 0 O y w m c X V v d D t T a G F w Z V 9 M Z W 5 n d G g m c X V v d D s s J n F 1 b 3 Q 7 U 2 h h c G V f Q X J l Y S Z x d W 9 0 O 1 0 i I C 8 + P E V u d H J 5 I F R 5 c G U 9 I k Z p b G x T d G F 0 d X M i I F Z h b H V l P S J z Q 2 9 t c G x l d G U i I C 8 + P E V u d H J 5 I F R 5 c G U 9 I l J l b G F 0 a W 9 u c 2 h p c E l u Z m 9 D b 2 5 0 Y W l u Z X I i I F Z h b H V l P S J z e y Z x d W 9 0 O 2 N v b H V t b k N v d W 5 0 J n F 1 b 3 Q 7 O j E 1 M i w m c X V v d D t r Z X l D b 2 x 1 b W 5 O Y W 1 l c y Z x d W 9 0 O z p b X S w m c X V v d D t x d W V y e V J l b G F 0 a W 9 u c 2 h p c H M m c X V v d D s 6 W 1 0 s J n F 1 b 3 Q 7 Y 2 9 s d W 1 u S W R l b n R p d G l l c y Z x d W 9 0 O z p b J n F 1 b 3 Q 7 U 2 V j d G l v b j E v V E J E X 0 l u d G F j d G 5 l c 3 N f V W 5 p b 2 5 f U 1 V C U z E 1 X z I w M j B f U 1 B K T 0 l O L 0 N o Y W 5 n Z W Q g V H l w Z S 5 7 T 0 J K R U N U S U Q s M H 0 m c X V v d D s s J n F 1 b 3 Q 7 U 2 V j d G l v b j E v V E J E X 0 l u d G F j d G 5 l c 3 N f V W 5 p b 2 5 f U 1 V C U z E 1 X z I w M j B f U 1 B K T 0 l O L 0 N o Y W 5 n Z W Q g V H l w Z S 5 7 S m 9 p b l 9 D b 3 V u d C w x f S Z x d W 9 0 O y w m c X V v d D t T Z W N 0 a W 9 u M S 9 U Q k R f S W 5 0 Y W N 0 b m V z c 1 9 V b m l v b l 9 T V U J T M T V f M j A y M F 9 T U E p P S U 4 v Q 2 h h b m d l Z C B U e X B l L n t U Q V J H R V R f R k l E L D J 9 J n F 1 b 3 Q 7 L C Z x d W 9 0 O 1 N l Y 3 R p b 2 4 x L 1 R C R F 9 J b n R h Y 3 R u Z X N z X 1 V u a W 9 u X 1 N V Q l M x N V 8 y M D I w X 1 N Q S k 9 J T i 9 D a G F u Z 2 V k I F R 5 c G U u e 0 p v a W 5 f Q 2 9 1 b n R f M S w z f S Z x d W 9 0 O y w m c X V v d D t T Z W N 0 a W 9 u M S 9 U Q k R f S W 5 0 Y W N 0 b m V z c 1 9 V b m l v b l 9 T V U J T M T V f M j A y M F 9 T U E p P S U 4 v Q 2 h h b m d l Z C B U e X B l L n t U Q V J H R V R f R k l E X z E s N H 0 m c X V v d D s s J n F 1 b 3 Q 7 U 2 V j d G l v b j E v V E J E X 0 l u d G F j d G 5 l c 3 N f V W 5 p b 2 5 f U 1 V C U z E 1 X z I w M j B f U 1 B K T 0 l O L 0 N o Y W 5 n Z W Q g V H l w Z S 5 7 V E J E X 0 l u d G F j d G 5 l c 3 N f V W 5 p b 2 5 f R k l E X 0 N B X 1 R J X 0 V F T V M y X z F L T V 9 E c m F m d F 9 V c G R h d G V G U k F H U 1 R B V F N f d i w 1 f S Z x d W 9 0 O y w m c X V v d D t T Z W N 0 a W 9 u M S 9 U Q k R f S W 5 0 Y W N 0 b m V z c 1 9 V b m l v b l 9 T V U J T M T V f M j A y M F 9 T U E p P S U 4 v Q 2 h h b m d l Z C B U e X B l L n t U Q k R f S W 5 0 Y W N 0 b m V z c 1 9 V b m l v b l 9 U S V 9 T Q 0 9 S R S w 2 f S Z x d W 9 0 O y w m c X V v d D t T Z W N 0 a W 9 u M S 9 U Q k R f S W 5 0 Y W N 0 b m V z c 1 9 V b m l v b l 9 T V U J T M T V f M j A y M F 9 T U E p P S U 4 v Q 2 h h b m d l Z C B U e X B l L n t U Q k R f S W 5 0 Y W N 0 b m V z c 1 9 V b m l v b l 9 G S U R f Z H M y N z M 5 L D d 9 J n F 1 b 3 Q 7 L C Z x d W 9 0 O 1 N l Y 3 R p b 2 4 x L 1 R C R F 9 J b n R h Y 3 R u Z X N z X 1 V u a W 9 u X 1 N V Q l M x N V 8 y M D I w X 1 N Q S k 9 J T i 9 D a G F u Z 2 V k I F R 5 c G U u e 1 R C R F 9 J b n R h Y 3 R u Z X N z X 1 V u a W 9 u X 0 h l e F 9 J R C w 4 f S Z x d W 9 0 O y w m c X V v d D t T Z W N 0 a W 9 u M S 9 U Q k R f S W 5 0 Y W N 0 b m V z c 1 9 V b m l v b l 9 T V U J T M T V f M j A y M F 9 T U E p P S U 4 v Q 2 h h b m d l Z C B U e X B l L n t U Q k R f S W 5 0 Y W N 0 b m V z c 1 9 V b m l v b l 9 C a W 9 S Y W 5 r R W N v L D l 9 J n F 1 b 3 Q 7 L C Z x d W 9 0 O 1 N l Y 3 R p b 2 4 x L 1 R C R F 9 J b n R h Y 3 R u Z X N z X 1 V u a W 9 u X 1 N V Q l M x N V 8 y M D I w X 1 N Q S k 9 J T i 9 D a G F u Z 2 V k I F R 5 c G U u e 1 R C R F 9 J b n R h Y 3 R u Z X N z X 1 V u a W 9 u X 0 J p b 1 N 1 b U V j b y w x M H 0 m c X V v d D s s J n F 1 b 3 Q 7 U 2 V j d G l v b j E v V E J E X 0 l u d G F j d G 5 l c 3 N f V W 5 p b 2 5 f U 1 V C U z E 1 X z I w M j B f U 1 B K T 0 l O L 0 N o Y W 5 n Z W Q g V H l w Z S 5 7 V E J E X 0 l u d G F j d G 5 l c 3 N f V W 5 p b 2 5 f Q m l v U m F u a 1 N X L D E x f S Z x d W 9 0 O y w m c X V v d D t T Z W N 0 a W 9 u M S 9 U Q k R f S W 5 0 Y W N 0 b m V z c 1 9 V b m l v b l 9 T V U J T M T V f M j A y M F 9 T U E p P S U 4 v Q 2 h h b m d l Z C B U e X B l L n t U Q k R f S W 5 0 Y W N 0 b m V z c 1 9 V b m l v b l 9 C a W 9 T d W 1 T V y w x M n 0 m c X V v d D s s J n F 1 b 3 Q 7 U 2 V j d G l v b j E v V E J E X 0 l u d G F j d G 5 l c 3 N f V W 5 p b 2 5 f U 1 V C U z E 1 X z I w M j B f U 1 B K T 0 l O L 0 N o Y W 5 n Z W Q g V H l w Z S 5 7 V E J E X 0 l u d G F j d G 5 l c 3 N f V W 5 p b 2 5 f T n R 2 U m F u a 0 V j b y w x M 3 0 m c X V v d D s s J n F 1 b 3 Q 7 U 2 V j d G l v b j E v V E J E X 0 l u d G F j d G 5 l c 3 N f V W 5 p b 2 5 f U 1 V C U z E 1 X z I w M j B f U 1 B K T 0 l O L 0 N o Y W 5 n Z W Q g V H l w Z S 5 7 V E J E X 0 l u d G F j d G 5 l c 3 N f V W 5 p b 2 5 f T n R 2 U 3 V t R W N v L D E 0 f S Z x d W 9 0 O y w m c X V v d D t T Z W N 0 a W 9 u M S 9 U Q k R f S W 5 0 Y W N 0 b m V z c 1 9 V b m l v b l 9 T V U J T M T V f M j A y M F 9 T U E p P S U 4 v Q 2 h h b m d l Z C B U e X B l L n t U Q k R f S W 5 0 Y W N 0 b m V z c 1 9 V b m l v b l 9 O d H Z S Y W 5 r U 1 c s M T V 9 J n F 1 b 3 Q 7 L C Z x d W 9 0 O 1 N l Y 3 R p b 2 4 x L 1 R C R F 9 J b n R h Y 3 R u Z X N z X 1 V u a W 9 u X 1 N V Q l M x N V 8 y M D I w X 1 N Q S k 9 J T i 9 D a G F u Z 2 V k I F R 5 c G U u e 1 R C R F 9 J b n R h Y 3 R u Z X N z X 1 V u a W 9 u X 0 5 0 d l N 1 b V N X L D E 2 f S Z x d W 9 0 O y w m c X V v d D t T Z W N 0 a W 9 u M S 9 U Q k R f S W 5 0 Y W N 0 b m V z c 1 9 V b m l v b l 9 T V U J T M T V f M j A y M F 9 T U E p P S U 4 v Q 2 h h b m d l Z C B U e X B l L n t U Q k R f S W 5 0 Y W N 0 b m V z c 1 9 V b m l v b l 9 S Y X J S Y W 5 r R W N v L D E 3 f S Z x d W 9 0 O y w m c X V v d D t T Z W N 0 a W 9 u M S 9 U Q k R f S W 5 0 Y W N 0 b m V z c 1 9 V b m l v b l 9 T V U J T M T V f M j A y M F 9 T U E p P S U 4 v Q 2 h h b m d l Z C B U e X B l L n t U Q k R f S W 5 0 Y W N 0 b m V z c 1 9 V b m l v b l 9 S Y X J T d W 1 F Y 2 8 s M T h 9 J n F 1 b 3 Q 7 L C Z x d W 9 0 O 1 N l Y 3 R p b 2 4 x L 1 R C R F 9 J b n R h Y 3 R u Z X N z X 1 V u a W 9 u X 1 N V Q l M x N V 8 y M D I w X 1 N Q S k 9 J T i 9 D a G F u Z 2 V k I F R 5 c G U u e 1 R C R F 9 J b n R h Y 3 R u Z X N z X 1 V u a W 9 u X 1 J h c l J h b m t T V y w x O X 0 m c X V v d D s s J n F 1 b 3 Q 7 U 2 V j d G l v b j E v V E J E X 0 l u d G F j d G 5 l c 3 N f V W 5 p b 2 5 f U 1 V C U z E 1 X z I w M j B f U 1 B K T 0 l O L 0 N o Y W 5 n Z W Q g V H l w Z S 5 7 V E J E X 0 l u d G F j d G 5 l c 3 N f V W 5 p b 2 5 f U m F y U 3 V t U 1 c s M j B 9 J n F 1 b 3 Q 7 L C Z x d W 9 0 O 1 N l Y 3 R p b 2 4 x L 1 R C R F 9 J b n R h Y 3 R u Z X N z X 1 V u a W 9 u X 1 N V Q l M x N V 8 y M D I w X 1 N Q S k 9 J T i 9 D a G F u Z 2 V k I F R 5 c G U u e 1 R C R F 9 J b n R h Y 3 R u Z X N z X 1 V u a W 9 u X 1 J 3 a V J h b m t F Y 2 8 s M j F 9 J n F 1 b 3 Q 7 L C Z x d W 9 0 O 1 N l Y 3 R p b 2 4 x L 1 R C R F 9 J b n R h Y 3 R u Z X N z X 1 V u a W 9 u X 1 N V Q l M x N V 8 y M D I w X 1 N Q S k 9 J T i 9 D a G F u Z 2 V k I F R 5 c G U u e 1 R C R F 9 J b n R h Y 3 R u Z X N z X 1 V u a W 9 u X 1 J 3 a U 1 h e E V j b y w y M n 0 m c X V v d D s s J n F 1 b 3 Q 7 U 2 V j d G l v b j E v V E J E X 0 l u d G F j d G 5 l c 3 N f V W 5 p b 2 5 f U 1 V C U z E 1 X z I w M j B f U 1 B K T 0 l O L 0 N o Y W 5 n Z W Q g V H l w Z S 5 7 V E J E X 0 l u d G F j d G 5 l c 3 N f V W 5 p b 2 5 f U n d p U m F u a 1 N X L D I z f S Z x d W 9 0 O y w m c X V v d D t T Z W N 0 a W 9 u M S 9 U Q k R f S W 5 0 Y W N 0 b m V z c 1 9 V b m l v b l 9 T V U J T M T V f M j A y M F 9 T U E p P S U 4 v Q 2 h h b m d l Z C B U e X B l L n t U Q k R f S W 5 0 Y W N 0 b m V z c 1 9 V b m l v b l 9 S d 2 l N Y X h T V y w y N H 0 m c X V v d D s s J n F 1 b 3 Q 7 U 2 V j d G l v b j E v V E J E X 0 l u d G F j d G 5 l c 3 N f V W 5 p b 2 5 f U 1 V C U z E 1 X z I w M j B f U 1 B K T 0 l O L 0 N o Y W 5 n Z W Q g V H l w Z S 5 7 V E J E X 0 l u d G F j d G 5 l c 3 N f V W 5 p b 2 5 f T m F 0 a X Z l Q 2 9 1 b n Q s M j V 9 J n F 1 b 3 Q 7 L C Z x d W 9 0 O 1 N l Y 3 R p b 2 4 x L 1 R C R F 9 J b n R h Y 3 R u Z X N z X 1 V u a W 9 u X 1 N V Q l M x N V 8 y M D I w X 1 N Q S k 9 J T i 9 D a G F u Z 2 V k I F R 5 c G U u e 1 R C R F 9 J b n R h Y 3 R u Z X N z X 1 V u a W 9 u X 0 5 0 d k F t c G g s M j Z 9 J n F 1 b 3 Q 7 L C Z x d W 9 0 O 1 N l Y 3 R p b 2 4 x L 1 R C R F 9 J b n R h Y 3 R u Z X N z X 1 V u a W 9 u X 1 N V Q l M x N V 8 y M D I w X 1 N Q S k 9 J T i 9 D a G F u Z 2 V k I F R 5 c G U u e 1 R C R F 9 J b n R h Y 3 R u Z X N z X 1 V u a W 9 u X 0 5 0 d l J l c H Q s M j d 9 J n F 1 b 3 Q 7 L C Z x d W 9 0 O 1 N l Y 3 R p b 2 4 x L 1 R C R F 9 J b n R h Y 3 R u Z X N z X 1 V u a W 9 u X 1 N V Q l M x N V 8 y M D I w X 1 N Q S k 9 J T i 9 D a G F u Z 2 V k I F R 5 c G U u e 1 R C R F 9 J b n R h Y 3 R u Z X N z X 1 V u a W 9 u X 0 5 0 d k J p c m Q s M j h 9 J n F 1 b 3 Q 7 L C Z x d W 9 0 O 1 N l Y 3 R p b 2 4 x L 1 R C R F 9 J b n R h Y 3 R u Z X N z X 1 V u a W 9 u X 1 N V Q l M x N V 8 y M D I w X 1 N Q S k 9 J T i 9 D a G F u Z 2 V k I F R 5 c G U u e 1 R C R F 9 J b n R h Y 3 R u Z X N z X 1 V u a W 9 u X 0 5 0 d k 1 h b W 0 s M j l 9 J n F 1 b 3 Q 7 L C Z x d W 9 0 O 1 N l Y 3 R p b 2 4 x L 1 R C R F 9 J b n R h Y 3 R u Z X N z X 1 V u a W 9 u X 1 N V Q l M x N V 8 y M D I w X 1 N Q S k 9 J T i 9 D a G F u Z 2 V k I F R 5 c G U u e 1 R C R F 9 J b n R h Y 3 R u Z X N z X 1 V u a W 9 u X 0 5 0 d l B s b n Q s M z B 9 J n F 1 b 3 Q 7 L C Z x d W 9 0 O 1 N l Y 3 R p b 2 4 x L 1 R C R F 9 J b n R h Y 3 R u Z X N z X 1 V u a W 9 u X 1 N V Q l M x N V 8 y M D I w X 1 N Q S k 9 J T i 9 D a G F u Z 2 V k I F R 5 c G U u e 1 R C R F 9 J b n R h Y 3 R u Z X N z X 1 V u a W 9 u X 0 d h b W V D b 3 V u d C w z M X 0 m c X V v d D s s J n F 1 b 3 Q 7 U 2 V j d G l v b j E v V E J E X 0 l u d G F j d G 5 l c 3 N f V W 5 p b 2 5 f U 1 V C U z E 1 X z I w M j B f U 1 B K T 0 l O L 0 N o Y W 5 n Z W Q g V H l w Z S 5 7 V E J E X 0 l u d G F j d G 5 l c 3 N f V W 5 p b 2 5 f Q 2 x p b V Z 1 b E N v d W 5 0 L D M y f S Z x d W 9 0 O y w m c X V v d D t T Z W N 0 a W 9 u M S 9 U Q k R f S W 5 0 Y W N 0 b m V z c 1 9 V b m l v b l 9 T V U J T M T V f M j A y M F 9 T U E p P S U 4 v Q 2 h h b m d l Z C B U e X B l L n t U Q k R f S W 5 0 Y W N 0 b m V z c 1 9 V b m l v b l 9 S Y X J l Q 2 9 1 b n Q s M z N 9 J n F 1 b 3 Q 7 L C Z x d W 9 0 O 1 N l Y 3 R p b 2 4 x L 1 R C R F 9 J b n R h Y 3 R u Z X N z X 1 V u a W 9 u X 1 N V Q l M x N V 8 y M D I w X 1 N Q S k 9 J T i 9 D a G F u Z 2 V k I F R 5 c G U u e 1 R C R F 9 J b n R h Y 3 R u Z X N z X 1 V u a W 9 u X 1 J h c k F t c G g s M z R 9 J n F 1 b 3 Q 7 L C Z x d W 9 0 O 1 N l Y 3 R p b 2 4 x L 1 R C R F 9 J b n R h Y 3 R u Z X N z X 1 V u a W 9 u X 1 N V Q l M x N V 8 y M D I w X 1 N Q S k 9 J T i 9 D a G F u Z 2 V k I F R 5 c G U u e 1 R C R F 9 J b n R h Y 3 R u Z X N z X 1 V u a W 9 u X 1 J h c l J l c H Q s M z V 9 J n F 1 b 3 Q 7 L C Z x d W 9 0 O 1 N l Y 3 R p b 2 4 x L 1 R C R F 9 J b n R h Y 3 R u Z X N z X 1 V u a W 9 u X 1 N V Q l M x N V 8 y M D I w X 1 N Q S k 9 J T i 9 D a G F u Z 2 V k I F R 5 c G U u e 1 R C R F 9 J b n R h Y 3 R u Z X N z X 1 V u a W 9 u X 1 J h c k J p c m Q s M z Z 9 J n F 1 b 3 Q 7 L C Z x d W 9 0 O 1 N l Y 3 R p b 2 4 x L 1 R C R F 9 J b n R h Y 3 R u Z X N z X 1 V u a W 9 u X 1 N V Q l M x N V 8 y M D I w X 1 N Q S k 9 J T i 9 D a G F u Z 2 V k I F R 5 c G U u e 1 R C R F 9 J b n R h Y 3 R u Z X N z X 1 V u a W 9 u X 1 J h c k 1 h b W 0 s M z d 9 J n F 1 b 3 Q 7 L C Z x d W 9 0 O 1 N l Y 3 R p b 2 4 x L 1 R C R F 9 J b n R h Y 3 R u Z X N z X 1 V u a W 9 u X 1 N V Q l M x N V 8 y M D I w X 1 N Q S k 9 J T i 9 D a G F u Z 2 V k I F R 5 c G U u e 1 R C R F 9 J b n R h Y 3 R u Z X N z X 1 V u a W 9 u X 1 J h c l B s b n Q s M z h 9 J n F 1 b 3 Q 7 L C Z x d W 9 0 O 1 N l Y 3 R p b 2 4 x L 1 R C R F 9 J b n R h Y 3 R u Z X N z X 1 V u a W 9 u X 1 N V Q l M x N V 8 y M D I w X 1 N Q S k 9 J T i 9 D a G F u Z 2 V k I F R 5 c G U u e 1 R C R F 9 J b n R h Y 3 R u Z X N z X 1 V u a W 9 u X 0 F s b F R h e G F F b m R l b S w z O X 0 m c X V v d D s s J n F 1 b 3 Q 7 U 2 V j d G l v b j E v V E J E X 0 l u d G F j d G 5 l c 3 N f V W 5 p b 2 5 f U 1 V C U z E 1 X z I w M j B f U 1 B K T 0 l O L 0 N o Y W 5 n Z W Q g V H l w Z S 5 7 V E J E X 0 l u d G F j d G 5 l c 3 N f V W 5 p b 2 5 f Q W 1 w a E V u Z G V t L D Q w f S Z x d W 9 0 O y w m c X V v d D t T Z W N 0 a W 9 u M S 9 U Q k R f S W 5 0 Y W N 0 b m V z c 1 9 V b m l v b l 9 T V U J T M T V f M j A y M F 9 T U E p P S U 4 v Q 2 h h b m d l Z C B U e X B l L n t U Q k R f S W 5 0 Y W N 0 b m V z c 1 9 V b m l v b l 9 S Z X B 0 R W 5 k Z W 0 s N D F 9 J n F 1 b 3 Q 7 L C Z x d W 9 0 O 1 N l Y 3 R p b 2 4 x L 1 R C R F 9 J b n R h Y 3 R u Z X N z X 1 V u a W 9 u X 1 N V Q l M x N V 8 y M D I w X 1 N Q S k 9 J T i 9 D a G F u Z 2 V k I F R 5 c G U u e 1 R C R F 9 J b n R h Y 3 R u Z X N z X 1 V u a W 9 u X 0 J p c m R F b m R l b S w 0 M n 0 m c X V v d D s s J n F 1 b 3 Q 7 U 2 V j d G l v b j E v V E J E X 0 l u d G F j d G 5 l c 3 N f V W 5 p b 2 5 f U 1 V C U z E 1 X z I w M j B f U 1 B K T 0 l O L 0 N o Y W 5 n Z W Q g V H l w Z S 5 7 V E J E X 0 l u d G F j d G 5 l c 3 N f V W 5 p b 2 5 f T W F t b U V u Z G V t L D Q z f S Z x d W 9 0 O y w m c X V v d D t T Z W N 0 a W 9 u M S 9 U Q k R f S W 5 0 Y W N 0 b m V z c 1 9 V b m l v b l 9 T V U J T M T V f M j A y M F 9 T U E p P S U 4 v Q 2 h h b m d l Z C B U e X B l L n t U Q k R f S W 5 0 Y W N 0 b m V z c 1 9 V b m l v b l 9 Q b G 5 0 R W 5 k Z W 0 s N D R 9 J n F 1 b 3 Q 7 L C Z x d W 9 0 O 1 N l Y 3 R p b 2 4 x L 1 R C R F 9 J b n R h Y 3 R u Z X N z X 1 V u a W 9 u X 1 N V Q l M x N V 8 y M D I w X 1 N Q S k 9 J T i 9 D a G F u Z 2 V k I F R 5 c G U u e 1 R C R F 9 J b n R h Y 3 R u Z X N z X 1 V u a W 9 u X 0 V j b 1 9 T Z W N 0 L D Q 1 f S Z x d W 9 0 O y w m c X V v d D t T Z W N 0 a W 9 u M S 9 U Q k R f S W 5 0 Y W N 0 b m V z c 1 9 V b m l v b l 9 T V U J T M T V f M j A y M F 9 T U E p P S U 4 v Q 2 h h b m d l Z C B U e X B l L n t U Q k R f S W 5 0 Y W N 0 b m V z c 1 9 V b m l v b l 9 F Y 2 9 f T m F t Z S w 0 N n 0 m c X V v d D s s J n F 1 b 3 Q 7 U 2 V j d G l v b j E v V E J E X 0 l u d G F j d G 5 l c 3 N f V W 5 p b 2 5 f U 1 V C U z E 1 X z I w M j B f U 1 B K T 0 l O L 0 N o Y W 5 n Z W Q g V H l w Z S 5 7 V E J E X 0 l u d G F j d G 5 l c 3 N f V W 5 p b 2 5 f S m V w c 2 9 u X 0 V j b y w 0 N 3 0 m c X V v d D s s J n F 1 b 3 Q 7 U 2 V j d G l v b j E v V E J E X 0 l u d G F j d G 5 l c 3 N f V W 5 p b 2 5 f U 1 V C U z E 1 X z I w M j B f U 1 B K T 0 l O L 0 N o Y W 5 n Z W Q g V H l w Z S 5 7 V E J E X 0 l u d G F j d G 5 l c 3 N f V W 5 p b 2 5 f Q 2 9 1 b n R 5 L D Q 4 f S Z x d W 9 0 O y w m c X V v d D t T Z W N 0 a W 9 u M S 9 U Q k R f S W 5 0 Y W N 0 b m V z c 1 9 V b m l v b l 9 T V U J T M T V f M j A y M F 9 T U E p P S U 4 v Q 2 h h b m d l Z C B U e X B l L n t U Q k R f S W 5 0 Y W N 0 b m V z c 1 9 V b m l v b l 9 N T 0 R F T F 9 T Q 0 9 S R S w 0 O X 0 m c X V v d D s s J n F 1 b 3 Q 7 U 2 V j d G l v b j E v V E J E X 0 l u d G F j d G 5 l c 3 N f V W 5 p b 2 5 f U 1 V C U z E 1 X z I w M j B f U 1 B K T 0 l O L 0 N o Y W 5 n Z W Q g V H l w Z S 5 7 V E J E X 0 l u d G F j d G 5 l c 3 N f V W 5 p b 2 5 f Q U N S R V M s N T B 9 J n F 1 b 3 Q 7 L C Z x d W 9 0 O 1 N l Y 3 R p b 2 4 x L 1 R C R F 9 J b n R h Y 3 R u Z X N z X 1 V u a W 9 u X 1 N V Q l M x N V 8 y M D I w X 1 N Q S k 9 J T i 9 D a G F u Z 2 V k I F R 5 c G U u e 2 R z M j c z N F 9 P Q k p F Q 1 R J R C w 1 M X 0 m c X V v d D s s J n F 1 b 3 Q 7 U 2 V j d G l v b j E v V E J E X 0 l u d G F j d G 5 l c 3 N f V W 5 p b 2 5 f U 1 V C U z E 1 X z I w M j B f U 1 B K T 0 l O L 0 N o Y W 5 n Z W Q g V H l w Z S 5 7 Z H M y N z M 0 X 0 h l e F 9 J R C w 1 M n 0 m c X V v d D s s J n F 1 b 3 Q 7 U 2 V j d G l v b j E v V E J E X 0 l u d G F j d G 5 l c 3 N f V W 5 p b 2 5 f U 1 V C U z E 1 X z I w M j B f U 1 B K T 0 l O L 0 N o Y W 5 n Z W Q g V H l w Z S 5 7 Z H M y N z M 0 X 0 N v b m 5 l Y 3 R p d m l 0 e V 9 y Y W 5 r L D U z f S Z x d W 9 0 O y w m c X V v d D t T Z W N 0 a W 9 u M S 9 U Q k R f S W 5 0 Y W N 0 b m V z c 1 9 V b m l v b l 9 T V U J T M T V f M j A y M F 9 T U E p P S U 4 v Q 2 h h b m d l Z C B U e X B l L n t k c z I 3 M z R f T G l u a 2 F n Z V 9 y Y W 5 r L D U 0 f S Z x d W 9 0 O y w m c X V v d D t T Z W N 0 a W 9 u M S 9 U Q k R f S W 5 0 Y W N 0 b m V z c 1 9 V b m l v b l 9 T V U J T M T V f M j A y M F 9 T U E p P S U 4 v Q 2 h h b m d l Z C B U e X B l L n t k c z I 3 M z R f T G l u a 2 F n Z V 9 k Y X R h c 2 V 0 c y w 1 N X 0 m c X V v d D s s J n F 1 b 3 Q 7 U 2 V j d G l v b j E v V E J E X 0 l u d G F j d G 5 l c 3 N f V W 5 p b 2 5 f U 1 V C U z E 1 X z I w M j B f U 1 B K T 0 l O L 0 N o Y W 5 n Z W Q g V H l w Z S 5 7 Z H M y N z M 0 X 0 5 M Q l 9 y Y W 5 r L D U 2 f S Z x d W 9 0 O y w m c X V v d D t T Z W N 0 a W 9 u M S 9 U Q k R f S W 5 0 Y W N 0 b m V z c 1 9 V b m l v b l 9 T V U J T M T V f M j A y M F 9 T U E p P S U 4 v Q 2 h h b m d l Z C B U e X B l L n t k c z I 3 M z R f T k x C X 3 B j b n Q s N T d 9 J n F 1 b 3 Q 7 L C Z x d W 9 0 O 1 N l Y 3 R p b 2 4 x L 1 R C R F 9 J b n R h Y 3 R u Z X N z X 1 V u a W 9 u X 1 N V Q l M x N V 8 y M D I w X 1 N Q S k 9 J T i 9 D a G F u Z 2 V k I F R 5 c G U u e 2 R z M j c z N F 9 T c V 9 N a W x l c y w 1 O H 0 m c X V v d D s s J n F 1 b 3 Q 7 U 2 V j d G l v b j E v V E J E X 0 l u d G F j d G 5 l c 3 N f V W 5 p b 2 5 f U 1 V C U z E 1 X z I w M j B f U 1 B K T 0 l O L 0 N o Y W 5 n Z W Q g V H l w Z S 5 7 Z H M y N z M 0 X 0 V j b 1 9 T Z W N 0 L D U 5 f S Z x d W 9 0 O y w m c X V v d D t T Z W N 0 a W 9 u M S 9 U Q k R f S W 5 0 Y W N 0 b m V z c 1 9 V b m l v b l 9 T V U J T M T V f M j A y M F 9 T U E p P S U 4 v Q 2 h h b m d l Z C B U e X B l L n t k c z I 3 M z R f R W N v X 0 5 h b W U s N j B 9 J n F 1 b 3 Q 7 L C Z x d W 9 0 O 1 N l Y 3 R p b 2 4 x L 1 R C R F 9 J b n R h Y 3 R u Z X N z X 1 V u a W 9 u X 1 N V Q l M x N V 8 y M D I w X 1 N Q S k 9 J T i 9 D a G F u Z 2 V k I F R 5 c G U u e 2 R z M j c z N F 9 K Z X B z b 2 5 f R W N v L D Y x f S Z x d W 9 0 O y w m c X V v d D t T Z W N 0 a W 9 u M S 9 U Q k R f S W 5 0 Y W N 0 b m V z c 1 9 V b m l v b l 9 T V U J T M T V f M j A y M F 9 T U E p P S U 4 v Q 2 h h b m d l Z C B U e X B l L n t k c z I 3 M z R f Q 2 9 1 b n R 5 L D Y y f S Z x d W 9 0 O y w m c X V v d D t T Z W N 0 a W 9 u M S 9 U Q k R f S W 5 0 Y W N 0 b m V z c 1 9 V b m l v b l 9 T V U J T M T V f M j A y M F 9 T U E p P S U 4 v Q 2 h h b m d l Z C B U e X B l L n t k c z I 3 M j F f T 0 J K R U N U S U Q s N j N 9 J n F 1 b 3 Q 7 L C Z x d W 9 0 O 1 N l Y 3 R p b 2 4 x L 1 R C R F 9 J b n R h Y 3 R u Z X N z X 1 V u a W 9 u X 1 N V Q l M x N V 8 y M D I w X 1 N Q S k 9 J T i 9 D a G F u Z 2 V k I F R 5 c G U u e 2 R z M j c y M V 9 I Z X h f S U Q s N j R 9 J n F 1 b 3 Q 7 L C Z x d W 9 0 O 1 N l Y 3 R p b 2 4 x L 1 R C R F 9 J b n R h Y 3 R u Z X N z X 1 V u a W 9 u X 1 N V Q l M x N V 8 y M D I w X 1 N Q S k 9 J T i 9 D a G F u Z 2 V k I F R 5 c G U u e 2 R z M j c y M V 9 U Z X J y S G F i U m F u a y w 2 N X 0 m c X V v d D s s J n F 1 b 3 Q 7 U 2 V j d G l v b j E v V E J E X 0 l u d G F j d G 5 l c 3 N f V W 5 p b 2 5 f U 1 V C U z E 1 X z I w M j B f U 1 B K T 0 l O L 0 N o Y W 5 n Z W Q g V H l w Z S 5 7 Z H M y N z I x X 1 R l c n J I Y W J T V 0 5 v c m 0 s N j Z 9 J n F 1 b 3 Q 7 L C Z x d W 9 0 O 1 N l Y 3 R p b 2 4 x L 1 R C R F 9 J b n R h Y 3 R u Z X N z X 1 V u a W 9 u X 1 N V Q l M x N V 8 y M D I w X 1 N Q S k 9 J T i 9 D a G F u Z 2 V k I F R 5 c G U u e 2 R z M j c y M V 9 U Z X J y S G F i V G 9 0 L D Y 3 f S Z x d W 9 0 O y w m c X V v d D t T Z W N 0 a W 9 u M S 9 U Q k R f S W 5 0 Y W N 0 b m V z c 1 9 V b m l v b l 9 T V U J T M T V f M j A y M F 9 T U E p P S U 4 v Q 2 h h b m d l Z C B U e X B l L n t k c z I 3 M j F f U m F y Z V Z l Z y w 2 O H 0 m c X V v d D s s J n F 1 b 3 Q 7 U 2 V j d G l v b j E v V E J E X 0 l u d G F j d G 5 l c 3 N f V W 5 p b 2 5 f U 1 V C U z E 1 X z I w M j B f U 1 B K T 0 l O L 0 N o Y W 5 n Z W Q g V H l w Z S 5 7 Z H M y N z I x X 0 9 h a 1 d v b 2 R s Z C w 2 O X 0 m c X V v d D s s J n F 1 b 3 Q 7 U 2 V j d G l v b j E v V E J E X 0 l u d G F j d G 5 l c 3 N f V W 5 p b 2 5 f U 1 V C U z E 1 X z I w M j B f U 1 B K T 0 l O L 0 N o Y W 5 n Z W Q g V H l w Z S 5 7 Z H M y N z I x X 1 J p c G F y a W F u L D c w f S Z x d W 9 0 O y w m c X V v d D t T Z W N 0 a W 9 u M S 9 U Q k R f S W 5 0 Y W N 0 b m V z c 1 9 V b m l v b l 9 T V U J T M T V f M j A y M F 9 T U E p P S U 4 v Q 2 h h b m d l Z C B U e X B l L n t k c z I 3 M j F f R n J l c 2 h X Z X R s Z C w 3 M X 0 m c X V v d D s s J n F 1 b 3 Q 7 U 2 V j d G l v b j E v V E J E X 0 l u d G F j d G 5 l c 3 N f V W 5 p b 2 5 f U 1 V C U z E 1 X z I w M j B f U 1 B K T 0 l O L 0 N o Y W 5 n Z W Q g V H l w Z S 5 7 Z H M y N z I x X 0 1 l Y W R v d 0 Z F V y w 3 M n 0 m c X V v d D s s J n F 1 b 3 Q 7 U 2 V j d G l v b j E v V E J E X 0 l u d G F j d G 5 l c 3 N f V W 5 p b 2 5 f U 1 V C U z E 1 X z I w M j B f U 1 B K T 0 l O L 0 N o Y W 5 n Z W Q g V H l w Z S 5 7 Z H M y N z I x X 1 B v b m R z L D c z f S Z x d W 9 0 O y w m c X V v d D t T Z W N 0 a W 9 u M S 9 U Q k R f S W 5 0 Y W N 0 b m V z c 1 9 V b m l v b l 9 T V U J T M T V f M j A y M F 9 T U E p P S U 4 v Q 2 h h b m d l Z C B U e X B l L n t k c z I 3 M j F f U 2 V l c F N w c m l u Z y w 3 N H 0 m c X V v d D s s J n F 1 b 3 Q 7 U 2 V j d G l v b j E v V E J E X 0 l u d G F j d G 5 l c 3 N f V W 5 p b 2 5 f U 1 V C U z E 1 X z I w M j B f U 1 B K T 0 l O L 0 N o Y W 5 n Z W Q g V H l w Z S 5 7 Z H M y N z I x X 1 Z l c m 5 h b F B v b 2 w s N z V 9 J n F 1 b 3 Q 7 L C Z x d W 9 0 O 1 N l Y 3 R p b 2 4 x L 1 R C R F 9 J b n R h Y 3 R u Z X N z X 1 V u a W 9 u X 1 N V Q l M x N V 8 y M D I w X 1 N Q S k 9 J T i 9 D a G F u Z 2 V k I F R 5 c G U u e 2 R z M j c y M V 9 T Y W x 0 V 2 V 0 b G Q s N z Z 9 J n F 1 b 3 Q 7 L C Z x d W 9 0 O 1 N l Y 3 R p b 2 4 x L 1 R C R F 9 J b n R h Y 3 R u Z X N z X 1 V u a W 9 u X 1 N V Q l M x N V 8 y M D I w X 1 N Q S k 9 J T i 9 D a G F u Z 2 V k I F R 5 c G U u e 2 R z M j c y M V 9 F Y 2 9 f U 2 V j d C w 3 N 3 0 m c X V v d D s s J n F 1 b 3 Q 7 U 2 V j d G l v b j E v V E J E X 0 l u d G F j d G 5 l c 3 N f V W 5 p b 2 5 f U 1 V C U z E 1 X z I w M j B f U 1 B K T 0 l O L 0 N o Y W 5 n Z W Q g V H l w Z S 5 7 Z H M y N z I x X 0 V j b 1 9 O Y W 1 l L D c 4 f S Z x d W 9 0 O y w m c X V v d D t T Z W N 0 a W 9 u M S 9 U Q k R f S W 5 0 Y W N 0 b m V z c 1 9 V b m l v b l 9 T V U J T M T V f M j A y M F 9 T U E p P S U 4 v Q 2 h h b m d l Z C B U e X B l L n t k c z I 3 M j F f S m V w c 2 9 u X 0 V j b y w 3 O X 0 m c X V v d D s s J n F 1 b 3 Q 7 U 2 V j d G l v b j E v V E J E X 0 l u d G F j d G 5 l c 3 N f V W 5 p b 2 5 f U 1 V C U z E 1 X z I w M j B f U 1 B K T 0 l O L 0 N o Y W 5 n Z W Q g V H l w Z S 5 7 Z H M y N z I x X 0 N v d W 5 0 e S w 4 M H 0 m c X V v d D s s J n F 1 b 3 Q 7 U 2 V j d G l v b j E v V E J E X 0 l u d G F j d G 5 l c 3 N f V W 5 p b 2 5 f U 1 V C U z E 1 X z I w M j B f U 1 B K T 0 l O L 0 N o Y W 5 n Z W Q g V H l w Z S 5 7 Z H M y N z E 1 X 0 9 C S k V D V E l E L D g x f S Z x d W 9 0 O y w m c X V v d D t T Z W N 0 a W 9 u M S 9 U Q k R f S W 5 0 Y W N 0 b m V z c 1 9 V b m l v b l 9 T V U J T M T V f M j A y M F 9 T U E p P S U 4 v Q 2 h h b m d l Z C B U e X B l L n t k c z I 3 M T V f S G V 4 X 0 l E L D g y f S Z x d W 9 0 O y w m c X V v d D t T Z W N 0 a W 9 u M S 9 U Q k R f S W 5 0 Y W N 0 b m V z c 1 9 V b m l v b l 9 T V U J T M T V f M j A y M F 9 T U E p P S U 4 v Q 2 h h b m d l Z C B U e X B l L n t k c z I 3 M T V f U n d p U m F u a 0 V j b y w 4 M 3 0 m c X V v d D s s J n F 1 b 3 Q 7 U 2 V j d G l v b j E v V E J E X 0 l u d G F j d G 5 l c 3 N f V W 5 p b 2 5 f U 1 V C U z E 1 X z I w M j B f U 1 B K T 0 l O L 0 N o Y W 5 n Z W Q g V H l w Z S 5 7 Z H M y N z E 1 X 1 J 3 a U 1 h e E V j b y w 4 N H 0 m c X V v d D s s J n F 1 b 3 Q 7 U 2 V j d G l v b j E v V E J E X 0 l u d G F j d G 5 l c 3 N f V W 5 p b 2 5 f U 1 V C U z E 1 X z I w M j B f U 1 B K T 0 l O L 0 N o Y W 5 n Z W Q g V H l w Z S 5 7 Z H M y N z E 1 X 1 J 3 a V J h b m t T V y w 4 N X 0 m c X V v d D s s J n F 1 b 3 Q 7 U 2 V j d G l v b j E v V E J E X 0 l u d G F j d G 5 l c 3 N f V W 5 p b 2 5 f U 1 V C U z E 1 X z I w M j B f U 1 B K T 0 l O L 0 N o Y W 5 n Z W Q g V H l w Z S 5 7 Z H M y N z E 1 X 1 J 3 a U 1 h e F N X L D g 2 f S Z x d W 9 0 O y w m c X V v d D t T Z W N 0 a W 9 u M S 9 U Q k R f S W 5 0 Y W N 0 b m V z c 1 9 V b m l v b l 9 T V U J T M T V f M j A y M F 9 T U E p P S U 4 v Q 2 h h b m d l Z C B U e X B l L n t k c z I 3 M T V f Q W x s V G F 4 Y U V u Z G V t L D g 3 f S Z x d W 9 0 O y w m c X V v d D t T Z W N 0 a W 9 u M S 9 U Q k R f S W 5 0 Y W N 0 b m V z c 1 9 V b m l v b l 9 T V U J T M T V f M j A y M F 9 T U E p P S U 4 v Q 2 h h b m d l Z C B U e X B l L n t k c z I 3 M T V f Q W 1 w a E V u Z G V t L D g 4 f S Z x d W 9 0 O y w m c X V v d D t T Z W N 0 a W 9 u M S 9 U Q k R f S W 5 0 Y W N 0 b m V z c 1 9 V b m l v b l 9 T V U J T M T V f M j A y M F 9 T U E p P S U 4 v Q 2 h h b m d l Z C B U e X B l L n t k c z I 3 M T V f U m V w d E V u Z G V t L D g 5 f S Z x d W 9 0 O y w m c X V v d D t T Z W N 0 a W 9 u M S 9 U Q k R f S W 5 0 Y W N 0 b m V z c 1 9 V b m l v b l 9 T V U J T M T V f M j A y M F 9 T U E p P S U 4 v Q 2 h h b m d l Z C B U e X B l L n t k c z I 3 M T V f Q m l y Z E V u Z G V t L D k w f S Z x d W 9 0 O y w m c X V v d D t T Z W N 0 a W 9 u M S 9 U Q k R f S W 5 0 Y W N 0 b m V z c 1 9 V b m l v b l 9 T V U J T M T V f M j A y M F 9 T U E p P S U 4 v Q 2 h h b m d l Z C B U e X B l L n t k c z I 3 M T V f T W F t b U V u Z G V t L D k x f S Z x d W 9 0 O y w m c X V v d D t T Z W N 0 a W 9 u M S 9 U Q k R f S W 5 0 Y W N 0 b m V z c 1 9 V b m l v b l 9 T V U J T M T V f M j A y M F 9 T U E p P S U 4 v Q 2 h h b m d l Z C B U e X B l L n t k c z I 3 M T V f U G x u d E V u Z G V t L D k y f S Z x d W 9 0 O y w m c X V v d D t T Z W N 0 a W 9 u M S 9 U Q k R f S W 5 0 Y W N 0 b m V z c 1 9 V b m l v b l 9 T V U J T M T V f M j A y M F 9 T U E p P S U 4 v Q 2 h h b m d l Z C B U e X B l L n t k c z I 3 M T V f R W N v X 1 N l Y 3 Q s O T N 9 J n F 1 b 3 Q 7 L C Z x d W 9 0 O 1 N l Y 3 R p b 2 4 x L 1 R C R F 9 J b n R h Y 3 R u Z X N z X 1 V u a W 9 u X 1 N V Q l M x N V 8 y M D I w X 1 N Q S k 9 J T i 9 D a G F u Z 2 V k I F R 5 c G U u e 2 R z M j c x N V 9 F Y 2 9 f T m F t Z S w 5 N H 0 m c X V v d D s s J n F 1 b 3 Q 7 U 2 V j d G l v b j E v V E J E X 0 l u d G F j d G 5 l c 3 N f V W 5 p b 2 5 f U 1 V C U z E 1 X z I w M j B f U 1 B K T 0 l O L 0 N o Y W 5 n Z W Q g V H l w Z S 5 7 Z H M y N z E 1 X 0 p l c H N v b l 9 F Y 2 8 s O T V 9 J n F 1 b 3 Q 7 L C Z x d W 9 0 O 1 N l Y 3 R p b 2 4 x L 1 R C R F 9 J b n R h Y 3 R u Z X N z X 1 V u a W 9 u X 1 N V Q l M x N V 8 y M D I w X 1 N Q S k 9 J T i 9 D a G F u Z 2 V k I F R 5 c G U u e 2 R z M j c x N V 9 D b 3 V u d H k s O T Z 9 J n F 1 b 3 Q 7 L C Z x d W 9 0 O 1 N l Y 3 R p b 2 4 x L 1 R C R F 9 J b n R h Y 3 R u Z X N z X 1 V u a W 9 u X 1 N V Q l M x N V 8 y M D I w X 1 N Q S k 9 J T i 9 D a G F u Z 2 V k I F R 5 c G U u e 0 9 C S k V D V E l E X z E s O T d 9 J n F 1 b 3 Q 7 L C Z x d W 9 0 O 1 N l Y 3 R p b 2 4 x L 1 R C R F 9 J b n R h Y 3 R u Z X N z X 1 V u a W 9 u X 1 N V Q l M x N V 8 y M D I w X 1 N Q S k 9 J T i 9 D a G F u Z 2 V k I F R 5 c G U u e 0 l E L D k 4 f S Z x d W 9 0 O y w m c X V v d D t T Z W N 0 a W 9 u M S 9 U Q k R f S W 5 0 Y W N 0 b m V z c 1 9 V b m l v b l 9 T V U J T M T V f M j A y M F 9 T U E p P S U 4 v Q 2 h h b m d l Z C B U e X B l L n t O Q U 1 F L D k 5 f S Z x d W 9 0 O y w m c X V v d D t T Z W N 0 a W 9 u M S 9 U Q k R f S W 5 0 Y W N 0 b m V z c 1 9 V b m l v b l 9 T V U J T M T V f M j A y M F 9 T U E p P S U 4 v Q 2 h h b m d l Z C B U e X B l L n t D S V R Z L D E w M H 0 m c X V v d D s s J n F 1 b 3 Q 7 U 2 V j d G l v b j E v V E J E X 0 l u d G F j d G 5 l c 3 N f V W 5 p b 2 5 f U 1 V C U z E 1 X z I w M j B f U 1 B K T 0 l O L 0 N o Y W 5 n Z W Q g V H l w Z S 5 7 U 1 R B V E U s M T A x f S Z x d W 9 0 O y w m c X V v d D t T Z W N 0 a W 9 u M S 9 U Q k R f S W 5 0 Y W N 0 b m V z c 1 9 V b m l v b l 9 T V U J T M T V f M j A y M F 9 T U E p P S U 4 v Q 2 h h b m d l Z C B U e X B l L n t a S V B D T 0 R F L D E w M n 0 m c X V v d D s s J n F 1 b 3 Q 7 U 2 V j d G l v b j E v V E J E X 0 l u d G F j d G 5 l c 3 N f V W 5 p b 2 5 f U 1 V C U z E 1 X z I w M j B f U 1 B K T 0 l O L 0 N o Y W 5 n Z W Q g V H l w Z S 5 7 Q 0 9 V T l R S W S w x M D N 9 J n F 1 b 3 Q 7 L C Z x d W 9 0 O 1 N l Y 3 R p b 2 4 x L 1 R C R F 9 J b n R h Y 3 R u Z X N z X 1 V u a W 9 u X 1 N V Q l M x N V 8 y M D I w X 1 N Q S k 9 J T i 9 D a G F u Z 2 V k I F R 5 c G U u e 0 x J T k V T L D E w N H 0 m c X V v d D s s J n F 1 b 3 Q 7 U 2 V j d G l v b j E v V E J E X 0 l u d G F j d G 5 l c 3 N f V W 5 p b 2 5 f U 1 V C U z E 1 X z I w M j B f U 1 B K T 0 l O L 0 N o Y W 5 n Z W Q g V H l w Z S 5 7 T U F Y X 1 Z P T F Q s M T A 1 f S Z x d W 9 0 O y w m c X V v d D t T Z W N 0 a W 9 u M S 9 U Q k R f S W 5 0 Y W N 0 b m V z c 1 9 V b m l v b l 9 T V U J T M T V f M j A y M F 9 T U E p P S U 4 v Q 2 h h b m d l Z C B U e X B l L n t N S U 5 f V k 9 M V C w x M D Z 9 J n F 1 b 3 Q 7 L C Z x d W 9 0 O 1 N l Y 3 R p b 2 4 x L 1 R C R F 9 J b n R h Y 3 R u Z X N z X 1 V u a W 9 u X 1 N V Q l M x N V 8 y M D I w X 1 N Q S k 9 J T i 9 D a G F u Z 2 V k I F R 5 c G U u e 0 1 B W F 9 J T k Z F U i w x M D d 9 J n F 1 b 3 Q 7 L C Z x d W 9 0 O 1 N l Y 3 R p b 2 4 x L 1 R C R F 9 J b n R h Y 3 R u Z X N z X 1 V u a W 9 u X 1 N V Q l M x N V 8 y M D I w X 1 N Q S k 9 J T i 9 D a G F u Z 2 V k I F R 5 c G U u e 0 1 J T l 9 J T k Z F U i w x M D h 9 J n F 1 b 3 Q 7 L C Z x d W 9 0 O 1 N l Y 3 R p b 2 4 x L 1 R C R F 9 J b n R h Y 3 R u Z X N z X 1 V u a W 9 u X 1 N V Q l M x N V 8 y M D I w X 1 N Q S k 9 J T i 9 D a G F u Z 2 V k I F R 5 c G U u e 0 x B V E l U V U R F L D E w O X 0 m c X V v d D s s J n F 1 b 3 Q 7 U 2 V j d G l v b j E v V E J E X 0 l u d G F j d G 5 l c 3 N f V W 5 p b 2 5 f U 1 V C U z E 1 X z I w M j B f U 1 B K T 0 l O L 0 N o Y W 5 n Z W Q g V H l w Z S 5 7 T E 9 O R 0 l U V U R F L D E x M H 0 m c X V v d D s s J n F 1 b 3 Q 7 U 2 V j d G l v b j E v V E J E X 0 l u d G F j d G 5 l c 3 N f V W 5 p b 2 5 f U 1 V C U z E 1 X z I w M j B f U 1 B K T 0 l O L 0 N o Y W 5 n Z W Q g V H l w Z S 5 7 T U V U S E 9 E L D E x M X 0 m c X V v d D s s J n F 1 b 3 Q 7 U 2 V j d G l v b j E v V E J E X 0 l u d G F j d G 5 l c 3 N f V W 5 p b 2 5 f U 1 V C U z E 1 X z I w M j B f U 1 B K T 0 l O L 0 N o Y W 5 n Z W Q g V H l w Z S 5 7 R E F U R S w x M T J 9 J n F 1 b 3 Q 7 L C Z x d W 9 0 O 1 N l Y 3 R p b 2 4 x L 1 R C R F 9 J b n R h Y 3 R u Z X N z X 1 V u a W 9 u X 1 N V Q l M x N V 8 y M D I w X 1 N Q S k 9 J T i 9 D a G F u Z 2 V k I F R 5 c G U u e 1 N P V V J D R S w x M T N 9 J n F 1 b 3 Q 7 L C Z x d W 9 0 O 1 N l Y 3 R p b 2 4 x L 1 R C R F 9 J b n R h Y 3 R u Z X N z X 1 V u a W 9 u X 1 N V Q l M x N V 8 y M D I w X 1 N Q S k 9 J T i 9 D a G F u Z 2 V k I F R 5 c G U u e 1 N 1 Y n N 0 Y X R p b 2 5 f S U Q s M T E 0 f S Z x d W 9 0 O y w m c X V v d D t T Z W N 0 a W 9 u M S 9 U Q k R f S W 5 0 Y W N 0 b m V z c 1 9 V b m l v b l 9 T V U J T M T V f M j A y M F 9 T U E p P S U 4 v Q 2 h h b m d l Z C B U e X B l L n t T d W J z d G F 0 a W 9 u X 0 5 h b W U s M T E 1 f S Z x d W 9 0 O y w m c X V v d D t T Z W N 0 a W 9 u M S 9 U Q k R f S W 5 0 Y W N 0 b m V z c 1 9 V b m l v b l 9 T V U J T M T V f M j A y M F 9 T U E p P S U 4 v Q 2 h h b m d l Z C B U e X B l L n t B b G l h c y w x M T Z 9 J n F 1 b 3 Q 7 L C Z x d W 9 0 O 1 N l Y 3 R p b 2 4 x L 1 R C R F 9 J b n R h Y 3 R u Z X N z X 1 V u a W 9 u X 1 N V Q l M x N V 8 y M D I w X 1 N Q S k 9 J T i 9 D a G F u Z 2 V k I F R 5 c G U u e 1 N 0 Y X R 1 c y w x M T d 9 J n F 1 b 3 Q 7 L C Z x d W 9 0 O 1 N l Y 3 R p b 2 4 x L 1 R C R F 9 J b n R h Y 3 R u Z X N z X 1 V u a W 9 u X 1 N V Q l M x N V 8 y M D I w X 1 N Q S k 9 J T i 9 D a G F u Z 2 V k I F R 5 c G U u e 0 9 3 b m V y L D E x O H 0 m c X V v d D s s J n F 1 b 3 Q 7 U 2 V j d G l v b j E v V E J E X 0 l u d G F j d G 5 l c 3 N f V W 5 p b 2 5 f U 1 V C U z E 1 X z I w M j B f U 1 B K T 0 l O L 0 N o Y W 5 n Z W Q g V H l w Z S 5 7 T W F w X 0 9 3 b m V y L D E x O X 0 m c X V v d D s s J n F 1 b 3 Q 7 U 2 V j d G l v b j E v V E J E X 0 l u d G F j d G 5 l c 3 N f V W 5 p b 2 5 f U 1 V C U z E 1 X z I w M j B f U 1 B K T 0 l O L 0 N o Y W 5 n Z W Q g V H l w Z S 5 7 T W F w X 1 B h c n Q s M T I w f S Z x d W 9 0 O y w m c X V v d D t T Z W N 0 a W 9 u M S 9 U Q k R f S W 5 0 Y W N 0 b m V z c 1 9 V b m l v b l 9 T V U J T M T V f M j A y M F 9 T U E p P S U 4 v Q 2 h h b m d l Z C B U e X B l L n t F b m d p b m V l c m l u Z 1 9 J R C w x M j F 9 J n F 1 b 3 Q 7 L C Z x d W 9 0 O 1 N l Y 3 R p b 2 4 x L 1 R C R F 9 J b n R h Y 3 R u Z X N z X 1 V u a W 9 u X 1 N V Q l M x N V 8 y M D I w X 1 N Q S k 9 J T i 9 D a G F u Z 2 V k I F R 5 c G U u e 2 t W X z E y X 1 R P X z M y L D E y M n 0 m c X V v d D s s J n F 1 b 3 Q 7 U 2 V j d G l v b j E v V E J E X 0 l u d G F j d G 5 l c 3 N f V W 5 p b 2 5 f U 1 V C U z E 1 X z I w M j B f U 1 B K T 0 l O L 0 N o Y W 5 n Z W Q g V H l w Z S 5 7 a 1 Z f M z N f V E 9 f O T I s M T I z f S Z x d W 9 0 O y w m c X V v d D t T Z W N 0 a W 9 u M S 9 U Q k R f S W 5 0 Y W N 0 b m V z c 1 9 V b m l v b l 9 T V U J T M T V f M j A y M F 9 T U E p P S U 4 v Q 2 h h b m d l Z C B U e X B l L n t r V l 8 x M T B f V E 9 f M T Y x L D E y N H 0 m c X V v d D s s J n F 1 b 3 Q 7 U 2 V j d G l v b j E v V E J E X 0 l u d G F j d G 5 l c 3 N f V W 5 p b 2 5 f U 1 V C U z E 1 X z I w M j B f U 1 B K T 0 l O L 0 N o Y W 5 n Z W Q g V H l w Z S 5 7 a 1 Z f M j I w X 1 R v X z I 4 N y w x M j V 9 J n F 1 b 3 Q 7 L C Z x d W 9 0 O 1 N l Y 3 R p b 2 4 x L 1 R C R F 9 J b n R h Y 3 R u Z X N z X 1 V u a W 9 u X 1 N V Q l M x N V 8 y M D I w X 1 N Q S k 9 J T i 9 D a G F u Z 2 V k I F R 5 c G U u e 2 t W X z M 0 N V 9 U b 1 8 1 M D A s M T I 2 f S Z x d W 9 0 O y w m c X V v d D t T Z W N 0 a W 9 u M S 9 U Q k R f S W 5 0 Y W N 0 b m V z c 1 9 V b m l v b l 9 T V U J T M T V f M j A y M F 9 T U E p P S U 4 v Q 2 h h b m d l Z C B U e X B l L n t r V l 8 1 M D B f R E M s M T I 3 f S Z x d W 9 0 O y w m c X V v d D t T Z W N 0 a W 9 u M S 9 U Q k R f S W 5 0 Y W N 0 b m V z c 1 9 V b m l v b l 9 T V U J T M T V f M j A y M F 9 T U E p P S U 4 v Q 2 h h b m d l Z C B U e X B l L n t I a W d o Z X N 0 X 2 t W L D E y O H 0 m c X V v d D s s J n F 1 b 3 Q 7 U 2 V j d G l v b j E v V E J E X 0 l u d G F j d G 5 l c 3 N f V W 5 p b 2 5 f U 1 V C U z E 1 X z I w M j B f U 1 B K T 0 l O L 0 N o Y W 5 n Z W Q g V H l w Z S 5 7 U G 9 z d G F s X 0 N p d H k s M T I 5 f S Z x d W 9 0 O y w m c X V v d D t T Z W N 0 a W 9 u M S 9 U Q k R f S W 5 0 Y W N 0 b m V z c 1 9 V b m l v b l 9 T V U J T M T V f M j A y M F 9 T U E p P S U 4 v Q 2 h h b m d l Z C B U e X B l L n t D b 3 V u d H k s M T M w f S Z x d W 9 0 O y w m c X V v d D t T Z W N 0 a W 9 u M S 9 U Q k R f S W 5 0 Y W N 0 b m V z c 1 9 V b m l v b l 9 T V U J T M T V f M j A y M F 9 T U E p P S U 4 v Q 2 h h b m d l Z C B U e X B l L n t a a X B f Q 2 9 k Z S w x M z F 9 J n F 1 b 3 Q 7 L C Z x d W 9 0 O 1 N l Y 3 R p b 2 4 x L 1 R C R F 9 J b n R h Y 3 R u Z X N z X 1 V u a W 9 u X 1 N V Q l M x N V 8 y M D I w X 1 N Q S k 9 J T i 9 D a G F u Z 2 V k I F R 5 c G U u e 0 x v b m d p d H V 0 Z S w x M z J 9 J n F 1 b 3 Q 7 L C Z x d W 9 0 O 1 N l Y 3 R p b 2 4 x L 1 R C R F 9 J b n R h Y 3 R u Z X N z X 1 V u a W 9 u X 1 N V Q l M x N V 8 y M D I w X 1 N Q S k 9 J T i 9 D a G F u Z 2 V k I F R 5 c G U u e 0 N v b W 1 l b n R z L D E z M 3 0 m c X V v d D s s J n F 1 b 3 Q 7 U 2 V j d G l v b j E v V E J E X 0 l u d G F j d G 5 l c 3 N f V W 5 p b 2 5 f U 1 V C U z E 1 X z I w M j B f U 1 B K T 0 l O L 0 N o Y W 5 n Z W Q g V H l w Z S 5 7 Q 3 J l Y X R v c i w x M z R 9 J n F 1 b 3 Q 7 L C Z x d W 9 0 O 1 N l Y 3 R p b 2 4 x L 1 R C R F 9 J b n R h Y 3 R u Z X N z X 1 V u a W 9 u X 1 N V Q l M x N V 8 y M D I w X 1 N Q S k 9 J T i 9 D a G F u Z 2 V k I F R 5 c G U u e 0 N y Z W F 0 b 3 J f R G F 0 Z S w x M z V 9 J n F 1 b 3 Q 7 L C Z x d W 9 0 O 1 N l Y 3 R p b 2 4 x L 1 R C R F 9 J b n R h Y 3 R u Z X N z X 1 V u a W 9 u X 1 N V Q l M x N V 8 y M D I w X 1 N Q S k 9 J T i 9 D a G F u Z 2 V k I F R 5 c G U u e 0 x h c 3 R f R W R p d G 9 y L D E z N n 0 m c X V v d D s s J n F 1 b 3 Q 7 U 2 V j d G l v b j E v V E J E X 0 l u d G F j d G 5 l c 3 N f V W 5 p b 2 5 f U 1 V C U z E 1 X z I w M j B f U 1 B K T 0 l O L 0 N o Y W 5 n Z W Q g V H l w Z S 5 7 T G F z d F 9 F Z G l 0 b 3 J f R G F 0 Z S w x M z d 9 J n F 1 b 3 Q 7 L C Z x d W 9 0 O 1 N l Y 3 R p b 2 4 x L 1 R C R F 9 J b n R h Y 3 R u Z X N z X 1 V u a W 9 u X 1 N V Q l M x N V 8 y M D I w X 1 N Q S k 9 J T i 9 D a G F u Z 2 V k I F R 5 c G U u e 0 l S U F 9 H R U 8 s M T M 4 f S Z x d W 9 0 O y w m c X V v d D t T Z W N 0 a W 9 u M S 9 U Q k R f S W 5 0 Y W N 0 b m V z c 1 9 V b m l v b l 9 T V U J T M T V f M j A y M F 9 T U E p P S U 4 v Q 2 h h b m d l Z C B U e X B l L n t J U l B f V 0 l O R C w x M z l 9 J n F 1 b 3 Q 7 L C Z x d W 9 0 O 1 N l Y 3 R p b 2 4 x L 1 R C R F 9 J b n R h Y 3 R u Z X N z X 1 V u a W 9 u X 1 N V Q l M x N V 8 y M D I w X 1 N Q S k 9 J T i 9 D a G F u Z 2 V k I F R 5 c G U u e 0 l S U F 9 T T 0 F M U i w x N D B 9 J n F 1 b 3 Q 7 L C Z x d W 9 0 O 1 N l Y 3 R p b 2 4 x L 1 R C R F 9 J b n R h Y 3 R u Z X N z X 1 V u a W 9 u X 1 N V Q l M x N V 8 y M D I w X 1 N Q S k 9 J T i 9 D a G F u Z 2 V k I F R 5 c G U u e 0 J V R k Z f R E l T V C w x N D F 9 J n F 1 b 3 Q 7 L C Z x d W 9 0 O 1 N l Y 3 R p b 2 4 x L 1 R C R F 9 J b n R h Y 3 R u Z X N z X 1 V u a W 9 u X 1 N V Q l M x N V 8 y M D I w X 1 N Q S k 9 J T i 9 D a G F u Z 2 V k I F R 5 c G U u e 0 9 S S U d f R k l E L D E 0 M n 0 m c X V v d D s s J n F 1 b 3 Q 7 U 2 V j d G l v b j E v V E J E X 0 l u d G F j d G 5 l c 3 N f V W 5 p b 2 5 f U 1 V C U z E 1 X z I w M j B f U 1 B K T 0 l O L 0 N o Y W 5 n Z W Q g V H l w Z S 5 7 U 2 h h c G V f T G V u Z 3 R o X z E s M T Q z f S Z x d W 9 0 O y w m c X V v d D t T Z W N 0 a W 9 u M S 9 U Q k R f S W 5 0 Y W N 0 b m V z c 1 9 V b m l v b l 9 T V U J T M T V f M j A y M F 9 T U E p P S U 4 v Q 2 h h b m d l Z C B U e X B l L n t T a G F w Z V 9 B c m V h X z E s M T Q 0 f S Z x d W 9 0 O y w m c X V v d D t T Z W N 0 a W 9 u M S 9 U Q k R f S W 5 0 Y W N 0 b m V z c 1 9 V b m l v b l 9 T V U J T M T V f M j A y M F 9 T U E p P S U 4 v Q 2 h h b m d l Z C B U e X B l L n t F b G V j d H J p Y 2 F s L D E 0 N X 0 m c X V v d D s s J n F 1 b 3 Q 7 U 2 V j d G l v b j E v V E J E X 0 l u d G F j d G 5 l c 3 N f V W 5 p b 2 5 f U 1 V C U z E 1 X z I w M j B f U 1 B K T 0 l O L 0 N o Y W 5 n Z W Q g V H l w Z S 5 7 R m F s b H N X a X R o a S w x N D Z 9 J n F 1 b 3 Q 7 L C Z x d W 9 0 O 1 N l Y 3 R p b 2 4 x L 1 R C R F 9 J b n R h Y 3 R u Z X N z X 1 V u a W 9 u X 1 N V Q l M x N V 8 y M D I w X 1 N Q S k 9 J T i 9 D a G F u Z 2 V k I F R 5 c G U u e 0 Z h b G x z V 2 l 0 X z E s M T Q 3 f S Z x d W 9 0 O y w m c X V v d D t T Z W N 0 a W 9 u M S 9 U Q k R f S W 5 0 Y W N 0 b m V z c 1 9 V b m l v b l 9 T V U J T M T V f M j A y M F 9 T U E p P S U 4 v Q 2 h h b m d l Z C B U e X B l L n t T a G F w Z V 9 M Z W 5 n L D E 0 O H 0 m c X V v d D s s J n F 1 b 3 Q 7 U 2 V j d G l v b j E v V E J E X 0 l u d G F j d G 5 l c 3 N f V W 5 p b 2 5 f U 1 V C U z E 1 X z I w M j B f U 1 B K T 0 l O L 0 N o Y W 5 n Z W Q g V H l w Z S 5 7 U 2 h h c G V f Q X J l Y V 8 x M i w x N D l 9 J n F 1 b 3 Q 7 L C Z x d W 9 0 O 1 N l Y 3 R p b 2 4 x L 1 R C R F 9 J b n R h Y 3 R u Z X N z X 1 V u a W 9 u X 1 N V Q l M x N V 8 y M D I w X 1 N Q S k 9 J T i 9 D a G F u Z 2 V k I F R 5 c G U u e 1 N o Y X B l X 0 x l b m d 0 a C w x N T B 9 J n F 1 b 3 Q 7 L C Z x d W 9 0 O 1 N l Y 3 R p b 2 4 x L 1 R C R F 9 J b n R h Y 3 R u Z X N z X 1 V u a W 9 u X 1 N V Q l M x N V 8 y M D I w X 1 N Q S k 9 J T i 9 D a G F u Z 2 V k I F R 5 c G U u e 1 N o Y X B l X 0 F y Z W E s M T U x f S Z x d W 9 0 O 1 0 s J n F 1 b 3 Q 7 Q 2 9 s d W 1 u Q 2 9 1 b n Q m c X V v d D s 6 M T U y L C Z x d W 9 0 O 0 t l e U N v b H V t b k 5 h b W V z J n F 1 b 3 Q 7 O l t d L C Z x d W 9 0 O 0 N v b H V t b k l k Z W 5 0 a X R p Z X M m c X V v d D s 6 W y Z x d W 9 0 O 1 N l Y 3 R p b 2 4 x L 1 R C R F 9 J b n R h Y 3 R u Z X N z X 1 V u a W 9 u X 1 N V Q l M x N V 8 y M D I w X 1 N Q S k 9 J T i 9 D a G F u Z 2 V k I F R 5 c G U u e 0 9 C S k V D V E l E L D B 9 J n F 1 b 3 Q 7 L C Z x d W 9 0 O 1 N l Y 3 R p b 2 4 x L 1 R C R F 9 J b n R h Y 3 R u Z X N z X 1 V u a W 9 u X 1 N V Q l M x N V 8 y M D I w X 1 N Q S k 9 J T i 9 D a G F u Z 2 V k I F R 5 c G U u e 0 p v a W 5 f Q 2 9 1 b n Q s M X 0 m c X V v d D s s J n F 1 b 3 Q 7 U 2 V j d G l v b j E v V E J E X 0 l u d G F j d G 5 l c 3 N f V W 5 p b 2 5 f U 1 V C U z E 1 X z I w M j B f U 1 B K T 0 l O L 0 N o Y W 5 n Z W Q g V H l w Z S 5 7 V E F S R 0 V U X 0 Z J R C w y f S Z x d W 9 0 O y w m c X V v d D t T Z W N 0 a W 9 u M S 9 U Q k R f S W 5 0 Y W N 0 b m V z c 1 9 V b m l v b l 9 T V U J T M T V f M j A y M F 9 T U E p P S U 4 v Q 2 h h b m d l Z C B U e X B l L n t K b 2 l u X 0 N v d W 5 0 X z E s M 3 0 m c X V v d D s s J n F 1 b 3 Q 7 U 2 V j d G l v b j E v V E J E X 0 l u d G F j d G 5 l c 3 N f V W 5 p b 2 5 f U 1 V C U z E 1 X z I w M j B f U 1 B K T 0 l O L 0 N o Y W 5 n Z W Q g V H l w Z S 5 7 V E F S R 0 V U X 0 Z J R F 8 x L D R 9 J n F 1 b 3 Q 7 L C Z x d W 9 0 O 1 N l Y 3 R p b 2 4 x L 1 R C R F 9 J b n R h Y 3 R u Z X N z X 1 V u a W 9 u X 1 N V Q l M x N V 8 y M D I w X 1 N Q S k 9 J T i 9 D a G F u Z 2 V k I F R 5 c G U u e 1 R C R F 9 J b n R h Y 3 R u Z X N z X 1 V u a W 9 u X 0 Z J R F 9 D Q V 9 U S V 9 F R U 1 T M l 8 x S 0 1 f R H J h Z n R f V X B k Y X R l R l J B R 1 N U Q V R T X 3 Y s N X 0 m c X V v d D s s J n F 1 b 3 Q 7 U 2 V j d G l v b j E v V E J E X 0 l u d G F j d G 5 l c 3 N f V W 5 p b 2 5 f U 1 V C U z E 1 X z I w M j B f U 1 B K T 0 l O L 0 N o Y W 5 n Z W Q g V H l w Z S 5 7 V E J E X 0 l u d G F j d G 5 l c 3 N f V W 5 p b 2 5 f V E l f U 0 N P U k U s N n 0 m c X V v d D s s J n F 1 b 3 Q 7 U 2 V j d G l v b j E v V E J E X 0 l u d G F j d G 5 l c 3 N f V W 5 p b 2 5 f U 1 V C U z E 1 X z I w M j B f U 1 B K T 0 l O L 0 N o Y W 5 n Z W Q g V H l w Z S 5 7 V E J E X 0 l u d G F j d G 5 l c 3 N f V W 5 p b 2 5 f R k l E X 2 R z M j c z O S w 3 f S Z x d W 9 0 O y w m c X V v d D t T Z W N 0 a W 9 u M S 9 U Q k R f S W 5 0 Y W N 0 b m V z c 1 9 V b m l v b l 9 T V U J T M T V f M j A y M F 9 T U E p P S U 4 v Q 2 h h b m d l Z C B U e X B l L n t U Q k R f S W 5 0 Y W N 0 b m V z c 1 9 V b m l v b l 9 I Z X h f S U Q s O H 0 m c X V v d D s s J n F 1 b 3 Q 7 U 2 V j d G l v b j E v V E J E X 0 l u d G F j d G 5 l c 3 N f V W 5 p b 2 5 f U 1 V C U z E 1 X z I w M j B f U 1 B K T 0 l O L 0 N o Y W 5 n Z W Q g V H l w Z S 5 7 V E J E X 0 l u d G F j d G 5 l c 3 N f V W 5 p b 2 5 f Q m l v U m F u a 0 V j b y w 5 f S Z x d W 9 0 O y w m c X V v d D t T Z W N 0 a W 9 u M S 9 U Q k R f S W 5 0 Y W N 0 b m V z c 1 9 V b m l v b l 9 T V U J T M T V f M j A y M F 9 T U E p P S U 4 v Q 2 h h b m d l Z C B U e X B l L n t U Q k R f S W 5 0 Y W N 0 b m V z c 1 9 V b m l v b l 9 C a W 9 T d W 1 F Y 2 8 s M T B 9 J n F 1 b 3 Q 7 L C Z x d W 9 0 O 1 N l Y 3 R p b 2 4 x L 1 R C R F 9 J b n R h Y 3 R u Z X N z X 1 V u a W 9 u X 1 N V Q l M x N V 8 y M D I w X 1 N Q S k 9 J T i 9 D a G F u Z 2 V k I F R 5 c G U u e 1 R C R F 9 J b n R h Y 3 R u Z X N z X 1 V u a W 9 u X 0 J p b 1 J h b m t T V y w x M X 0 m c X V v d D s s J n F 1 b 3 Q 7 U 2 V j d G l v b j E v V E J E X 0 l u d G F j d G 5 l c 3 N f V W 5 p b 2 5 f U 1 V C U z E 1 X z I w M j B f U 1 B K T 0 l O L 0 N o Y W 5 n Z W Q g V H l w Z S 5 7 V E J E X 0 l u d G F j d G 5 l c 3 N f V W 5 p b 2 5 f Q m l v U 3 V t U 1 c s M T J 9 J n F 1 b 3 Q 7 L C Z x d W 9 0 O 1 N l Y 3 R p b 2 4 x L 1 R C R F 9 J b n R h Y 3 R u Z X N z X 1 V u a W 9 u X 1 N V Q l M x N V 8 y M D I w X 1 N Q S k 9 J T i 9 D a G F u Z 2 V k I F R 5 c G U u e 1 R C R F 9 J b n R h Y 3 R u Z X N z X 1 V u a W 9 u X 0 5 0 d l J h b m t F Y 2 8 s M T N 9 J n F 1 b 3 Q 7 L C Z x d W 9 0 O 1 N l Y 3 R p b 2 4 x L 1 R C R F 9 J b n R h Y 3 R u Z X N z X 1 V u a W 9 u X 1 N V Q l M x N V 8 y M D I w X 1 N Q S k 9 J T i 9 D a G F u Z 2 V k I F R 5 c G U u e 1 R C R F 9 J b n R h Y 3 R u Z X N z X 1 V u a W 9 u X 0 5 0 d l N 1 b U V j b y w x N H 0 m c X V v d D s s J n F 1 b 3 Q 7 U 2 V j d G l v b j E v V E J E X 0 l u d G F j d G 5 l c 3 N f V W 5 p b 2 5 f U 1 V C U z E 1 X z I w M j B f U 1 B K T 0 l O L 0 N o Y W 5 n Z W Q g V H l w Z S 5 7 V E J E X 0 l u d G F j d G 5 l c 3 N f V W 5 p b 2 5 f T n R 2 U m F u a 1 N X L D E 1 f S Z x d W 9 0 O y w m c X V v d D t T Z W N 0 a W 9 u M S 9 U Q k R f S W 5 0 Y W N 0 b m V z c 1 9 V b m l v b l 9 T V U J T M T V f M j A y M F 9 T U E p P S U 4 v Q 2 h h b m d l Z C B U e X B l L n t U Q k R f S W 5 0 Y W N 0 b m V z c 1 9 V b m l v b l 9 O d H Z T d W 1 T V y w x N n 0 m c X V v d D s s J n F 1 b 3 Q 7 U 2 V j d G l v b j E v V E J E X 0 l u d G F j d G 5 l c 3 N f V W 5 p b 2 5 f U 1 V C U z E 1 X z I w M j B f U 1 B K T 0 l O L 0 N o Y W 5 n Z W Q g V H l w Z S 5 7 V E J E X 0 l u d G F j d G 5 l c 3 N f V W 5 p b 2 5 f U m F y U m F u a 0 V j b y w x N 3 0 m c X V v d D s s J n F 1 b 3 Q 7 U 2 V j d G l v b j E v V E J E X 0 l u d G F j d G 5 l c 3 N f V W 5 p b 2 5 f U 1 V C U z E 1 X z I w M j B f U 1 B K T 0 l O L 0 N o Y W 5 n Z W Q g V H l w Z S 5 7 V E J E X 0 l u d G F j d G 5 l c 3 N f V W 5 p b 2 5 f U m F y U 3 V t R W N v L D E 4 f S Z x d W 9 0 O y w m c X V v d D t T Z W N 0 a W 9 u M S 9 U Q k R f S W 5 0 Y W N 0 b m V z c 1 9 V b m l v b l 9 T V U J T M T V f M j A y M F 9 T U E p P S U 4 v Q 2 h h b m d l Z C B U e X B l L n t U Q k R f S W 5 0 Y W N 0 b m V z c 1 9 V b m l v b l 9 S Y X J S Y W 5 r U 1 c s M T l 9 J n F 1 b 3 Q 7 L C Z x d W 9 0 O 1 N l Y 3 R p b 2 4 x L 1 R C R F 9 J b n R h Y 3 R u Z X N z X 1 V u a W 9 u X 1 N V Q l M x N V 8 y M D I w X 1 N Q S k 9 J T i 9 D a G F u Z 2 V k I F R 5 c G U u e 1 R C R F 9 J b n R h Y 3 R u Z X N z X 1 V u a W 9 u X 1 J h c l N 1 b V N X L D I w f S Z x d W 9 0 O y w m c X V v d D t T Z W N 0 a W 9 u M S 9 U Q k R f S W 5 0 Y W N 0 b m V z c 1 9 V b m l v b l 9 T V U J T M T V f M j A y M F 9 T U E p P S U 4 v Q 2 h h b m d l Z C B U e X B l L n t U Q k R f S W 5 0 Y W N 0 b m V z c 1 9 V b m l v b l 9 S d 2 l S Y W 5 r R W N v L D I x f S Z x d W 9 0 O y w m c X V v d D t T Z W N 0 a W 9 u M S 9 U Q k R f S W 5 0 Y W N 0 b m V z c 1 9 V b m l v b l 9 T V U J T M T V f M j A y M F 9 T U E p P S U 4 v Q 2 h h b m d l Z C B U e X B l L n t U Q k R f S W 5 0 Y W N 0 b m V z c 1 9 V b m l v b l 9 S d 2 l N Y X h F Y 2 8 s M j J 9 J n F 1 b 3 Q 7 L C Z x d W 9 0 O 1 N l Y 3 R p b 2 4 x L 1 R C R F 9 J b n R h Y 3 R u Z X N z X 1 V u a W 9 u X 1 N V Q l M x N V 8 y M D I w X 1 N Q S k 9 J T i 9 D a G F u Z 2 V k I F R 5 c G U u e 1 R C R F 9 J b n R h Y 3 R u Z X N z X 1 V u a W 9 u X 1 J 3 a V J h b m t T V y w y M 3 0 m c X V v d D s s J n F 1 b 3 Q 7 U 2 V j d G l v b j E v V E J E X 0 l u d G F j d G 5 l c 3 N f V W 5 p b 2 5 f U 1 V C U z E 1 X z I w M j B f U 1 B K T 0 l O L 0 N o Y W 5 n Z W Q g V H l w Z S 5 7 V E J E X 0 l u d G F j d G 5 l c 3 N f V W 5 p b 2 5 f U n d p T W F 4 U 1 c s M j R 9 J n F 1 b 3 Q 7 L C Z x d W 9 0 O 1 N l Y 3 R p b 2 4 x L 1 R C R F 9 J b n R h Y 3 R u Z X N z X 1 V u a W 9 u X 1 N V Q l M x N V 8 y M D I w X 1 N Q S k 9 J T i 9 D a G F u Z 2 V k I F R 5 c G U u e 1 R C R F 9 J b n R h Y 3 R u Z X N z X 1 V u a W 9 u X 0 5 h d G l 2 Z U N v d W 5 0 L D I 1 f S Z x d W 9 0 O y w m c X V v d D t T Z W N 0 a W 9 u M S 9 U Q k R f S W 5 0 Y W N 0 b m V z c 1 9 V b m l v b l 9 T V U J T M T V f M j A y M F 9 T U E p P S U 4 v Q 2 h h b m d l Z C B U e X B l L n t U Q k R f S W 5 0 Y W N 0 b m V z c 1 9 V b m l v b l 9 O d H Z B b X B o L D I 2 f S Z x d W 9 0 O y w m c X V v d D t T Z W N 0 a W 9 u M S 9 U Q k R f S W 5 0 Y W N 0 b m V z c 1 9 V b m l v b l 9 T V U J T M T V f M j A y M F 9 T U E p P S U 4 v Q 2 h h b m d l Z C B U e X B l L n t U Q k R f S W 5 0 Y W N 0 b m V z c 1 9 V b m l v b l 9 O d H Z S Z X B 0 L D I 3 f S Z x d W 9 0 O y w m c X V v d D t T Z W N 0 a W 9 u M S 9 U Q k R f S W 5 0 Y W N 0 b m V z c 1 9 V b m l v b l 9 T V U J T M T V f M j A y M F 9 T U E p P S U 4 v Q 2 h h b m d l Z C B U e X B l L n t U Q k R f S W 5 0 Y W N 0 b m V z c 1 9 V b m l v b l 9 O d H Z C a X J k L D I 4 f S Z x d W 9 0 O y w m c X V v d D t T Z W N 0 a W 9 u M S 9 U Q k R f S W 5 0 Y W N 0 b m V z c 1 9 V b m l v b l 9 T V U J T M T V f M j A y M F 9 T U E p P S U 4 v Q 2 h h b m d l Z C B U e X B l L n t U Q k R f S W 5 0 Y W N 0 b m V z c 1 9 V b m l v b l 9 O d H Z N Y W 1 t L D I 5 f S Z x d W 9 0 O y w m c X V v d D t T Z W N 0 a W 9 u M S 9 U Q k R f S W 5 0 Y W N 0 b m V z c 1 9 V b m l v b l 9 T V U J T M T V f M j A y M F 9 T U E p P S U 4 v Q 2 h h b m d l Z C B U e X B l L n t U Q k R f S W 5 0 Y W N 0 b m V z c 1 9 V b m l v b l 9 O d H Z Q b G 5 0 L D M w f S Z x d W 9 0 O y w m c X V v d D t T Z W N 0 a W 9 u M S 9 U Q k R f S W 5 0 Y W N 0 b m V z c 1 9 V b m l v b l 9 T V U J T M T V f M j A y M F 9 T U E p P S U 4 v Q 2 h h b m d l Z C B U e X B l L n t U Q k R f S W 5 0 Y W N 0 b m V z c 1 9 V b m l v b l 9 H Y W 1 l Q 2 9 1 b n Q s M z F 9 J n F 1 b 3 Q 7 L C Z x d W 9 0 O 1 N l Y 3 R p b 2 4 x L 1 R C R F 9 J b n R h Y 3 R u Z X N z X 1 V u a W 9 u X 1 N V Q l M x N V 8 y M D I w X 1 N Q S k 9 J T i 9 D a G F u Z 2 V k I F R 5 c G U u e 1 R C R F 9 J b n R h Y 3 R u Z X N z X 1 V u a W 9 u X 0 N s a W 1 W d W x D b 3 V u d C w z M n 0 m c X V v d D s s J n F 1 b 3 Q 7 U 2 V j d G l v b j E v V E J E X 0 l u d G F j d G 5 l c 3 N f V W 5 p b 2 5 f U 1 V C U z E 1 X z I w M j B f U 1 B K T 0 l O L 0 N o Y W 5 n Z W Q g V H l w Z S 5 7 V E J E X 0 l u d G F j d G 5 l c 3 N f V W 5 p b 2 5 f U m F y Z U N v d W 5 0 L D M z f S Z x d W 9 0 O y w m c X V v d D t T Z W N 0 a W 9 u M S 9 U Q k R f S W 5 0 Y W N 0 b m V z c 1 9 V b m l v b l 9 T V U J T M T V f M j A y M F 9 T U E p P S U 4 v Q 2 h h b m d l Z C B U e X B l L n t U Q k R f S W 5 0 Y W N 0 b m V z c 1 9 V b m l v b l 9 S Y X J B b X B o L D M 0 f S Z x d W 9 0 O y w m c X V v d D t T Z W N 0 a W 9 u M S 9 U Q k R f S W 5 0 Y W N 0 b m V z c 1 9 V b m l v b l 9 T V U J T M T V f M j A y M F 9 T U E p P S U 4 v Q 2 h h b m d l Z C B U e X B l L n t U Q k R f S W 5 0 Y W N 0 b m V z c 1 9 V b m l v b l 9 S Y X J S Z X B 0 L D M 1 f S Z x d W 9 0 O y w m c X V v d D t T Z W N 0 a W 9 u M S 9 U Q k R f S W 5 0 Y W N 0 b m V z c 1 9 V b m l v b l 9 T V U J T M T V f M j A y M F 9 T U E p P S U 4 v Q 2 h h b m d l Z C B U e X B l L n t U Q k R f S W 5 0 Y W N 0 b m V z c 1 9 V b m l v b l 9 S Y X J C a X J k L D M 2 f S Z x d W 9 0 O y w m c X V v d D t T Z W N 0 a W 9 u M S 9 U Q k R f S W 5 0 Y W N 0 b m V z c 1 9 V b m l v b l 9 T V U J T M T V f M j A y M F 9 T U E p P S U 4 v Q 2 h h b m d l Z C B U e X B l L n t U Q k R f S W 5 0 Y W N 0 b m V z c 1 9 V b m l v b l 9 S Y X J N Y W 1 t L D M 3 f S Z x d W 9 0 O y w m c X V v d D t T Z W N 0 a W 9 u M S 9 U Q k R f S W 5 0 Y W N 0 b m V z c 1 9 V b m l v b l 9 T V U J T M T V f M j A y M F 9 T U E p P S U 4 v Q 2 h h b m d l Z C B U e X B l L n t U Q k R f S W 5 0 Y W N 0 b m V z c 1 9 V b m l v b l 9 S Y X J Q b G 5 0 L D M 4 f S Z x d W 9 0 O y w m c X V v d D t T Z W N 0 a W 9 u M S 9 U Q k R f S W 5 0 Y W N 0 b m V z c 1 9 V b m l v b l 9 T V U J T M T V f M j A y M F 9 T U E p P S U 4 v Q 2 h h b m d l Z C B U e X B l L n t U Q k R f S W 5 0 Y W N 0 b m V z c 1 9 V b m l v b l 9 B b G x U Y X h h R W 5 k Z W 0 s M z l 9 J n F 1 b 3 Q 7 L C Z x d W 9 0 O 1 N l Y 3 R p b 2 4 x L 1 R C R F 9 J b n R h Y 3 R u Z X N z X 1 V u a W 9 u X 1 N V Q l M x N V 8 y M D I w X 1 N Q S k 9 J T i 9 D a G F u Z 2 V k I F R 5 c G U u e 1 R C R F 9 J b n R h Y 3 R u Z X N z X 1 V u a W 9 u X 0 F t c G h F b m R l b S w 0 M H 0 m c X V v d D s s J n F 1 b 3 Q 7 U 2 V j d G l v b j E v V E J E X 0 l u d G F j d G 5 l c 3 N f V W 5 p b 2 5 f U 1 V C U z E 1 X z I w M j B f U 1 B K T 0 l O L 0 N o Y W 5 n Z W Q g V H l w Z S 5 7 V E J E X 0 l u d G F j d G 5 l c 3 N f V W 5 p b 2 5 f U m V w d E V u Z G V t L D Q x f S Z x d W 9 0 O y w m c X V v d D t T Z W N 0 a W 9 u M S 9 U Q k R f S W 5 0 Y W N 0 b m V z c 1 9 V b m l v b l 9 T V U J T M T V f M j A y M F 9 T U E p P S U 4 v Q 2 h h b m d l Z C B U e X B l L n t U Q k R f S W 5 0 Y W N 0 b m V z c 1 9 V b m l v b l 9 C a X J k R W 5 k Z W 0 s N D J 9 J n F 1 b 3 Q 7 L C Z x d W 9 0 O 1 N l Y 3 R p b 2 4 x L 1 R C R F 9 J b n R h Y 3 R u Z X N z X 1 V u a W 9 u X 1 N V Q l M x N V 8 y M D I w X 1 N Q S k 9 J T i 9 D a G F u Z 2 V k I F R 5 c G U u e 1 R C R F 9 J b n R h Y 3 R u Z X N z X 1 V u a W 9 u X 0 1 h b W 1 F b m R l b S w 0 M 3 0 m c X V v d D s s J n F 1 b 3 Q 7 U 2 V j d G l v b j E v V E J E X 0 l u d G F j d G 5 l c 3 N f V W 5 p b 2 5 f U 1 V C U z E 1 X z I w M j B f U 1 B K T 0 l O L 0 N o Y W 5 n Z W Q g V H l w Z S 5 7 V E J E X 0 l u d G F j d G 5 l c 3 N f V W 5 p b 2 5 f U G x u d E V u Z G V t L D Q 0 f S Z x d W 9 0 O y w m c X V v d D t T Z W N 0 a W 9 u M S 9 U Q k R f S W 5 0 Y W N 0 b m V z c 1 9 V b m l v b l 9 T V U J T M T V f M j A y M F 9 T U E p P S U 4 v Q 2 h h b m d l Z C B U e X B l L n t U Q k R f S W 5 0 Y W N 0 b m V z c 1 9 V b m l v b l 9 F Y 2 9 f U 2 V j d C w 0 N X 0 m c X V v d D s s J n F 1 b 3 Q 7 U 2 V j d G l v b j E v V E J E X 0 l u d G F j d G 5 l c 3 N f V W 5 p b 2 5 f U 1 V C U z E 1 X z I w M j B f U 1 B K T 0 l O L 0 N o Y W 5 n Z W Q g V H l w Z S 5 7 V E J E X 0 l u d G F j d G 5 l c 3 N f V W 5 p b 2 5 f R W N v X 0 5 h b W U s N D Z 9 J n F 1 b 3 Q 7 L C Z x d W 9 0 O 1 N l Y 3 R p b 2 4 x L 1 R C R F 9 J b n R h Y 3 R u Z X N z X 1 V u a W 9 u X 1 N V Q l M x N V 8 y M D I w X 1 N Q S k 9 J T i 9 D a G F u Z 2 V k I F R 5 c G U u e 1 R C R F 9 J b n R h Y 3 R u Z X N z X 1 V u a W 9 u X 0 p l c H N v b l 9 F Y 2 8 s N D d 9 J n F 1 b 3 Q 7 L C Z x d W 9 0 O 1 N l Y 3 R p b 2 4 x L 1 R C R F 9 J b n R h Y 3 R u Z X N z X 1 V u a W 9 u X 1 N V Q l M x N V 8 y M D I w X 1 N Q S k 9 J T i 9 D a G F u Z 2 V k I F R 5 c G U u e 1 R C R F 9 J b n R h Y 3 R u Z X N z X 1 V u a W 9 u X 0 N v d W 5 0 e S w 0 O H 0 m c X V v d D s s J n F 1 b 3 Q 7 U 2 V j d G l v b j E v V E J E X 0 l u d G F j d G 5 l c 3 N f V W 5 p b 2 5 f U 1 V C U z E 1 X z I w M j B f U 1 B K T 0 l O L 0 N o Y W 5 n Z W Q g V H l w Z S 5 7 V E J E X 0 l u d G F j d G 5 l c 3 N f V W 5 p b 2 5 f T U 9 E R U x f U 0 N P U k U s N D l 9 J n F 1 b 3 Q 7 L C Z x d W 9 0 O 1 N l Y 3 R p b 2 4 x L 1 R C R F 9 J b n R h Y 3 R u Z X N z X 1 V u a W 9 u X 1 N V Q l M x N V 8 y M D I w X 1 N Q S k 9 J T i 9 D a G F u Z 2 V k I F R 5 c G U u e 1 R C R F 9 J b n R h Y 3 R u Z X N z X 1 V u a W 9 u X 0 F D U k V T L D U w f S Z x d W 9 0 O y w m c X V v d D t T Z W N 0 a W 9 u M S 9 U Q k R f S W 5 0 Y W N 0 b m V z c 1 9 V b m l v b l 9 T V U J T M T V f M j A y M F 9 T U E p P S U 4 v Q 2 h h b m d l Z C B U e X B l L n t k c z I 3 M z R f T 0 J K R U N U S U Q s N T F 9 J n F 1 b 3 Q 7 L C Z x d W 9 0 O 1 N l Y 3 R p b 2 4 x L 1 R C R F 9 J b n R h Y 3 R u Z X N z X 1 V u a W 9 u X 1 N V Q l M x N V 8 y M D I w X 1 N Q S k 9 J T i 9 D a G F u Z 2 V k I F R 5 c G U u e 2 R z M j c z N F 9 I Z X h f S U Q s N T J 9 J n F 1 b 3 Q 7 L C Z x d W 9 0 O 1 N l Y 3 R p b 2 4 x L 1 R C R F 9 J b n R h Y 3 R u Z X N z X 1 V u a W 9 u X 1 N V Q l M x N V 8 y M D I w X 1 N Q S k 9 J T i 9 D a G F u Z 2 V k I F R 5 c G U u e 2 R z M j c z N F 9 D b 2 5 u Z W N 0 a X Z p d H l f c m F u a y w 1 M 3 0 m c X V v d D s s J n F 1 b 3 Q 7 U 2 V j d G l v b j E v V E J E X 0 l u d G F j d G 5 l c 3 N f V W 5 p b 2 5 f U 1 V C U z E 1 X z I w M j B f U 1 B K T 0 l O L 0 N o Y W 5 n Z W Q g V H l w Z S 5 7 Z H M y N z M 0 X 0 x p b m t h Z 2 V f c m F u a y w 1 N H 0 m c X V v d D s s J n F 1 b 3 Q 7 U 2 V j d G l v b j E v V E J E X 0 l u d G F j d G 5 l c 3 N f V W 5 p b 2 5 f U 1 V C U z E 1 X z I w M j B f U 1 B K T 0 l O L 0 N o Y W 5 n Z W Q g V H l w Z S 5 7 Z H M y N z M 0 X 0 x p b m t h Z 2 V f Z G F 0 Y X N l d H M s N T V 9 J n F 1 b 3 Q 7 L C Z x d W 9 0 O 1 N l Y 3 R p b 2 4 x L 1 R C R F 9 J b n R h Y 3 R u Z X N z X 1 V u a W 9 u X 1 N V Q l M x N V 8 y M D I w X 1 N Q S k 9 J T i 9 D a G F u Z 2 V k I F R 5 c G U u e 2 R z M j c z N F 9 O T E J f c m F u a y w 1 N n 0 m c X V v d D s s J n F 1 b 3 Q 7 U 2 V j d G l v b j E v V E J E X 0 l u d G F j d G 5 l c 3 N f V W 5 p b 2 5 f U 1 V C U z E 1 X z I w M j B f U 1 B K T 0 l O L 0 N o Y W 5 n Z W Q g V H l w Z S 5 7 Z H M y N z M 0 X 0 5 M Q l 9 w Y 2 5 0 L D U 3 f S Z x d W 9 0 O y w m c X V v d D t T Z W N 0 a W 9 u M S 9 U Q k R f S W 5 0 Y W N 0 b m V z c 1 9 V b m l v b l 9 T V U J T M T V f M j A y M F 9 T U E p P S U 4 v Q 2 h h b m d l Z C B U e X B l L n t k c z I 3 M z R f U 3 F f T W l s Z X M s N T h 9 J n F 1 b 3 Q 7 L C Z x d W 9 0 O 1 N l Y 3 R p b 2 4 x L 1 R C R F 9 J b n R h Y 3 R u Z X N z X 1 V u a W 9 u X 1 N V Q l M x N V 8 y M D I w X 1 N Q S k 9 J T i 9 D a G F u Z 2 V k I F R 5 c G U u e 2 R z M j c z N F 9 F Y 2 9 f U 2 V j d C w 1 O X 0 m c X V v d D s s J n F 1 b 3 Q 7 U 2 V j d G l v b j E v V E J E X 0 l u d G F j d G 5 l c 3 N f V W 5 p b 2 5 f U 1 V C U z E 1 X z I w M j B f U 1 B K T 0 l O L 0 N o Y W 5 n Z W Q g V H l w Z S 5 7 Z H M y N z M 0 X 0 V j b 1 9 O Y W 1 l L D Y w f S Z x d W 9 0 O y w m c X V v d D t T Z W N 0 a W 9 u M S 9 U Q k R f S W 5 0 Y W N 0 b m V z c 1 9 V b m l v b l 9 T V U J T M T V f M j A y M F 9 T U E p P S U 4 v Q 2 h h b m d l Z C B U e X B l L n t k c z I 3 M z R f S m V w c 2 9 u X 0 V j b y w 2 M X 0 m c X V v d D s s J n F 1 b 3 Q 7 U 2 V j d G l v b j E v V E J E X 0 l u d G F j d G 5 l c 3 N f V W 5 p b 2 5 f U 1 V C U z E 1 X z I w M j B f U 1 B K T 0 l O L 0 N o Y W 5 n Z W Q g V H l w Z S 5 7 Z H M y N z M 0 X 0 N v d W 5 0 e S w 2 M n 0 m c X V v d D s s J n F 1 b 3 Q 7 U 2 V j d G l v b j E v V E J E X 0 l u d G F j d G 5 l c 3 N f V W 5 p b 2 5 f U 1 V C U z E 1 X z I w M j B f U 1 B K T 0 l O L 0 N o Y W 5 n Z W Q g V H l w Z S 5 7 Z H M y N z I x X 0 9 C S k V D V E l E L D Y z f S Z x d W 9 0 O y w m c X V v d D t T Z W N 0 a W 9 u M S 9 U Q k R f S W 5 0 Y W N 0 b m V z c 1 9 V b m l v b l 9 T V U J T M T V f M j A y M F 9 T U E p P S U 4 v Q 2 h h b m d l Z C B U e X B l L n t k c z I 3 M j F f S G V 4 X 0 l E L D Y 0 f S Z x d W 9 0 O y w m c X V v d D t T Z W N 0 a W 9 u M S 9 U Q k R f S W 5 0 Y W N 0 b m V z c 1 9 V b m l v b l 9 T V U J T M T V f M j A y M F 9 T U E p P S U 4 v Q 2 h h b m d l Z C B U e X B l L n t k c z I 3 M j F f V G V y c k h h Y l J h b m s s N j V 9 J n F 1 b 3 Q 7 L C Z x d W 9 0 O 1 N l Y 3 R p b 2 4 x L 1 R C R F 9 J b n R h Y 3 R u Z X N z X 1 V u a W 9 u X 1 N V Q l M x N V 8 y M D I w X 1 N Q S k 9 J T i 9 D a G F u Z 2 V k I F R 5 c G U u e 2 R z M j c y M V 9 U Z X J y S G F i U 1 d O b 3 J t L D Y 2 f S Z x d W 9 0 O y w m c X V v d D t T Z W N 0 a W 9 u M S 9 U Q k R f S W 5 0 Y W N 0 b m V z c 1 9 V b m l v b l 9 T V U J T M T V f M j A y M F 9 T U E p P S U 4 v Q 2 h h b m d l Z C B U e X B l L n t k c z I 3 M j F f V G V y c k h h Y l R v d C w 2 N 3 0 m c X V v d D s s J n F 1 b 3 Q 7 U 2 V j d G l v b j E v V E J E X 0 l u d G F j d G 5 l c 3 N f V W 5 p b 2 5 f U 1 V C U z E 1 X z I w M j B f U 1 B K T 0 l O L 0 N o Y W 5 n Z W Q g V H l w Z S 5 7 Z H M y N z I x X 1 J h c m V W Z W c s N j h 9 J n F 1 b 3 Q 7 L C Z x d W 9 0 O 1 N l Y 3 R p b 2 4 x L 1 R C R F 9 J b n R h Y 3 R u Z X N z X 1 V u a W 9 u X 1 N V Q l M x N V 8 y M D I w X 1 N Q S k 9 J T i 9 D a G F u Z 2 V k I F R 5 c G U u e 2 R z M j c y M V 9 P Y W t X b 2 9 k b G Q s N j l 9 J n F 1 b 3 Q 7 L C Z x d W 9 0 O 1 N l Y 3 R p b 2 4 x L 1 R C R F 9 J b n R h Y 3 R u Z X N z X 1 V u a W 9 u X 1 N V Q l M x N V 8 y M D I w X 1 N Q S k 9 J T i 9 D a G F u Z 2 V k I F R 5 c G U u e 2 R z M j c y M V 9 S a X B h c m l h b i w 3 M H 0 m c X V v d D s s J n F 1 b 3 Q 7 U 2 V j d G l v b j E v V E J E X 0 l u d G F j d G 5 l c 3 N f V W 5 p b 2 5 f U 1 V C U z E 1 X z I w M j B f U 1 B K T 0 l O L 0 N o Y W 5 n Z W Q g V H l w Z S 5 7 Z H M y N z I x X 0 Z y Z X N o V 2 V 0 b G Q s N z F 9 J n F 1 b 3 Q 7 L C Z x d W 9 0 O 1 N l Y 3 R p b 2 4 x L 1 R C R F 9 J b n R h Y 3 R u Z X N z X 1 V u a W 9 u X 1 N V Q l M x N V 8 y M D I w X 1 N Q S k 9 J T i 9 D a G F u Z 2 V k I F R 5 c G U u e 2 R z M j c y M V 9 N Z W F k b 3 d G R V c s N z J 9 J n F 1 b 3 Q 7 L C Z x d W 9 0 O 1 N l Y 3 R p b 2 4 x L 1 R C R F 9 J b n R h Y 3 R u Z X N z X 1 V u a W 9 u X 1 N V Q l M x N V 8 y M D I w X 1 N Q S k 9 J T i 9 D a G F u Z 2 V k I F R 5 c G U u e 2 R z M j c y M V 9 Q b 2 5 k c y w 3 M 3 0 m c X V v d D s s J n F 1 b 3 Q 7 U 2 V j d G l v b j E v V E J E X 0 l u d G F j d G 5 l c 3 N f V W 5 p b 2 5 f U 1 V C U z E 1 X z I w M j B f U 1 B K T 0 l O L 0 N o Y W 5 n Z W Q g V H l w Z S 5 7 Z H M y N z I x X 1 N l Z X B T c H J p b m c s N z R 9 J n F 1 b 3 Q 7 L C Z x d W 9 0 O 1 N l Y 3 R p b 2 4 x L 1 R C R F 9 J b n R h Y 3 R u Z X N z X 1 V u a W 9 u X 1 N V Q l M x N V 8 y M D I w X 1 N Q S k 9 J T i 9 D a G F u Z 2 V k I F R 5 c G U u e 2 R z M j c y M V 9 W Z X J u Y W x Q b 2 9 s L D c 1 f S Z x d W 9 0 O y w m c X V v d D t T Z W N 0 a W 9 u M S 9 U Q k R f S W 5 0 Y W N 0 b m V z c 1 9 V b m l v b l 9 T V U J T M T V f M j A y M F 9 T U E p P S U 4 v Q 2 h h b m d l Z C B U e X B l L n t k c z I 3 M j F f U 2 F s d F d l d G x k L D c 2 f S Z x d W 9 0 O y w m c X V v d D t T Z W N 0 a W 9 u M S 9 U Q k R f S W 5 0 Y W N 0 b m V z c 1 9 V b m l v b l 9 T V U J T M T V f M j A y M F 9 T U E p P S U 4 v Q 2 h h b m d l Z C B U e X B l L n t k c z I 3 M j F f R W N v X 1 N l Y 3 Q s N z d 9 J n F 1 b 3 Q 7 L C Z x d W 9 0 O 1 N l Y 3 R p b 2 4 x L 1 R C R F 9 J b n R h Y 3 R u Z X N z X 1 V u a W 9 u X 1 N V Q l M x N V 8 y M D I w X 1 N Q S k 9 J T i 9 D a G F u Z 2 V k I F R 5 c G U u e 2 R z M j c y M V 9 F Y 2 9 f T m F t Z S w 3 O H 0 m c X V v d D s s J n F 1 b 3 Q 7 U 2 V j d G l v b j E v V E J E X 0 l u d G F j d G 5 l c 3 N f V W 5 p b 2 5 f U 1 V C U z E 1 X z I w M j B f U 1 B K T 0 l O L 0 N o Y W 5 n Z W Q g V H l w Z S 5 7 Z H M y N z I x X 0 p l c H N v b l 9 F Y 2 8 s N z l 9 J n F 1 b 3 Q 7 L C Z x d W 9 0 O 1 N l Y 3 R p b 2 4 x L 1 R C R F 9 J b n R h Y 3 R u Z X N z X 1 V u a W 9 u X 1 N V Q l M x N V 8 y M D I w X 1 N Q S k 9 J T i 9 D a G F u Z 2 V k I F R 5 c G U u e 2 R z M j c y M V 9 D b 3 V u d H k s O D B 9 J n F 1 b 3 Q 7 L C Z x d W 9 0 O 1 N l Y 3 R p b 2 4 x L 1 R C R F 9 J b n R h Y 3 R u Z X N z X 1 V u a W 9 u X 1 N V Q l M x N V 8 y M D I w X 1 N Q S k 9 J T i 9 D a G F u Z 2 V k I F R 5 c G U u e 2 R z M j c x N V 9 P Q k p F Q 1 R J R C w 4 M X 0 m c X V v d D s s J n F 1 b 3 Q 7 U 2 V j d G l v b j E v V E J E X 0 l u d G F j d G 5 l c 3 N f V W 5 p b 2 5 f U 1 V C U z E 1 X z I w M j B f U 1 B K T 0 l O L 0 N o Y W 5 n Z W Q g V H l w Z S 5 7 Z H M y N z E 1 X 0 h l e F 9 J R C w 4 M n 0 m c X V v d D s s J n F 1 b 3 Q 7 U 2 V j d G l v b j E v V E J E X 0 l u d G F j d G 5 l c 3 N f V W 5 p b 2 5 f U 1 V C U z E 1 X z I w M j B f U 1 B K T 0 l O L 0 N o Y W 5 n Z W Q g V H l w Z S 5 7 Z H M y N z E 1 X 1 J 3 a V J h b m t F Y 2 8 s O D N 9 J n F 1 b 3 Q 7 L C Z x d W 9 0 O 1 N l Y 3 R p b 2 4 x L 1 R C R F 9 J b n R h Y 3 R u Z X N z X 1 V u a W 9 u X 1 N V Q l M x N V 8 y M D I w X 1 N Q S k 9 J T i 9 D a G F u Z 2 V k I F R 5 c G U u e 2 R z M j c x N V 9 S d 2 l N Y X h F Y 2 8 s O D R 9 J n F 1 b 3 Q 7 L C Z x d W 9 0 O 1 N l Y 3 R p b 2 4 x L 1 R C R F 9 J b n R h Y 3 R u Z X N z X 1 V u a W 9 u X 1 N V Q l M x N V 8 y M D I w X 1 N Q S k 9 J T i 9 D a G F u Z 2 V k I F R 5 c G U u e 2 R z M j c x N V 9 S d 2 l S Y W 5 r U 1 c s O D V 9 J n F 1 b 3 Q 7 L C Z x d W 9 0 O 1 N l Y 3 R p b 2 4 x L 1 R C R F 9 J b n R h Y 3 R u Z X N z X 1 V u a W 9 u X 1 N V Q l M x N V 8 y M D I w X 1 N Q S k 9 J T i 9 D a G F u Z 2 V k I F R 5 c G U u e 2 R z M j c x N V 9 S d 2 l N Y X h T V y w 4 N n 0 m c X V v d D s s J n F 1 b 3 Q 7 U 2 V j d G l v b j E v V E J E X 0 l u d G F j d G 5 l c 3 N f V W 5 p b 2 5 f U 1 V C U z E 1 X z I w M j B f U 1 B K T 0 l O L 0 N o Y W 5 n Z W Q g V H l w Z S 5 7 Z H M y N z E 1 X 0 F s b F R h e G F F b m R l b S w 4 N 3 0 m c X V v d D s s J n F 1 b 3 Q 7 U 2 V j d G l v b j E v V E J E X 0 l u d G F j d G 5 l c 3 N f V W 5 p b 2 5 f U 1 V C U z E 1 X z I w M j B f U 1 B K T 0 l O L 0 N o Y W 5 n Z W Q g V H l w Z S 5 7 Z H M y N z E 1 X 0 F t c G h F b m R l b S w 4 O H 0 m c X V v d D s s J n F 1 b 3 Q 7 U 2 V j d G l v b j E v V E J E X 0 l u d G F j d G 5 l c 3 N f V W 5 p b 2 5 f U 1 V C U z E 1 X z I w M j B f U 1 B K T 0 l O L 0 N o Y W 5 n Z W Q g V H l w Z S 5 7 Z H M y N z E 1 X 1 J l c H R F b m R l b S w 4 O X 0 m c X V v d D s s J n F 1 b 3 Q 7 U 2 V j d G l v b j E v V E J E X 0 l u d G F j d G 5 l c 3 N f V W 5 p b 2 5 f U 1 V C U z E 1 X z I w M j B f U 1 B K T 0 l O L 0 N o Y W 5 n Z W Q g V H l w Z S 5 7 Z H M y N z E 1 X 0 J p c m R F b m R l b S w 5 M H 0 m c X V v d D s s J n F 1 b 3 Q 7 U 2 V j d G l v b j E v V E J E X 0 l u d G F j d G 5 l c 3 N f V W 5 p b 2 5 f U 1 V C U z E 1 X z I w M j B f U 1 B K T 0 l O L 0 N o Y W 5 n Z W Q g V H l w Z S 5 7 Z H M y N z E 1 X 0 1 h b W 1 F b m R l b S w 5 M X 0 m c X V v d D s s J n F 1 b 3 Q 7 U 2 V j d G l v b j E v V E J E X 0 l u d G F j d G 5 l c 3 N f V W 5 p b 2 5 f U 1 V C U z E 1 X z I w M j B f U 1 B K T 0 l O L 0 N o Y W 5 n Z W Q g V H l w Z S 5 7 Z H M y N z E 1 X 1 B s b n R F b m R l b S w 5 M n 0 m c X V v d D s s J n F 1 b 3 Q 7 U 2 V j d G l v b j E v V E J E X 0 l u d G F j d G 5 l c 3 N f V W 5 p b 2 5 f U 1 V C U z E 1 X z I w M j B f U 1 B K T 0 l O L 0 N o Y W 5 n Z W Q g V H l w Z S 5 7 Z H M y N z E 1 X 0 V j b 1 9 T Z W N 0 L D k z f S Z x d W 9 0 O y w m c X V v d D t T Z W N 0 a W 9 u M S 9 U Q k R f S W 5 0 Y W N 0 b m V z c 1 9 V b m l v b l 9 T V U J T M T V f M j A y M F 9 T U E p P S U 4 v Q 2 h h b m d l Z C B U e X B l L n t k c z I 3 M T V f R W N v X 0 5 h b W U s O T R 9 J n F 1 b 3 Q 7 L C Z x d W 9 0 O 1 N l Y 3 R p b 2 4 x L 1 R C R F 9 J b n R h Y 3 R u Z X N z X 1 V u a W 9 u X 1 N V Q l M x N V 8 y M D I w X 1 N Q S k 9 J T i 9 D a G F u Z 2 V k I F R 5 c G U u e 2 R z M j c x N V 9 K Z X B z b 2 5 f R W N v L D k 1 f S Z x d W 9 0 O y w m c X V v d D t T Z W N 0 a W 9 u M S 9 U Q k R f S W 5 0 Y W N 0 b m V z c 1 9 V b m l v b l 9 T V U J T M T V f M j A y M F 9 T U E p P S U 4 v Q 2 h h b m d l Z C B U e X B l L n t k c z I 3 M T V f Q 2 9 1 b n R 5 L D k 2 f S Z x d W 9 0 O y w m c X V v d D t T Z W N 0 a W 9 u M S 9 U Q k R f S W 5 0 Y W N 0 b m V z c 1 9 V b m l v b l 9 T V U J T M T V f M j A y M F 9 T U E p P S U 4 v Q 2 h h b m d l Z C B U e X B l L n t P Q k p F Q 1 R J R F 8 x L D k 3 f S Z x d W 9 0 O y w m c X V v d D t T Z W N 0 a W 9 u M S 9 U Q k R f S W 5 0 Y W N 0 b m V z c 1 9 V b m l v b l 9 T V U J T M T V f M j A y M F 9 T U E p P S U 4 v Q 2 h h b m d l Z C B U e X B l L n t J R C w 5 O H 0 m c X V v d D s s J n F 1 b 3 Q 7 U 2 V j d G l v b j E v V E J E X 0 l u d G F j d G 5 l c 3 N f V W 5 p b 2 5 f U 1 V C U z E 1 X z I w M j B f U 1 B K T 0 l O L 0 N o Y W 5 n Z W Q g V H l w Z S 5 7 T k F N R S w 5 O X 0 m c X V v d D s s J n F 1 b 3 Q 7 U 2 V j d G l v b j E v V E J E X 0 l u d G F j d G 5 l c 3 N f V W 5 p b 2 5 f U 1 V C U z E 1 X z I w M j B f U 1 B K T 0 l O L 0 N o Y W 5 n Z W Q g V H l w Z S 5 7 Q 0 l U W S w x M D B 9 J n F 1 b 3 Q 7 L C Z x d W 9 0 O 1 N l Y 3 R p b 2 4 x L 1 R C R F 9 J b n R h Y 3 R u Z X N z X 1 V u a W 9 u X 1 N V Q l M x N V 8 y M D I w X 1 N Q S k 9 J T i 9 D a G F u Z 2 V k I F R 5 c G U u e 1 N U Q V R F L D E w M X 0 m c X V v d D s s J n F 1 b 3 Q 7 U 2 V j d G l v b j E v V E J E X 0 l u d G F j d G 5 l c 3 N f V W 5 p b 2 5 f U 1 V C U z E 1 X z I w M j B f U 1 B K T 0 l O L 0 N o Y W 5 n Z W Q g V H l w Z S 5 7 W k l Q Q 0 9 E R S w x M D J 9 J n F 1 b 3 Q 7 L C Z x d W 9 0 O 1 N l Y 3 R p b 2 4 x L 1 R C R F 9 J b n R h Y 3 R u Z X N z X 1 V u a W 9 u X 1 N V Q l M x N V 8 y M D I w X 1 N Q S k 9 J T i 9 D a G F u Z 2 V k I F R 5 c G U u e 0 N P V U 5 U U l k s M T A z f S Z x d W 9 0 O y w m c X V v d D t T Z W N 0 a W 9 u M S 9 U Q k R f S W 5 0 Y W N 0 b m V z c 1 9 V b m l v b l 9 T V U J T M T V f M j A y M F 9 T U E p P S U 4 v Q 2 h h b m d l Z C B U e X B l L n t M S U 5 F U y w x M D R 9 J n F 1 b 3 Q 7 L C Z x d W 9 0 O 1 N l Y 3 R p b 2 4 x L 1 R C R F 9 J b n R h Y 3 R u Z X N z X 1 V u a W 9 u X 1 N V Q l M x N V 8 y M D I w X 1 N Q S k 9 J T i 9 D a G F u Z 2 V k I F R 5 c G U u e 0 1 B W F 9 W T 0 x U L D E w N X 0 m c X V v d D s s J n F 1 b 3 Q 7 U 2 V j d G l v b j E v V E J E X 0 l u d G F j d G 5 l c 3 N f V W 5 p b 2 5 f U 1 V C U z E 1 X z I w M j B f U 1 B K T 0 l O L 0 N o Y W 5 n Z W Q g V H l w Z S 5 7 T U l O X 1 Z P T F Q s M T A 2 f S Z x d W 9 0 O y w m c X V v d D t T Z W N 0 a W 9 u M S 9 U Q k R f S W 5 0 Y W N 0 b m V z c 1 9 V b m l v b l 9 T V U J T M T V f M j A y M F 9 T U E p P S U 4 v Q 2 h h b m d l Z C B U e X B l L n t N Q V h f S U 5 G R V I s M T A 3 f S Z x d W 9 0 O y w m c X V v d D t T Z W N 0 a W 9 u M S 9 U Q k R f S W 5 0 Y W N 0 b m V z c 1 9 V b m l v b l 9 T V U J T M T V f M j A y M F 9 T U E p P S U 4 v Q 2 h h b m d l Z C B U e X B l L n t N S U 5 f S U 5 G R V I s M T A 4 f S Z x d W 9 0 O y w m c X V v d D t T Z W N 0 a W 9 u M S 9 U Q k R f S W 5 0 Y W N 0 b m V z c 1 9 V b m l v b l 9 T V U J T M T V f M j A y M F 9 T U E p P S U 4 v Q 2 h h b m d l Z C B U e X B l L n t M Q V R J V F V E R S w x M D l 9 J n F 1 b 3 Q 7 L C Z x d W 9 0 O 1 N l Y 3 R p b 2 4 x L 1 R C R F 9 J b n R h Y 3 R u Z X N z X 1 V u a W 9 u X 1 N V Q l M x N V 8 y M D I w X 1 N Q S k 9 J T i 9 D a G F u Z 2 V k I F R 5 c G U u e 0 x P T k d J V F V E R S w x M T B 9 J n F 1 b 3 Q 7 L C Z x d W 9 0 O 1 N l Y 3 R p b 2 4 x L 1 R C R F 9 J b n R h Y 3 R u Z X N z X 1 V u a W 9 u X 1 N V Q l M x N V 8 y M D I w X 1 N Q S k 9 J T i 9 D a G F u Z 2 V k I F R 5 c G U u e 0 1 F V E h P R C w x M T F 9 J n F 1 b 3 Q 7 L C Z x d W 9 0 O 1 N l Y 3 R p b 2 4 x L 1 R C R F 9 J b n R h Y 3 R u Z X N z X 1 V u a W 9 u X 1 N V Q l M x N V 8 y M D I w X 1 N Q S k 9 J T i 9 D a G F u Z 2 V k I F R 5 c G U u e 0 R B V E U s M T E y f S Z x d W 9 0 O y w m c X V v d D t T Z W N 0 a W 9 u M S 9 U Q k R f S W 5 0 Y W N 0 b m V z c 1 9 V b m l v b l 9 T V U J T M T V f M j A y M F 9 T U E p P S U 4 v Q 2 h h b m d l Z C B U e X B l L n t T T 1 V S Q 0 U s M T E z f S Z x d W 9 0 O y w m c X V v d D t T Z W N 0 a W 9 u M S 9 U Q k R f S W 5 0 Y W N 0 b m V z c 1 9 V b m l v b l 9 T V U J T M T V f M j A y M F 9 T U E p P S U 4 v Q 2 h h b m d l Z C B U e X B l L n t T d W J z d G F 0 a W 9 u X 0 l E L D E x N H 0 m c X V v d D s s J n F 1 b 3 Q 7 U 2 V j d G l v b j E v V E J E X 0 l u d G F j d G 5 l c 3 N f V W 5 p b 2 5 f U 1 V C U z E 1 X z I w M j B f U 1 B K T 0 l O L 0 N o Y W 5 n Z W Q g V H l w Z S 5 7 U 3 V i c 3 R h d G l v b l 9 O Y W 1 l L D E x N X 0 m c X V v d D s s J n F 1 b 3 Q 7 U 2 V j d G l v b j E v V E J E X 0 l u d G F j d G 5 l c 3 N f V W 5 p b 2 5 f U 1 V C U z E 1 X z I w M j B f U 1 B K T 0 l O L 0 N o Y W 5 n Z W Q g V H l w Z S 5 7 Q W x p Y X M s M T E 2 f S Z x d W 9 0 O y w m c X V v d D t T Z W N 0 a W 9 u M S 9 U Q k R f S W 5 0 Y W N 0 b m V z c 1 9 V b m l v b l 9 T V U J T M T V f M j A y M F 9 T U E p P S U 4 v Q 2 h h b m d l Z C B U e X B l L n t T d G F 0 d X M s M T E 3 f S Z x d W 9 0 O y w m c X V v d D t T Z W N 0 a W 9 u M S 9 U Q k R f S W 5 0 Y W N 0 b m V z c 1 9 V b m l v b l 9 T V U J T M T V f M j A y M F 9 T U E p P S U 4 v Q 2 h h b m d l Z C B U e X B l L n t P d 2 5 l c i w x M T h 9 J n F 1 b 3 Q 7 L C Z x d W 9 0 O 1 N l Y 3 R p b 2 4 x L 1 R C R F 9 J b n R h Y 3 R u Z X N z X 1 V u a W 9 u X 1 N V Q l M x N V 8 y M D I w X 1 N Q S k 9 J T i 9 D a G F u Z 2 V k I F R 5 c G U u e 0 1 h c F 9 P d 2 5 l c i w x M T l 9 J n F 1 b 3 Q 7 L C Z x d W 9 0 O 1 N l Y 3 R p b 2 4 x L 1 R C R F 9 J b n R h Y 3 R u Z X N z X 1 V u a W 9 u X 1 N V Q l M x N V 8 y M D I w X 1 N Q S k 9 J T i 9 D a G F u Z 2 V k I F R 5 c G U u e 0 1 h c F 9 Q Y X J 0 L D E y M H 0 m c X V v d D s s J n F 1 b 3 Q 7 U 2 V j d G l v b j E v V E J E X 0 l u d G F j d G 5 l c 3 N f V W 5 p b 2 5 f U 1 V C U z E 1 X z I w M j B f U 1 B K T 0 l O L 0 N o Y W 5 n Z W Q g V H l w Z S 5 7 R W 5 n a W 5 l Z X J p b m d f S U Q s M T I x f S Z x d W 9 0 O y w m c X V v d D t T Z W N 0 a W 9 u M S 9 U Q k R f S W 5 0 Y W N 0 b m V z c 1 9 V b m l v b l 9 T V U J T M T V f M j A y M F 9 T U E p P S U 4 v Q 2 h h b m d l Z C B U e X B l L n t r V l 8 x M l 9 U T 1 8 z M i w x M j J 9 J n F 1 b 3 Q 7 L C Z x d W 9 0 O 1 N l Y 3 R p b 2 4 x L 1 R C R F 9 J b n R h Y 3 R u Z X N z X 1 V u a W 9 u X 1 N V Q l M x N V 8 y M D I w X 1 N Q S k 9 J T i 9 D a G F u Z 2 V k I F R 5 c G U u e 2 t W X z M z X 1 R P X z k y L D E y M 3 0 m c X V v d D s s J n F 1 b 3 Q 7 U 2 V j d G l v b j E v V E J E X 0 l u d G F j d G 5 l c 3 N f V W 5 p b 2 5 f U 1 V C U z E 1 X z I w M j B f U 1 B K T 0 l O L 0 N o Y W 5 n Z W Q g V H l w Z S 5 7 a 1 Z f M T E w X 1 R P X z E 2 M S w x M j R 9 J n F 1 b 3 Q 7 L C Z x d W 9 0 O 1 N l Y 3 R p b 2 4 x L 1 R C R F 9 J b n R h Y 3 R u Z X N z X 1 V u a W 9 u X 1 N V Q l M x N V 8 y M D I w X 1 N Q S k 9 J T i 9 D a G F u Z 2 V k I F R 5 c G U u e 2 t W X z I y M F 9 U b 1 8 y O D c s M T I 1 f S Z x d W 9 0 O y w m c X V v d D t T Z W N 0 a W 9 u M S 9 U Q k R f S W 5 0 Y W N 0 b m V z c 1 9 V b m l v b l 9 T V U J T M T V f M j A y M F 9 T U E p P S U 4 v Q 2 h h b m d l Z C B U e X B l L n t r V l 8 z N D V f V G 9 f N T A w L D E y N n 0 m c X V v d D s s J n F 1 b 3 Q 7 U 2 V j d G l v b j E v V E J E X 0 l u d G F j d G 5 l c 3 N f V W 5 p b 2 5 f U 1 V C U z E 1 X z I w M j B f U 1 B K T 0 l O L 0 N o Y W 5 n Z W Q g V H l w Z S 5 7 a 1 Z f N T A w X 0 R D L D E y N 3 0 m c X V v d D s s J n F 1 b 3 Q 7 U 2 V j d G l v b j E v V E J E X 0 l u d G F j d G 5 l c 3 N f V W 5 p b 2 5 f U 1 V C U z E 1 X z I w M j B f U 1 B K T 0 l O L 0 N o Y W 5 n Z W Q g V H l w Z S 5 7 S G l n a G V z d F 9 r V i w x M j h 9 J n F 1 b 3 Q 7 L C Z x d W 9 0 O 1 N l Y 3 R p b 2 4 x L 1 R C R F 9 J b n R h Y 3 R u Z X N z X 1 V u a W 9 u X 1 N V Q l M x N V 8 y M D I w X 1 N Q S k 9 J T i 9 D a G F u Z 2 V k I F R 5 c G U u e 1 B v c 3 R h b F 9 D a X R 5 L D E y O X 0 m c X V v d D s s J n F 1 b 3 Q 7 U 2 V j d G l v b j E v V E J E X 0 l u d G F j d G 5 l c 3 N f V W 5 p b 2 5 f U 1 V C U z E 1 X z I w M j B f U 1 B K T 0 l O L 0 N o Y W 5 n Z W Q g V H l w Z S 5 7 Q 2 9 1 b n R 5 L D E z M H 0 m c X V v d D s s J n F 1 b 3 Q 7 U 2 V j d G l v b j E v V E J E X 0 l u d G F j d G 5 l c 3 N f V W 5 p b 2 5 f U 1 V C U z E 1 X z I w M j B f U 1 B K T 0 l O L 0 N o Y W 5 n Z W Q g V H l w Z S 5 7 W m l w X 0 N v Z G U s M T M x f S Z x d W 9 0 O y w m c X V v d D t T Z W N 0 a W 9 u M S 9 U Q k R f S W 5 0 Y W N 0 b m V z c 1 9 V b m l v b l 9 T V U J T M T V f M j A y M F 9 T U E p P S U 4 v Q 2 h h b m d l Z C B U e X B l L n t M b 2 5 n a X R 1 d G U s M T M y f S Z x d W 9 0 O y w m c X V v d D t T Z W N 0 a W 9 u M S 9 U Q k R f S W 5 0 Y W N 0 b m V z c 1 9 V b m l v b l 9 T V U J T M T V f M j A y M F 9 T U E p P S U 4 v Q 2 h h b m d l Z C B U e X B l L n t D b 2 1 t Z W 5 0 c y w x M z N 9 J n F 1 b 3 Q 7 L C Z x d W 9 0 O 1 N l Y 3 R p b 2 4 x L 1 R C R F 9 J b n R h Y 3 R u Z X N z X 1 V u a W 9 u X 1 N V Q l M x N V 8 y M D I w X 1 N Q S k 9 J T i 9 D a G F u Z 2 V k I F R 5 c G U u e 0 N y Z W F 0 b 3 I s M T M 0 f S Z x d W 9 0 O y w m c X V v d D t T Z W N 0 a W 9 u M S 9 U Q k R f S W 5 0 Y W N 0 b m V z c 1 9 V b m l v b l 9 T V U J T M T V f M j A y M F 9 T U E p P S U 4 v Q 2 h h b m d l Z C B U e X B l L n t D c m V h d G 9 y X 0 R h d G U s M T M 1 f S Z x d W 9 0 O y w m c X V v d D t T Z W N 0 a W 9 u M S 9 U Q k R f S W 5 0 Y W N 0 b m V z c 1 9 V b m l v b l 9 T V U J T M T V f M j A y M F 9 T U E p P S U 4 v Q 2 h h b m d l Z C B U e X B l L n t M Y X N 0 X 0 V k a X R v c i w x M z Z 9 J n F 1 b 3 Q 7 L C Z x d W 9 0 O 1 N l Y 3 R p b 2 4 x L 1 R C R F 9 J b n R h Y 3 R u Z X N z X 1 V u a W 9 u X 1 N V Q l M x N V 8 y M D I w X 1 N Q S k 9 J T i 9 D a G F u Z 2 V k I F R 5 c G U u e 0 x h c 3 R f R W R p d G 9 y X 0 R h d G U s M T M 3 f S Z x d W 9 0 O y w m c X V v d D t T Z W N 0 a W 9 u M S 9 U Q k R f S W 5 0 Y W N 0 b m V z c 1 9 V b m l v b l 9 T V U J T M T V f M j A y M F 9 T U E p P S U 4 v Q 2 h h b m d l Z C B U e X B l L n t J U l B f R 0 V P L D E z O H 0 m c X V v d D s s J n F 1 b 3 Q 7 U 2 V j d G l v b j E v V E J E X 0 l u d G F j d G 5 l c 3 N f V W 5 p b 2 5 f U 1 V C U z E 1 X z I w M j B f U 1 B K T 0 l O L 0 N o Y W 5 n Z W Q g V H l w Z S 5 7 S V J Q X 1 d J T k Q s M T M 5 f S Z x d W 9 0 O y w m c X V v d D t T Z W N 0 a W 9 u M S 9 U Q k R f S W 5 0 Y W N 0 b m V z c 1 9 V b m l v b l 9 T V U J T M T V f M j A y M F 9 T U E p P S U 4 v Q 2 h h b m d l Z C B U e X B l L n t J U l B f U 0 9 B T F I s M T Q w f S Z x d W 9 0 O y w m c X V v d D t T Z W N 0 a W 9 u M S 9 U Q k R f S W 5 0 Y W N 0 b m V z c 1 9 V b m l v b l 9 T V U J T M T V f M j A y M F 9 T U E p P S U 4 v Q 2 h h b m d l Z C B U e X B l L n t C V U Z G X 0 R J U 1 Q s M T Q x f S Z x d W 9 0 O y w m c X V v d D t T Z W N 0 a W 9 u M S 9 U Q k R f S W 5 0 Y W N 0 b m V z c 1 9 V b m l v b l 9 T V U J T M T V f M j A y M F 9 T U E p P S U 4 v Q 2 h h b m d l Z C B U e X B l L n t P U k l H X 0 Z J R C w x N D J 9 J n F 1 b 3 Q 7 L C Z x d W 9 0 O 1 N l Y 3 R p b 2 4 x L 1 R C R F 9 J b n R h Y 3 R u Z X N z X 1 V u a W 9 u X 1 N V Q l M x N V 8 y M D I w X 1 N Q S k 9 J T i 9 D a G F u Z 2 V k I F R 5 c G U u e 1 N o Y X B l X 0 x l b m d 0 a F 8 x L D E 0 M 3 0 m c X V v d D s s J n F 1 b 3 Q 7 U 2 V j d G l v b j E v V E J E X 0 l u d G F j d G 5 l c 3 N f V W 5 p b 2 5 f U 1 V C U z E 1 X z I w M j B f U 1 B K T 0 l O L 0 N o Y W 5 n Z W Q g V H l w Z S 5 7 U 2 h h c G V f Q X J l Y V 8 x L D E 0 N H 0 m c X V v d D s s J n F 1 b 3 Q 7 U 2 V j d G l v b j E v V E J E X 0 l u d G F j d G 5 l c 3 N f V W 5 p b 2 5 f U 1 V C U z E 1 X z I w M j B f U 1 B K T 0 l O L 0 N o Y W 5 n Z W Q g V H l w Z S 5 7 R W x l Y 3 R y a W N h b C w x N D V 9 J n F 1 b 3 Q 7 L C Z x d W 9 0 O 1 N l Y 3 R p b 2 4 x L 1 R C R F 9 J b n R h Y 3 R u Z X N z X 1 V u a W 9 u X 1 N V Q l M x N V 8 y M D I w X 1 N Q S k 9 J T i 9 D a G F u Z 2 V k I F R 5 c G U u e 0 Z h b G x z V 2 l 0 a G k s M T Q 2 f S Z x d W 9 0 O y w m c X V v d D t T Z W N 0 a W 9 u M S 9 U Q k R f S W 5 0 Y W N 0 b m V z c 1 9 V b m l v b l 9 T V U J T M T V f M j A y M F 9 T U E p P S U 4 v Q 2 h h b m d l Z C B U e X B l L n t G Y W x s c 1 d p d F 8 x L D E 0 N 3 0 m c X V v d D s s J n F 1 b 3 Q 7 U 2 V j d G l v b j E v V E J E X 0 l u d G F j d G 5 l c 3 N f V W 5 p b 2 5 f U 1 V C U z E 1 X z I w M j B f U 1 B K T 0 l O L 0 N o Y W 5 n Z W Q g V H l w Z S 5 7 U 2 h h c G V f T G V u Z y w x N D h 9 J n F 1 b 3 Q 7 L C Z x d W 9 0 O 1 N l Y 3 R p b 2 4 x L 1 R C R F 9 J b n R h Y 3 R u Z X N z X 1 V u a W 9 u X 1 N V Q l M x N V 8 y M D I w X 1 N Q S k 9 J T i 9 D a G F u Z 2 V k I F R 5 c G U u e 1 N o Y X B l X 0 F y Z W F f M T I s M T Q 5 f S Z x d W 9 0 O y w m c X V v d D t T Z W N 0 a W 9 u M S 9 U Q k R f S W 5 0 Y W N 0 b m V z c 1 9 V b m l v b l 9 T V U J T M T V f M j A y M F 9 T U E p P S U 4 v Q 2 h h b m d l Z C B U e X B l L n t T a G F w Z V 9 M Z W 5 n d G g s M T U w f S Z x d W 9 0 O y w m c X V v d D t T Z W N 0 a W 9 u M S 9 U Q k R f S W 5 0 Y W N 0 b m V z c 1 9 V b m l v b l 9 T V U J T M T V f M j A y M F 9 T U E p P S U 4 v Q 2 h h b m d l Z C B U e X B l L n t T a G F w Z V 9 B c m V h L D E 1 M X 0 m c X V v d D t d L C Z x d W 9 0 O 1 J l b G F 0 a W 9 u c 2 h p c E l u Z m 8 m c X V v d D s 6 W 1 1 9 I i A v P j w v U 3 R h Y m x l R W 5 0 c m l l c z 4 8 L 0 l 0 Z W 0 + P E l 0 Z W 0 + P E l 0 Z W 1 M b 2 N h d G l v b j 4 8 S X R l b V R 5 c G U + R m 9 y b X V s Y T w v S X R l b V R 5 c G U + P E l 0 Z W 1 Q Y X R o P l N l Y 3 R p b 2 4 x L 1 R C R F 9 J b n R h Y 3 R u Z X N z X 1 V u a W 9 u X 1 N V Q l M x N V 8 y M D I w X 1 N Q S k 9 J T i 9 T b 3 V y Y 2 U 8 L 0 l 0 Z W 1 Q Y X R o P j w v S X R l b U x v Y 2 F 0 a W 9 u P j x T d G F i b G V F b n R y a W V z I C 8 + P C 9 J d G V t P j x J d G V t P j x J d G V t T G 9 j Y X R p b 2 4 + P E l 0 Z W 1 U e X B l P k Z v c m 1 1 b G E 8 L 0 l 0 Z W 1 U e X B l P j x J d G V t U G F 0 a D 5 T Z W N 0 a W 9 u M S 9 U Q k R f S W 5 0 Y W N 0 b m V z c 1 9 V b m l v b l 9 T V U J T M T V f M j A y M F 9 T U E p P S U 4 v U H J v b W 9 0 Z W Q l M j B I Z W F k Z X J z P C 9 J d G V t U G F 0 a D 4 8 L 0 l 0 Z W 1 M b 2 N h d G l v b j 4 8 U 3 R h Y m x l R W 5 0 c m l l c y A v P j w v S X R l b T 4 8 S X R l b T 4 8 S X R l b U x v Y 2 F 0 a W 9 u P j x J d G V t V H l w Z T 5 G b 3 J t d W x h P C 9 J d G V t V H l w Z T 4 8 S X R l b V B h d G g + U 2 V j d G l v b j E v V E J E X 0 l u d G F j d G 5 l c 3 N f V W 5 p b 2 5 f U 1 V C U z E 1 X z I w M j B f U 1 B K T 0 l O L 0 N o Y W 5 n Z W Q l M j B U e X B l P C 9 J d G V t U G F 0 a D 4 8 L 0 l 0 Z W 1 M b 2 N h d G l v b j 4 8 U 3 R h Y m x l R W 5 0 c m l l c y A v P j w v S X R l b T 4 8 S X R l b T 4 8 S X R l b U x v Y 2 F 0 a W 9 u P j x J d G V t V H l w Z T 5 G b 3 J t d W x h P C 9 J d G V t V H l w Z T 4 8 S X R l b V B h d G g + U 2 V j d G l v b j E v V 2 l u Z F 9 B c 3 N p Z 2 5 t Z W 5 0 X z 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V 2 l u Z F 9 B c 3 N p Z 2 5 t Z W 5 0 X z M i I C 8 + P E V u d H J 5 I F R 5 c G U 9 I k Z p b G x l Z E N v b X B s Z X R l U m V z d W x 0 V G 9 X b 3 J r c 2 h l Z X Q i I F Z h b H V l P S J s M S I g L z 4 8 R W 5 0 c n k g V H l w Z T 0 i U m V s Y X R p b 2 5 z a G l w S W 5 m b 0 N v b n R h a W 5 l c i I g V m F s d W U 9 I n N 7 J n F 1 b 3 Q 7 Y 2 9 s d W 1 u Q 2 9 1 b n Q m c X V v d D s 6 N z c s J n F 1 b 3 Q 7 a 2 V 5 Q 2 9 s d W 1 u T m F t Z X M m c X V v d D s 6 W 1 0 s J n F 1 b 3 Q 7 c X V l c n l S Z W x h d G l v b n N o a X B z J n F 1 b 3 Q 7 O l t d L C Z x d W 9 0 O 2 N v b H V t b k l k Z W 5 0 a X R p Z X M m c X V v d D s 6 W y Z x d W 9 0 O 1 N l Y 3 R p b 2 4 x L 1 d p b m R f Q X N z a W d u b W V u d F 8 z L 0 N o Y W 5 n Z W Q g V H l w Z S 5 7 T 0 J K R U N U S U R f M S w w f S Z x d W 9 0 O y w m c X V v d D t T Z W N 0 a W 9 u M S 9 X a W 5 k X 0 F z c 2 l n b m 1 l b n R f M y 9 D a G F u Z 2 V k I F R 5 c G U u e 0 p v a W 5 f Q 2 9 1 b n Q s M X 0 m c X V v d D s s J n F 1 b 3 Q 7 U 2 V j d G l v b j E v V 2 l u Z F 9 B c 3 N p Z 2 5 t Z W 5 0 X z M v Q 2 h h b m d l Z C B U e X B l L n t U Q V J H R V R f R k l E L D J 9 J n F 1 b 3 Q 7 L C Z x d W 9 0 O 1 N l Y 3 R p b 2 4 x L 1 d p b m R f Q X N z a W d u b W V u d F 8 z L 0 N o Y W 5 n Z W Q g V H l w Z S 5 7 S k 9 J T l 9 G S U Q s M 3 0 m c X V v d D s s J n F 1 b 3 Q 7 U 2 V j d G l v b j E v V 2 l u Z F 9 B c 3 N p Z 2 5 t Z W 5 0 X z M v Q 2 h h b m d l Z C B U e X B l L n t P Q k p F Q 1 R J R C w 0 f S Z x d W 9 0 O y w m c X V v d D t T Z W N 0 a W 9 u M S 9 X a W 5 k X 0 F z c 2 l n b m 1 l b n R f M y 9 D a G F u Z 2 V k I F R 5 c G U u e 0 l E L D V 9 J n F 1 b 3 Q 7 L C Z x d W 9 0 O 1 N l Y 3 R p b 2 4 x L 1 d p b m R f Q X N z a W d u b W V u d F 8 z L 0 N o Y W 5 n Z W Q g V H l w Z S 5 7 T k F N R S w 2 f S Z x d W 9 0 O y w m c X V v d D t T Z W N 0 a W 9 u M S 9 X a W 5 k X 0 F z c 2 l n b m 1 l b n R f M y 9 D a G F u Z 2 V k I F R 5 c G U u e 0 N J V F k s N 3 0 m c X V v d D s s J n F 1 b 3 Q 7 U 2 V j d G l v b j E v V 2 l u Z F 9 B c 3 N p Z 2 5 t Z W 5 0 X z M v Q 2 h h b m d l Z C B U e X B l L n t T V E F U R S w 4 f S Z x d W 9 0 O y w m c X V v d D t T Z W N 0 a W 9 u M S 9 X a W 5 k X 0 F z c 2 l n b m 1 l b n R f M y 9 D a G F u Z 2 V k I F R 5 c G U u e 1 p J U E N P R E U s O X 0 m c X V v d D s s J n F 1 b 3 Q 7 U 2 V j d G l v b j E v V 2 l u Z F 9 B c 3 N p Z 2 5 t Z W 5 0 X z M v Q 2 h h b m d l Z C B U e X B l L n t D T 1 V O V F J Z L D E w f S Z x d W 9 0 O y w m c X V v d D t T Z W N 0 a W 9 u M S 9 X a W 5 k X 0 F z c 2 l n b m 1 l b n R f M y 9 D a G F u Z 2 V k I F R 5 c G U u e 0 x J T k V T L D E x f S Z x d W 9 0 O y w m c X V v d D t T Z W N 0 a W 9 u M S 9 X a W 5 k X 0 F z c 2 l n b m 1 l b n R f M y 9 D a G F u Z 2 V k I F R 5 c G U u e 0 1 B W F 9 W T 0 x U L D E y f S Z x d W 9 0 O y w m c X V v d D t T Z W N 0 a W 9 u M S 9 X a W 5 k X 0 F z c 2 l n b m 1 l b n R f M y 9 D a G F u Z 2 V k I F R 5 c G U u e 0 1 J T l 9 W T 0 x U L D E z f S Z x d W 9 0 O y w m c X V v d D t T Z W N 0 a W 9 u M S 9 X a W 5 k X 0 F z c 2 l n b m 1 l b n R f M y 9 D a G F u Z 2 V k I F R 5 c G U u e 0 1 B W F 9 J T k Z F U i w x N H 0 m c X V v d D s s J n F 1 b 3 Q 7 U 2 V j d G l v b j E v V 2 l u Z F 9 B c 3 N p Z 2 5 t Z W 5 0 X z M v Q 2 h h b m d l Z C B U e X B l L n t N S U 5 f S U 5 G R V I s M T V 9 J n F 1 b 3 Q 7 L C Z x d W 9 0 O 1 N l Y 3 R p b 2 4 x L 1 d p b m R f Q X N z a W d u b W V u d F 8 z L 0 N o Y W 5 n Z W Q g V H l w Z S 5 7 T E F U S V R V R E U s M T Z 9 J n F 1 b 3 Q 7 L C Z x d W 9 0 O 1 N l Y 3 R p b 2 4 x L 1 d p b m R f Q X N z a W d u b W V u d F 8 z L 0 N o Y W 5 n Z W Q g V H l w Z S 5 7 T E 9 O R 0 l U V U R F L D E 3 f S Z x d W 9 0 O y w m c X V v d D t T Z W N 0 a W 9 u M S 9 X a W 5 k X 0 F z c 2 l n b m 1 l b n R f M y 9 D a G F u Z 2 V k I F R 5 c G U u e 0 1 F V E h P R C w x O H 0 m c X V v d D s s J n F 1 b 3 Q 7 U 2 V j d G l v b j E v V 2 l u Z F 9 B c 3 N p Z 2 5 t Z W 5 0 X z M v Q 2 h h b m d l Z C B U e X B l L n t E Q V R F L D E 5 f S Z x d W 9 0 O y w m c X V v d D t T Z W N 0 a W 9 u M S 9 X a W 5 k X 0 F z c 2 l n b m 1 l b n R f M y 9 D a G F u Z 2 V k I F R 5 c G U u e 1 N P V V J D R S w y M H 0 m c X V v d D s s J n F 1 b 3 Q 7 U 2 V j d G l v b j E v V 2 l u Z F 9 B c 3 N p Z 2 5 t Z W 5 0 X z M v Q 2 h h b m d l Z C B U e X B l L n t T d W J z d G F 0 a W 9 u X 0 l E L D I x f S Z x d W 9 0 O y w m c X V v d D t T Z W N 0 a W 9 u M S 9 X a W 5 k X 0 F z c 2 l n b m 1 l b n R f M y 9 D a G F u Z 2 V k I F R 5 c G U u e 1 N 1 Y n N 0 Y X R p b 2 5 f T m F t Z S w y M n 0 m c X V v d D s s J n F 1 b 3 Q 7 U 2 V j d G l v b j E v V 2 l u Z F 9 B c 3 N p Z 2 5 t Z W 5 0 X z M v Q 2 h h b m d l Z C B U e X B l L n t B b G l h c y w y M 3 0 m c X V v d D s s J n F 1 b 3 Q 7 U 2 V j d G l v b j E v V 2 l u Z F 9 B c 3 N p Z 2 5 t Z W 5 0 X z M v Q 2 h h b m d l Z C B U e X B l L n t T d G F 0 d X M s M j R 9 J n F 1 b 3 Q 7 L C Z x d W 9 0 O 1 N l Y 3 R p b 2 4 x L 1 d p b m R f Q X N z a W d u b W V u d F 8 z L 0 N o Y W 5 n Z W Q g V H l w Z S 5 7 T 3 d u Z X I s M j V 9 J n F 1 b 3 Q 7 L C Z x d W 9 0 O 1 N l Y 3 R p b 2 4 x L 1 d p b m R f Q X N z a W d u b W V u d F 8 z L 0 N o Y W 5 n Z W Q g V H l w Z S 5 7 T W F w X 0 9 3 b m V y L D I 2 f S Z x d W 9 0 O y w m c X V v d D t T Z W N 0 a W 9 u M S 9 X a W 5 k X 0 F z c 2 l n b m 1 l b n R f M y 9 D a G F u Z 2 V k I F R 5 c G U u e 0 1 h c F 9 Q Y X J 0 L D I 3 f S Z x d W 9 0 O y w m c X V v d D t T Z W N 0 a W 9 u M S 9 X a W 5 k X 0 F z c 2 l n b m 1 l b n R f M y 9 D a G F u Z 2 V k I F R 5 c G U u e 0 V u Z 2 l u Z W V y a W 5 n X 0 l E L D I 4 f S Z x d W 9 0 O y w m c X V v d D t T Z W N 0 a W 9 u M S 9 X a W 5 k X 0 F z c 2 l n b m 1 l b n R f M y 9 D a G F u Z 2 V k I F R 5 c G U u e 2 t W X z E y X 1 R P X z M y L D I 5 f S Z x d W 9 0 O y w m c X V v d D t T Z W N 0 a W 9 u M S 9 X a W 5 k X 0 F z c 2 l n b m 1 l b n R f M y 9 D a G F u Z 2 V k I F R 5 c G U u e 2 t W X z M z X 1 R P X z k y L D M w f S Z x d W 9 0 O y w m c X V v d D t T Z W N 0 a W 9 u M S 9 X a W 5 k X 0 F z c 2 l n b m 1 l b n R f M y 9 D a G F u Z 2 V k I F R 5 c G U u e 2 t W X z E x M F 9 U T 1 8 x N j E s M z F 9 J n F 1 b 3 Q 7 L C Z x d W 9 0 O 1 N l Y 3 R p b 2 4 x L 1 d p b m R f Q X N z a W d u b W V u d F 8 z L 0 N o Y W 5 n Z W Q g V H l w Z S 5 7 a 1 Z f M j I w X 1 R v X z I 4 N y w z M n 0 m c X V v d D s s J n F 1 b 3 Q 7 U 2 V j d G l v b j E v V 2 l u Z F 9 B c 3 N p Z 2 5 t Z W 5 0 X z M v Q 2 h h b m d l Z C B U e X B l L n t r V l 8 z N D V f V G 9 f N T A w L D M z f S Z x d W 9 0 O y w m c X V v d D t T Z W N 0 a W 9 u M S 9 X a W 5 k X 0 F z c 2 l n b m 1 l b n R f M y 9 D a G F u Z 2 V k I F R 5 c G U u e 2 t W X z U w M F 9 E Q y w z N H 0 m c X V v d D s s J n F 1 b 3 Q 7 U 2 V j d G l v b j E v V 2 l u Z F 9 B c 3 N p Z 2 5 t Z W 5 0 X z M v Q 2 h h b m d l Z C B U e X B l L n t I a W d o Z X N 0 X 2 t W L D M 1 f S Z x d W 9 0 O y w m c X V v d D t T Z W N 0 a W 9 u M S 9 X a W 5 k X 0 F z c 2 l n b m 1 l b n R f M y 9 D a G F u Z 2 V k I F R 5 c G U u e 1 B v c 3 R h b F 9 D a X R 5 L D M 2 f S Z x d W 9 0 O y w m c X V v d D t T Z W N 0 a W 9 u M S 9 X a W 5 k X 0 F z c 2 l n b m 1 l b n R f M y 9 D a G F u Z 2 V k I F R 5 c G U u e 0 N v d W 5 0 e S w z N 3 0 m c X V v d D s s J n F 1 b 3 Q 7 U 2 V j d G l v b j E v V 2 l u Z F 9 B c 3 N p Z 2 5 t Z W 5 0 X z M v Q 2 h h b m d l Z C B U e X B l L n t a a X B f Q 2 9 k Z S w z O H 0 m c X V v d D s s J n F 1 b 3 Q 7 U 2 V j d G l v b j E v V 2 l u Z F 9 B c 3 N p Z 2 5 t Z W 5 0 X z M v Q 2 h h b m d l Z C B U e X B l L n t M b 2 5 n a X R 1 d G U s M z l 9 J n F 1 b 3 Q 7 L C Z x d W 9 0 O 1 N l Y 3 R p b 2 4 x L 1 d p b m R f Q X N z a W d u b W V u d F 8 z L 0 N o Y W 5 n Z W Q g V H l w Z S 5 7 Q 2 9 t b W V u d H M s N D B 9 J n F 1 b 3 Q 7 L C Z x d W 9 0 O 1 N l Y 3 R p b 2 4 x L 1 d p b m R f Q X N z a W d u b W V u d F 8 z L 0 N o Y W 5 n Z W Q g V H l w Z S 5 7 Q 3 J l Y X R v c i w 0 M X 0 m c X V v d D s s J n F 1 b 3 Q 7 U 2 V j d G l v b j E v V 2 l u Z F 9 B c 3 N p Z 2 5 t Z W 5 0 X z M v Q 2 h h b m d l Z C B U e X B l L n t D c m V h d G 9 y X 0 R h d G U s N D J 9 J n F 1 b 3 Q 7 L C Z x d W 9 0 O 1 N l Y 3 R p b 2 4 x L 1 d p b m R f Q X N z a W d u b W V u d F 8 z L 0 N o Y W 5 n Z W Q g V H l w Z S 5 7 T G F z d F 9 F Z G l 0 b 3 I s N D N 9 J n F 1 b 3 Q 7 L C Z x d W 9 0 O 1 N l Y 3 R p b 2 4 x L 1 d p b m R f Q X N z a W d u b W V u d F 8 z L 0 N o Y W 5 n Z W Q g V H l w Z S 5 7 T G F z d F 9 F Z G l 0 b 3 J f R G F 0 Z S w 0 N H 0 m c X V v d D s s J n F 1 b 3 Q 7 U 2 V j d G l v b j E v V 2 l u Z F 9 B c 3 N p Z 2 5 t Z W 5 0 X z M v Q 2 h h b m d l Z C B U e X B l L n t J U l B f R 0 V P L D Q 1 f S Z x d W 9 0 O y w m c X V v d D t T Z W N 0 a W 9 u M S 9 X a W 5 k X 0 F z c 2 l n b m 1 l b n R f M y 9 D a G F u Z 2 V k I F R 5 c G U u e 0 l S U F 9 X S U 5 E L D Q 2 f S Z x d W 9 0 O y w m c X V v d D t T Z W N 0 a W 9 u M S 9 X a W 5 k X 0 F z c 2 l n b m 1 l b n R f M y 9 D a G F u Z 2 V k I F R 5 c G U u e 0 l S U F 9 T T 0 F M U i w 0 N 3 0 m c X V v d D s s J n F 1 b 3 Q 7 U 2 V j d G l v b j E v V 2 l u Z F 9 B c 3 N p Z 2 5 t Z W 5 0 X z M v Q 2 h h b m d l Z C B U e X B l L n t C V U Z G X 0 R J U 1 Q s N D h 9 J n F 1 b 3 Q 7 L C Z x d W 9 0 O 1 N l Y 3 R p b 2 4 x L 1 d p b m R f Q X N z a W d u b W V u d F 8 z L 0 N o Y W 5 n Z W Q g V H l w Z S 5 7 T 1 J J R 1 9 G S U Q s N D l 9 J n F 1 b 3 Q 7 L C Z x d W 9 0 O 1 N l Y 3 R p b 2 4 x L 1 d p b m R f Q X N z a W d u b W V u d F 8 z L 0 N o Y W 5 n Z W Q g V H l w Z S 5 7 Q 2 9 1 b n R 5 X z E s N T B 9 J n F 1 b 3 Q 7 L C Z x d W 9 0 O 1 N l Y 3 R p b 2 4 x L 1 d p b m R f Q X N z a W d u b W V u d F 8 z L 0 N o Y W 5 n Z W Q g V H l w Z S 5 7 U F J P S k V D V C w 1 M X 0 m c X V v d D s s J n F 1 b 3 Q 7 U 2 V j d G l v b j E v V 2 l u Z F 9 B c 3 N p Z 2 5 t Z W 5 0 X z M v Q 2 h h b m d l Z C B U e X B l L n t N V y w 1 M n 0 m c X V v d D s s J n F 1 b 3 Q 7 U 2 V j d G l v b j E v V 2 l u Z F 9 B c 3 N p Z 2 5 t Z W 5 0 X z M v Q 2 h h b m d l Z C B U e X B l L n t D R i w 1 M 3 0 m c X V v d D s s J n F 1 b 3 Q 7 U 2 V j d G l v b j E v V 2 l u Z F 9 B c 3 N p Z 2 5 t Z W 5 0 X z M v Q 2 h h b m d l Z C B U e X B l L n t T a G F w Z V 9 M Z W 5 n L D U 0 f S Z x d W 9 0 O y w m c X V v d D t T Z W N 0 a W 9 u M S 9 X a W 5 k X 0 F z c 2 l n b m 1 l b n R f M y 9 D a G F u Z 2 V k I F R 5 c G U u e 1 N R T U k s N T V 9 J n F 1 b 3 Q 7 L C Z x d W 9 0 O 1 N l Y 3 R p b 2 4 x L 1 d p b m R f Q X N z a W d u b W V u d F 8 z L 0 N o Y W 5 n Z W Q g V H l w Z S 5 7 U 2 V y d m l j Z U F y Z S w 1 N n 0 m c X V v d D s s J n F 1 b 3 Q 7 U 2 V j d G l v b j E v V 2 l u Z F 9 B c 3 N p Z 2 5 t Z W 5 0 X z M v Q 2 h h b m d l Z C B U e X B l L n t M Y X N 0 T W 9 k a W Z p L D U 3 f S Z x d W 9 0 O y w m c X V v d D t T Z W N 0 a W 9 u M S 9 X a W 5 k X 0 F z c 2 l n b m 1 l b n R f M y 9 D a G F u Z 2 V k I F R 5 c G U u e 0 x h c 3 R N b 2 R p X z E s N T h 9 J n F 1 b 3 Q 7 L C Z x d W 9 0 O 1 N l Y 3 R p b 2 4 x L 1 d p b m R f Q X N z a W d u b W V u d F 8 z L 0 N o Y W 5 n Z W Q g V H l w Z S 5 7 Q 0 F J U 0 9 f R W 5 l c i w 1 O X 0 m c X V v d D s s J n F 1 b 3 Q 7 U 2 V j d G l v b j E v V 2 l u Z F 9 B c 3 N p Z 2 5 t Z W 5 0 X z M v Q 2 h h b m d l Z C B U e X B l L n t T V V B F U k N S R V o s N j B 9 J n F 1 b 3 Q 7 L C Z x d W 9 0 O 1 N l Y 3 R p b 2 4 x L 1 d p b m R f Q X N z a W d u b W V u d F 8 z L 0 N o Y W 5 n Z W Q g V H l w Z S 5 7 Q l Z V T k l R V U V f S S w 2 M X 0 m c X V v d D s s J n F 1 b 3 Q 7 U 2 V j d G l v b j E v V 2 l u Z F 9 B c 3 N p Z 2 5 t Z W 5 0 X z M v Q 2 h h b m d l Z C B U e X B l L n t F M 1 9 J R C w 2 M n 0 m c X V v d D s s J n F 1 b 3 Q 7 U 2 V j d G l v b j E v V 2 l u Z F 9 B c 3 N p Z 2 5 t Z W 5 0 X z M v Q 2 h h b m d l Z C B U e X B l L n t F M 1 9 O Y W 1 l L D Y z f S Z x d W 9 0 O y w m c X V v d D t T Z W N 0 a W 9 u M S 9 X a W 5 k X 0 F z c 2 l n b m 1 l b n R f M y 9 D a G F u Z 2 V k I F R 5 c G U u e 0 x P Q 1 9 B Q 0 N V U k E s N j R 9 J n F 1 b 3 Q 7 L C Z x d W 9 0 O 1 N l Y 3 R p b 2 4 x L 1 d p b m R f Q X N z a W d u b W V u d F 8 z L 0 N o Y W 5 n Z W Q g V H l w Z S 5 7 V G V j a G 5 v b G 9 n e S w 2 N X 0 m c X V v d D s s J n F 1 b 3 Q 7 U 2 V j d G l v b j E v V 2 l u Z F 9 B c 3 N p Z 2 5 t Z W 5 0 X z M v Q 2 h h b m d l Z C B U e X B l L n t T d W J 0 Z W N o b m 9 s L D Y 2 f S Z x d W 9 0 O y w m c X V v d D t T Z W N 0 a W 9 u M S 9 X a W 5 k X 0 F z c 2 l n b m 1 l b n R f M y 9 D a G F u Z 2 V k I F R 5 c G U u e 0 x h d F 9 k Z C w 2 N 3 0 m c X V v d D s s J n F 1 b 3 Q 7 U 2 V j d G l v b j E v V 2 l u Z F 9 B c 3 N p Z 2 5 t Z W 5 0 X z M v Q 2 h h b m d l Z C B U e X B l L n t M b 2 5 n X 2 R k L D Y 4 f S Z x d W 9 0 O y w m c X V v d D t T Z W N 0 a W 9 u M S 9 X a W 5 k X 0 F z c 2 l n b m 1 l b n R f M y 9 D a G F u Z 2 V k I F R 5 c G U u e 1 B y b 2 p l Y 3 R O Y W 0 s N j l 9 J n F 1 b 3 Q 7 L C Z x d W 9 0 O 1 N l Y 3 R p b 2 4 x L 1 d p b m R f Q X N z a W d u b W V u d F 8 z L 0 N o Y W 5 n Z W Q g V H l w Z S 5 7 R G F 0 Y V N v d X J j Z S w 3 M H 0 m c X V v d D s s J n F 1 b 3 Q 7 U 2 V j d G l v b j E v V 2 l u Z F 9 B c 3 N p Z 2 5 t Z W 5 0 X z M v Q 2 h h b m d l Z C B U e X B l L n t B Q 1 J F U y w 3 M X 0 m c X V v d D s s J n F 1 b 3 Q 7 U 2 V j d G l v b j E v V 2 l u Z F 9 B c 3 N p Z 2 5 t Z W 5 0 X z M v Q 2 h h b m d l Z C B U e X B l L n t T a G F w Z V 9 M Z W 5 n d G h f M S w 3 M n 0 m c X V v d D s s J n F 1 b 3 Q 7 U 2 V j d G l v b j E v V 2 l u Z F 9 B c 3 N p Z 2 5 t Z W 5 0 X z M v Q 2 h h b m d l Z C B U e X B l L n t T a G F w Z V 9 B c m V h X z E s N z N 9 J n F 1 b 3 Q 7 L C Z x d W 9 0 O 1 N l Y 3 R p b 2 4 x L 1 d p b m R f Q X N z a W d u b W V u d F 8 z L 0 N o Y W 5 n Z W Q g V H l w Z S 5 7 Q 0 x J U F 9 B Q 1 J F U y w 3 N H 0 m c X V v d D s s J n F 1 b 3 Q 7 U 2 V j d G l v b j E v V 2 l u Z F 9 B c 3 N p Z 2 5 t Z W 5 0 X z M v Q 2 h h b m d l Z C B U e X B l L n t T a G F w Z V 9 M Z W 5 n d G g s N z V 9 J n F 1 b 3 Q 7 L C Z x d W 9 0 O 1 N l Y 3 R p b 2 4 x L 1 d p b m R f Q X N z a W d u b W V u d F 8 z L 0 N o Y W 5 n Z W Q g V H l w Z S 5 7 U 2 h h c G V f Q X J l Y S w 3 N n 0 m c X V v d D t d L C Z x d W 9 0 O 0 N v b H V t b k N v d W 5 0 J n F 1 b 3 Q 7 O j c 3 L C Z x d W 9 0 O 0 t l e U N v b H V t b k 5 h b W V z J n F 1 b 3 Q 7 O l t d L C Z x d W 9 0 O 0 N v b H V t b k l k Z W 5 0 a X R p Z X M m c X V v d D s 6 W y Z x d W 9 0 O 1 N l Y 3 R p b 2 4 x L 1 d p b m R f Q X N z a W d u b W V u d F 8 z L 0 N o Y W 5 n Z W Q g V H l w Z S 5 7 T 0 J K R U N U S U R f M S w w f S Z x d W 9 0 O y w m c X V v d D t T Z W N 0 a W 9 u M S 9 X a W 5 k X 0 F z c 2 l n b m 1 l b n R f M y 9 D a G F u Z 2 V k I F R 5 c G U u e 0 p v a W 5 f Q 2 9 1 b n Q s M X 0 m c X V v d D s s J n F 1 b 3 Q 7 U 2 V j d G l v b j E v V 2 l u Z F 9 B c 3 N p Z 2 5 t Z W 5 0 X z M v Q 2 h h b m d l Z C B U e X B l L n t U Q V J H R V R f R k l E L D J 9 J n F 1 b 3 Q 7 L C Z x d W 9 0 O 1 N l Y 3 R p b 2 4 x L 1 d p b m R f Q X N z a W d u b W V u d F 8 z L 0 N o Y W 5 n Z W Q g V H l w Z S 5 7 S k 9 J T l 9 G S U Q s M 3 0 m c X V v d D s s J n F 1 b 3 Q 7 U 2 V j d G l v b j E v V 2 l u Z F 9 B c 3 N p Z 2 5 t Z W 5 0 X z M v Q 2 h h b m d l Z C B U e X B l L n t P Q k p F Q 1 R J R C w 0 f S Z x d W 9 0 O y w m c X V v d D t T Z W N 0 a W 9 u M S 9 X a W 5 k X 0 F z c 2 l n b m 1 l b n R f M y 9 D a G F u Z 2 V k I F R 5 c G U u e 0 l E L D V 9 J n F 1 b 3 Q 7 L C Z x d W 9 0 O 1 N l Y 3 R p b 2 4 x L 1 d p b m R f Q X N z a W d u b W V u d F 8 z L 0 N o Y W 5 n Z W Q g V H l w Z S 5 7 T k F N R S w 2 f S Z x d W 9 0 O y w m c X V v d D t T Z W N 0 a W 9 u M S 9 X a W 5 k X 0 F z c 2 l n b m 1 l b n R f M y 9 D a G F u Z 2 V k I F R 5 c G U u e 0 N J V F k s N 3 0 m c X V v d D s s J n F 1 b 3 Q 7 U 2 V j d G l v b j E v V 2 l u Z F 9 B c 3 N p Z 2 5 t Z W 5 0 X z M v Q 2 h h b m d l Z C B U e X B l L n t T V E F U R S w 4 f S Z x d W 9 0 O y w m c X V v d D t T Z W N 0 a W 9 u M S 9 X a W 5 k X 0 F z c 2 l n b m 1 l b n R f M y 9 D a G F u Z 2 V k I F R 5 c G U u e 1 p J U E N P R E U s O X 0 m c X V v d D s s J n F 1 b 3 Q 7 U 2 V j d G l v b j E v V 2 l u Z F 9 B c 3 N p Z 2 5 t Z W 5 0 X z M v Q 2 h h b m d l Z C B U e X B l L n t D T 1 V O V F J Z L D E w f S Z x d W 9 0 O y w m c X V v d D t T Z W N 0 a W 9 u M S 9 X a W 5 k X 0 F z c 2 l n b m 1 l b n R f M y 9 D a G F u Z 2 V k I F R 5 c G U u e 0 x J T k V T L D E x f S Z x d W 9 0 O y w m c X V v d D t T Z W N 0 a W 9 u M S 9 X a W 5 k X 0 F z c 2 l n b m 1 l b n R f M y 9 D a G F u Z 2 V k I F R 5 c G U u e 0 1 B W F 9 W T 0 x U L D E y f S Z x d W 9 0 O y w m c X V v d D t T Z W N 0 a W 9 u M S 9 X a W 5 k X 0 F z c 2 l n b m 1 l b n R f M y 9 D a G F u Z 2 V k I F R 5 c G U u e 0 1 J T l 9 W T 0 x U L D E z f S Z x d W 9 0 O y w m c X V v d D t T Z W N 0 a W 9 u M S 9 X a W 5 k X 0 F z c 2 l n b m 1 l b n R f M y 9 D a G F u Z 2 V k I F R 5 c G U u e 0 1 B W F 9 J T k Z F U i w x N H 0 m c X V v d D s s J n F 1 b 3 Q 7 U 2 V j d G l v b j E v V 2 l u Z F 9 B c 3 N p Z 2 5 t Z W 5 0 X z M v Q 2 h h b m d l Z C B U e X B l L n t N S U 5 f S U 5 G R V I s M T V 9 J n F 1 b 3 Q 7 L C Z x d W 9 0 O 1 N l Y 3 R p b 2 4 x L 1 d p b m R f Q X N z a W d u b W V u d F 8 z L 0 N o Y W 5 n Z W Q g V H l w Z S 5 7 T E F U S V R V R E U s M T Z 9 J n F 1 b 3 Q 7 L C Z x d W 9 0 O 1 N l Y 3 R p b 2 4 x L 1 d p b m R f Q X N z a W d u b W V u d F 8 z L 0 N o Y W 5 n Z W Q g V H l w Z S 5 7 T E 9 O R 0 l U V U R F L D E 3 f S Z x d W 9 0 O y w m c X V v d D t T Z W N 0 a W 9 u M S 9 X a W 5 k X 0 F z c 2 l n b m 1 l b n R f M y 9 D a G F u Z 2 V k I F R 5 c G U u e 0 1 F V E h P R C w x O H 0 m c X V v d D s s J n F 1 b 3 Q 7 U 2 V j d G l v b j E v V 2 l u Z F 9 B c 3 N p Z 2 5 t Z W 5 0 X z M v Q 2 h h b m d l Z C B U e X B l L n t E Q V R F L D E 5 f S Z x d W 9 0 O y w m c X V v d D t T Z W N 0 a W 9 u M S 9 X a W 5 k X 0 F z c 2 l n b m 1 l b n R f M y 9 D a G F u Z 2 V k I F R 5 c G U u e 1 N P V V J D R S w y M H 0 m c X V v d D s s J n F 1 b 3 Q 7 U 2 V j d G l v b j E v V 2 l u Z F 9 B c 3 N p Z 2 5 t Z W 5 0 X z M v Q 2 h h b m d l Z C B U e X B l L n t T d W J z d G F 0 a W 9 u X 0 l E L D I x f S Z x d W 9 0 O y w m c X V v d D t T Z W N 0 a W 9 u M S 9 X a W 5 k X 0 F z c 2 l n b m 1 l b n R f M y 9 D a G F u Z 2 V k I F R 5 c G U u e 1 N 1 Y n N 0 Y X R p b 2 5 f T m F t Z S w y M n 0 m c X V v d D s s J n F 1 b 3 Q 7 U 2 V j d G l v b j E v V 2 l u Z F 9 B c 3 N p Z 2 5 t Z W 5 0 X z M v Q 2 h h b m d l Z C B U e X B l L n t B b G l h c y w y M 3 0 m c X V v d D s s J n F 1 b 3 Q 7 U 2 V j d G l v b j E v V 2 l u Z F 9 B c 3 N p Z 2 5 t Z W 5 0 X z M v Q 2 h h b m d l Z C B U e X B l L n t T d G F 0 d X M s M j R 9 J n F 1 b 3 Q 7 L C Z x d W 9 0 O 1 N l Y 3 R p b 2 4 x L 1 d p b m R f Q X N z a W d u b W V u d F 8 z L 0 N o Y W 5 n Z W Q g V H l w Z S 5 7 T 3 d u Z X I s M j V 9 J n F 1 b 3 Q 7 L C Z x d W 9 0 O 1 N l Y 3 R p b 2 4 x L 1 d p b m R f Q X N z a W d u b W V u d F 8 z L 0 N o Y W 5 n Z W Q g V H l w Z S 5 7 T W F w X 0 9 3 b m V y L D I 2 f S Z x d W 9 0 O y w m c X V v d D t T Z W N 0 a W 9 u M S 9 X a W 5 k X 0 F z c 2 l n b m 1 l b n R f M y 9 D a G F u Z 2 V k I F R 5 c G U u e 0 1 h c F 9 Q Y X J 0 L D I 3 f S Z x d W 9 0 O y w m c X V v d D t T Z W N 0 a W 9 u M S 9 X a W 5 k X 0 F z c 2 l n b m 1 l b n R f M y 9 D a G F u Z 2 V k I F R 5 c G U u e 0 V u Z 2 l u Z W V y a W 5 n X 0 l E L D I 4 f S Z x d W 9 0 O y w m c X V v d D t T Z W N 0 a W 9 u M S 9 X a W 5 k X 0 F z c 2 l n b m 1 l b n R f M y 9 D a G F u Z 2 V k I F R 5 c G U u e 2 t W X z E y X 1 R P X z M y L D I 5 f S Z x d W 9 0 O y w m c X V v d D t T Z W N 0 a W 9 u M S 9 X a W 5 k X 0 F z c 2 l n b m 1 l b n R f M y 9 D a G F u Z 2 V k I F R 5 c G U u e 2 t W X z M z X 1 R P X z k y L D M w f S Z x d W 9 0 O y w m c X V v d D t T Z W N 0 a W 9 u M S 9 X a W 5 k X 0 F z c 2 l n b m 1 l b n R f M y 9 D a G F u Z 2 V k I F R 5 c G U u e 2 t W X z E x M F 9 U T 1 8 x N j E s M z F 9 J n F 1 b 3 Q 7 L C Z x d W 9 0 O 1 N l Y 3 R p b 2 4 x L 1 d p b m R f Q X N z a W d u b W V u d F 8 z L 0 N o Y W 5 n Z W Q g V H l w Z S 5 7 a 1 Z f M j I w X 1 R v X z I 4 N y w z M n 0 m c X V v d D s s J n F 1 b 3 Q 7 U 2 V j d G l v b j E v V 2 l u Z F 9 B c 3 N p Z 2 5 t Z W 5 0 X z M v Q 2 h h b m d l Z C B U e X B l L n t r V l 8 z N D V f V G 9 f N T A w L D M z f S Z x d W 9 0 O y w m c X V v d D t T Z W N 0 a W 9 u M S 9 X a W 5 k X 0 F z c 2 l n b m 1 l b n R f M y 9 D a G F u Z 2 V k I F R 5 c G U u e 2 t W X z U w M F 9 E Q y w z N H 0 m c X V v d D s s J n F 1 b 3 Q 7 U 2 V j d G l v b j E v V 2 l u Z F 9 B c 3 N p Z 2 5 t Z W 5 0 X z M v Q 2 h h b m d l Z C B U e X B l L n t I a W d o Z X N 0 X 2 t W L D M 1 f S Z x d W 9 0 O y w m c X V v d D t T Z W N 0 a W 9 u M S 9 X a W 5 k X 0 F z c 2 l n b m 1 l b n R f M y 9 D a G F u Z 2 V k I F R 5 c G U u e 1 B v c 3 R h b F 9 D a X R 5 L D M 2 f S Z x d W 9 0 O y w m c X V v d D t T Z W N 0 a W 9 u M S 9 X a W 5 k X 0 F z c 2 l n b m 1 l b n R f M y 9 D a G F u Z 2 V k I F R 5 c G U u e 0 N v d W 5 0 e S w z N 3 0 m c X V v d D s s J n F 1 b 3 Q 7 U 2 V j d G l v b j E v V 2 l u Z F 9 B c 3 N p Z 2 5 t Z W 5 0 X z M v Q 2 h h b m d l Z C B U e X B l L n t a a X B f Q 2 9 k Z S w z O H 0 m c X V v d D s s J n F 1 b 3 Q 7 U 2 V j d G l v b j E v V 2 l u Z F 9 B c 3 N p Z 2 5 t Z W 5 0 X z M v Q 2 h h b m d l Z C B U e X B l L n t M b 2 5 n a X R 1 d G U s M z l 9 J n F 1 b 3 Q 7 L C Z x d W 9 0 O 1 N l Y 3 R p b 2 4 x L 1 d p b m R f Q X N z a W d u b W V u d F 8 z L 0 N o Y W 5 n Z W Q g V H l w Z S 5 7 Q 2 9 t b W V u d H M s N D B 9 J n F 1 b 3 Q 7 L C Z x d W 9 0 O 1 N l Y 3 R p b 2 4 x L 1 d p b m R f Q X N z a W d u b W V u d F 8 z L 0 N o Y W 5 n Z W Q g V H l w Z S 5 7 Q 3 J l Y X R v c i w 0 M X 0 m c X V v d D s s J n F 1 b 3 Q 7 U 2 V j d G l v b j E v V 2 l u Z F 9 B c 3 N p Z 2 5 t Z W 5 0 X z M v Q 2 h h b m d l Z C B U e X B l L n t D c m V h d G 9 y X 0 R h d G U s N D J 9 J n F 1 b 3 Q 7 L C Z x d W 9 0 O 1 N l Y 3 R p b 2 4 x L 1 d p b m R f Q X N z a W d u b W V u d F 8 z L 0 N o Y W 5 n Z W Q g V H l w Z S 5 7 T G F z d F 9 F Z G l 0 b 3 I s N D N 9 J n F 1 b 3 Q 7 L C Z x d W 9 0 O 1 N l Y 3 R p b 2 4 x L 1 d p b m R f Q X N z a W d u b W V u d F 8 z L 0 N o Y W 5 n Z W Q g V H l w Z S 5 7 T G F z d F 9 F Z G l 0 b 3 J f R G F 0 Z S w 0 N H 0 m c X V v d D s s J n F 1 b 3 Q 7 U 2 V j d G l v b j E v V 2 l u Z F 9 B c 3 N p Z 2 5 t Z W 5 0 X z M v Q 2 h h b m d l Z C B U e X B l L n t J U l B f R 0 V P L D Q 1 f S Z x d W 9 0 O y w m c X V v d D t T Z W N 0 a W 9 u M S 9 X a W 5 k X 0 F z c 2 l n b m 1 l b n R f M y 9 D a G F u Z 2 V k I F R 5 c G U u e 0 l S U F 9 X S U 5 E L D Q 2 f S Z x d W 9 0 O y w m c X V v d D t T Z W N 0 a W 9 u M S 9 X a W 5 k X 0 F z c 2 l n b m 1 l b n R f M y 9 D a G F u Z 2 V k I F R 5 c G U u e 0 l S U F 9 T T 0 F M U i w 0 N 3 0 m c X V v d D s s J n F 1 b 3 Q 7 U 2 V j d G l v b j E v V 2 l u Z F 9 B c 3 N p Z 2 5 t Z W 5 0 X z M v Q 2 h h b m d l Z C B U e X B l L n t C V U Z G X 0 R J U 1 Q s N D h 9 J n F 1 b 3 Q 7 L C Z x d W 9 0 O 1 N l Y 3 R p b 2 4 x L 1 d p b m R f Q X N z a W d u b W V u d F 8 z L 0 N o Y W 5 n Z W Q g V H l w Z S 5 7 T 1 J J R 1 9 G S U Q s N D l 9 J n F 1 b 3 Q 7 L C Z x d W 9 0 O 1 N l Y 3 R p b 2 4 x L 1 d p b m R f Q X N z a W d u b W V u d F 8 z L 0 N o Y W 5 n Z W Q g V H l w Z S 5 7 Q 2 9 1 b n R 5 X z E s N T B 9 J n F 1 b 3 Q 7 L C Z x d W 9 0 O 1 N l Y 3 R p b 2 4 x L 1 d p b m R f Q X N z a W d u b W V u d F 8 z L 0 N o Y W 5 n Z W Q g V H l w Z S 5 7 U F J P S k V D V C w 1 M X 0 m c X V v d D s s J n F 1 b 3 Q 7 U 2 V j d G l v b j E v V 2 l u Z F 9 B c 3 N p Z 2 5 t Z W 5 0 X z M v Q 2 h h b m d l Z C B U e X B l L n t N V y w 1 M n 0 m c X V v d D s s J n F 1 b 3 Q 7 U 2 V j d G l v b j E v V 2 l u Z F 9 B c 3 N p Z 2 5 t Z W 5 0 X z M v Q 2 h h b m d l Z C B U e X B l L n t D R i w 1 M 3 0 m c X V v d D s s J n F 1 b 3 Q 7 U 2 V j d G l v b j E v V 2 l u Z F 9 B c 3 N p Z 2 5 t Z W 5 0 X z M v Q 2 h h b m d l Z C B U e X B l L n t T a G F w Z V 9 M Z W 5 n L D U 0 f S Z x d W 9 0 O y w m c X V v d D t T Z W N 0 a W 9 u M S 9 X a W 5 k X 0 F z c 2 l n b m 1 l b n R f M y 9 D a G F u Z 2 V k I F R 5 c G U u e 1 N R T U k s N T V 9 J n F 1 b 3 Q 7 L C Z x d W 9 0 O 1 N l Y 3 R p b 2 4 x L 1 d p b m R f Q X N z a W d u b W V u d F 8 z L 0 N o Y W 5 n Z W Q g V H l w Z S 5 7 U 2 V y d m l j Z U F y Z S w 1 N n 0 m c X V v d D s s J n F 1 b 3 Q 7 U 2 V j d G l v b j E v V 2 l u Z F 9 B c 3 N p Z 2 5 t Z W 5 0 X z M v Q 2 h h b m d l Z C B U e X B l L n t M Y X N 0 T W 9 k a W Z p L D U 3 f S Z x d W 9 0 O y w m c X V v d D t T Z W N 0 a W 9 u M S 9 X a W 5 k X 0 F z c 2 l n b m 1 l b n R f M y 9 D a G F u Z 2 V k I F R 5 c G U u e 0 x h c 3 R N b 2 R p X z E s N T h 9 J n F 1 b 3 Q 7 L C Z x d W 9 0 O 1 N l Y 3 R p b 2 4 x L 1 d p b m R f Q X N z a W d u b W V u d F 8 z L 0 N o Y W 5 n Z W Q g V H l w Z S 5 7 Q 0 F J U 0 9 f R W 5 l c i w 1 O X 0 m c X V v d D s s J n F 1 b 3 Q 7 U 2 V j d G l v b j E v V 2 l u Z F 9 B c 3 N p Z 2 5 t Z W 5 0 X z M v Q 2 h h b m d l Z C B U e X B l L n t T V V B F U k N S R V o s N j B 9 J n F 1 b 3 Q 7 L C Z x d W 9 0 O 1 N l Y 3 R p b 2 4 x L 1 d p b m R f Q X N z a W d u b W V u d F 8 z L 0 N o Y W 5 n Z W Q g V H l w Z S 5 7 Q l Z V T k l R V U V f S S w 2 M X 0 m c X V v d D s s J n F 1 b 3 Q 7 U 2 V j d G l v b j E v V 2 l u Z F 9 B c 3 N p Z 2 5 t Z W 5 0 X z M v Q 2 h h b m d l Z C B U e X B l L n t F M 1 9 J R C w 2 M n 0 m c X V v d D s s J n F 1 b 3 Q 7 U 2 V j d G l v b j E v V 2 l u Z F 9 B c 3 N p Z 2 5 t Z W 5 0 X z M v Q 2 h h b m d l Z C B U e X B l L n t F M 1 9 O Y W 1 l L D Y z f S Z x d W 9 0 O y w m c X V v d D t T Z W N 0 a W 9 u M S 9 X a W 5 k X 0 F z c 2 l n b m 1 l b n R f M y 9 D a G F u Z 2 V k I F R 5 c G U u e 0 x P Q 1 9 B Q 0 N V U k E s N j R 9 J n F 1 b 3 Q 7 L C Z x d W 9 0 O 1 N l Y 3 R p b 2 4 x L 1 d p b m R f Q X N z a W d u b W V u d F 8 z L 0 N o Y W 5 n Z W Q g V H l w Z S 5 7 V G V j a G 5 v b G 9 n e S w 2 N X 0 m c X V v d D s s J n F 1 b 3 Q 7 U 2 V j d G l v b j E v V 2 l u Z F 9 B c 3 N p Z 2 5 t Z W 5 0 X z M v Q 2 h h b m d l Z C B U e X B l L n t T d W J 0 Z W N o b m 9 s L D Y 2 f S Z x d W 9 0 O y w m c X V v d D t T Z W N 0 a W 9 u M S 9 X a W 5 k X 0 F z c 2 l n b m 1 l b n R f M y 9 D a G F u Z 2 V k I F R 5 c G U u e 0 x h d F 9 k Z C w 2 N 3 0 m c X V v d D s s J n F 1 b 3 Q 7 U 2 V j d G l v b j E v V 2 l u Z F 9 B c 3 N p Z 2 5 t Z W 5 0 X z M v Q 2 h h b m d l Z C B U e X B l L n t M b 2 5 n X 2 R k L D Y 4 f S Z x d W 9 0 O y w m c X V v d D t T Z W N 0 a W 9 u M S 9 X a W 5 k X 0 F z c 2 l n b m 1 l b n R f M y 9 D a G F u Z 2 V k I F R 5 c G U u e 1 B y b 2 p l Y 3 R O Y W 0 s N j l 9 J n F 1 b 3 Q 7 L C Z x d W 9 0 O 1 N l Y 3 R p b 2 4 x L 1 d p b m R f Q X N z a W d u b W V u d F 8 z L 0 N o Y W 5 n Z W Q g V H l w Z S 5 7 R G F 0 Y V N v d X J j Z S w 3 M H 0 m c X V v d D s s J n F 1 b 3 Q 7 U 2 V j d G l v b j E v V 2 l u Z F 9 B c 3 N p Z 2 5 t Z W 5 0 X z M v Q 2 h h b m d l Z C B U e X B l L n t B Q 1 J F U y w 3 M X 0 m c X V v d D s s J n F 1 b 3 Q 7 U 2 V j d G l v b j E v V 2 l u Z F 9 B c 3 N p Z 2 5 t Z W 5 0 X z M v Q 2 h h b m d l Z C B U e X B l L n t T a G F w Z V 9 M Z W 5 n d G h f M S w 3 M n 0 m c X V v d D s s J n F 1 b 3 Q 7 U 2 V j d G l v b j E v V 2 l u Z F 9 B c 3 N p Z 2 5 t Z W 5 0 X z M v Q 2 h h b m d l Z C B U e X B l L n t T a G F w Z V 9 B c m V h X z E s N z N 9 J n F 1 b 3 Q 7 L C Z x d W 9 0 O 1 N l Y 3 R p b 2 4 x L 1 d p b m R f Q X N z a W d u b W V u d F 8 z L 0 N o Y W 5 n Z W Q g V H l w Z S 5 7 Q 0 x J U F 9 B Q 1 J F U y w 3 N H 0 m c X V v d D s s J n F 1 b 3 Q 7 U 2 V j d G l v b j E v V 2 l u Z F 9 B c 3 N p Z 2 5 t Z W 5 0 X z M v Q 2 h h b m d l Z C B U e X B l L n t T a G F w Z V 9 M Z W 5 n d G g s N z V 9 J n F 1 b 3 Q 7 L C Z x d W 9 0 O 1 N l Y 3 R p b 2 4 x L 1 d p b m R f Q X N z a W d u b W V u d F 8 z L 0 N o Y W 5 n Z W Q g V H l w Z S 5 7 U 2 h h c G V f Q X J l Y S w 3 N n 0 m c X V v d D t d L C Z x d W 9 0 O 1 J l b G F 0 a W 9 u c 2 h p c E l u Z m 8 m c X V v d D s 6 W 1 1 9 I i A v P j x F b n R y e S B U e X B l P S J G a W x s U 3 R h d H V z I i B W Y W x 1 Z T 0 i c 0 N v b X B s Z X R l I i A v P j x F b n R y e S B U e X B l P S J G a W x s Q 2 9 s d W 1 u T m F t Z X M i I F Z h b H V l P S J z W y Z x d W 9 0 O 0 9 C S k V D V E l E X z E m c X V v d D s s J n F 1 b 3 Q 7 S m 9 p b l 9 D b 3 V u d C Z x d W 9 0 O y w m c X V v d D t U Q V J H R V R f R k l E J n F 1 b 3 Q 7 L C Z x d W 9 0 O 0 p P S U 5 f R k l E J n F 1 b 3 Q 7 L C Z x d W 9 0 O 0 9 C S k V D V E l E J n F 1 b 3 Q 7 L C Z x d W 9 0 O 0 l E J n F 1 b 3 Q 7 L C Z x d W 9 0 O 0 5 B T U U m c X V v d D s s J n F 1 b 3 Q 7 Q 0 l U W S Z x d W 9 0 O y w m c X V v d D t T V E F U R S Z x d W 9 0 O y w m c X V v d D t a S V B D T 0 R F J n F 1 b 3 Q 7 L C Z x d W 9 0 O 0 N P V U 5 U U l k m c X V v d D s s J n F 1 b 3 Q 7 T E l O R V M m c X V v d D s s J n F 1 b 3 Q 7 T U F Y X 1 Z P T F Q m c X V v d D s s J n F 1 b 3 Q 7 T U l O X 1 Z P T F Q m c X V v d D s s J n F 1 b 3 Q 7 T U F Y X 0 l O R k V S J n F 1 b 3 Q 7 L C Z x d W 9 0 O 0 1 J T l 9 J T k Z F U i Z x d W 9 0 O y w m c X V v d D t M Q V R J V F V E R S Z x d W 9 0 O y w m c X V v d D t M T 0 5 H S V R V R E U m c X V v d D s s J n F 1 b 3 Q 7 T U V U S E 9 E J n F 1 b 3 Q 7 L C Z x d W 9 0 O 0 R B V E U m c X V v d D s s J n F 1 b 3 Q 7 U 0 9 V U k N F J n F 1 b 3 Q 7 L C Z x d W 9 0 O 1 N 1 Y n N 0 Y X R p b 2 5 f S U Q m c X V v d D s s J n F 1 b 3 Q 7 U 3 V i c 3 R h d G l v b l 9 O Y W 1 l J n F 1 b 3 Q 7 L C Z x d W 9 0 O 0 F s a W F z J n F 1 b 3 Q 7 L C Z x d W 9 0 O 1 N 0 Y X R 1 c y Z x d W 9 0 O y w m c X V v d D t P d 2 5 l c i Z x d W 9 0 O y w m c X V v d D t N Y X B f T 3 d u Z X I m c X V v d D s s J n F 1 b 3 Q 7 T W F w X 1 B h c n Q m c X V v d D s s J n F 1 b 3 Q 7 R W 5 n a W 5 l Z X J p b m d f S U Q m c X V v d D s s J n F 1 b 3 Q 7 a 1 Z f M T J f V E 9 f M z I m c X V v d D s s J n F 1 b 3 Q 7 a 1 Z f M z N f V E 9 f O T I m c X V v d D s s J n F 1 b 3 Q 7 a 1 Z f M T E w X 1 R P X z E 2 M S Z x d W 9 0 O y w m c X V v d D t r V l 8 y M j B f V G 9 f M j g 3 J n F 1 b 3 Q 7 L C Z x d W 9 0 O 2 t W X z M 0 N V 9 U b 1 8 1 M D A m c X V v d D s s J n F 1 b 3 Q 7 a 1 Z f N T A w X 0 R D J n F 1 b 3 Q 7 L C Z x d W 9 0 O 0 h p Z 2 h l c 3 R f a 1 Y m c X V v d D s s J n F 1 b 3 Q 7 U G 9 z d G F s X 0 N p d H k m c X V v d D s s J n F 1 b 3 Q 7 Q 2 9 1 b n R 5 J n F 1 b 3 Q 7 L C Z x d W 9 0 O 1 p p c F 9 D b 2 R l J n F 1 b 3 Q 7 L C Z x d W 9 0 O 0 x v b m d p d H V 0 Z S Z x d W 9 0 O y w m c X V v d D t D b 2 1 t Z W 5 0 c y Z x d W 9 0 O y w m c X V v d D t D c m V h d G 9 y J n F 1 b 3 Q 7 L C Z x d W 9 0 O 0 N y Z W F 0 b 3 J f R G F 0 Z S Z x d W 9 0 O y w m c X V v d D t M Y X N 0 X 0 V k a X R v c i Z x d W 9 0 O y w m c X V v d D t M Y X N 0 X 0 V k a X R v c l 9 E Y X R l J n F 1 b 3 Q 7 L C Z x d W 9 0 O 0 l S U F 9 H R U 8 m c X V v d D s s J n F 1 b 3 Q 7 S V J Q X 1 d J T k Q m c X V v d D s s J n F 1 b 3 Q 7 S V J Q X 1 N P Q U x S J n F 1 b 3 Q 7 L C Z x d W 9 0 O 0 J V R k Z f R E l T V C Z x d W 9 0 O y w m c X V v d D t P U k l H X 0 Z J R C Z x d W 9 0 O y w m c X V v d D t D b 3 V u d H l f M S Z x d W 9 0 O y w m c X V v d D t Q U k 9 K R U N U J n F 1 b 3 Q 7 L C Z x d W 9 0 O 0 1 X J n F 1 b 3 Q 7 L C Z x d W 9 0 O 0 N G J n F 1 b 3 Q 7 L C Z x d W 9 0 O 1 N o Y X B l X 0 x l b m c m c X V v d D s s J n F 1 b 3 Q 7 U 1 F N S S Z x d W 9 0 O y w m c X V v d D t T Z X J 2 a W N l Q X J l J n F 1 b 3 Q 7 L C Z x d W 9 0 O 0 x h c 3 R N b 2 R p Z m k m c X V v d D s s J n F 1 b 3 Q 7 T G F z d E 1 v Z G l f M S Z x d W 9 0 O y w m c X V v d D t D Q U l T T 1 9 F b m V y J n F 1 b 3 Q 7 L C Z x d W 9 0 O 1 N V U E V S Q 1 J F W i Z x d W 9 0 O y w m c X V v d D t C V l V O S V F V R V 9 J J n F 1 b 3 Q 7 L C Z x d W 9 0 O 0 U z X 0 l E J n F 1 b 3 Q 7 L C Z x d W 9 0 O 0 U z X 0 5 h b W U m c X V v d D s s J n F 1 b 3 Q 7 T E 9 D X 0 F D Q 1 V S Q S Z x d W 9 0 O y w m c X V v d D t U Z W N o b m 9 s b 2 d 5 J n F 1 b 3 Q 7 L C Z x d W 9 0 O 1 N 1 Y n R l Y 2 h u b 2 w m c X V v d D s s J n F 1 b 3 Q 7 T G F 0 X 2 R k J n F 1 b 3 Q 7 L C Z x d W 9 0 O 0 x v b m d f Z G Q m c X V v d D s s J n F 1 b 3 Q 7 U H J v a m V j d E 5 h b S Z x d W 9 0 O y w m c X V v d D t E Y X R h U 2 9 1 c m N l J n F 1 b 3 Q 7 L C Z x d W 9 0 O 0 F D U k V T J n F 1 b 3 Q 7 L C Z x d W 9 0 O 1 N o Y X B l X 0 x l b m d 0 a F 8 x J n F 1 b 3 Q 7 L C Z x d W 9 0 O 1 N o Y X B l X 0 F y Z W F f M S Z x d W 9 0 O y w m c X V v d D t D T E l Q X 0 F D U k V T J n F 1 b 3 Q 7 L C Z x d W 9 0 O 1 N o Y X B l X 0 x l b m d 0 a C Z x d W 9 0 O y w m c X V v d D t T a G F w Z V 9 B c m V h J n F 1 b 3 Q 7 X S I g L z 4 8 R W 5 0 c n k g V H l w Z T 0 i R m l s b E N v b H V t b l R 5 c G V z I i B W Y W x 1 Z T 0 i c 0 F 3 T U R B d 0 1 E Q m d Z R 0 F 3 W U R B d 0 1 H Q m d V R k J n Y 0 d C Z 1 l H Q m d Z R 0 J n W U d C Z 1 l H Q m d Z R 0 J n W U R C U V l H Q n d Z S E J n W U d C U U 1 H Q m d N R k J R V U d C d 1 l H Q m d Z R 0 J n W U d C Z 1 V G Q m d Z R k J R V U Z C U V U 9 I i A v P j x F b n R y e S B U e X B l P S J G a W x s T G F z d F V w Z G F 0 Z W Q i I F Z h b H V l P S J k M j A x O S 0 x M C 0 x N F Q y M j o w N j o y M C 4 w N T c 2 M D A 3 W i I g L z 4 8 R W 5 0 c n k g V H l w Z T 0 i R m l s b E V y c m 9 y Q 2 9 1 b n Q i I F Z h b H V l P S J s M C I g L z 4 8 R W 5 0 c n k g V H l w Z T 0 i R m l s b E V y c m 9 y Q 2 9 k Z S I g V m F s d W U 9 I n N V b m t u b 3 d u I i A v P j x F b n R y e S B U e X B l P S J G a W x s Q 2 9 1 b n Q i I F Z h b H V l P S J s N T I x I i A v P j x F b n R y e S B U e X B l P S J B Z G R l Z F R v R G F 0 Y U 1 v Z G V s I i B W Y W x 1 Z T 0 i b D A i I C 8 + P E V u d H J 5 I F R 5 c G U 9 I l F 1 Z X J 5 S U Q i I F Z h b H V l P S J z M m R i M W Y 5 Y 2 Y t M m Y 1 N i 0 0 M z c z L T h k O W E t M D Y w N z U 4 N m E 0 O D U 1 I i A v P j w v U 3 R h Y m x l R W 5 0 c m l l c z 4 8 L 0 l 0 Z W 0 + P E l 0 Z W 0 + P E l 0 Z W 1 M b 2 N h d G l v b j 4 8 S X R l b V R 5 c G U + R m 9 y b X V s Y T w v S X R l b V R 5 c G U + P E l 0 Z W 1 Q Y X R o P l N l Y 3 R p b 2 4 x L 1 d p b m R f Q X N z a W d u b W V u d F 8 z L 1 N v d X J j Z T w v S X R l b V B h d G g + P C 9 J d G V t T G 9 j Y X R p b 2 4 + P F N 0 Y W J s Z U V u d H J p Z X M g L z 4 8 L 0 l 0 Z W 0 + P E l 0 Z W 0 + P E l 0 Z W 1 M b 2 N h d G l v b j 4 8 S X R l b V R 5 c G U + R m 9 y b X V s Y T w v S X R l b V R 5 c G U + P E l 0 Z W 1 Q Y X R o P l N l Y 3 R p b 2 4 x L 1 d p b m R f Q X N z a W d u b W V u d F 8 z L 1 B y b 2 1 v d G V k J T I w S G V h Z G V y c z w v S X R l b V B h d G g + P C 9 J d G V t T G 9 j Y X R p b 2 4 + P F N 0 Y W J s Z U V u d H J p Z X M g L z 4 8 L 0 l 0 Z W 0 + P E l 0 Z W 0 + P E l 0 Z W 1 M b 2 N h d G l v b j 4 8 S X R l b V R 5 c G U + R m 9 y b X V s Y T w v S X R l b V R 5 c G U + P E l 0 Z W 1 Q Y X R o P l N l Y 3 R p b 2 4 x L 1 d p b m R f Q X N z a W d u b W V u d F 8 z L 0 N o Y W 5 n Z W Q l M j B U e X B l P C 9 J d G V t U G F 0 a D 4 8 L 0 l 0 Z W 1 M b 2 N h d G l v b j 4 8 U 3 R h Y m x l R W 5 0 c m l l c y A v P j w v S X R l b T 4 8 S X R l b T 4 8 S X R l b U x v Y 2 F 0 a W 9 u P j x J d G V t V H l w Z T 5 G b 3 J t d W x h P C 9 J d G V t V H l w Z T 4 8 S X R l b V B h d G g + U 2 V j d G l v b j E v U 0 9 M Q V J f U l N Q X z E y M T A y M D E 5 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T d G F 0 d X M i I F Z h b H V l P S J z V 2 F p d G l u Z 0 Z v c k V 4 Y 2 V s U m V m c m V z a C I g L z 4 8 R W 5 0 c n k g V H l w Z T 0 i R m l s b E N v b H V t b k 5 h b W V z I i B W Y W x 1 Z T 0 i c 1 s m c X V v d D t P Q k p F Q 1 R J R C Z x d W 9 0 O y w m c X V v d D t K b 2 l u X 0 N v d W 5 0 J n F 1 b 3 Q 7 L C Z x d W 9 0 O 1 R B U k d F V F 9 G S U Q m c X V v d D s s J n F 1 b 3 Q 7 S m 9 p b l 9 D b 3 V u d F 8 x J n F 1 b 3 Q 7 L C Z x d W 9 0 O 1 R B U k d F V F 9 G S U R f M S Z x d W 9 0 O y w m c X V v d D t U Q k R f S W 5 0 Y W N 0 b m V z c 1 9 V b m l v b l 9 G S U R f Q 0 F f V E l f R U V N U z J f M U t N X 0 R y Y W Z 0 X 1 V w Z G F 0 Z U Z S Q U d T V E F U U 1 9 2 J n F 1 b 3 Q 7 L C Z x d W 9 0 O 1 R C R F 9 J b n R h Y 3 R u Z X N z X 1 V u a W 9 u X 1 R J X 1 N D T 1 J F J n F 1 b 3 Q 7 L C Z x d W 9 0 O 1 R C R F 9 J b n R h Y 3 R u Z X N z X 1 V u a W 9 u X 0 Z J R F 9 k c z I 3 M z k m c X V v d D s s J n F 1 b 3 Q 7 V E J E X 0 l u d G F j d G 5 l c 3 N f V W 5 p b 2 5 f S G V 4 X 0 l E J n F 1 b 3 Q 7 L C Z x d W 9 0 O 1 R C R F 9 J b n R h Y 3 R u Z X N z X 1 V u a W 9 u X 0 J p b 1 J h b m t F Y 2 8 m c X V v d D s s J n F 1 b 3 Q 7 V E J E X 0 l u d G F j d G 5 l c 3 N f V W 5 p b 2 5 f Q m l v U 3 V t R W N v J n F 1 b 3 Q 7 L C Z x d W 9 0 O 1 R C R F 9 J b n R h Y 3 R u Z X N z X 1 V u a W 9 u X 0 J p b 1 J h b m t T V y Z x d W 9 0 O y w m c X V v d D t U Q k R f S W 5 0 Y W N 0 b m V z c 1 9 V b m l v b l 9 C a W 9 T d W 1 T V y Z x d W 9 0 O y w m c X V v d D t U Q k R f S W 5 0 Y W N 0 b m V z c 1 9 V b m l v b l 9 O d H Z S Y W 5 r R W N v J n F 1 b 3 Q 7 L C Z x d W 9 0 O 1 R C R F 9 J b n R h Y 3 R u Z X N z X 1 V u a W 9 u X 0 5 0 d l N 1 b U V j b y Z x d W 9 0 O y w m c X V v d D t U Q k R f S W 5 0 Y W N 0 b m V z c 1 9 V b m l v b l 9 O d H Z S Y W 5 r U 1 c m c X V v d D s s J n F 1 b 3 Q 7 V E J E X 0 l u d G F j d G 5 l c 3 N f V W 5 p b 2 5 f T n R 2 U 3 V t U 1 c m c X V v d D s s J n F 1 b 3 Q 7 V E J E X 0 l u d G F j d G 5 l c 3 N f V W 5 p b 2 5 f U m F y U m F u a 0 V j b y Z x d W 9 0 O y w m c X V v d D t U Q k R f S W 5 0 Y W N 0 b m V z c 1 9 V b m l v b l 9 S Y X J T d W 1 F Y 2 8 m c X V v d D s s J n F 1 b 3 Q 7 V E J E X 0 l u d G F j d G 5 l c 3 N f V W 5 p b 2 5 f U m F y U m F u a 1 N X J n F 1 b 3 Q 7 L C Z x d W 9 0 O 1 R C R F 9 J b n R h Y 3 R u Z X N z X 1 V u a W 9 u X 1 J h c l N 1 b V N X J n F 1 b 3 Q 7 L C Z x d W 9 0 O 1 R C R F 9 J b n R h Y 3 R u Z X N z X 1 V u a W 9 u X 1 J 3 a V J h b m t F Y 2 8 m c X V v d D s s J n F 1 b 3 Q 7 V E J E X 0 l u d G F j d G 5 l c 3 N f V W 5 p b 2 5 f U n d p T W F 4 R W N v J n F 1 b 3 Q 7 L C Z x d W 9 0 O 1 R C R F 9 J b n R h Y 3 R u Z X N z X 1 V u a W 9 u X 1 J 3 a V J h b m t T V y Z x d W 9 0 O y w m c X V v d D t U Q k R f S W 5 0 Y W N 0 b m V z c 1 9 V b m l v b l 9 S d 2 l N Y X h T V y Z x d W 9 0 O y w m c X V v d D t U Q k R f S W 5 0 Y W N 0 b m V z c 1 9 V b m l v b l 9 O Y X R p d m V D b 3 V u d C Z x d W 9 0 O y w m c X V v d D t U Q k R f S W 5 0 Y W N 0 b m V z c 1 9 V b m l v b l 9 O d H Z B b X B o J n F 1 b 3 Q 7 L C Z x d W 9 0 O 1 R C R F 9 J b n R h Y 3 R u Z X N z X 1 V u a W 9 u X 0 5 0 d l J l c H Q m c X V v d D s s J n F 1 b 3 Q 7 V E J E X 0 l u d G F j d G 5 l c 3 N f V W 5 p b 2 5 f T n R 2 Q m l y Z C Z x d W 9 0 O y w m c X V v d D t U Q k R f S W 5 0 Y W N 0 b m V z c 1 9 V b m l v b l 9 O d H Z N Y W 1 t J n F 1 b 3 Q 7 L C Z x d W 9 0 O 1 R C R F 9 J b n R h Y 3 R u Z X N z X 1 V u a W 9 u X 0 5 0 d l B s b n Q m c X V v d D s s J n F 1 b 3 Q 7 V E J E X 0 l u d G F j d G 5 l c 3 N f V W 5 p b 2 5 f R 2 F t Z U N v d W 5 0 J n F 1 b 3 Q 7 L C Z x d W 9 0 O 1 R C R F 9 J b n R h Y 3 R u Z X N z X 1 V u a W 9 u X 0 N s a W 1 W d W x D b 3 V u d C Z x d W 9 0 O y w m c X V v d D t U Q k R f S W 5 0 Y W N 0 b m V z c 1 9 V b m l v b l 9 S Y X J l Q 2 9 1 b n Q m c X V v d D s s J n F 1 b 3 Q 7 V E J E X 0 l u d G F j d G 5 l c 3 N f V W 5 p b 2 5 f U m F y Q W 1 w a C Z x d W 9 0 O y w m c X V v d D t U Q k R f S W 5 0 Y W N 0 b m V z c 1 9 V b m l v b l 9 S Y X J S Z X B 0 J n F 1 b 3 Q 7 L C Z x d W 9 0 O 1 R C R F 9 J b n R h Y 3 R u Z X N z X 1 V u a W 9 u X 1 J h c k J p c m Q m c X V v d D s s J n F 1 b 3 Q 7 V E J E X 0 l u d G F j d G 5 l c 3 N f V W 5 p b 2 5 f U m F y T W F t b S Z x d W 9 0 O y w m c X V v d D t U Q k R f S W 5 0 Y W N 0 b m V z c 1 9 V b m l v b l 9 S Y X J Q b G 5 0 J n F 1 b 3 Q 7 L C Z x d W 9 0 O 1 R C R F 9 J b n R h Y 3 R u Z X N z X 1 V u a W 9 u X 0 F s b F R h e G F F b m R l b S Z x d W 9 0 O y w m c X V v d D t U Q k R f S W 5 0 Y W N 0 b m V z c 1 9 V b m l v b l 9 B b X B o R W 5 k Z W 0 m c X V v d D s s J n F 1 b 3 Q 7 V E J E X 0 l u d G F j d G 5 l c 3 N f V W 5 p b 2 5 f U m V w d E V u Z G V t J n F 1 b 3 Q 7 L C Z x d W 9 0 O 1 R C R F 9 J b n R h Y 3 R u Z X N z X 1 V u a W 9 u X 0 J p c m R F b m R l b S Z x d W 9 0 O y w m c X V v d D t U Q k R f S W 5 0 Y W N 0 b m V z c 1 9 V b m l v b l 9 N Y W 1 t R W 5 k Z W 0 m c X V v d D s s J n F 1 b 3 Q 7 V E J E X 0 l u d G F j d G 5 l c 3 N f V W 5 p b 2 5 f U G x u d E V u Z G V t J n F 1 b 3 Q 7 L C Z x d W 9 0 O 1 R C R F 9 J b n R h Y 3 R u Z X N z X 1 V u a W 9 u X 0 V j b 1 9 T Z W N 0 J n F 1 b 3 Q 7 L C Z x d W 9 0 O 1 R C R F 9 J b n R h Y 3 R u Z X N z X 1 V u a W 9 u X 0 V j b 1 9 O Y W 1 l J n F 1 b 3 Q 7 L C Z x d W 9 0 O 1 R C R F 9 J b n R h Y 3 R u Z X N z X 1 V u a W 9 u X 0 p l c H N v b l 9 F Y 2 8 m c X V v d D s s J n F 1 b 3 Q 7 V E J E X 0 l u d G F j d G 5 l c 3 N f V W 5 p b 2 5 f Q 2 9 1 b n R 5 J n F 1 b 3 Q 7 L C Z x d W 9 0 O 1 R C R F 9 J b n R h Y 3 R u Z X N z X 1 V u a W 9 u X 0 1 P R E V M X 1 N D T 1 J F J n F 1 b 3 Q 7 L C Z x d W 9 0 O 1 R C R F 9 J b n R h Y 3 R u Z X N z X 1 V u a W 9 u X 0 F D U k V T J n F 1 b 3 Q 7 L C Z x d W 9 0 O 2 R z M j c z N F 9 P Q k p F Q 1 R J R C Z x d W 9 0 O y w m c X V v d D t k c z I 3 M z R f S G V 4 X 0 l E J n F 1 b 3 Q 7 L C Z x d W 9 0 O 2 R z M j c z N F 9 D b 2 5 u Z W N 0 a X Z p d H l f c m F u a y Z x d W 9 0 O y w m c X V v d D t k c z I 3 M z R f T G l u a 2 F n Z V 9 y Y W 5 r J n F 1 b 3 Q 7 L C Z x d W 9 0 O 2 R z M j c z N F 9 M a W 5 r Y W d l X 2 R h d G F z Z X R z J n F 1 b 3 Q 7 L C Z x d W 9 0 O 2 R z M j c z N F 9 O T E J f c m F u a y Z x d W 9 0 O y w m c X V v d D t k c z I 3 M z R f T k x C X 3 B j b n Q m c X V v d D s s J n F 1 b 3 Q 7 Z H M y N z M 0 X 1 N x X 0 1 p b G V z J n F 1 b 3 Q 7 L C Z x d W 9 0 O 2 R z M j c z N F 9 F Y 2 9 f U 2 V j d C Z x d W 9 0 O y w m c X V v d D t k c z I 3 M z R f R W N v X 0 5 h b W U m c X V v d D s s J n F 1 b 3 Q 7 Z H M y N z M 0 X 0 p l c H N v b l 9 F Y 2 8 m c X V v d D s s J n F 1 b 3 Q 7 Z H M y N z M 0 X 0 N v d W 5 0 e S Z x d W 9 0 O y w m c X V v d D t k c z I 3 M j F f T 0 J K R U N U S U Q m c X V v d D s s J n F 1 b 3 Q 7 Z H M y N z I x X 0 h l e F 9 J R C Z x d W 9 0 O y w m c X V v d D t k c z I 3 M j F f V G V y c k h h Y l J h b m s m c X V v d D s s J n F 1 b 3 Q 7 Z H M y N z I x X 1 R l c n J I Y W J T V 0 5 v c m 0 m c X V v d D s s J n F 1 b 3 Q 7 Z H M y N z I x X 1 R l c n J I Y W J U b 3 Q m c X V v d D s s J n F 1 b 3 Q 7 Z H M y N z I x X 1 J h c m V W Z W c m c X V v d D s s J n F 1 b 3 Q 7 Z H M y N z I x X 0 9 h a 1 d v b 2 R s Z C Z x d W 9 0 O y w m c X V v d D t k c z I 3 M j F f U m l w Y X J p Y W 4 m c X V v d D s s J n F 1 b 3 Q 7 Z H M y N z I x X 0 Z y Z X N o V 2 V 0 b G Q m c X V v d D s s J n F 1 b 3 Q 7 Z H M y N z I x X 0 1 l Y W R v d 0 Z F V y Z x d W 9 0 O y w m c X V v d D t k c z I 3 M j F f U G 9 u Z H M m c X V v d D s s J n F 1 b 3 Q 7 Z H M y N z I x X 1 N l Z X B T c H J p b m c m c X V v d D s s J n F 1 b 3 Q 7 Z H M y N z I x X 1 Z l c m 5 h b F B v b 2 w m c X V v d D s s J n F 1 b 3 Q 7 Z H M y N z I x X 1 N h b H R X Z X R s Z C Z x d W 9 0 O y w m c X V v d D t k c z I 3 M j F f R W N v X 1 N l Y 3 Q m c X V v d D s s J n F 1 b 3 Q 7 Z H M y N z I x X 0 V j b 1 9 O Y W 1 l J n F 1 b 3 Q 7 L C Z x d W 9 0 O 2 R z M j c y M V 9 K Z X B z b 2 5 f R W N v J n F 1 b 3 Q 7 L C Z x d W 9 0 O 2 R z M j c y M V 9 D b 3 V u d H k m c X V v d D s s J n F 1 b 3 Q 7 Z H M y N z E 1 X 0 9 C S k V D V E l E J n F 1 b 3 Q 7 L C Z x d W 9 0 O 2 R z M j c x N V 9 I Z X h f S U Q m c X V v d D s s J n F 1 b 3 Q 7 Z H M y N z E 1 X 1 J 3 a V J h b m t F Y 2 8 m c X V v d D s s J n F 1 b 3 Q 7 Z H M y N z E 1 X 1 J 3 a U 1 h e E V j b y Z x d W 9 0 O y w m c X V v d D t k c z I 3 M T V f U n d p U m F u a 1 N X J n F 1 b 3 Q 7 L C Z x d W 9 0 O 2 R z M j c x N V 9 S d 2 l N Y X h T V y Z x d W 9 0 O y w m c X V v d D t k c z I 3 M T V f Q W x s V G F 4 Y U V u Z G V t J n F 1 b 3 Q 7 L C Z x d W 9 0 O 2 R z M j c x N V 9 B b X B o R W 5 k Z W 0 m c X V v d D s s J n F 1 b 3 Q 7 Z H M y N z E 1 X 1 J l c H R F b m R l b S Z x d W 9 0 O y w m c X V v d D t k c z I 3 M T V f Q m l y Z E V u Z G V t J n F 1 b 3 Q 7 L C Z x d W 9 0 O 2 R z M j c x N V 9 N Y W 1 t R W 5 k Z W 0 m c X V v d D s s J n F 1 b 3 Q 7 Z H M y N z E 1 X 1 B s b n R F b m R l b S Z x d W 9 0 O y w m c X V v d D t k c z I 3 M T V f R W N v X 1 N l Y 3 Q m c X V v d D s s J n F 1 b 3 Q 7 Z H M y N z E 1 X 0 V j b 1 9 O Y W 1 l J n F 1 b 3 Q 7 L C Z x d W 9 0 O 2 R z M j c x N V 9 K Z X B z b 2 5 f R W N v J n F 1 b 3 Q 7 L C Z x d W 9 0 O 2 R z M j c x N V 9 D b 3 V u d H k m c X V v d D s s J n F 1 b 3 Q 7 T 0 J K R U N U S U R f M S Z x d W 9 0 O y w m c X V v d D t J R C Z x d W 9 0 O y w m c X V v d D t O Q U 1 F J n F 1 b 3 Q 7 L C Z x d W 9 0 O 0 N J V F k m c X V v d D s s J n F 1 b 3 Q 7 U 1 R B V E U m c X V v d D s s J n F 1 b 3 Q 7 W k l Q Q 0 9 E R S Z x d W 9 0 O y w m c X V v d D t D T 1 V O V F J Z J n F 1 b 3 Q 7 L C Z x d W 9 0 O 0 x J T k V T J n F 1 b 3 Q 7 L C Z x d W 9 0 O 0 1 B W F 9 W T 0 x U J n F 1 b 3 Q 7 L C Z x d W 9 0 O 0 1 J T l 9 W T 0 x U J n F 1 b 3 Q 7 L C Z x d W 9 0 O 0 1 B W F 9 J T k Z F U i Z x d W 9 0 O y w m c X V v d D t N S U 5 f S U 5 G R V I m c X V v d D s s J n F 1 b 3 Q 7 T E F U S V R V R E U m c X V v d D s s J n F 1 b 3 Q 7 T E 9 O R 0 l U V U R F J n F 1 b 3 Q 7 L C Z x d W 9 0 O 0 1 F V E h P R C Z x d W 9 0 O y w m c X V v d D t E Q V R F J n F 1 b 3 Q 7 L C Z x d W 9 0 O 1 N P V V J D R S Z x d W 9 0 O y w m c X V v d D t T d W J z d G F 0 a W 9 u X 0 l E J n F 1 b 3 Q 7 L C Z x d W 9 0 O 1 N 1 Y n N 0 Y X R p b 2 5 f T m F t Z S Z x d W 9 0 O y w m c X V v d D t B b G l h c y Z x d W 9 0 O y w m c X V v d D t T d G F 0 d X M m c X V v d D s s J n F 1 b 3 Q 7 T 3 d u Z X I m c X V v d D s s J n F 1 b 3 Q 7 T W F w X 0 9 3 b m V y J n F 1 b 3 Q 7 L C Z x d W 9 0 O 0 1 h c F 9 Q Y X J 0 J n F 1 b 3 Q 7 L C Z x d W 9 0 O 0 V u Z 2 l u Z W V y a W 5 n X 0 l E J n F 1 b 3 Q 7 L C Z x d W 9 0 O 2 t W X z E y X 1 R P X z M y J n F 1 b 3 Q 7 L C Z x d W 9 0 O 2 t W X z M z X 1 R P X z k y J n F 1 b 3 Q 7 L C Z x d W 9 0 O 2 t W X z E x M F 9 U T 1 8 x N j E m c X V v d D s s J n F 1 b 3 Q 7 a 1 Z f M j I w X 1 R v X z I 4 N y Z x d W 9 0 O y w m c X V v d D t r V l 8 z N D V f V G 9 f N T A w J n F 1 b 3 Q 7 L C Z x d W 9 0 O 2 t W X z U w M F 9 E Q y Z x d W 9 0 O y w m c X V v d D t I a W d o Z X N 0 X 2 t W J n F 1 b 3 Q 7 L C Z x d W 9 0 O 1 B v c 3 R h b F 9 D a X R 5 J n F 1 b 3 Q 7 L C Z x d W 9 0 O 0 N v d W 5 0 e S Z x d W 9 0 O y w m c X V v d D t a a X B f Q 2 9 k Z S Z x d W 9 0 O y w m c X V v d D t M b 2 5 n a X R 1 d G U m c X V v d D s s J n F 1 b 3 Q 7 Q 2 9 t b W V u d H M m c X V v d D s s J n F 1 b 3 Q 7 Q 3 J l Y X R v c i Z x d W 9 0 O y w m c X V v d D t D c m V h d G 9 y X 0 R h d G U m c X V v d D s s J n F 1 b 3 Q 7 T G F z d F 9 F Z G l 0 b 3 I m c X V v d D s s J n F 1 b 3 Q 7 T G F z d F 9 F Z G l 0 b 3 J f R G F 0 Z S Z x d W 9 0 O y w m c X V v d D t J U l B f R 0 V P J n F 1 b 3 Q 7 L C Z x d W 9 0 O 0 l S U F 9 X S U 5 E J n F 1 b 3 Q 7 L C Z x d W 9 0 O 0 l S U F 9 T T 0 F M U i Z x d W 9 0 O y w m c X V v d D t C V U Z G X 0 R J U 1 Q m c X V v d D s s J n F 1 b 3 Q 7 T 1 J J R 1 9 G S U Q m c X V v d D s s J n F 1 b 3 Q 7 U 2 h h c G V f T G V u Z 3 R o X z E m c X V v d D s s J n F 1 b 3 Q 7 U 2 h h c G V f Q X J l Y V 8 x J n F 1 b 3 Q 7 L C Z x d W 9 0 O 0 V s Z W N 0 c m l j Y W w m c X V v d D s s J n F 1 b 3 Q 7 R m F s b H N X a X R o a S Z x d W 9 0 O y w m c X V v d D t G Y W x s c 1 d p d F 8 x J n F 1 b 3 Q 7 L C Z x d W 9 0 O 1 N o Y X B l X 0 x l b m c m c X V v d D s s J n F 1 b 3 Q 7 U 2 h h c G V f Q X J l Y V 8 x M i Z x d W 9 0 O y w m c X V v d D t T a G F w Z V 9 M Z W 5 n d G g m c X V v d D s s J n F 1 b 3 Q 7 U 2 h h c G V f Q X J l Y S Z x d W 9 0 O 1 0 i I C 8 + P E V u d H J 5 I F R 5 c G U 9 I k Z p b G x D b 2 x 1 b W 5 U e X B l c y I g V m F s d W U 9 I n N B d 0 1 E Q X d N R E F 3 T U R B d 1 V E Q l F N R k F 3 V U R C U U 1 G Q X d V R E J R T U R B d 0 1 E Q X d N R E F 3 T U R B d 0 1 E Q X d N R E F 3 T U R C Z 1 l H Q m d N R k F 3 T U R B d 1 l E Q l F V R 0 J n W U d B d 0 1 E Q l F N R 0 J n W U R C Z 1 l H Q m d Z R 0 J n W U d B d 0 1 E Q l F N R k F 3 T U R B d 0 1 E Q m d Z R 0 J n T U d C Z 1 l H Q m d Z R 0 J n W U d C Z 1 V H Q m d Z R 0 J n W U d C Z 1 l H Q m d Z R 0 J n W U d C Z 1 l H Q m d Z R E J R W U d C d 1 l I Q m d Z R 0 J R T U Z C U V l H Q m d V R k J R V T 0 i I C 8 + P E V u d H J 5 I F R 5 c G U 9 I k Z p b G x M Y X N 0 V X B k Y X R l Z C I g V m F s d W U 9 I m Q y M D E 5 L T E y L T I w V D E 0 O j E 1 O j Q 2 L j E 0 M T A 4 M D B a I i A v P j x F b n R y e S B U e X B l P S J G a W x s R X J y b 3 J D b 3 V u d C I g V m F s d W U 9 I m w w I i A v P j x F b n R y e S B U e X B l P S J G a W x s R X J y b 3 J D b 2 R l I i B W Y W x 1 Z T 0 i c 1 V u a 2 5 v d 2 4 i I C 8 + P E V u d H J 5 I F R 5 c G U 9 I k Z p b G x D b 3 V u d C I g V m F s d W U 9 I m w w I i A v P j x F b n R y e S B U e X B l P S J B Z G R l Z F R v R G F 0 Y U 1 v Z G V s I i B W Y W x 1 Z T 0 i b D A i I C 8 + P E V u d H J 5 I F R 5 c G U 9 I l J l b G F 0 a W 9 u c 2 h p c E l u Z m 9 D b 2 5 0 Y W l u Z X I i I F Z h b H V l P S J z e y Z x d W 9 0 O 2 N v b H V t b k N v d W 5 0 J n F 1 b 3 Q 7 O j E 1 M i w m c X V v d D t r Z X l D b 2 x 1 b W 5 O Y W 1 l c y Z x d W 9 0 O z p b X S w m c X V v d D t x d W V y e V J l b G F 0 a W 9 u c 2 h p c H M m c X V v d D s 6 W 1 0 s J n F 1 b 3 Q 7 Y 2 9 s d W 1 u S W R l b n R p d G l l c y Z x d W 9 0 O z p b J n F 1 b 3 Q 7 U 2 V j d G l v b j E v U 0 9 M Q V J f U l N Q X z E y M T A y M D E 5 L 0 N o Y W 5 n Z W Q g V H l w Z S 5 7 T 0 J K R U N U S U Q s M H 0 m c X V v d D s s J n F 1 b 3 Q 7 U 2 V j d G l v b j E v U 0 9 M Q V J f U l N Q X z E y M T A y M D E 5 L 0 N o Y W 5 n Z W Q g V H l w Z S 5 7 S m 9 p b l 9 D b 3 V u d C w x f S Z x d W 9 0 O y w m c X V v d D t T Z W N 0 a W 9 u M S 9 T T 0 x B U l 9 S U 1 B f M T I x M D I w M T k v Q 2 h h b m d l Z C B U e X B l L n t U Q V J H R V R f R k l E L D J 9 J n F 1 b 3 Q 7 L C Z x d W 9 0 O 1 N l Y 3 R p b 2 4 x L 1 N P T E F S X 1 J T U F 8 x M j E w M j A x O S 9 D a G F u Z 2 V k I F R 5 c G U u e 0 p v a W 5 f Q 2 9 1 b n R f M S w z f S Z x d W 9 0 O y w m c X V v d D t T Z W N 0 a W 9 u M S 9 T T 0 x B U l 9 S U 1 B f M T I x M D I w M T k v Q 2 h h b m d l Z C B U e X B l L n t U Q V J H R V R f R k l E X z E s N H 0 m c X V v d D s s J n F 1 b 3 Q 7 U 2 V j d G l v b j E v U 0 9 M Q V J f U l N Q X z E y M T A y M D E 5 L 0 N o Y W 5 n Z W Q g V H l w Z S 5 7 V E J E X 0 l u d G F j d G 5 l c 3 N f V W 5 p b 2 5 f R k l E X 0 N B X 1 R J X 0 V F T V M y X z F L T V 9 E c m F m d F 9 V c G R h d G V G U k F H U 1 R B V F N f d i w 1 f S Z x d W 9 0 O y w m c X V v d D t T Z W N 0 a W 9 u M S 9 T T 0 x B U l 9 S U 1 B f M T I x M D I w M T k v Q 2 h h b m d l Z C B U e X B l L n t U Q k R f S W 5 0 Y W N 0 b m V z c 1 9 V b m l v b l 9 U S V 9 T Q 0 9 S R S w 2 f S Z x d W 9 0 O y w m c X V v d D t T Z W N 0 a W 9 u M S 9 T T 0 x B U l 9 S U 1 B f M T I x M D I w M T k v Q 2 h h b m d l Z C B U e X B l L n t U Q k R f S W 5 0 Y W N 0 b m V z c 1 9 V b m l v b l 9 G S U R f Z H M y N z M 5 L D d 9 J n F 1 b 3 Q 7 L C Z x d W 9 0 O 1 N l Y 3 R p b 2 4 x L 1 N P T E F S X 1 J T U F 8 x M j E w M j A x O S 9 D a G F u Z 2 V k I F R 5 c G U u e 1 R C R F 9 J b n R h Y 3 R u Z X N z X 1 V u a W 9 u X 0 h l e F 9 J R C w 4 f S Z x d W 9 0 O y w m c X V v d D t T Z W N 0 a W 9 u M S 9 T T 0 x B U l 9 S U 1 B f M T I x M D I w M T k v Q 2 h h b m d l Z C B U e X B l L n t U Q k R f S W 5 0 Y W N 0 b m V z c 1 9 V b m l v b l 9 C a W 9 S Y W 5 r R W N v L D l 9 J n F 1 b 3 Q 7 L C Z x d W 9 0 O 1 N l Y 3 R p b 2 4 x L 1 N P T E F S X 1 J T U F 8 x M j E w M j A x O S 9 D a G F u Z 2 V k I F R 5 c G U u e 1 R C R F 9 J b n R h Y 3 R u Z X N z X 1 V u a W 9 u X 0 J p b 1 N 1 b U V j b y w x M H 0 m c X V v d D s s J n F 1 b 3 Q 7 U 2 V j d G l v b j E v U 0 9 M Q V J f U l N Q X z E y M T A y M D E 5 L 0 N o Y W 5 n Z W Q g V H l w Z S 5 7 V E J E X 0 l u d G F j d G 5 l c 3 N f V W 5 p b 2 5 f Q m l v U m F u a 1 N X L D E x f S Z x d W 9 0 O y w m c X V v d D t T Z W N 0 a W 9 u M S 9 T T 0 x B U l 9 S U 1 B f M T I x M D I w M T k v Q 2 h h b m d l Z C B U e X B l L n t U Q k R f S W 5 0 Y W N 0 b m V z c 1 9 V b m l v b l 9 C a W 9 T d W 1 T V y w x M n 0 m c X V v d D s s J n F 1 b 3 Q 7 U 2 V j d G l v b j E v U 0 9 M Q V J f U l N Q X z E y M T A y M D E 5 L 0 N o Y W 5 n Z W Q g V H l w Z S 5 7 V E J E X 0 l u d G F j d G 5 l c 3 N f V W 5 p b 2 5 f T n R 2 U m F u a 0 V j b y w x M 3 0 m c X V v d D s s J n F 1 b 3 Q 7 U 2 V j d G l v b j E v U 0 9 M Q V J f U l N Q X z E y M T A y M D E 5 L 0 N o Y W 5 n Z W Q g V H l w Z S 5 7 V E J E X 0 l u d G F j d G 5 l c 3 N f V W 5 p b 2 5 f T n R 2 U 3 V t R W N v L D E 0 f S Z x d W 9 0 O y w m c X V v d D t T Z W N 0 a W 9 u M S 9 T T 0 x B U l 9 S U 1 B f M T I x M D I w M T k v Q 2 h h b m d l Z C B U e X B l L n t U Q k R f S W 5 0 Y W N 0 b m V z c 1 9 V b m l v b l 9 O d H Z S Y W 5 r U 1 c s M T V 9 J n F 1 b 3 Q 7 L C Z x d W 9 0 O 1 N l Y 3 R p b 2 4 x L 1 N P T E F S X 1 J T U F 8 x M j E w M j A x O S 9 D a G F u Z 2 V k I F R 5 c G U u e 1 R C R F 9 J b n R h Y 3 R u Z X N z X 1 V u a W 9 u X 0 5 0 d l N 1 b V N X L D E 2 f S Z x d W 9 0 O y w m c X V v d D t T Z W N 0 a W 9 u M S 9 T T 0 x B U l 9 S U 1 B f M T I x M D I w M T k v Q 2 h h b m d l Z C B U e X B l L n t U Q k R f S W 5 0 Y W N 0 b m V z c 1 9 V b m l v b l 9 S Y X J S Y W 5 r R W N v L D E 3 f S Z x d W 9 0 O y w m c X V v d D t T Z W N 0 a W 9 u M S 9 T T 0 x B U l 9 S U 1 B f M T I x M D I w M T k v Q 2 h h b m d l Z C B U e X B l L n t U Q k R f S W 5 0 Y W N 0 b m V z c 1 9 V b m l v b l 9 S Y X J T d W 1 F Y 2 8 s M T h 9 J n F 1 b 3 Q 7 L C Z x d W 9 0 O 1 N l Y 3 R p b 2 4 x L 1 N P T E F S X 1 J T U F 8 x M j E w M j A x O S 9 D a G F u Z 2 V k I F R 5 c G U u e 1 R C R F 9 J b n R h Y 3 R u Z X N z X 1 V u a W 9 u X 1 J h c l J h b m t T V y w x O X 0 m c X V v d D s s J n F 1 b 3 Q 7 U 2 V j d G l v b j E v U 0 9 M Q V J f U l N Q X z E y M T A y M D E 5 L 0 N o Y W 5 n Z W Q g V H l w Z S 5 7 V E J E X 0 l u d G F j d G 5 l c 3 N f V W 5 p b 2 5 f U m F y U 3 V t U 1 c s M j B 9 J n F 1 b 3 Q 7 L C Z x d W 9 0 O 1 N l Y 3 R p b 2 4 x L 1 N P T E F S X 1 J T U F 8 x M j E w M j A x O S 9 D a G F u Z 2 V k I F R 5 c G U u e 1 R C R F 9 J b n R h Y 3 R u Z X N z X 1 V u a W 9 u X 1 J 3 a V J h b m t F Y 2 8 s M j F 9 J n F 1 b 3 Q 7 L C Z x d W 9 0 O 1 N l Y 3 R p b 2 4 x L 1 N P T E F S X 1 J T U F 8 x M j E w M j A x O S 9 D a G F u Z 2 V k I F R 5 c G U u e 1 R C R F 9 J b n R h Y 3 R u Z X N z X 1 V u a W 9 u X 1 J 3 a U 1 h e E V j b y w y M n 0 m c X V v d D s s J n F 1 b 3 Q 7 U 2 V j d G l v b j E v U 0 9 M Q V J f U l N Q X z E y M T A y M D E 5 L 0 N o Y W 5 n Z W Q g V H l w Z S 5 7 V E J E X 0 l u d G F j d G 5 l c 3 N f V W 5 p b 2 5 f U n d p U m F u a 1 N X L D I z f S Z x d W 9 0 O y w m c X V v d D t T Z W N 0 a W 9 u M S 9 T T 0 x B U l 9 S U 1 B f M T I x M D I w M T k v Q 2 h h b m d l Z C B U e X B l L n t U Q k R f S W 5 0 Y W N 0 b m V z c 1 9 V b m l v b l 9 S d 2 l N Y X h T V y w y N H 0 m c X V v d D s s J n F 1 b 3 Q 7 U 2 V j d G l v b j E v U 0 9 M Q V J f U l N Q X z E y M T A y M D E 5 L 0 N o Y W 5 n Z W Q g V H l w Z S 5 7 V E J E X 0 l u d G F j d G 5 l c 3 N f V W 5 p b 2 5 f T m F 0 a X Z l Q 2 9 1 b n Q s M j V 9 J n F 1 b 3 Q 7 L C Z x d W 9 0 O 1 N l Y 3 R p b 2 4 x L 1 N P T E F S X 1 J T U F 8 x M j E w M j A x O S 9 D a G F u Z 2 V k I F R 5 c G U u e 1 R C R F 9 J b n R h Y 3 R u Z X N z X 1 V u a W 9 u X 0 5 0 d k F t c G g s M j Z 9 J n F 1 b 3 Q 7 L C Z x d W 9 0 O 1 N l Y 3 R p b 2 4 x L 1 N P T E F S X 1 J T U F 8 x M j E w M j A x O S 9 D a G F u Z 2 V k I F R 5 c G U u e 1 R C R F 9 J b n R h Y 3 R u Z X N z X 1 V u a W 9 u X 0 5 0 d l J l c H Q s M j d 9 J n F 1 b 3 Q 7 L C Z x d W 9 0 O 1 N l Y 3 R p b 2 4 x L 1 N P T E F S X 1 J T U F 8 x M j E w M j A x O S 9 D a G F u Z 2 V k I F R 5 c G U u e 1 R C R F 9 J b n R h Y 3 R u Z X N z X 1 V u a W 9 u X 0 5 0 d k J p c m Q s M j h 9 J n F 1 b 3 Q 7 L C Z x d W 9 0 O 1 N l Y 3 R p b 2 4 x L 1 N P T E F S X 1 J T U F 8 x M j E w M j A x O S 9 D a G F u Z 2 V k I F R 5 c G U u e 1 R C R F 9 J b n R h Y 3 R u Z X N z X 1 V u a W 9 u X 0 5 0 d k 1 h b W 0 s M j l 9 J n F 1 b 3 Q 7 L C Z x d W 9 0 O 1 N l Y 3 R p b 2 4 x L 1 N P T E F S X 1 J T U F 8 x M j E w M j A x O S 9 D a G F u Z 2 V k I F R 5 c G U u e 1 R C R F 9 J b n R h Y 3 R u Z X N z X 1 V u a W 9 u X 0 5 0 d l B s b n Q s M z B 9 J n F 1 b 3 Q 7 L C Z x d W 9 0 O 1 N l Y 3 R p b 2 4 x L 1 N P T E F S X 1 J T U F 8 x M j E w M j A x O S 9 D a G F u Z 2 V k I F R 5 c G U u e 1 R C R F 9 J b n R h Y 3 R u Z X N z X 1 V u a W 9 u X 0 d h b W V D b 3 V u d C w z M X 0 m c X V v d D s s J n F 1 b 3 Q 7 U 2 V j d G l v b j E v U 0 9 M Q V J f U l N Q X z E y M T A y M D E 5 L 0 N o Y W 5 n Z W Q g V H l w Z S 5 7 V E J E X 0 l u d G F j d G 5 l c 3 N f V W 5 p b 2 5 f Q 2 x p b V Z 1 b E N v d W 5 0 L D M y f S Z x d W 9 0 O y w m c X V v d D t T Z W N 0 a W 9 u M S 9 T T 0 x B U l 9 S U 1 B f M T I x M D I w M T k v Q 2 h h b m d l Z C B U e X B l L n t U Q k R f S W 5 0 Y W N 0 b m V z c 1 9 V b m l v b l 9 S Y X J l Q 2 9 1 b n Q s M z N 9 J n F 1 b 3 Q 7 L C Z x d W 9 0 O 1 N l Y 3 R p b 2 4 x L 1 N P T E F S X 1 J T U F 8 x M j E w M j A x O S 9 D a G F u Z 2 V k I F R 5 c G U u e 1 R C R F 9 J b n R h Y 3 R u Z X N z X 1 V u a W 9 u X 1 J h c k F t c G g s M z R 9 J n F 1 b 3 Q 7 L C Z x d W 9 0 O 1 N l Y 3 R p b 2 4 x L 1 N P T E F S X 1 J T U F 8 x M j E w M j A x O S 9 D a G F u Z 2 V k I F R 5 c G U u e 1 R C R F 9 J b n R h Y 3 R u Z X N z X 1 V u a W 9 u X 1 J h c l J l c H Q s M z V 9 J n F 1 b 3 Q 7 L C Z x d W 9 0 O 1 N l Y 3 R p b 2 4 x L 1 N P T E F S X 1 J T U F 8 x M j E w M j A x O S 9 D a G F u Z 2 V k I F R 5 c G U u e 1 R C R F 9 J b n R h Y 3 R u Z X N z X 1 V u a W 9 u X 1 J h c k J p c m Q s M z Z 9 J n F 1 b 3 Q 7 L C Z x d W 9 0 O 1 N l Y 3 R p b 2 4 x L 1 N P T E F S X 1 J T U F 8 x M j E w M j A x O S 9 D a G F u Z 2 V k I F R 5 c G U u e 1 R C R F 9 J b n R h Y 3 R u Z X N z X 1 V u a W 9 u X 1 J h c k 1 h b W 0 s M z d 9 J n F 1 b 3 Q 7 L C Z x d W 9 0 O 1 N l Y 3 R p b 2 4 x L 1 N P T E F S X 1 J T U F 8 x M j E w M j A x O S 9 D a G F u Z 2 V k I F R 5 c G U u e 1 R C R F 9 J b n R h Y 3 R u Z X N z X 1 V u a W 9 u X 1 J h c l B s b n Q s M z h 9 J n F 1 b 3 Q 7 L C Z x d W 9 0 O 1 N l Y 3 R p b 2 4 x L 1 N P T E F S X 1 J T U F 8 x M j E w M j A x O S 9 D a G F u Z 2 V k I F R 5 c G U u e 1 R C R F 9 J b n R h Y 3 R u Z X N z X 1 V u a W 9 u X 0 F s b F R h e G F F b m R l b S w z O X 0 m c X V v d D s s J n F 1 b 3 Q 7 U 2 V j d G l v b j E v U 0 9 M Q V J f U l N Q X z E y M T A y M D E 5 L 0 N o Y W 5 n Z W Q g V H l w Z S 5 7 V E J E X 0 l u d G F j d G 5 l c 3 N f V W 5 p b 2 5 f Q W 1 w a E V u Z G V t L D Q w f S Z x d W 9 0 O y w m c X V v d D t T Z W N 0 a W 9 u M S 9 T T 0 x B U l 9 S U 1 B f M T I x M D I w M T k v Q 2 h h b m d l Z C B U e X B l L n t U Q k R f S W 5 0 Y W N 0 b m V z c 1 9 V b m l v b l 9 S Z X B 0 R W 5 k Z W 0 s N D F 9 J n F 1 b 3 Q 7 L C Z x d W 9 0 O 1 N l Y 3 R p b 2 4 x L 1 N P T E F S X 1 J T U F 8 x M j E w M j A x O S 9 D a G F u Z 2 V k I F R 5 c G U u e 1 R C R F 9 J b n R h Y 3 R u Z X N z X 1 V u a W 9 u X 0 J p c m R F b m R l b S w 0 M n 0 m c X V v d D s s J n F 1 b 3 Q 7 U 2 V j d G l v b j E v U 0 9 M Q V J f U l N Q X z E y M T A y M D E 5 L 0 N o Y W 5 n Z W Q g V H l w Z S 5 7 V E J E X 0 l u d G F j d G 5 l c 3 N f V W 5 p b 2 5 f T W F t b U V u Z G V t L D Q z f S Z x d W 9 0 O y w m c X V v d D t T Z W N 0 a W 9 u M S 9 T T 0 x B U l 9 S U 1 B f M T I x M D I w M T k v Q 2 h h b m d l Z C B U e X B l L n t U Q k R f S W 5 0 Y W N 0 b m V z c 1 9 V b m l v b l 9 Q b G 5 0 R W 5 k Z W 0 s N D R 9 J n F 1 b 3 Q 7 L C Z x d W 9 0 O 1 N l Y 3 R p b 2 4 x L 1 N P T E F S X 1 J T U F 8 x M j E w M j A x O S 9 D a G F u Z 2 V k I F R 5 c G U u e 1 R C R F 9 J b n R h Y 3 R u Z X N z X 1 V u a W 9 u X 0 V j b 1 9 T Z W N 0 L D Q 1 f S Z x d W 9 0 O y w m c X V v d D t T Z W N 0 a W 9 u M S 9 T T 0 x B U l 9 S U 1 B f M T I x M D I w M T k v Q 2 h h b m d l Z C B U e X B l L n t U Q k R f S W 5 0 Y W N 0 b m V z c 1 9 V b m l v b l 9 F Y 2 9 f T m F t Z S w 0 N n 0 m c X V v d D s s J n F 1 b 3 Q 7 U 2 V j d G l v b j E v U 0 9 M Q V J f U l N Q X z E y M T A y M D E 5 L 0 N o Y W 5 n Z W Q g V H l w Z S 5 7 V E J E X 0 l u d G F j d G 5 l c 3 N f V W 5 p b 2 5 f S m V w c 2 9 u X 0 V j b y w 0 N 3 0 m c X V v d D s s J n F 1 b 3 Q 7 U 2 V j d G l v b j E v U 0 9 M Q V J f U l N Q X z E y M T A y M D E 5 L 0 N o Y W 5 n Z W Q g V H l w Z S 5 7 V E J E X 0 l u d G F j d G 5 l c 3 N f V W 5 p b 2 5 f Q 2 9 1 b n R 5 L D Q 4 f S Z x d W 9 0 O y w m c X V v d D t T Z W N 0 a W 9 u M S 9 T T 0 x B U l 9 S U 1 B f M T I x M D I w M T k v Q 2 h h b m d l Z C B U e X B l L n t U Q k R f S W 5 0 Y W N 0 b m V z c 1 9 V b m l v b l 9 N T 0 R F T F 9 T Q 0 9 S R S w 0 O X 0 m c X V v d D s s J n F 1 b 3 Q 7 U 2 V j d G l v b j E v U 0 9 M Q V J f U l N Q X z E y M T A y M D E 5 L 0 N o Y W 5 n Z W Q g V H l w Z S 5 7 V E J E X 0 l u d G F j d G 5 l c 3 N f V W 5 p b 2 5 f Q U N S R V M s N T B 9 J n F 1 b 3 Q 7 L C Z x d W 9 0 O 1 N l Y 3 R p b 2 4 x L 1 N P T E F S X 1 J T U F 8 x M j E w M j A x O S 9 D a G F u Z 2 V k I F R 5 c G U u e 2 R z M j c z N F 9 P Q k p F Q 1 R J R C w 1 M X 0 m c X V v d D s s J n F 1 b 3 Q 7 U 2 V j d G l v b j E v U 0 9 M Q V J f U l N Q X z E y M T A y M D E 5 L 0 N o Y W 5 n Z W Q g V H l w Z S 5 7 Z H M y N z M 0 X 0 h l e F 9 J R C w 1 M n 0 m c X V v d D s s J n F 1 b 3 Q 7 U 2 V j d G l v b j E v U 0 9 M Q V J f U l N Q X z E y M T A y M D E 5 L 0 N o Y W 5 n Z W Q g V H l w Z S 5 7 Z H M y N z M 0 X 0 N v b m 5 l Y 3 R p d m l 0 e V 9 y Y W 5 r L D U z f S Z x d W 9 0 O y w m c X V v d D t T Z W N 0 a W 9 u M S 9 T T 0 x B U l 9 S U 1 B f M T I x M D I w M T k v Q 2 h h b m d l Z C B U e X B l L n t k c z I 3 M z R f T G l u a 2 F n Z V 9 y Y W 5 r L D U 0 f S Z x d W 9 0 O y w m c X V v d D t T Z W N 0 a W 9 u M S 9 T T 0 x B U l 9 S U 1 B f M T I x M D I w M T k v Q 2 h h b m d l Z C B U e X B l L n t k c z I 3 M z R f T G l u a 2 F n Z V 9 k Y X R h c 2 V 0 c y w 1 N X 0 m c X V v d D s s J n F 1 b 3 Q 7 U 2 V j d G l v b j E v U 0 9 M Q V J f U l N Q X z E y M T A y M D E 5 L 0 N o Y W 5 n Z W Q g V H l w Z S 5 7 Z H M y N z M 0 X 0 5 M Q l 9 y Y W 5 r L D U 2 f S Z x d W 9 0 O y w m c X V v d D t T Z W N 0 a W 9 u M S 9 T T 0 x B U l 9 S U 1 B f M T I x M D I w M T k v Q 2 h h b m d l Z C B U e X B l L n t k c z I 3 M z R f T k x C X 3 B j b n Q s N T d 9 J n F 1 b 3 Q 7 L C Z x d W 9 0 O 1 N l Y 3 R p b 2 4 x L 1 N P T E F S X 1 J T U F 8 x M j E w M j A x O S 9 D a G F u Z 2 V k I F R 5 c G U u e 2 R z M j c z N F 9 T c V 9 N a W x l c y w 1 O H 0 m c X V v d D s s J n F 1 b 3 Q 7 U 2 V j d G l v b j E v U 0 9 M Q V J f U l N Q X z E y M T A y M D E 5 L 0 N o Y W 5 n Z W Q g V H l w Z S 5 7 Z H M y N z M 0 X 0 V j b 1 9 T Z W N 0 L D U 5 f S Z x d W 9 0 O y w m c X V v d D t T Z W N 0 a W 9 u M S 9 T T 0 x B U l 9 S U 1 B f M T I x M D I w M T k v Q 2 h h b m d l Z C B U e X B l L n t k c z I 3 M z R f R W N v X 0 5 h b W U s N j B 9 J n F 1 b 3 Q 7 L C Z x d W 9 0 O 1 N l Y 3 R p b 2 4 x L 1 N P T E F S X 1 J T U F 8 x M j E w M j A x O S 9 D a G F u Z 2 V k I F R 5 c G U u e 2 R z M j c z N F 9 K Z X B z b 2 5 f R W N v L D Y x f S Z x d W 9 0 O y w m c X V v d D t T Z W N 0 a W 9 u M S 9 T T 0 x B U l 9 S U 1 B f M T I x M D I w M T k v Q 2 h h b m d l Z C B U e X B l L n t k c z I 3 M z R f Q 2 9 1 b n R 5 L D Y y f S Z x d W 9 0 O y w m c X V v d D t T Z W N 0 a W 9 u M S 9 T T 0 x B U l 9 S U 1 B f M T I x M D I w M T k v Q 2 h h b m d l Z C B U e X B l L n t k c z I 3 M j F f T 0 J K R U N U S U Q s N j N 9 J n F 1 b 3 Q 7 L C Z x d W 9 0 O 1 N l Y 3 R p b 2 4 x L 1 N P T E F S X 1 J T U F 8 x M j E w M j A x O S 9 D a G F u Z 2 V k I F R 5 c G U u e 2 R z M j c y M V 9 I Z X h f S U Q s N j R 9 J n F 1 b 3 Q 7 L C Z x d W 9 0 O 1 N l Y 3 R p b 2 4 x L 1 N P T E F S X 1 J T U F 8 x M j E w M j A x O S 9 D a G F u Z 2 V k I F R 5 c G U u e 2 R z M j c y M V 9 U Z X J y S G F i U m F u a y w 2 N X 0 m c X V v d D s s J n F 1 b 3 Q 7 U 2 V j d G l v b j E v U 0 9 M Q V J f U l N Q X z E y M T A y M D E 5 L 0 N o Y W 5 n Z W Q g V H l w Z S 5 7 Z H M y N z I x X 1 R l c n J I Y W J T V 0 5 v c m 0 s N j Z 9 J n F 1 b 3 Q 7 L C Z x d W 9 0 O 1 N l Y 3 R p b 2 4 x L 1 N P T E F S X 1 J T U F 8 x M j E w M j A x O S 9 D a G F u Z 2 V k I F R 5 c G U u e 2 R z M j c y M V 9 U Z X J y S G F i V G 9 0 L D Y 3 f S Z x d W 9 0 O y w m c X V v d D t T Z W N 0 a W 9 u M S 9 T T 0 x B U l 9 S U 1 B f M T I x M D I w M T k v Q 2 h h b m d l Z C B U e X B l L n t k c z I 3 M j F f U m F y Z V Z l Z y w 2 O H 0 m c X V v d D s s J n F 1 b 3 Q 7 U 2 V j d G l v b j E v U 0 9 M Q V J f U l N Q X z E y M T A y M D E 5 L 0 N o Y W 5 n Z W Q g V H l w Z S 5 7 Z H M y N z I x X 0 9 h a 1 d v b 2 R s Z C w 2 O X 0 m c X V v d D s s J n F 1 b 3 Q 7 U 2 V j d G l v b j E v U 0 9 M Q V J f U l N Q X z E y M T A y M D E 5 L 0 N o Y W 5 n Z W Q g V H l w Z S 5 7 Z H M y N z I x X 1 J p c G F y a W F u L D c w f S Z x d W 9 0 O y w m c X V v d D t T Z W N 0 a W 9 u M S 9 T T 0 x B U l 9 S U 1 B f M T I x M D I w M T k v Q 2 h h b m d l Z C B U e X B l L n t k c z I 3 M j F f R n J l c 2 h X Z X R s Z C w 3 M X 0 m c X V v d D s s J n F 1 b 3 Q 7 U 2 V j d G l v b j E v U 0 9 M Q V J f U l N Q X z E y M T A y M D E 5 L 0 N o Y W 5 n Z W Q g V H l w Z S 5 7 Z H M y N z I x X 0 1 l Y W R v d 0 Z F V y w 3 M n 0 m c X V v d D s s J n F 1 b 3 Q 7 U 2 V j d G l v b j E v U 0 9 M Q V J f U l N Q X z E y M T A y M D E 5 L 0 N o Y W 5 n Z W Q g V H l w Z S 5 7 Z H M y N z I x X 1 B v b m R z L D c z f S Z x d W 9 0 O y w m c X V v d D t T Z W N 0 a W 9 u M S 9 T T 0 x B U l 9 S U 1 B f M T I x M D I w M T k v Q 2 h h b m d l Z C B U e X B l L n t k c z I 3 M j F f U 2 V l c F N w c m l u Z y w 3 N H 0 m c X V v d D s s J n F 1 b 3 Q 7 U 2 V j d G l v b j E v U 0 9 M Q V J f U l N Q X z E y M T A y M D E 5 L 0 N o Y W 5 n Z W Q g V H l w Z S 5 7 Z H M y N z I x X 1 Z l c m 5 h b F B v b 2 w s N z V 9 J n F 1 b 3 Q 7 L C Z x d W 9 0 O 1 N l Y 3 R p b 2 4 x L 1 N P T E F S X 1 J T U F 8 x M j E w M j A x O S 9 D a G F u Z 2 V k I F R 5 c G U u e 2 R z M j c y M V 9 T Y W x 0 V 2 V 0 b G Q s N z Z 9 J n F 1 b 3 Q 7 L C Z x d W 9 0 O 1 N l Y 3 R p b 2 4 x L 1 N P T E F S X 1 J T U F 8 x M j E w M j A x O S 9 D a G F u Z 2 V k I F R 5 c G U u e 2 R z M j c y M V 9 F Y 2 9 f U 2 V j d C w 3 N 3 0 m c X V v d D s s J n F 1 b 3 Q 7 U 2 V j d G l v b j E v U 0 9 M Q V J f U l N Q X z E y M T A y M D E 5 L 0 N o Y W 5 n Z W Q g V H l w Z S 5 7 Z H M y N z I x X 0 V j b 1 9 O Y W 1 l L D c 4 f S Z x d W 9 0 O y w m c X V v d D t T Z W N 0 a W 9 u M S 9 T T 0 x B U l 9 S U 1 B f M T I x M D I w M T k v Q 2 h h b m d l Z C B U e X B l L n t k c z I 3 M j F f S m V w c 2 9 u X 0 V j b y w 3 O X 0 m c X V v d D s s J n F 1 b 3 Q 7 U 2 V j d G l v b j E v U 0 9 M Q V J f U l N Q X z E y M T A y M D E 5 L 0 N o Y W 5 n Z W Q g V H l w Z S 5 7 Z H M y N z I x X 0 N v d W 5 0 e S w 4 M H 0 m c X V v d D s s J n F 1 b 3 Q 7 U 2 V j d G l v b j E v U 0 9 M Q V J f U l N Q X z E y M T A y M D E 5 L 0 N o Y W 5 n Z W Q g V H l w Z S 5 7 Z H M y N z E 1 X 0 9 C S k V D V E l E L D g x f S Z x d W 9 0 O y w m c X V v d D t T Z W N 0 a W 9 u M S 9 T T 0 x B U l 9 S U 1 B f M T I x M D I w M T k v Q 2 h h b m d l Z C B U e X B l L n t k c z I 3 M T V f S G V 4 X 0 l E L D g y f S Z x d W 9 0 O y w m c X V v d D t T Z W N 0 a W 9 u M S 9 T T 0 x B U l 9 S U 1 B f M T I x M D I w M T k v Q 2 h h b m d l Z C B U e X B l L n t k c z I 3 M T V f U n d p U m F u a 0 V j b y w 4 M 3 0 m c X V v d D s s J n F 1 b 3 Q 7 U 2 V j d G l v b j E v U 0 9 M Q V J f U l N Q X z E y M T A y M D E 5 L 0 N o Y W 5 n Z W Q g V H l w Z S 5 7 Z H M y N z E 1 X 1 J 3 a U 1 h e E V j b y w 4 N H 0 m c X V v d D s s J n F 1 b 3 Q 7 U 2 V j d G l v b j E v U 0 9 M Q V J f U l N Q X z E y M T A y M D E 5 L 0 N o Y W 5 n Z W Q g V H l w Z S 5 7 Z H M y N z E 1 X 1 J 3 a V J h b m t T V y w 4 N X 0 m c X V v d D s s J n F 1 b 3 Q 7 U 2 V j d G l v b j E v U 0 9 M Q V J f U l N Q X z E y M T A y M D E 5 L 0 N o Y W 5 n Z W Q g V H l w Z S 5 7 Z H M y N z E 1 X 1 J 3 a U 1 h e F N X L D g 2 f S Z x d W 9 0 O y w m c X V v d D t T Z W N 0 a W 9 u M S 9 T T 0 x B U l 9 S U 1 B f M T I x M D I w M T k v Q 2 h h b m d l Z C B U e X B l L n t k c z I 3 M T V f Q W x s V G F 4 Y U V u Z G V t L D g 3 f S Z x d W 9 0 O y w m c X V v d D t T Z W N 0 a W 9 u M S 9 T T 0 x B U l 9 S U 1 B f M T I x M D I w M T k v Q 2 h h b m d l Z C B U e X B l L n t k c z I 3 M T V f Q W 1 w a E V u Z G V t L D g 4 f S Z x d W 9 0 O y w m c X V v d D t T Z W N 0 a W 9 u M S 9 T T 0 x B U l 9 S U 1 B f M T I x M D I w M T k v Q 2 h h b m d l Z C B U e X B l L n t k c z I 3 M T V f U m V w d E V u Z G V t L D g 5 f S Z x d W 9 0 O y w m c X V v d D t T Z W N 0 a W 9 u M S 9 T T 0 x B U l 9 S U 1 B f M T I x M D I w M T k v Q 2 h h b m d l Z C B U e X B l L n t k c z I 3 M T V f Q m l y Z E V u Z G V t L D k w f S Z x d W 9 0 O y w m c X V v d D t T Z W N 0 a W 9 u M S 9 T T 0 x B U l 9 S U 1 B f M T I x M D I w M T k v Q 2 h h b m d l Z C B U e X B l L n t k c z I 3 M T V f T W F t b U V u Z G V t L D k x f S Z x d W 9 0 O y w m c X V v d D t T Z W N 0 a W 9 u M S 9 T T 0 x B U l 9 S U 1 B f M T I x M D I w M T k v Q 2 h h b m d l Z C B U e X B l L n t k c z I 3 M T V f U G x u d E V u Z G V t L D k y f S Z x d W 9 0 O y w m c X V v d D t T Z W N 0 a W 9 u M S 9 T T 0 x B U l 9 S U 1 B f M T I x M D I w M T k v Q 2 h h b m d l Z C B U e X B l L n t k c z I 3 M T V f R W N v X 1 N l Y 3 Q s O T N 9 J n F 1 b 3 Q 7 L C Z x d W 9 0 O 1 N l Y 3 R p b 2 4 x L 1 N P T E F S X 1 J T U F 8 x M j E w M j A x O S 9 D a G F u Z 2 V k I F R 5 c G U u e 2 R z M j c x N V 9 F Y 2 9 f T m F t Z S w 5 N H 0 m c X V v d D s s J n F 1 b 3 Q 7 U 2 V j d G l v b j E v U 0 9 M Q V J f U l N Q X z E y M T A y M D E 5 L 0 N o Y W 5 n Z W Q g V H l w Z S 5 7 Z H M y N z E 1 X 0 p l c H N v b l 9 F Y 2 8 s O T V 9 J n F 1 b 3 Q 7 L C Z x d W 9 0 O 1 N l Y 3 R p b 2 4 x L 1 N P T E F S X 1 J T U F 8 x M j E w M j A x O S 9 D a G F u Z 2 V k I F R 5 c G U u e 2 R z M j c x N V 9 D b 3 V u d H k s O T Z 9 J n F 1 b 3 Q 7 L C Z x d W 9 0 O 1 N l Y 3 R p b 2 4 x L 1 N P T E F S X 1 J T U F 8 x M j E w M j A x O S 9 D a G F u Z 2 V k I F R 5 c G U u e 0 9 C S k V D V E l E X z E s O T d 9 J n F 1 b 3 Q 7 L C Z x d W 9 0 O 1 N l Y 3 R p b 2 4 x L 1 N P T E F S X 1 J T U F 8 x M j E w M j A x O S 9 D a G F u Z 2 V k I F R 5 c G U u e 0 l E L D k 4 f S Z x d W 9 0 O y w m c X V v d D t T Z W N 0 a W 9 u M S 9 T T 0 x B U l 9 S U 1 B f M T I x M D I w M T k v Q 2 h h b m d l Z C B U e X B l L n t O Q U 1 F L D k 5 f S Z x d W 9 0 O y w m c X V v d D t T Z W N 0 a W 9 u M S 9 T T 0 x B U l 9 S U 1 B f M T I x M D I w M T k v Q 2 h h b m d l Z C B U e X B l L n t D S V R Z L D E w M H 0 m c X V v d D s s J n F 1 b 3 Q 7 U 2 V j d G l v b j E v U 0 9 M Q V J f U l N Q X z E y M T A y M D E 5 L 0 N o Y W 5 n Z W Q g V H l w Z S 5 7 U 1 R B V E U s M T A x f S Z x d W 9 0 O y w m c X V v d D t T Z W N 0 a W 9 u M S 9 T T 0 x B U l 9 S U 1 B f M T I x M D I w M T k v Q 2 h h b m d l Z C B U e X B l L n t a S V B D T 0 R F L D E w M n 0 m c X V v d D s s J n F 1 b 3 Q 7 U 2 V j d G l v b j E v U 0 9 M Q V J f U l N Q X z E y M T A y M D E 5 L 0 N o Y W 5 n Z W Q g V H l w Z S 5 7 Q 0 9 V T l R S W S w x M D N 9 J n F 1 b 3 Q 7 L C Z x d W 9 0 O 1 N l Y 3 R p b 2 4 x L 1 N P T E F S X 1 J T U F 8 x M j E w M j A x O S 9 D a G F u Z 2 V k I F R 5 c G U u e 0 x J T k V T L D E w N H 0 m c X V v d D s s J n F 1 b 3 Q 7 U 2 V j d G l v b j E v U 0 9 M Q V J f U l N Q X z E y M T A y M D E 5 L 0 N o Y W 5 n Z W Q g V H l w Z S 5 7 T U F Y X 1 Z P T F Q s M T A 1 f S Z x d W 9 0 O y w m c X V v d D t T Z W N 0 a W 9 u M S 9 T T 0 x B U l 9 S U 1 B f M T I x M D I w M T k v Q 2 h h b m d l Z C B U e X B l L n t N S U 5 f V k 9 M V C w x M D Z 9 J n F 1 b 3 Q 7 L C Z x d W 9 0 O 1 N l Y 3 R p b 2 4 x L 1 N P T E F S X 1 J T U F 8 x M j E w M j A x O S 9 D a G F u Z 2 V k I F R 5 c G U u e 0 1 B W F 9 J T k Z F U i w x M D d 9 J n F 1 b 3 Q 7 L C Z x d W 9 0 O 1 N l Y 3 R p b 2 4 x L 1 N P T E F S X 1 J T U F 8 x M j E w M j A x O S 9 D a G F u Z 2 V k I F R 5 c G U u e 0 1 J T l 9 J T k Z F U i w x M D h 9 J n F 1 b 3 Q 7 L C Z x d W 9 0 O 1 N l Y 3 R p b 2 4 x L 1 N P T E F S X 1 J T U F 8 x M j E w M j A x O S 9 D a G F u Z 2 V k I F R 5 c G U u e 0 x B V E l U V U R F L D E w O X 0 m c X V v d D s s J n F 1 b 3 Q 7 U 2 V j d G l v b j E v U 0 9 M Q V J f U l N Q X z E y M T A y M D E 5 L 0 N o Y W 5 n Z W Q g V H l w Z S 5 7 T E 9 O R 0 l U V U R F L D E x M H 0 m c X V v d D s s J n F 1 b 3 Q 7 U 2 V j d G l v b j E v U 0 9 M Q V J f U l N Q X z E y M T A y M D E 5 L 0 N o Y W 5 n Z W Q g V H l w Z S 5 7 T U V U S E 9 E L D E x M X 0 m c X V v d D s s J n F 1 b 3 Q 7 U 2 V j d G l v b j E v U 0 9 M Q V J f U l N Q X z E y M T A y M D E 5 L 0 N o Y W 5 n Z W Q g V H l w Z S 5 7 R E F U R S w x M T J 9 J n F 1 b 3 Q 7 L C Z x d W 9 0 O 1 N l Y 3 R p b 2 4 x L 1 N P T E F S X 1 J T U F 8 x M j E w M j A x O S 9 D a G F u Z 2 V k I F R 5 c G U u e 1 N P V V J D R S w x M T N 9 J n F 1 b 3 Q 7 L C Z x d W 9 0 O 1 N l Y 3 R p b 2 4 x L 1 N P T E F S X 1 J T U F 8 x M j E w M j A x O S 9 D a G F u Z 2 V k I F R 5 c G U u e 1 N 1 Y n N 0 Y X R p b 2 5 f S U Q s M T E 0 f S Z x d W 9 0 O y w m c X V v d D t T Z W N 0 a W 9 u M S 9 T T 0 x B U l 9 S U 1 B f M T I x M D I w M T k v Q 2 h h b m d l Z C B U e X B l L n t T d W J z d G F 0 a W 9 u X 0 5 h b W U s M T E 1 f S Z x d W 9 0 O y w m c X V v d D t T Z W N 0 a W 9 u M S 9 T T 0 x B U l 9 S U 1 B f M T I x M D I w M T k v Q 2 h h b m d l Z C B U e X B l L n t B b G l h c y w x M T Z 9 J n F 1 b 3 Q 7 L C Z x d W 9 0 O 1 N l Y 3 R p b 2 4 x L 1 N P T E F S X 1 J T U F 8 x M j E w M j A x O S 9 D a G F u Z 2 V k I F R 5 c G U u e 1 N 0 Y X R 1 c y w x M T d 9 J n F 1 b 3 Q 7 L C Z x d W 9 0 O 1 N l Y 3 R p b 2 4 x L 1 N P T E F S X 1 J T U F 8 x M j E w M j A x O S 9 D a G F u Z 2 V k I F R 5 c G U u e 0 9 3 b m V y L D E x O H 0 m c X V v d D s s J n F 1 b 3 Q 7 U 2 V j d G l v b j E v U 0 9 M Q V J f U l N Q X z E y M T A y M D E 5 L 0 N o Y W 5 n Z W Q g V H l w Z S 5 7 T W F w X 0 9 3 b m V y L D E x O X 0 m c X V v d D s s J n F 1 b 3 Q 7 U 2 V j d G l v b j E v U 0 9 M Q V J f U l N Q X z E y M T A y M D E 5 L 0 N o Y W 5 n Z W Q g V H l w Z S 5 7 T W F w X 1 B h c n Q s M T I w f S Z x d W 9 0 O y w m c X V v d D t T Z W N 0 a W 9 u M S 9 T T 0 x B U l 9 S U 1 B f M T I x M D I w M T k v Q 2 h h b m d l Z C B U e X B l L n t F b m d p b m V l c m l u Z 1 9 J R C w x M j F 9 J n F 1 b 3 Q 7 L C Z x d W 9 0 O 1 N l Y 3 R p b 2 4 x L 1 N P T E F S X 1 J T U F 8 x M j E w M j A x O S 9 D a G F u Z 2 V k I F R 5 c G U u e 2 t W X z E y X 1 R P X z M y L D E y M n 0 m c X V v d D s s J n F 1 b 3 Q 7 U 2 V j d G l v b j E v U 0 9 M Q V J f U l N Q X z E y M T A y M D E 5 L 0 N o Y W 5 n Z W Q g V H l w Z S 5 7 a 1 Z f M z N f V E 9 f O T I s M T I z f S Z x d W 9 0 O y w m c X V v d D t T Z W N 0 a W 9 u M S 9 T T 0 x B U l 9 S U 1 B f M T I x M D I w M T k v Q 2 h h b m d l Z C B U e X B l L n t r V l 8 x M T B f V E 9 f M T Y x L D E y N H 0 m c X V v d D s s J n F 1 b 3 Q 7 U 2 V j d G l v b j E v U 0 9 M Q V J f U l N Q X z E y M T A y M D E 5 L 0 N o Y W 5 n Z W Q g V H l w Z S 5 7 a 1 Z f M j I w X 1 R v X z I 4 N y w x M j V 9 J n F 1 b 3 Q 7 L C Z x d W 9 0 O 1 N l Y 3 R p b 2 4 x L 1 N P T E F S X 1 J T U F 8 x M j E w M j A x O S 9 D a G F u Z 2 V k I F R 5 c G U u e 2 t W X z M 0 N V 9 U b 1 8 1 M D A s M T I 2 f S Z x d W 9 0 O y w m c X V v d D t T Z W N 0 a W 9 u M S 9 T T 0 x B U l 9 S U 1 B f M T I x M D I w M T k v Q 2 h h b m d l Z C B U e X B l L n t r V l 8 1 M D B f R E M s M T I 3 f S Z x d W 9 0 O y w m c X V v d D t T Z W N 0 a W 9 u M S 9 T T 0 x B U l 9 S U 1 B f M T I x M D I w M T k v Q 2 h h b m d l Z C B U e X B l L n t I a W d o Z X N 0 X 2 t W L D E y O H 0 m c X V v d D s s J n F 1 b 3 Q 7 U 2 V j d G l v b j E v U 0 9 M Q V J f U l N Q X z E y M T A y M D E 5 L 0 N o Y W 5 n Z W Q g V H l w Z S 5 7 U G 9 z d G F s X 0 N p d H k s M T I 5 f S Z x d W 9 0 O y w m c X V v d D t T Z W N 0 a W 9 u M S 9 T T 0 x B U l 9 S U 1 B f M T I x M D I w M T k v Q 2 h h b m d l Z C B U e X B l L n t D b 3 V u d H k s M T M w f S Z x d W 9 0 O y w m c X V v d D t T Z W N 0 a W 9 u M S 9 T T 0 x B U l 9 S U 1 B f M T I x M D I w M T k v Q 2 h h b m d l Z C B U e X B l L n t a a X B f Q 2 9 k Z S w x M z F 9 J n F 1 b 3 Q 7 L C Z x d W 9 0 O 1 N l Y 3 R p b 2 4 x L 1 N P T E F S X 1 J T U F 8 x M j E w M j A x O S 9 D a G F u Z 2 V k I F R 5 c G U u e 0 x v b m d p d H V 0 Z S w x M z J 9 J n F 1 b 3 Q 7 L C Z x d W 9 0 O 1 N l Y 3 R p b 2 4 x L 1 N P T E F S X 1 J T U F 8 x M j E w M j A x O S 9 D a G F u Z 2 V k I F R 5 c G U u e 0 N v b W 1 l b n R z L D E z M 3 0 m c X V v d D s s J n F 1 b 3 Q 7 U 2 V j d G l v b j E v U 0 9 M Q V J f U l N Q X z E y M T A y M D E 5 L 0 N o Y W 5 n Z W Q g V H l w Z S 5 7 Q 3 J l Y X R v c i w x M z R 9 J n F 1 b 3 Q 7 L C Z x d W 9 0 O 1 N l Y 3 R p b 2 4 x L 1 N P T E F S X 1 J T U F 8 x M j E w M j A x O S 9 D a G F u Z 2 V k I F R 5 c G U u e 0 N y Z W F 0 b 3 J f R G F 0 Z S w x M z V 9 J n F 1 b 3 Q 7 L C Z x d W 9 0 O 1 N l Y 3 R p b 2 4 x L 1 N P T E F S X 1 J T U F 8 x M j E w M j A x O S 9 D a G F u Z 2 V k I F R 5 c G U u e 0 x h c 3 R f R W R p d G 9 y L D E z N n 0 m c X V v d D s s J n F 1 b 3 Q 7 U 2 V j d G l v b j E v U 0 9 M Q V J f U l N Q X z E y M T A y M D E 5 L 0 N o Y W 5 n Z W Q g V H l w Z S 5 7 T G F z d F 9 F Z G l 0 b 3 J f R G F 0 Z S w x M z d 9 J n F 1 b 3 Q 7 L C Z x d W 9 0 O 1 N l Y 3 R p b 2 4 x L 1 N P T E F S X 1 J T U F 8 x M j E w M j A x O S 9 D a G F u Z 2 V k I F R 5 c G U u e 0 l S U F 9 H R U 8 s M T M 4 f S Z x d W 9 0 O y w m c X V v d D t T Z W N 0 a W 9 u M S 9 T T 0 x B U l 9 S U 1 B f M T I x M D I w M T k v Q 2 h h b m d l Z C B U e X B l L n t J U l B f V 0 l O R C w x M z l 9 J n F 1 b 3 Q 7 L C Z x d W 9 0 O 1 N l Y 3 R p b 2 4 x L 1 N P T E F S X 1 J T U F 8 x M j E w M j A x O S 9 D a G F u Z 2 V k I F R 5 c G U u e 0 l S U F 9 T T 0 F M U i w x N D B 9 J n F 1 b 3 Q 7 L C Z x d W 9 0 O 1 N l Y 3 R p b 2 4 x L 1 N P T E F S X 1 J T U F 8 x M j E w M j A x O S 9 D a G F u Z 2 V k I F R 5 c G U u e 0 J V R k Z f R E l T V C w x N D F 9 J n F 1 b 3 Q 7 L C Z x d W 9 0 O 1 N l Y 3 R p b 2 4 x L 1 N P T E F S X 1 J T U F 8 x M j E w M j A x O S 9 D a G F u Z 2 V k I F R 5 c G U u e 0 9 S S U d f R k l E L D E 0 M n 0 m c X V v d D s s J n F 1 b 3 Q 7 U 2 V j d G l v b j E v U 0 9 M Q V J f U l N Q X z E y M T A y M D E 5 L 0 N o Y W 5 n Z W Q g V H l w Z S 5 7 U 2 h h c G V f T G V u Z 3 R o X z E s M T Q z f S Z x d W 9 0 O y w m c X V v d D t T Z W N 0 a W 9 u M S 9 T T 0 x B U l 9 S U 1 B f M T I x M D I w M T k v Q 2 h h b m d l Z C B U e X B l L n t T a G F w Z V 9 B c m V h X z E s M T Q 0 f S Z x d W 9 0 O y w m c X V v d D t T Z W N 0 a W 9 u M S 9 T T 0 x B U l 9 S U 1 B f M T I x M D I w M T k v Q 2 h h b m d l Z C B U e X B l L n t F b G V j d H J p Y 2 F s L D E 0 N X 0 m c X V v d D s s J n F 1 b 3 Q 7 U 2 V j d G l v b j E v U 0 9 M Q V J f U l N Q X z E y M T A y M D E 5 L 0 N o Y W 5 n Z W Q g V H l w Z S 5 7 R m F s b H N X a X R o a S w x N D Z 9 J n F 1 b 3 Q 7 L C Z x d W 9 0 O 1 N l Y 3 R p b 2 4 x L 1 N P T E F S X 1 J T U F 8 x M j E w M j A x O S 9 D a G F u Z 2 V k I F R 5 c G U u e 0 Z h b G x z V 2 l 0 X z E s M T Q 3 f S Z x d W 9 0 O y w m c X V v d D t T Z W N 0 a W 9 u M S 9 T T 0 x B U l 9 S U 1 B f M T I x M D I w M T k v Q 2 h h b m d l Z C B U e X B l L n t T a G F w Z V 9 M Z W 5 n L D E 0 O H 0 m c X V v d D s s J n F 1 b 3 Q 7 U 2 V j d G l v b j E v U 0 9 M Q V J f U l N Q X z E y M T A y M D E 5 L 0 N o Y W 5 n Z W Q g V H l w Z S 5 7 U 2 h h c G V f Q X J l Y V 8 x M i w x N D l 9 J n F 1 b 3 Q 7 L C Z x d W 9 0 O 1 N l Y 3 R p b 2 4 x L 1 N P T E F S X 1 J T U F 8 x M j E w M j A x O S 9 D a G F u Z 2 V k I F R 5 c G U u e 1 N o Y X B l X 0 x l b m d 0 a C w x N T B 9 J n F 1 b 3 Q 7 L C Z x d W 9 0 O 1 N l Y 3 R p b 2 4 x L 1 N P T E F S X 1 J T U F 8 x M j E w M j A x O S 9 D a G F u Z 2 V k I F R 5 c G U u e 1 N o Y X B l X 0 F y Z W E s M T U x f S Z x d W 9 0 O 1 0 s J n F 1 b 3 Q 7 Q 2 9 s d W 1 u Q 2 9 1 b n Q m c X V v d D s 6 M T U y L C Z x d W 9 0 O 0 t l e U N v b H V t b k 5 h b W V z J n F 1 b 3 Q 7 O l t d L C Z x d W 9 0 O 0 N v b H V t b k l k Z W 5 0 a X R p Z X M m c X V v d D s 6 W y Z x d W 9 0 O 1 N l Y 3 R p b 2 4 x L 1 N P T E F S X 1 J T U F 8 x M j E w M j A x O S 9 D a G F u Z 2 V k I F R 5 c G U u e 0 9 C S k V D V E l E L D B 9 J n F 1 b 3 Q 7 L C Z x d W 9 0 O 1 N l Y 3 R p b 2 4 x L 1 N P T E F S X 1 J T U F 8 x M j E w M j A x O S 9 D a G F u Z 2 V k I F R 5 c G U u e 0 p v a W 5 f Q 2 9 1 b n Q s M X 0 m c X V v d D s s J n F 1 b 3 Q 7 U 2 V j d G l v b j E v U 0 9 M Q V J f U l N Q X z E y M T A y M D E 5 L 0 N o Y W 5 n Z W Q g V H l w Z S 5 7 V E F S R 0 V U X 0 Z J R C w y f S Z x d W 9 0 O y w m c X V v d D t T Z W N 0 a W 9 u M S 9 T T 0 x B U l 9 S U 1 B f M T I x M D I w M T k v Q 2 h h b m d l Z C B U e X B l L n t K b 2 l u X 0 N v d W 5 0 X z E s M 3 0 m c X V v d D s s J n F 1 b 3 Q 7 U 2 V j d G l v b j E v U 0 9 M Q V J f U l N Q X z E y M T A y M D E 5 L 0 N o Y W 5 n Z W Q g V H l w Z S 5 7 V E F S R 0 V U X 0 Z J R F 8 x L D R 9 J n F 1 b 3 Q 7 L C Z x d W 9 0 O 1 N l Y 3 R p b 2 4 x L 1 N P T E F S X 1 J T U F 8 x M j E w M j A x O S 9 D a G F u Z 2 V k I F R 5 c G U u e 1 R C R F 9 J b n R h Y 3 R u Z X N z X 1 V u a W 9 u X 0 Z J R F 9 D Q V 9 U S V 9 F R U 1 T M l 8 x S 0 1 f R H J h Z n R f V X B k Y X R l R l J B R 1 N U Q V R T X 3 Y s N X 0 m c X V v d D s s J n F 1 b 3 Q 7 U 2 V j d G l v b j E v U 0 9 M Q V J f U l N Q X z E y M T A y M D E 5 L 0 N o Y W 5 n Z W Q g V H l w Z S 5 7 V E J E X 0 l u d G F j d G 5 l c 3 N f V W 5 p b 2 5 f V E l f U 0 N P U k U s N n 0 m c X V v d D s s J n F 1 b 3 Q 7 U 2 V j d G l v b j E v U 0 9 M Q V J f U l N Q X z E y M T A y M D E 5 L 0 N o Y W 5 n Z W Q g V H l w Z S 5 7 V E J E X 0 l u d G F j d G 5 l c 3 N f V W 5 p b 2 5 f R k l E X 2 R z M j c z O S w 3 f S Z x d W 9 0 O y w m c X V v d D t T Z W N 0 a W 9 u M S 9 T T 0 x B U l 9 S U 1 B f M T I x M D I w M T k v Q 2 h h b m d l Z C B U e X B l L n t U Q k R f S W 5 0 Y W N 0 b m V z c 1 9 V b m l v b l 9 I Z X h f S U Q s O H 0 m c X V v d D s s J n F 1 b 3 Q 7 U 2 V j d G l v b j E v U 0 9 M Q V J f U l N Q X z E y M T A y M D E 5 L 0 N o Y W 5 n Z W Q g V H l w Z S 5 7 V E J E X 0 l u d G F j d G 5 l c 3 N f V W 5 p b 2 5 f Q m l v U m F u a 0 V j b y w 5 f S Z x d W 9 0 O y w m c X V v d D t T Z W N 0 a W 9 u M S 9 T T 0 x B U l 9 S U 1 B f M T I x M D I w M T k v Q 2 h h b m d l Z C B U e X B l L n t U Q k R f S W 5 0 Y W N 0 b m V z c 1 9 V b m l v b l 9 C a W 9 T d W 1 F Y 2 8 s M T B 9 J n F 1 b 3 Q 7 L C Z x d W 9 0 O 1 N l Y 3 R p b 2 4 x L 1 N P T E F S X 1 J T U F 8 x M j E w M j A x O S 9 D a G F u Z 2 V k I F R 5 c G U u e 1 R C R F 9 J b n R h Y 3 R u Z X N z X 1 V u a W 9 u X 0 J p b 1 J h b m t T V y w x M X 0 m c X V v d D s s J n F 1 b 3 Q 7 U 2 V j d G l v b j E v U 0 9 M Q V J f U l N Q X z E y M T A y M D E 5 L 0 N o Y W 5 n Z W Q g V H l w Z S 5 7 V E J E X 0 l u d G F j d G 5 l c 3 N f V W 5 p b 2 5 f Q m l v U 3 V t U 1 c s M T J 9 J n F 1 b 3 Q 7 L C Z x d W 9 0 O 1 N l Y 3 R p b 2 4 x L 1 N P T E F S X 1 J T U F 8 x M j E w M j A x O S 9 D a G F u Z 2 V k I F R 5 c G U u e 1 R C R F 9 J b n R h Y 3 R u Z X N z X 1 V u a W 9 u X 0 5 0 d l J h b m t F Y 2 8 s M T N 9 J n F 1 b 3 Q 7 L C Z x d W 9 0 O 1 N l Y 3 R p b 2 4 x L 1 N P T E F S X 1 J T U F 8 x M j E w M j A x O S 9 D a G F u Z 2 V k I F R 5 c G U u e 1 R C R F 9 J b n R h Y 3 R u Z X N z X 1 V u a W 9 u X 0 5 0 d l N 1 b U V j b y w x N H 0 m c X V v d D s s J n F 1 b 3 Q 7 U 2 V j d G l v b j E v U 0 9 M Q V J f U l N Q X z E y M T A y M D E 5 L 0 N o Y W 5 n Z W Q g V H l w Z S 5 7 V E J E X 0 l u d G F j d G 5 l c 3 N f V W 5 p b 2 5 f T n R 2 U m F u a 1 N X L D E 1 f S Z x d W 9 0 O y w m c X V v d D t T Z W N 0 a W 9 u M S 9 T T 0 x B U l 9 S U 1 B f M T I x M D I w M T k v Q 2 h h b m d l Z C B U e X B l L n t U Q k R f S W 5 0 Y W N 0 b m V z c 1 9 V b m l v b l 9 O d H Z T d W 1 T V y w x N n 0 m c X V v d D s s J n F 1 b 3 Q 7 U 2 V j d G l v b j E v U 0 9 M Q V J f U l N Q X z E y M T A y M D E 5 L 0 N o Y W 5 n Z W Q g V H l w Z S 5 7 V E J E X 0 l u d G F j d G 5 l c 3 N f V W 5 p b 2 5 f U m F y U m F u a 0 V j b y w x N 3 0 m c X V v d D s s J n F 1 b 3 Q 7 U 2 V j d G l v b j E v U 0 9 M Q V J f U l N Q X z E y M T A y M D E 5 L 0 N o Y W 5 n Z W Q g V H l w Z S 5 7 V E J E X 0 l u d G F j d G 5 l c 3 N f V W 5 p b 2 5 f U m F y U 3 V t R W N v L D E 4 f S Z x d W 9 0 O y w m c X V v d D t T Z W N 0 a W 9 u M S 9 T T 0 x B U l 9 S U 1 B f M T I x M D I w M T k v Q 2 h h b m d l Z C B U e X B l L n t U Q k R f S W 5 0 Y W N 0 b m V z c 1 9 V b m l v b l 9 S Y X J S Y W 5 r U 1 c s M T l 9 J n F 1 b 3 Q 7 L C Z x d W 9 0 O 1 N l Y 3 R p b 2 4 x L 1 N P T E F S X 1 J T U F 8 x M j E w M j A x O S 9 D a G F u Z 2 V k I F R 5 c G U u e 1 R C R F 9 J b n R h Y 3 R u Z X N z X 1 V u a W 9 u X 1 J h c l N 1 b V N X L D I w f S Z x d W 9 0 O y w m c X V v d D t T Z W N 0 a W 9 u M S 9 T T 0 x B U l 9 S U 1 B f M T I x M D I w M T k v Q 2 h h b m d l Z C B U e X B l L n t U Q k R f S W 5 0 Y W N 0 b m V z c 1 9 V b m l v b l 9 S d 2 l S Y W 5 r R W N v L D I x f S Z x d W 9 0 O y w m c X V v d D t T Z W N 0 a W 9 u M S 9 T T 0 x B U l 9 S U 1 B f M T I x M D I w M T k v Q 2 h h b m d l Z C B U e X B l L n t U Q k R f S W 5 0 Y W N 0 b m V z c 1 9 V b m l v b l 9 S d 2 l N Y X h F Y 2 8 s M j J 9 J n F 1 b 3 Q 7 L C Z x d W 9 0 O 1 N l Y 3 R p b 2 4 x L 1 N P T E F S X 1 J T U F 8 x M j E w M j A x O S 9 D a G F u Z 2 V k I F R 5 c G U u e 1 R C R F 9 J b n R h Y 3 R u Z X N z X 1 V u a W 9 u X 1 J 3 a V J h b m t T V y w y M 3 0 m c X V v d D s s J n F 1 b 3 Q 7 U 2 V j d G l v b j E v U 0 9 M Q V J f U l N Q X z E y M T A y M D E 5 L 0 N o Y W 5 n Z W Q g V H l w Z S 5 7 V E J E X 0 l u d G F j d G 5 l c 3 N f V W 5 p b 2 5 f U n d p T W F 4 U 1 c s M j R 9 J n F 1 b 3 Q 7 L C Z x d W 9 0 O 1 N l Y 3 R p b 2 4 x L 1 N P T E F S X 1 J T U F 8 x M j E w M j A x O S 9 D a G F u Z 2 V k I F R 5 c G U u e 1 R C R F 9 J b n R h Y 3 R u Z X N z X 1 V u a W 9 u X 0 5 h d G l 2 Z U N v d W 5 0 L D I 1 f S Z x d W 9 0 O y w m c X V v d D t T Z W N 0 a W 9 u M S 9 T T 0 x B U l 9 S U 1 B f M T I x M D I w M T k v Q 2 h h b m d l Z C B U e X B l L n t U Q k R f S W 5 0 Y W N 0 b m V z c 1 9 V b m l v b l 9 O d H Z B b X B o L D I 2 f S Z x d W 9 0 O y w m c X V v d D t T Z W N 0 a W 9 u M S 9 T T 0 x B U l 9 S U 1 B f M T I x M D I w M T k v Q 2 h h b m d l Z C B U e X B l L n t U Q k R f S W 5 0 Y W N 0 b m V z c 1 9 V b m l v b l 9 O d H Z S Z X B 0 L D I 3 f S Z x d W 9 0 O y w m c X V v d D t T Z W N 0 a W 9 u M S 9 T T 0 x B U l 9 S U 1 B f M T I x M D I w M T k v Q 2 h h b m d l Z C B U e X B l L n t U Q k R f S W 5 0 Y W N 0 b m V z c 1 9 V b m l v b l 9 O d H Z C a X J k L D I 4 f S Z x d W 9 0 O y w m c X V v d D t T Z W N 0 a W 9 u M S 9 T T 0 x B U l 9 S U 1 B f M T I x M D I w M T k v Q 2 h h b m d l Z C B U e X B l L n t U Q k R f S W 5 0 Y W N 0 b m V z c 1 9 V b m l v b l 9 O d H Z N Y W 1 t L D I 5 f S Z x d W 9 0 O y w m c X V v d D t T Z W N 0 a W 9 u M S 9 T T 0 x B U l 9 S U 1 B f M T I x M D I w M T k v Q 2 h h b m d l Z C B U e X B l L n t U Q k R f S W 5 0 Y W N 0 b m V z c 1 9 V b m l v b l 9 O d H Z Q b G 5 0 L D M w f S Z x d W 9 0 O y w m c X V v d D t T Z W N 0 a W 9 u M S 9 T T 0 x B U l 9 S U 1 B f M T I x M D I w M T k v Q 2 h h b m d l Z C B U e X B l L n t U Q k R f S W 5 0 Y W N 0 b m V z c 1 9 V b m l v b l 9 H Y W 1 l Q 2 9 1 b n Q s M z F 9 J n F 1 b 3 Q 7 L C Z x d W 9 0 O 1 N l Y 3 R p b 2 4 x L 1 N P T E F S X 1 J T U F 8 x M j E w M j A x O S 9 D a G F u Z 2 V k I F R 5 c G U u e 1 R C R F 9 J b n R h Y 3 R u Z X N z X 1 V u a W 9 u X 0 N s a W 1 W d W x D b 3 V u d C w z M n 0 m c X V v d D s s J n F 1 b 3 Q 7 U 2 V j d G l v b j E v U 0 9 M Q V J f U l N Q X z E y M T A y M D E 5 L 0 N o Y W 5 n Z W Q g V H l w Z S 5 7 V E J E X 0 l u d G F j d G 5 l c 3 N f V W 5 p b 2 5 f U m F y Z U N v d W 5 0 L D M z f S Z x d W 9 0 O y w m c X V v d D t T Z W N 0 a W 9 u M S 9 T T 0 x B U l 9 S U 1 B f M T I x M D I w M T k v Q 2 h h b m d l Z C B U e X B l L n t U Q k R f S W 5 0 Y W N 0 b m V z c 1 9 V b m l v b l 9 S Y X J B b X B o L D M 0 f S Z x d W 9 0 O y w m c X V v d D t T Z W N 0 a W 9 u M S 9 T T 0 x B U l 9 S U 1 B f M T I x M D I w M T k v Q 2 h h b m d l Z C B U e X B l L n t U Q k R f S W 5 0 Y W N 0 b m V z c 1 9 V b m l v b l 9 S Y X J S Z X B 0 L D M 1 f S Z x d W 9 0 O y w m c X V v d D t T Z W N 0 a W 9 u M S 9 T T 0 x B U l 9 S U 1 B f M T I x M D I w M T k v Q 2 h h b m d l Z C B U e X B l L n t U Q k R f S W 5 0 Y W N 0 b m V z c 1 9 V b m l v b l 9 S Y X J C a X J k L D M 2 f S Z x d W 9 0 O y w m c X V v d D t T Z W N 0 a W 9 u M S 9 T T 0 x B U l 9 S U 1 B f M T I x M D I w M T k v Q 2 h h b m d l Z C B U e X B l L n t U Q k R f S W 5 0 Y W N 0 b m V z c 1 9 V b m l v b l 9 S Y X J N Y W 1 t L D M 3 f S Z x d W 9 0 O y w m c X V v d D t T Z W N 0 a W 9 u M S 9 T T 0 x B U l 9 S U 1 B f M T I x M D I w M T k v Q 2 h h b m d l Z C B U e X B l L n t U Q k R f S W 5 0 Y W N 0 b m V z c 1 9 V b m l v b l 9 S Y X J Q b G 5 0 L D M 4 f S Z x d W 9 0 O y w m c X V v d D t T Z W N 0 a W 9 u M S 9 T T 0 x B U l 9 S U 1 B f M T I x M D I w M T k v Q 2 h h b m d l Z C B U e X B l L n t U Q k R f S W 5 0 Y W N 0 b m V z c 1 9 V b m l v b l 9 B b G x U Y X h h R W 5 k Z W 0 s M z l 9 J n F 1 b 3 Q 7 L C Z x d W 9 0 O 1 N l Y 3 R p b 2 4 x L 1 N P T E F S X 1 J T U F 8 x M j E w M j A x O S 9 D a G F u Z 2 V k I F R 5 c G U u e 1 R C R F 9 J b n R h Y 3 R u Z X N z X 1 V u a W 9 u X 0 F t c G h F b m R l b S w 0 M H 0 m c X V v d D s s J n F 1 b 3 Q 7 U 2 V j d G l v b j E v U 0 9 M Q V J f U l N Q X z E y M T A y M D E 5 L 0 N o Y W 5 n Z W Q g V H l w Z S 5 7 V E J E X 0 l u d G F j d G 5 l c 3 N f V W 5 p b 2 5 f U m V w d E V u Z G V t L D Q x f S Z x d W 9 0 O y w m c X V v d D t T Z W N 0 a W 9 u M S 9 T T 0 x B U l 9 S U 1 B f M T I x M D I w M T k v Q 2 h h b m d l Z C B U e X B l L n t U Q k R f S W 5 0 Y W N 0 b m V z c 1 9 V b m l v b l 9 C a X J k R W 5 k Z W 0 s N D J 9 J n F 1 b 3 Q 7 L C Z x d W 9 0 O 1 N l Y 3 R p b 2 4 x L 1 N P T E F S X 1 J T U F 8 x M j E w M j A x O S 9 D a G F u Z 2 V k I F R 5 c G U u e 1 R C R F 9 J b n R h Y 3 R u Z X N z X 1 V u a W 9 u X 0 1 h b W 1 F b m R l b S w 0 M 3 0 m c X V v d D s s J n F 1 b 3 Q 7 U 2 V j d G l v b j E v U 0 9 M Q V J f U l N Q X z E y M T A y M D E 5 L 0 N o Y W 5 n Z W Q g V H l w Z S 5 7 V E J E X 0 l u d G F j d G 5 l c 3 N f V W 5 p b 2 5 f U G x u d E V u Z G V t L D Q 0 f S Z x d W 9 0 O y w m c X V v d D t T Z W N 0 a W 9 u M S 9 T T 0 x B U l 9 S U 1 B f M T I x M D I w M T k v Q 2 h h b m d l Z C B U e X B l L n t U Q k R f S W 5 0 Y W N 0 b m V z c 1 9 V b m l v b l 9 F Y 2 9 f U 2 V j d C w 0 N X 0 m c X V v d D s s J n F 1 b 3 Q 7 U 2 V j d G l v b j E v U 0 9 M Q V J f U l N Q X z E y M T A y M D E 5 L 0 N o Y W 5 n Z W Q g V H l w Z S 5 7 V E J E X 0 l u d G F j d G 5 l c 3 N f V W 5 p b 2 5 f R W N v X 0 5 h b W U s N D Z 9 J n F 1 b 3 Q 7 L C Z x d W 9 0 O 1 N l Y 3 R p b 2 4 x L 1 N P T E F S X 1 J T U F 8 x M j E w M j A x O S 9 D a G F u Z 2 V k I F R 5 c G U u e 1 R C R F 9 J b n R h Y 3 R u Z X N z X 1 V u a W 9 u X 0 p l c H N v b l 9 F Y 2 8 s N D d 9 J n F 1 b 3 Q 7 L C Z x d W 9 0 O 1 N l Y 3 R p b 2 4 x L 1 N P T E F S X 1 J T U F 8 x M j E w M j A x O S 9 D a G F u Z 2 V k I F R 5 c G U u e 1 R C R F 9 J b n R h Y 3 R u Z X N z X 1 V u a W 9 u X 0 N v d W 5 0 e S w 0 O H 0 m c X V v d D s s J n F 1 b 3 Q 7 U 2 V j d G l v b j E v U 0 9 M Q V J f U l N Q X z E y M T A y M D E 5 L 0 N o Y W 5 n Z W Q g V H l w Z S 5 7 V E J E X 0 l u d G F j d G 5 l c 3 N f V W 5 p b 2 5 f T U 9 E R U x f U 0 N P U k U s N D l 9 J n F 1 b 3 Q 7 L C Z x d W 9 0 O 1 N l Y 3 R p b 2 4 x L 1 N P T E F S X 1 J T U F 8 x M j E w M j A x O S 9 D a G F u Z 2 V k I F R 5 c G U u e 1 R C R F 9 J b n R h Y 3 R u Z X N z X 1 V u a W 9 u X 0 F D U k V T L D U w f S Z x d W 9 0 O y w m c X V v d D t T Z W N 0 a W 9 u M S 9 T T 0 x B U l 9 S U 1 B f M T I x M D I w M T k v Q 2 h h b m d l Z C B U e X B l L n t k c z I 3 M z R f T 0 J K R U N U S U Q s N T F 9 J n F 1 b 3 Q 7 L C Z x d W 9 0 O 1 N l Y 3 R p b 2 4 x L 1 N P T E F S X 1 J T U F 8 x M j E w M j A x O S 9 D a G F u Z 2 V k I F R 5 c G U u e 2 R z M j c z N F 9 I Z X h f S U Q s N T J 9 J n F 1 b 3 Q 7 L C Z x d W 9 0 O 1 N l Y 3 R p b 2 4 x L 1 N P T E F S X 1 J T U F 8 x M j E w M j A x O S 9 D a G F u Z 2 V k I F R 5 c G U u e 2 R z M j c z N F 9 D b 2 5 u Z W N 0 a X Z p d H l f c m F u a y w 1 M 3 0 m c X V v d D s s J n F 1 b 3 Q 7 U 2 V j d G l v b j E v U 0 9 M Q V J f U l N Q X z E y M T A y M D E 5 L 0 N o Y W 5 n Z W Q g V H l w Z S 5 7 Z H M y N z M 0 X 0 x p b m t h Z 2 V f c m F u a y w 1 N H 0 m c X V v d D s s J n F 1 b 3 Q 7 U 2 V j d G l v b j E v U 0 9 M Q V J f U l N Q X z E y M T A y M D E 5 L 0 N o Y W 5 n Z W Q g V H l w Z S 5 7 Z H M y N z M 0 X 0 x p b m t h Z 2 V f Z G F 0 Y X N l d H M s N T V 9 J n F 1 b 3 Q 7 L C Z x d W 9 0 O 1 N l Y 3 R p b 2 4 x L 1 N P T E F S X 1 J T U F 8 x M j E w M j A x O S 9 D a G F u Z 2 V k I F R 5 c G U u e 2 R z M j c z N F 9 O T E J f c m F u a y w 1 N n 0 m c X V v d D s s J n F 1 b 3 Q 7 U 2 V j d G l v b j E v U 0 9 M Q V J f U l N Q X z E y M T A y M D E 5 L 0 N o Y W 5 n Z W Q g V H l w Z S 5 7 Z H M y N z M 0 X 0 5 M Q l 9 w Y 2 5 0 L D U 3 f S Z x d W 9 0 O y w m c X V v d D t T Z W N 0 a W 9 u M S 9 T T 0 x B U l 9 S U 1 B f M T I x M D I w M T k v Q 2 h h b m d l Z C B U e X B l L n t k c z I 3 M z R f U 3 F f T W l s Z X M s N T h 9 J n F 1 b 3 Q 7 L C Z x d W 9 0 O 1 N l Y 3 R p b 2 4 x L 1 N P T E F S X 1 J T U F 8 x M j E w M j A x O S 9 D a G F u Z 2 V k I F R 5 c G U u e 2 R z M j c z N F 9 F Y 2 9 f U 2 V j d C w 1 O X 0 m c X V v d D s s J n F 1 b 3 Q 7 U 2 V j d G l v b j E v U 0 9 M Q V J f U l N Q X z E y M T A y M D E 5 L 0 N o Y W 5 n Z W Q g V H l w Z S 5 7 Z H M y N z M 0 X 0 V j b 1 9 O Y W 1 l L D Y w f S Z x d W 9 0 O y w m c X V v d D t T Z W N 0 a W 9 u M S 9 T T 0 x B U l 9 S U 1 B f M T I x M D I w M T k v Q 2 h h b m d l Z C B U e X B l L n t k c z I 3 M z R f S m V w c 2 9 u X 0 V j b y w 2 M X 0 m c X V v d D s s J n F 1 b 3 Q 7 U 2 V j d G l v b j E v U 0 9 M Q V J f U l N Q X z E y M T A y M D E 5 L 0 N o Y W 5 n Z W Q g V H l w Z S 5 7 Z H M y N z M 0 X 0 N v d W 5 0 e S w 2 M n 0 m c X V v d D s s J n F 1 b 3 Q 7 U 2 V j d G l v b j E v U 0 9 M Q V J f U l N Q X z E y M T A y M D E 5 L 0 N o Y W 5 n Z W Q g V H l w Z S 5 7 Z H M y N z I x X 0 9 C S k V D V E l E L D Y z f S Z x d W 9 0 O y w m c X V v d D t T Z W N 0 a W 9 u M S 9 T T 0 x B U l 9 S U 1 B f M T I x M D I w M T k v Q 2 h h b m d l Z C B U e X B l L n t k c z I 3 M j F f S G V 4 X 0 l E L D Y 0 f S Z x d W 9 0 O y w m c X V v d D t T Z W N 0 a W 9 u M S 9 T T 0 x B U l 9 S U 1 B f M T I x M D I w M T k v Q 2 h h b m d l Z C B U e X B l L n t k c z I 3 M j F f V G V y c k h h Y l J h b m s s N j V 9 J n F 1 b 3 Q 7 L C Z x d W 9 0 O 1 N l Y 3 R p b 2 4 x L 1 N P T E F S X 1 J T U F 8 x M j E w M j A x O S 9 D a G F u Z 2 V k I F R 5 c G U u e 2 R z M j c y M V 9 U Z X J y S G F i U 1 d O b 3 J t L D Y 2 f S Z x d W 9 0 O y w m c X V v d D t T Z W N 0 a W 9 u M S 9 T T 0 x B U l 9 S U 1 B f M T I x M D I w M T k v Q 2 h h b m d l Z C B U e X B l L n t k c z I 3 M j F f V G V y c k h h Y l R v d C w 2 N 3 0 m c X V v d D s s J n F 1 b 3 Q 7 U 2 V j d G l v b j E v U 0 9 M Q V J f U l N Q X z E y M T A y M D E 5 L 0 N o Y W 5 n Z W Q g V H l w Z S 5 7 Z H M y N z I x X 1 J h c m V W Z W c s N j h 9 J n F 1 b 3 Q 7 L C Z x d W 9 0 O 1 N l Y 3 R p b 2 4 x L 1 N P T E F S X 1 J T U F 8 x M j E w M j A x O S 9 D a G F u Z 2 V k I F R 5 c G U u e 2 R z M j c y M V 9 P Y W t X b 2 9 k b G Q s N j l 9 J n F 1 b 3 Q 7 L C Z x d W 9 0 O 1 N l Y 3 R p b 2 4 x L 1 N P T E F S X 1 J T U F 8 x M j E w M j A x O S 9 D a G F u Z 2 V k I F R 5 c G U u e 2 R z M j c y M V 9 S a X B h c m l h b i w 3 M H 0 m c X V v d D s s J n F 1 b 3 Q 7 U 2 V j d G l v b j E v U 0 9 M Q V J f U l N Q X z E y M T A y M D E 5 L 0 N o Y W 5 n Z W Q g V H l w Z S 5 7 Z H M y N z I x X 0 Z y Z X N o V 2 V 0 b G Q s N z F 9 J n F 1 b 3 Q 7 L C Z x d W 9 0 O 1 N l Y 3 R p b 2 4 x L 1 N P T E F S X 1 J T U F 8 x M j E w M j A x O S 9 D a G F u Z 2 V k I F R 5 c G U u e 2 R z M j c y M V 9 N Z W F k b 3 d G R V c s N z J 9 J n F 1 b 3 Q 7 L C Z x d W 9 0 O 1 N l Y 3 R p b 2 4 x L 1 N P T E F S X 1 J T U F 8 x M j E w M j A x O S 9 D a G F u Z 2 V k I F R 5 c G U u e 2 R z M j c y M V 9 Q b 2 5 k c y w 3 M 3 0 m c X V v d D s s J n F 1 b 3 Q 7 U 2 V j d G l v b j E v U 0 9 M Q V J f U l N Q X z E y M T A y M D E 5 L 0 N o Y W 5 n Z W Q g V H l w Z S 5 7 Z H M y N z I x X 1 N l Z X B T c H J p b m c s N z R 9 J n F 1 b 3 Q 7 L C Z x d W 9 0 O 1 N l Y 3 R p b 2 4 x L 1 N P T E F S X 1 J T U F 8 x M j E w M j A x O S 9 D a G F u Z 2 V k I F R 5 c G U u e 2 R z M j c y M V 9 W Z X J u Y W x Q b 2 9 s L D c 1 f S Z x d W 9 0 O y w m c X V v d D t T Z W N 0 a W 9 u M S 9 T T 0 x B U l 9 S U 1 B f M T I x M D I w M T k v Q 2 h h b m d l Z C B U e X B l L n t k c z I 3 M j F f U 2 F s d F d l d G x k L D c 2 f S Z x d W 9 0 O y w m c X V v d D t T Z W N 0 a W 9 u M S 9 T T 0 x B U l 9 S U 1 B f M T I x M D I w M T k v Q 2 h h b m d l Z C B U e X B l L n t k c z I 3 M j F f R W N v X 1 N l Y 3 Q s N z d 9 J n F 1 b 3 Q 7 L C Z x d W 9 0 O 1 N l Y 3 R p b 2 4 x L 1 N P T E F S X 1 J T U F 8 x M j E w M j A x O S 9 D a G F u Z 2 V k I F R 5 c G U u e 2 R z M j c y M V 9 F Y 2 9 f T m F t Z S w 3 O H 0 m c X V v d D s s J n F 1 b 3 Q 7 U 2 V j d G l v b j E v U 0 9 M Q V J f U l N Q X z E y M T A y M D E 5 L 0 N o Y W 5 n Z W Q g V H l w Z S 5 7 Z H M y N z I x X 0 p l c H N v b l 9 F Y 2 8 s N z l 9 J n F 1 b 3 Q 7 L C Z x d W 9 0 O 1 N l Y 3 R p b 2 4 x L 1 N P T E F S X 1 J T U F 8 x M j E w M j A x O S 9 D a G F u Z 2 V k I F R 5 c G U u e 2 R z M j c y M V 9 D b 3 V u d H k s O D B 9 J n F 1 b 3 Q 7 L C Z x d W 9 0 O 1 N l Y 3 R p b 2 4 x L 1 N P T E F S X 1 J T U F 8 x M j E w M j A x O S 9 D a G F u Z 2 V k I F R 5 c G U u e 2 R z M j c x N V 9 P Q k p F Q 1 R J R C w 4 M X 0 m c X V v d D s s J n F 1 b 3 Q 7 U 2 V j d G l v b j E v U 0 9 M Q V J f U l N Q X z E y M T A y M D E 5 L 0 N o Y W 5 n Z W Q g V H l w Z S 5 7 Z H M y N z E 1 X 0 h l e F 9 J R C w 4 M n 0 m c X V v d D s s J n F 1 b 3 Q 7 U 2 V j d G l v b j E v U 0 9 M Q V J f U l N Q X z E y M T A y M D E 5 L 0 N o Y W 5 n Z W Q g V H l w Z S 5 7 Z H M y N z E 1 X 1 J 3 a V J h b m t F Y 2 8 s O D N 9 J n F 1 b 3 Q 7 L C Z x d W 9 0 O 1 N l Y 3 R p b 2 4 x L 1 N P T E F S X 1 J T U F 8 x M j E w M j A x O S 9 D a G F u Z 2 V k I F R 5 c G U u e 2 R z M j c x N V 9 S d 2 l N Y X h F Y 2 8 s O D R 9 J n F 1 b 3 Q 7 L C Z x d W 9 0 O 1 N l Y 3 R p b 2 4 x L 1 N P T E F S X 1 J T U F 8 x M j E w M j A x O S 9 D a G F u Z 2 V k I F R 5 c G U u e 2 R z M j c x N V 9 S d 2 l S Y W 5 r U 1 c s O D V 9 J n F 1 b 3 Q 7 L C Z x d W 9 0 O 1 N l Y 3 R p b 2 4 x L 1 N P T E F S X 1 J T U F 8 x M j E w M j A x O S 9 D a G F u Z 2 V k I F R 5 c G U u e 2 R z M j c x N V 9 S d 2 l N Y X h T V y w 4 N n 0 m c X V v d D s s J n F 1 b 3 Q 7 U 2 V j d G l v b j E v U 0 9 M Q V J f U l N Q X z E y M T A y M D E 5 L 0 N o Y W 5 n Z W Q g V H l w Z S 5 7 Z H M y N z E 1 X 0 F s b F R h e G F F b m R l b S w 4 N 3 0 m c X V v d D s s J n F 1 b 3 Q 7 U 2 V j d G l v b j E v U 0 9 M Q V J f U l N Q X z E y M T A y M D E 5 L 0 N o Y W 5 n Z W Q g V H l w Z S 5 7 Z H M y N z E 1 X 0 F t c G h F b m R l b S w 4 O H 0 m c X V v d D s s J n F 1 b 3 Q 7 U 2 V j d G l v b j E v U 0 9 M Q V J f U l N Q X z E y M T A y M D E 5 L 0 N o Y W 5 n Z W Q g V H l w Z S 5 7 Z H M y N z E 1 X 1 J l c H R F b m R l b S w 4 O X 0 m c X V v d D s s J n F 1 b 3 Q 7 U 2 V j d G l v b j E v U 0 9 M Q V J f U l N Q X z E y M T A y M D E 5 L 0 N o Y W 5 n Z W Q g V H l w Z S 5 7 Z H M y N z E 1 X 0 J p c m R F b m R l b S w 5 M H 0 m c X V v d D s s J n F 1 b 3 Q 7 U 2 V j d G l v b j E v U 0 9 M Q V J f U l N Q X z E y M T A y M D E 5 L 0 N o Y W 5 n Z W Q g V H l w Z S 5 7 Z H M y N z E 1 X 0 1 h b W 1 F b m R l b S w 5 M X 0 m c X V v d D s s J n F 1 b 3 Q 7 U 2 V j d G l v b j E v U 0 9 M Q V J f U l N Q X z E y M T A y M D E 5 L 0 N o Y W 5 n Z W Q g V H l w Z S 5 7 Z H M y N z E 1 X 1 B s b n R F b m R l b S w 5 M n 0 m c X V v d D s s J n F 1 b 3 Q 7 U 2 V j d G l v b j E v U 0 9 M Q V J f U l N Q X z E y M T A y M D E 5 L 0 N o Y W 5 n Z W Q g V H l w Z S 5 7 Z H M y N z E 1 X 0 V j b 1 9 T Z W N 0 L D k z f S Z x d W 9 0 O y w m c X V v d D t T Z W N 0 a W 9 u M S 9 T T 0 x B U l 9 S U 1 B f M T I x M D I w M T k v Q 2 h h b m d l Z C B U e X B l L n t k c z I 3 M T V f R W N v X 0 5 h b W U s O T R 9 J n F 1 b 3 Q 7 L C Z x d W 9 0 O 1 N l Y 3 R p b 2 4 x L 1 N P T E F S X 1 J T U F 8 x M j E w M j A x O S 9 D a G F u Z 2 V k I F R 5 c G U u e 2 R z M j c x N V 9 K Z X B z b 2 5 f R W N v L D k 1 f S Z x d W 9 0 O y w m c X V v d D t T Z W N 0 a W 9 u M S 9 T T 0 x B U l 9 S U 1 B f M T I x M D I w M T k v Q 2 h h b m d l Z C B U e X B l L n t k c z I 3 M T V f Q 2 9 1 b n R 5 L D k 2 f S Z x d W 9 0 O y w m c X V v d D t T Z W N 0 a W 9 u M S 9 T T 0 x B U l 9 S U 1 B f M T I x M D I w M T k v Q 2 h h b m d l Z C B U e X B l L n t P Q k p F Q 1 R J R F 8 x L D k 3 f S Z x d W 9 0 O y w m c X V v d D t T Z W N 0 a W 9 u M S 9 T T 0 x B U l 9 S U 1 B f M T I x M D I w M T k v Q 2 h h b m d l Z C B U e X B l L n t J R C w 5 O H 0 m c X V v d D s s J n F 1 b 3 Q 7 U 2 V j d G l v b j E v U 0 9 M Q V J f U l N Q X z E y M T A y M D E 5 L 0 N o Y W 5 n Z W Q g V H l w Z S 5 7 T k F N R S w 5 O X 0 m c X V v d D s s J n F 1 b 3 Q 7 U 2 V j d G l v b j E v U 0 9 M Q V J f U l N Q X z E y M T A y M D E 5 L 0 N o Y W 5 n Z W Q g V H l w Z S 5 7 Q 0 l U W S w x M D B 9 J n F 1 b 3 Q 7 L C Z x d W 9 0 O 1 N l Y 3 R p b 2 4 x L 1 N P T E F S X 1 J T U F 8 x M j E w M j A x O S 9 D a G F u Z 2 V k I F R 5 c G U u e 1 N U Q V R F L D E w M X 0 m c X V v d D s s J n F 1 b 3 Q 7 U 2 V j d G l v b j E v U 0 9 M Q V J f U l N Q X z E y M T A y M D E 5 L 0 N o Y W 5 n Z W Q g V H l w Z S 5 7 W k l Q Q 0 9 E R S w x M D J 9 J n F 1 b 3 Q 7 L C Z x d W 9 0 O 1 N l Y 3 R p b 2 4 x L 1 N P T E F S X 1 J T U F 8 x M j E w M j A x O S 9 D a G F u Z 2 V k I F R 5 c G U u e 0 N P V U 5 U U l k s M T A z f S Z x d W 9 0 O y w m c X V v d D t T Z W N 0 a W 9 u M S 9 T T 0 x B U l 9 S U 1 B f M T I x M D I w M T k v Q 2 h h b m d l Z C B U e X B l L n t M S U 5 F U y w x M D R 9 J n F 1 b 3 Q 7 L C Z x d W 9 0 O 1 N l Y 3 R p b 2 4 x L 1 N P T E F S X 1 J T U F 8 x M j E w M j A x O S 9 D a G F u Z 2 V k I F R 5 c G U u e 0 1 B W F 9 W T 0 x U L D E w N X 0 m c X V v d D s s J n F 1 b 3 Q 7 U 2 V j d G l v b j E v U 0 9 M Q V J f U l N Q X z E y M T A y M D E 5 L 0 N o Y W 5 n Z W Q g V H l w Z S 5 7 T U l O X 1 Z P T F Q s M T A 2 f S Z x d W 9 0 O y w m c X V v d D t T Z W N 0 a W 9 u M S 9 T T 0 x B U l 9 S U 1 B f M T I x M D I w M T k v Q 2 h h b m d l Z C B U e X B l L n t N Q V h f S U 5 G R V I s M T A 3 f S Z x d W 9 0 O y w m c X V v d D t T Z W N 0 a W 9 u M S 9 T T 0 x B U l 9 S U 1 B f M T I x M D I w M T k v Q 2 h h b m d l Z C B U e X B l L n t N S U 5 f S U 5 G R V I s M T A 4 f S Z x d W 9 0 O y w m c X V v d D t T Z W N 0 a W 9 u M S 9 T T 0 x B U l 9 S U 1 B f M T I x M D I w M T k v Q 2 h h b m d l Z C B U e X B l L n t M Q V R J V F V E R S w x M D l 9 J n F 1 b 3 Q 7 L C Z x d W 9 0 O 1 N l Y 3 R p b 2 4 x L 1 N P T E F S X 1 J T U F 8 x M j E w M j A x O S 9 D a G F u Z 2 V k I F R 5 c G U u e 0 x P T k d J V F V E R S w x M T B 9 J n F 1 b 3 Q 7 L C Z x d W 9 0 O 1 N l Y 3 R p b 2 4 x L 1 N P T E F S X 1 J T U F 8 x M j E w M j A x O S 9 D a G F u Z 2 V k I F R 5 c G U u e 0 1 F V E h P R C w x M T F 9 J n F 1 b 3 Q 7 L C Z x d W 9 0 O 1 N l Y 3 R p b 2 4 x L 1 N P T E F S X 1 J T U F 8 x M j E w M j A x O S 9 D a G F u Z 2 V k I F R 5 c G U u e 0 R B V E U s M T E y f S Z x d W 9 0 O y w m c X V v d D t T Z W N 0 a W 9 u M S 9 T T 0 x B U l 9 S U 1 B f M T I x M D I w M T k v Q 2 h h b m d l Z C B U e X B l L n t T T 1 V S Q 0 U s M T E z f S Z x d W 9 0 O y w m c X V v d D t T Z W N 0 a W 9 u M S 9 T T 0 x B U l 9 S U 1 B f M T I x M D I w M T k v Q 2 h h b m d l Z C B U e X B l L n t T d W J z d G F 0 a W 9 u X 0 l E L D E x N H 0 m c X V v d D s s J n F 1 b 3 Q 7 U 2 V j d G l v b j E v U 0 9 M Q V J f U l N Q X z E y M T A y M D E 5 L 0 N o Y W 5 n Z W Q g V H l w Z S 5 7 U 3 V i c 3 R h d G l v b l 9 O Y W 1 l L D E x N X 0 m c X V v d D s s J n F 1 b 3 Q 7 U 2 V j d G l v b j E v U 0 9 M Q V J f U l N Q X z E y M T A y M D E 5 L 0 N o Y W 5 n Z W Q g V H l w Z S 5 7 Q W x p Y X M s M T E 2 f S Z x d W 9 0 O y w m c X V v d D t T Z W N 0 a W 9 u M S 9 T T 0 x B U l 9 S U 1 B f M T I x M D I w M T k v Q 2 h h b m d l Z C B U e X B l L n t T d G F 0 d X M s M T E 3 f S Z x d W 9 0 O y w m c X V v d D t T Z W N 0 a W 9 u M S 9 T T 0 x B U l 9 S U 1 B f M T I x M D I w M T k v Q 2 h h b m d l Z C B U e X B l L n t P d 2 5 l c i w x M T h 9 J n F 1 b 3 Q 7 L C Z x d W 9 0 O 1 N l Y 3 R p b 2 4 x L 1 N P T E F S X 1 J T U F 8 x M j E w M j A x O S 9 D a G F u Z 2 V k I F R 5 c G U u e 0 1 h c F 9 P d 2 5 l c i w x M T l 9 J n F 1 b 3 Q 7 L C Z x d W 9 0 O 1 N l Y 3 R p b 2 4 x L 1 N P T E F S X 1 J T U F 8 x M j E w M j A x O S 9 D a G F u Z 2 V k I F R 5 c G U u e 0 1 h c F 9 Q Y X J 0 L D E y M H 0 m c X V v d D s s J n F 1 b 3 Q 7 U 2 V j d G l v b j E v U 0 9 M Q V J f U l N Q X z E y M T A y M D E 5 L 0 N o Y W 5 n Z W Q g V H l w Z S 5 7 R W 5 n a W 5 l Z X J p b m d f S U Q s M T I x f S Z x d W 9 0 O y w m c X V v d D t T Z W N 0 a W 9 u M S 9 T T 0 x B U l 9 S U 1 B f M T I x M D I w M T k v Q 2 h h b m d l Z C B U e X B l L n t r V l 8 x M l 9 U T 1 8 z M i w x M j J 9 J n F 1 b 3 Q 7 L C Z x d W 9 0 O 1 N l Y 3 R p b 2 4 x L 1 N P T E F S X 1 J T U F 8 x M j E w M j A x O S 9 D a G F u Z 2 V k I F R 5 c G U u e 2 t W X z M z X 1 R P X z k y L D E y M 3 0 m c X V v d D s s J n F 1 b 3 Q 7 U 2 V j d G l v b j E v U 0 9 M Q V J f U l N Q X z E y M T A y M D E 5 L 0 N o Y W 5 n Z W Q g V H l w Z S 5 7 a 1 Z f M T E w X 1 R P X z E 2 M S w x M j R 9 J n F 1 b 3 Q 7 L C Z x d W 9 0 O 1 N l Y 3 R p b 2 4 x L 1 N P T E F S X 1 J T U F 8 x M j E w M j A x O S 9 D a G F u Z 2 V k I F R 5 c G U u e 2 t W X z I y M F 9 U b 1 8 y O D c s M T I 1 f S Z x d W 9 0 O y w m c X V v d D t T Z W N 0 a W 9 u M S 9 T T 0 x B U l 9 S U 1 B f M T I x M D I w M T k v Q 2 h h b m d l Z C B U e X B l L n t r V l 8 z N D V f V G 9 f N T A w L D E y N n 0 m c X V v d D s s J n F 1 b 3 Q 7 U 2 V j d G l v b j E v U 0 9 M Q V J f U l N Q X z E y M T A y M D E 5 L 0 N o Y W 5 n Z W Q g V H l w Z S 5 7 a 1 Z f N T A w X 0 R D L D E y N 3 0 m c X V v d D s s J n F 1 b 3 Q 7 U 2 V j d G l v b j E v U 0 9 M Q V J f U l N Q X z E y M T A y M D E 5 L 0 N o Y W 5 n Z W Q g V H l w Z S 5 7 S G l n a G V z d F 9 r V i w x M j h 9 J n F 1 b 3 Q 7 L C Z x d W 9 0 O 1 N l Y 3 R p b 2 4 x L 1 N P T E F S X 1 J T U F 8 x M j E w M j A x O S 9 D a G F u Z 2 V k I F R 5 c G U u e 1 B v c 3 R h b F 9 D a X R 5 L D E y O X 0 m c X V v d D s s J n F 1 b 3 Q 7 U 2 V j d G l v b j E v U 0 9 M Q V J f U l N Q X z E y M T A y M D E 5 L 0 N o Y W 5 n Z W Q g V H l w Z S 5 7 Q 2 9 1 b n R 5 L D E z M H 0 m c X V v d D s s J n F 1 b 3 Q 7 U 2 V j d G l v b j E v U 0 9 M Q V J f U l N Q X z E y M T A y M D E 5 L 0 N o Y W 5 n Z W Q g V H l w Z S 5 7 W m l w X 0 N v Z G U s M T M x f S Z x d W 9 0 O y w m c X V v d D t T Z W N 0 a W 9 u M S 9 T T 0 x B U l 9 S U 1 B f M T I x M D I w M T k v Q 2 h h b m d l Z C B U e X B l L n t M b 2 5 n a X R 1 d G U s M T M y f S Z x d W 9 0 O y w m c X V v d D t T Z W N 0 a W 9 u M S 9 T T 0 x B U l 9 S U 1 B f M T I x M D I w M T k v Q 2 h h b m d l Z C B U e X B l L n t D b 2 1 t Z W 5 0 c y w x M z N 9 J n F 1 b 3 Q 7 L C Z x d W 9 0 O 1 N l Y 3 R p b 2 4 x L 1 N P T E F S X 1 J T U F 8 x M j E w M j A x O S 9 D a G F u Z 2 V k I F R 5 c G U u e 0 N y Z W F 0 b 3 I s M T M 0 f S Z x d W 9 0 O y w m c X V v d D t T Z W N 0 a W 9 u M S 9 T T 0 x B U l 9 S U 1 B f M T I x M D I w M T k v Q 2 h h b m d l Z C B U e X B l L n t D c m V h d G 9 y X 0 R h d G U s M T M 1 f S Z x d W 9 0 O y w m c X V v d D t T Z W N 0 a W 9 u M S 9 T T 0 x B U l 9 S U 1 B f M T I x M D I w M T k v Q 2 h h b m d l Z C B U e X B l L n t M Y X N 0 X 0 V k a X R v c i w x M z Z 9 J n F 1 b 3 Q 7 L C Z x d W 9 0 O 1 N l Y 3 R p b 2 4 x L 1 N P T E F S X 1 J T U F 8 x M j E w M j A x O S 9 D a G F u Z 2 V k I F R 5 c G U u e 0 x h c 3 R f R W R p d G 9 y X 0 R h d G U s M T M 3 f S Z x d W 9 0 O y w m c X V v d D t T Z W N 0 a W 9 u M S 9 T T 0 x B U l 9 S U 1 B f M T I x M D I w M T k v Q 2 h h b m d l Z C B U e X B l L n t J U l B f R 0 V P L D E z O H 0 m c X V v d D s s J n F 1 b 3 Q 7 U 2 V j d G l v b j E v U 0 9 M Q V J f U l N Q X z E y M T A y M D E 5 L 0 N o Y W 5 n Z W Q g V H l w Z S 5 7 S V J Q X 1 d J T k Q s M T M 5 f S Z x d W 9 0 O y w m c X V v d D t T Z W N 0 a W 9 u M S 9 T T 0 x B U l 9 S U 1 B f M T I x M D I w M T k v Q 2 h h b m d l Z C B U e X B l L n t J U l B f U 0 9 B T F I s M T Q w f S Z x d W 9 0 O y w m c X V v d D t T Z W N 0 a W 9 u M S 9 T T 0 x B U l 9 S U 1 B f M T I x M D I w M T k v Q 2 h h b m d l Z C B U e X B l L n t C V U Z G X 0 R J U 1 Q s M T Q x f S Z x d W 9 0 O y w m c X V v d D t T Z W N 0 a W 9 u M S 9 T T 0 x B U l 9 S U 1 B f M T I x M D I w M T k v Q 2 h h b m d l Z C B U e X B l L n t P U k l H X 0 Z J R C w x N D J 9 J n F 1 b 3 Q 7 L C Z x d W 9 0 O 1 N l Y 3 R p b 2 4 x L 1 N P T E F S X 1 J T U F 8 x M j E w M j A x O S 9 D a G F u Z 2 V k I F R 5 c G U u e 1 N o Y X B l X 0 x l b m d 0 a F 8 x L D E 0 M 3 0 m c X V v d D s s J n F 1 b 3 Q 7 U 2 V j d G l v b j E v U 0 9 M Q V J f U l N Q X z E y M T A y M D E 5 L 0 N o Y W 5 n Z W Q g V H l w Z S 5 7 U 2 h h c G V f Q X J l Y V 8 x L D E 0 N H 0 m c X V v d D s s J n F 1 b 3 Q 7 U 2 V j d G l v b j E v U 0 9 M Q V J f U l N Q X z E y M T A y M D E 5 L 0 N o Y W 5 n Z W Q g V H l w Z S 5 7 R W x l Y 3 R y a W N h b C w x N D V 9 J n F 1 b 3 Q 7 L C Z x d W 9 0 O 1 N l Y 3 R p b 2 4 x L 1 N P T E F S X 1 J T U F 8 x M j E w M j A x O S 9 D a G F u Z 2 V k I F R 5 c G U u e 0 Z h b G x z V 2 l 0 a G k s M T Q 2 f S Z x d W 9 0 O y w m c X V v d D t T Z W N 0 a W 9 u M S 9 T T 0 x B U l 9 S U 1 B f M T I x M D I w M T k v Q 2 h h b m d l Z C B U e X B l L n t G Y W x s c 1 d p d F 8 x L D E 0 N 3 0 m c X V v d D s s J n F 1 b 3 Q 7 U 2 V j d G l v b j E v U 0 9 M Q V J f U l N Q X z E y M T A y M D E 5 L 0 N o Y W 5 n Z W Q g V H l w Z S 5 7 U 2 h h c G V f T G V u Z y w x N D h 9 J n F 1 b 3 Q 7 L C Z x d W 9 0 O 1 N l Y 3 R p b 2 4 x L 1 N P T E F S X 1 J T U F 8 x M j E w M j A x O S 9 D a G F u Z 2 V k I F R 5 c G U u e 1 N o Y X B l X 0 F y Z W F f M T I s M T Q 5 f S Z x d W 9 0 O y w m c X V v d D t T Z W N 0 a W 9 u M S 9 T T 0 x B U l 9 S U 1 B f M T I x M D I w M T k v Q 2 h h b m d l Z C B U e X B l L n t T a G F w Z V 9 M Z W 5 n d G g s M T U w f S Z x d W 9 0 O y w m c X V v d D t T Z W N 0 a W 9 u M S 9 T T 0 x B U l 9 S U 1 B f M T I x M D I w M T k v Q 2 h h b m d l Z C B U e X B l L n t T a G F w Z V 9 B c m V h L D E 1 M X 0 m c X V v d D t d L C Z x d W 9 0 O 1 J l b G F 0 a W 9 u c 2 h p c E l u Z m 8 m c X V v d D s 6 W 1 1 9 I i A v P j w v U 3 R h Y m x l R W 5 0 c m l l c z 4 8 L 0 l 0 Z W 0 + P E l 0 Z W 0 + P E l 0 Z W 1 M b 2 N h d G l v b j 4 8 S X R l b V R 5 c G U + R m 9 y b X V s Y T w v S X R l b V R 5 c G U + P E l 0 Z W 1 Q Y X R o P l N l Y 3 R p b 2 4 x L 1 N P T E F S X 1 J T U F 8 x M j E w M j A x O S 9 T b 3 V y Y 2 U 8 L 0 l 0 Z W 1 Q Y X R o P j w v S X R l b U x v Y 2 F 0 a W 9 u P j x T d G F i b G V F b n R y a W V z I C 8 + P C 9 J d G V t P j x J d G V t P j x J d G V t T G 9 j Y X R p b 2 4 + P E l 0 Z W 1 U e X B l P k Z v c m 1 1 b G E 8 L 0 l 0 Z W 1 U e X B l P j x J d G V t U G F 0 a D 5 T Z W N 0 a W 9 u M S 9 T T 0 x B U l 9 S U 1 B f M T I x M D I w M T k v U H J v b W 9 0 Z W Q l M j B I Z W F k Z X J z P C 9 J d G V t U G F 0 a D 4 8 L 0 l 0 Z W 1 M b 2 N h d G l v b j 4 8 U 3 R h Y m x l R W 5 0 c m l l c y A v P j w v S X R l b T 4 8 S X R l b T 4 8 S X R l b U x v Y 2 F 0 a W 9 u P j x J d G V t V H l w Z T 5 G b 3 J t d W x h P C 9 J d G V t V H l w Z T 4 8 S X R l b V B h d G g + U 2 V j d G l v b j E v U 0 9 M Q V J f U l N Q X z E y M T A y M D E 5 L 0 N o Y W 5 n Z W Q l M j B U e X B l P C 9 J d G V t U G F 0 a D 4 8 L 0 l 0 Z W 1 M b 2 N h d G l v b j 4 8 U 3 R h Y m x l R W 5 0 c m l l c y A v P j w v S X R l b T 4 8 L 0 l 0 Z W 1 z P j w v T G 9 j Y W x Q Y W N r Y W d l T W V 0 Y W R h d G F G a W x l P h Y A A A B Q S w U G A A A A A A A A A A A A A A A A A A A A A A A A J g E A A A E A A A D Q j J 3 f A R X R E Y x 6 A M B P w p f r A Q A A A A g l L 6 g x W F R F j 3 i o w U S p V y k A A A A A A g A A A A A A E G Y A A A A B A A A g A A A A M z U N R P 2 M X J A R D c / C L I 8 x w x A 2 V C Y h 8 L o k / c R 3 r 6 B D N G M A A A A A D o A A A A A C A A A g A A A A 1 a q F L K J y l z 7 b o K y y / u + M c j L s U V N X I Q v f n v e x F M C G U D N Q A A A A B g 2 Q v V r D a F 0 N G z x K o k s u f B w l v B k i 4 w B I 0 5 m x 6 q D E 8 l x U 6 z 6 I H / O r r 0 f 6 a y k k 4 I 0 U W T N t U E F v 4 o Z X 2 U 7 p C y K M 1 5 5 i 2 W 0 3 a m B Q x Y Z i c J X Z Y A Z A A A A A l 8 x 8 y 0 d R 9 Q X c 3 F h I + 9 y R 2 N f O d 4 g L v 0 x v g 0 P j G x d 9 B F n K a B P a E n / q x X S R a J H B C 0 m R h v C e r o w S w J z u g X i f 6 I k j r A = = < / D a t a M a s h u p > 
</file>

<file path=customXml/itemProps1.xml><?xml version="1.0" encoding="utf-8"?>
<ds:datastoreItem xmlns:ds="http://schemas.openxmlformats.org/officeDocument/2006/customXml" ds:itemID="{300C7E41-2C9F-42EC-818F-792AE999C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READ ME</vt:lpstr>
      <vt:lpstr>VERSIONS</vt:lpstr>
      <vt:lpstr>Dashboard 2019RSP (Round 0)</vt:lpstr>
      <vt:lpstr>Dashboard 2019RSP (Round 0 adj)</vt:lpstr>
      <vt:lpstr>Dashboard 2019RSP (Round 1)</vt:lpstr>
      <vt:lpstr>Dashboard 2019RSP (Round 2)</vt:lpstr>
      <vt:lpstr>SelectedPortfolio_2019RSP</vt:lpstr>
      <vt:lpstr>proposedAdjustments</vt:lpstr>
      <vt:lpstr>2_TxCapability</vt:lpstr>
      <vt:lpstr>CheckTab</vt:lpstr>
      <vt:lpstr>3.1_SUM SOLAR RESOURCE ACRES</vt:lpstr>
      <vt:lpstr>3.1_SUM WIND RESOURCE ACRES</vt:lpstr>
      <vt:lpstr>3.2_SUM SOLAR RESOURCE ACRES</vt:lpstr>
      <vt:lpstr>3.2_SUM WIND RESOURCE ACRES</vt:lpstr>
      <vt:lpstr>4_CommercialInterest</vt:lpstr>
      <vt:lpstr>4a_CommercialInterestChart</vt:lpstr>
      <vt:lpstr>4b_QueuePivotTable</vt:lpstr>
      <vt:lpstr>5_BUSBAR ALLOC_Adj_TPPFeb2020</vt:lpstr>
      <vt:lpstr>BUSBAR_ALLOC_AdjMar2020</vt:lpstr>
      <vt:lpstr>BUSBAR ALLOCATION_Adj (2)</vt:lpstr>
      <vt:lpstr>SNV_Detail</vt:lpstr>
      <vt:lpstr>5b_ComparToPrevYr</vt:lpstr>
      <vt:lpstr>5c_compareToPrevYearChart</vt:lpstr>
      <vt:lpstr>'READ ME'!_Hlk5613839</vt:lpstr>
      <vt:lpstr>VERSIONS!_Hlk5613839</vt:lpstr>
      <vt:lpstr>'5_BUSBAR ALLOC_Adj_TPPFeb2020'!Print_Area</vt:lpstr>
      <vt:lpstr>'BUSBAR ALLOCATION_Adj (2)'!Print_Area</vt:lpstr>
      <vt:lpstr>'5_BUSBAR ALLOC_Adj_TPPFeb2020'!Print_Titles</vt:lpstr>
      <vt:lpstr>'BUSBAR ALLOCATION_Adj (2)'!Print_Titles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 Flint</dc:creator>
  <cp:keywords/>
  <dc:description/>
  <cp:lastModifiedBy>Neil Raffan</cp:lastModifiedBy>
  <cp:revision/>
  <dcterms:created xsi:type="dcterms:W3CDTF">2019-10-08T21:22:03Z</dcterms:created>
  <dcterms:modified xsi:type="dcterms:W3CDTF">2020-03-31T00:20:31Z</dcterms:modified>
  <cp:category/>
  <cp:contentStatus/>
</cp:coreProperties>
</file>