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0" windowWidth="15480" windowHeight="9435" tabRatio="1000" activeTab="0"/>
  </bookViews>
  <sheets>
    <sheet name="Program MW -ExPost&amp;ExAnte" sheetId="1" r:id="rId1"/>
    <sheet name="LI (ExPost &amp; ExAnte)" sheetId="2" r:id="rId2"/>
    <sheet name="TA-TI Distribution" sheetId="3" r:id="rId3"/>
    <sheet name="DRP Expenditures" sheetId="4" r:id="rId4"/>
    <sheet name="Fund Shift Log" sheetId="5" r:id="rId5"/>
    <sheet name="DRPBA Costs Tbl 1-2B Carryover" sheetId="6" r:id="rId6"/>
    <sheet name="Event Summary" sheetId="7" r:id="rId7"/>
    <sheet name="Bal Acct Info Costs-Incentives" sheetId="8" r:id="rId8"/>
  </sheets>
  <externalReferences>
    <externalReference r:id="rId11"/>
    <externalReference r:id="rId12"/>
    <externalReference r:id="rId13"/>
  </externalReferences>
  <definedNames>
    <definedName name="_xlnm._FilterDatabase" localSheetId="6" hidden="1">'Event Summary'!$A$1:$J$272</definedName>
    <definedName name="Achieve_GRC">#REF!</definedName>
    <definedName name="Achieve_Service_Excellenc">#REF!</definedName>
    <definedName name="Achieve_Service_Excellence">#REF!</definedName>
    <definedName name="Collect_Revenue">#REF!</definedName>
    <definedName name="DAT1">#REF!</definedName>
    <definedName name="DAT10">#REF!</definedName>
    <definedName name="DAT11">#REF!</definedName>
    <definedName name="DAT12">#REF!</definedName>
    <definedName name="DAT13">#REF!</definedName>
    <definedName name="DAT14">#REF!</definedName>
    <definedName name="DAT15">#REF!</definedName>
    <definedName name="DAT16">#REF!</definedName>
    <definedName name="DAT17">#REF!</definedName>
    <definedName name="DAT2">#REF!</definedName>
    <definedName name="DAT3">#REF!</definedName>
    <definedName name="DAT4">#REF!</definedName>
    <definedName name="DAT5">#REF!</definedName>
    <definedName name="DAT6">#REF!</definedName>
    <definedName name="DAT7">#REF!</definedName>
    <definedName name="DAT8">#REF!</definedName>
    <definedName name="DAT9">#REF!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3">#REF!</definedName>
    <definedName name="DATA4">#REF!</definedName>
    <definedName name="DATA5">#REF!</definedName>
    <definedName name="data5000">'[2]ACTMA Detail'!$N$2:$N$102</definedName>
    <definedName name="DATA6">#REF!</definedName>
    <definedName name="DATA7">#REF!</definedName>
    <definedName name="DATA8">#REF!</definedName>
    <definedName name="DATA9">#REF!</definedName>
    <definedName name="Enhance_Delivery_Channels">#REF!</definedName>
    <definedName name="Ethics_and_Compliance">#REF!</definedName>
    <definedName name="Launch_Refine_Market">#REF!</definedName>
    <definedName name="Manage_AMI">#REF!</definedName>
    <definedName name="Meet_Financial_Targets">#REF!</definedName>
    <definedName name="nnnnnn">'[2]ACTMA Detail'!$P$2:$P$102</definedName>
    <definedName name="_xlnm.Print_Area" localSheetId="7">'Bal Acct Info Costs-Incentives'!$A$1:$N$30</definedName>
    <definedName name="_xlnm.Print_Area" localSheetId="4">'Fund Shift Log'!$A$1:$E$21</definedName>
    <definedName name="_xlnm.Print_Area" localSheetId="1">'LI (ExPost &amp; ExAnte)'!$A$1:$O$49</definedName>
    <definedName name="_xlnm.Print_Area" localSheetId="0">'Program MW -ExPost&amp;ExAnte'!$A$1:$T$68</definedName>
    <definedName name="_xlnm.Print_Area" localSheetId="2">'TA-TI Distribution'!$A$1:$Y$68</definedName>
    <definedName name="_xlnm.Print_Titles" localSheetId="6">'Event Summary'!$3:$3</definedName>
    <definedName name="Reliability_Expectations">#REF!</definedName>
    <definedName name="Stabilization_Customer_Base">#REF!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Valued_Service_Provider">#REF!</definedName>
    <definedName name="Voice_of_Customer">#REF!</definedName>
  </definedNames>
  <calcPr fullCalcOnLoad="1"/>
</workbook>
</file>

<file path=xl/sharedStrings.xml><?xml version="1.0" encoding="utf-8"?>
<sst xmlns="http://schemas.openxmlformats.org/spreadsheetml/2006/main" count="933" uniqueCount="317">
  <si>
    <t>January</t>
  </si>
  <si>
    <t>February</t>
  </si>
  <si>
    <t>March</t>
  </si>
  <si>
    <t>April</t>
  </si>
  <si>
    <t>May</t>
  </si>
  <si>
    <t>June</t>
  </si>
  <si>
    <t>July</t>
  </si>
  <si>
    <t>August</t>
  </si>
  <si>
    <t>September</t>
  </si>
  <si>
    <t>October</t>
  </si>
  <si>
    <t>November</t>
  </si>
  <si>
    <t>December</t>
  </si>
  <si>
    <t>BIP</t>
  </si>
  <si>
    <t xml:space="preserve">  Total Cost of Incentives</t>
  </si>
  <si>
    <t xml:space="preserve"> </t>
  </si>
  <si>
    <t>OBMC</t>
  </si>
  <si>
    <t>AP-I</t>
  </si>
  <si>
    <t>DBP</t>
  </si>
  <si>
    <t>Service Accounts</t>
  </si>
  <si>
    <t>Year-to-Date Total Cost</t>
  </si>
  <si>
    <t>Annual Total Cost</t>
  </si>
  <si>
    <t>Cost Item</t>
  </si>
  <si>
    <t>Date</t>
  </si>
  <si>
    <t xml:space="preserve">  Sub-Total Interruptible</t>
  </si>
  <si>
    <t>Programs</t>
  </si>
  <si>
    <t>Interruptible/Reliability</t>
  </si>
  <si>
    <t>Total All Programs</t>
  </si>
  <si>
    <t>Event Beginning:End</t>
  </si>
  <si>
    <t>Notes:</t>
  </si>
  <si>
    <t>Program Tolled Hours (Annual) (4)</t>
  </si>
  <si>
    <t>Event Trigger(1)</t>
  </si>
  <si>
    <t>Load Reduction     kW (2) (3)</t>
  </si>
  <si>
    <t>DBP (DA)</t>
  </si>
  <si>
    <t>Emerging Markets &amp; Technologies</t>
  </si>
  <si>
    <t>Total Incremental Cost</t>
  </si>
  <si>
    <t>SLRP</t>
  </si>
  <si>
    <r>
      <t xml:space="preserve">Program Incentives </t>
    </r>
    <r>
      <rPr>
        <b/>
        <vertAlign val="superscript"/>
        <sz val="10"/>
        <rFont val="Arial"/>
        <family val="2"/>
      </rPr>
      <t>(2)</t>
    </r>
  </si>
  <si>
    <r>
      <t xml:space="preserve">Revenues from Penalties </t>
    </r>
    <r>
      <rPr>
        <b/>
        <vertAlign val="superscript"/>
        <sz val="10"/>
        <rFont val="Arial"/>
        <family val="2"/>
      </rPr>
      <t>(3)</t>
    </r>
  </si>
  <si>
    <t xml:space="preserve"> Budget Category 1 Total</t>
  </si>
  <si>
    <t xml:space="preserve"> Budget Category 2 Total</t>
  </si>
  <si>
    <t>Federal Power Reserves  Partnership</t>
  </si>
  <si>
    <t>Capacity Bidding Program</t>
  </si>
  <si>
    <t xml:space="preserve">(2) Incentive data is preliminary and subject to change based on billing records.  </t>
  </si>
  <si>
    <t>DR Contracts</t>
  </si>
  <si>
    <t>SDP-Base: Residential</t>
  </si>
  <si>
    <t>SDP-Base: Commercial</t>
  </si>
  <si>
    <t>SDP-Enhanced : Residential</t>
  </si>
  <si>
    <t>SDP-Enhanced : Commercial</t>
  </si>
  <si>
    <t>Event No.</t>
  </si>
  <si>
    <t>RTP</t>
  </si>
  <si>
    <t>SDP-Base</t>
  </si>
  <si>
    <t>SDP-Enhanced</t>
  </si>
  <si>
    <t>Price Response</t>
  </si>
  <si>
    <t xml:space="preserve">  Sub-Total Price Response</t>
  </si>
  <si>
    <t>Flex Alert</t>
  </si>
  <si>
    <t>Participating Load Pilot</t>
  </si>
  <si>
    <t>Optional Binding Mandatory Curtailment</t>
  </si>
  <si>
    <t>Rotating Outages Management</t>
  </si>
  <si>
    <t>(1) Amounts reported are for incentives costs that are not recovered in the Demand Response Program Balancing Account.</t>
  </si>
  <si>
    <t>(3) Penalties assessed BIP participants for failure to reduce load when requested during curtailment events.</t>
  </si>
  <si>
    <t xml:space="preserve">SDP - Summer Discount Plan </t>
  </si>
  <si>
    <t>Auto DR</t>
  </si>
  <si>
    <t xml:space="preserve">PEAK </t>
  </si>
  <si>
    <t xml:space="preserve">AP-I </t>
  </si>
  <si>
    <t xml:space="preserve">Circuit Savers </t>
  </si>
  <si>
    <t>DR Forecasting Tool</t>
  </si>
  <si>
    <t>(1) Costs reported here are recorded in SCE's Demand Response Program Balancing Account (DRPBA), unless otherwise noted.</t>
  </si>
  <si>
    <t>N/A</t>
  </si>
  <si>
    <t>Category 1:  Emergency Programs</t>
  </si>
  <si>
    <t>Category 2:  Price Responsive Programs</t>
  </si>
  <si>
    <t>Energy Options Program</t>
  </si>
  <si>
    <t>DBP (NDB)</t>
  </si>
  <si>
    <t>Real Time Pricing</t>
  </si>
  <si>
    <t>Category 3:  DR Aggregator Managed Programs</t>
  </si>
  <si>
    <t xml:space="preserve"> Budget Category 3 Total</t>
  </si>
  <si>
    <t>Category 4:  DR Enabled Programs</t>
  </si>
  <si>
    <t>Agriculture Pump Timer Program</t>
  </si>
  <si>
    <t xml:space="preserve"> Budget Category 4 Total</t>
  </si>
  <si>
    <t>Category 5:  Pilots &amp; SmartConnect Enabled Programs</t>
  </si>
  <si>
    <t>SmartConnect Thermostats for CPP</t>
  </si>
  <si>
    <t>SmartConnect Customer Experience Pilot</t>
  </si>
  <si>
    <t xml:space="preserve"> Budget Category 5 Total</t>
  </si>
  <si>
    <t>Category 6:  Statewide Marketing Program</t>
  </si>
  <si>
    <t xml:space="preserve"> Budget Category 6 Total</t>
  </si>
  <si>
    <t xml:space="preserve"> Budget Category 7 Total</t>
  </si>
  <si>
    <t>Category 8:  System Support Activities</t>
  </si>
  <si>
    <t>DR Resource Portal</t>
  </si>
  <si>
    <t>DR System Infrastructure</t>
  </si>
  <si>
    <t xml:space="preserve"> Budget Category 8 Total</t>
  </si>
  <si>
    <t>Category 9:  Marketing Education &amp; Outreach</t>
  </si>
  <si>
    <t>Agriculture &amp; Water Outreach</t>
  </si>
  <si>
    <t>Income Qualified Customer Outreach</t>
  </si>
  <si>
    <r>
      <t xml:space="preserve">DR Energy Leadership Partnership </t>
    </r>
    <r>
      <rPr>
        <sz val="8"/>
        <rFont val="Arial"/>
        <family val="2"/>
      </rPr>
      <t>(Community EE/DR Partnership)</t>
    </r>
  </si>
  <si>
    <t>Integrated DSM Marketing</t>
  </si>
  <si>
    <t>Category 10:  Integrated Programs</t>
  </si>
  <si>
    <t xml:space="preserve"> Budget Category 9 Total</t>
  </si>
  <si>
    <t xml:space="preserve"> Budget Category 10 Total</t>
  </si>
  <si>
    <t>Non-residential New Construction</t>
  </si>
  <si>
    <t>Residential New Construction</t>
  </si>
  <si>
    <t>Institutional &amp; Govt Partnership Program</t>
  </si>
  <si>
    <t>IDSM food Processing Pilot</t>
  </si>
  <si>
    <t>WE&amp;T Smart Students</t>
  </si>
  <si>
    <t>IDEAA Program</t>
  </si>
  <si>
    <t>TRIO Program</t>
  </si>
  <si>
    <t>Statewide IDSM Program</t>
  </si>
  <si>
    <t>(3) 2009 Funding authorized in D09-08-027 and D.08-03-017.</t>
  </si>
  <si>
    <t>Programs Support costs</t>
  </si>
  <si>
    <t>Technical Assistance &amp; Technology Incentives - Admin (4)</t>
  </si>
  <si>
    <t>Technical Assistance &amp; Technology Incentives - Incentives (4)</t>
  </si>
  <si>
    <t xml:space="preserve">Category 7:  Measurement &amp; Evaluation </t>
  </si>
  <si>
    <t>Measurement &amp; Evaluation</t>
  </si>
  <si>
    <t>Critical Peak Pricing</t>
  </si>
  <si>
    <t>Price Responsive</t>
  </si>
  <si>
    <t>2009 Expenditures</t>
  </si>
  <si>
    <t>Percent Funding</t>
  </si>
  <si>
    <t>3-Year Funding</t>
  </si>
  <si>
    <t xml:space="preserve">Program-to-Date Total Expenditures 2009-2010 </t>
  </si>
  <si>
    <t>Year-to Date 2010 Expenditures</t>
  </si>
  <si>
    <t>FUND SHIFTING DOCUMENTATION PER DECISION 09-08-027 ORDERING PARAGRAPH 35</t>
  </si>
  <si>
    <t>OP 35:</t>
  </si>
  <si>
    <t>The utilities shall document the amount of and reason for each shift in their monthly demand response reports.</t>
  </si>
  <si>
    <t>Fund Shift</t>
  </si>
  <si>
    <t>Rationale for Fundshift</t>
  </si>
  <si>
    <t>Programs Impacted</t>
  </si>
  <si>
    <t>Program Category</t>
  </si>
  <si>
    <t>Total</t>
  </si>
  <si>
    <t>Year-to-Date Program Expenditures</t>
  </si>
  <si>
    <t>Year-to-Date Event Summary</t>
  </si>
  <si>
    <t>DR Contracts (2)</t>
  </si>
  <si>
    <t>(4) TA&amp;TI expenses include Auto DR incentives for 2009-2011 projects</t>
  </si>
  <si>
    <t xml:space="preserve">    </t>
  </si>
  <si>
    <t>Total Expenditures 2009</t>
  </si>
  <si>
    <t>2008 Carryover Committed Funding</t>
  </si>
  <si>
    <t>Category 1:  Specified Programs</t>
  </si>
  <si>
    <t>CPP-VCD &amp; CPP-GCCD</t>
  </si>
  <si>
    <t>SLRP Incentives</t>
  </si>
  <si>
    <t>DBP (metering for &lt;200 kW)</t>
  </si>
  <si>
    <t>SDP - Summer Discount Plan</t>
  </si>
  <si>
    <t>Technical Assistance &amp; Technology Incentives - Admin</t>
  </si>
  <si>
    <t>Technical Assistance &amp; Technology Incentives - Incentives</t>
  </si>
  <si>
    <t>Integrated EE/DR Marketing</t>
  </si>
  <si>
    <t>Community EE/DR Partnership</t>
  </si>
  <si>
    <t>Circuit Savers</t>
  </si>
  <si>
    <t>Ag &amp; Water Outreach</t>
  </si>
  <si>
    <t>Federal Power Reserves Partnership</t>
  </si>
  <si>
    <t>Permanent Load Shifting</t>
  </si>
  <si>
    <t>DR Contract #1</t>
  </si>
  <si>
    <t xml:space="preserve">DR Contracts #2 - #6 </t>
  </si>
  <si>
    <t>Small Business Communicating Thermostat Pilot</t>
  </si>
  <si>
    <t>Category 2:  Statewide Informational, Educational and Development Programs</t>
  </si>
  <si>
    <t>PEAK</t>
  </si>
  <si>
    <t>Other Activities and Programs</t>
  </si>
  <si>
    <t>Specific Program M&amp;E</t>
  </si>
  <si>
    <t>M&amp;E Supporting Activities</t>
  </si>
  <si>
    <t>Demand Response Systems Integration</t>
  </si>
  <si>
    <t>Budget Category 3 Total</t>
  </si>
  <si>
    <t>Category 4:  Programs Previously Funded in GRC</t>
  </si>
  <si>
    <t>Budget Category 4 Total</t>
  </si>
  <si>
    <t>(1) Costs reported here are recorded in SCE's Demand Response Program Balancing Account (DRPBA)</t>
  </si>
  <si>
    <t>(2) 2009 and 2010 Funding authorized in D09-08-027.</t>
  </si>
  <si>
    <t>Carryover Expenditures to Date 2009 &amp; 2010</t>
  </si>
  <si>
    <t>Total Expenditures 2010</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</si>
  <si>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</si>
  <si>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 xml:space="preserve">(3) Customer's load reduction is measured as follows: </t>
  </si>
  <si>
    <t xml:space="preserve">          SDP: Estimated based on ac tonnage, cycling strategy and load diversity at time of event.</t>
  </si>
  <si>
    <t>(4) Individual customer tolled hours or event limits may vary due to different customer contact times and/or load blocking.</t>
  </si>
  <si>
    <t>(5) Event times are based on GCC start and end times or SCE determined start and end times.</t>
  </si>
  <si>
    <t>(4) Includes Capacity Payments for CBP and DR Contracts as reported in the BRRBA.</t>
  </si>
  <si>
    <t>CPP</t>
  </si>
  <si>
    <t>BIP - 30 Minute Option</t>
  </si>
  <si>
    <t>BIP - 15 Minute Option</t>
  </si>
  <si>
    <t>General Program</t>
  </si>
  <si>
    <t>(2) Funding and expenses for DR Contracts reflect the administrative portion of costs tracked in the Purchase Agreement Administrative Costs Balancing Account (PAACBA).  Incentive payments are recorded separately in Table I-4.</t>
  </si>
  <si>
    <t>Demand Bidding Program</t>
  </si>
  <si>
    <t>Demand Response Contracts</t>
  </si>
  <si>
    <t>Agricultural Pumping Interruptible</t>
  </si>
  <si>
    <t>Base Interruptible Program</t>
  </si>
  <si>
    <t xml:space="preserve">Critical Peak Pricing </t>
  </si>
  <si>
    <t>Summer Discount Program</t>
  </si>
  <si>
    <t>TA (may also be enrolled in TI and AutoDR)</t>
  </si>
  <si>
    <t>2009-2011 Portfolio to date results</t>
  </si>
  <si>
    <t>Customer counts reported on this page are not excluded from counts in the Program MW tab.  MWs reported on this page are not directly related to MW reported in the Program MW tab.</t>
  </si>
  <si>
    <t>General Program category</t>
  </si>
  <si>
    <t>Represents MW of participants in the TA stage and may include participants who have completed TI and AutoDr.</t>
  </si>
  <si>
    <t>Fundshift Adjustments (5)</t>
  </si>
  <si>
    <t>Category 2</t>
  </si>
  <si>
    <t>Energy Options to
Capacity Bidding Program (CBP)</t>
  </si>
  <si>
    <t>Energy Options to
Demand Bidding Program (DBP)</t>
  </si>
  <si>
    <t>(5) See Table I-2A (Fund Shift Log) for explanations.</t>
  </si>
  <si>
    <t xml:space="preserve">In Decision (D.) 09-08-027, the Commission authorized SCE $5,703,864 to administer its Energy Options Program.  SCE is waiting approval of its Petition for Modification of D.09-08-027 to eliminate the Energy Options Program and to continue the Capacity Bidding Program (CBP) through 2011.  Since CBP was expected to be phased out in 2010 with the implementation of Energy Options, SCE was authorized only minimal funding for 2010.  This fund shift from Energy Options to CBP will allow SCE to continue CBP operations and the program offering to its customers through 2010. </t>
  </si>
  <si>
    <t xml:space="preserve">In Decision (D.) 09-08-027, the Commission authorized SCE $5,703,864 to administer its Energy Options Program.  SCE is waiting approval of its Petition for Modification of D.09-08-027 to eliminate the Energy Options Program and to continue the Demand Bidding Program (DBP) through 2011.  Since DBP was expected to be phased out in 2010 with the implementation of Energy Options, SCE was authorized only minimal funding for 2010.  This fund shift from Energy Options to DBP will allow SCE to continue DBP operations and the program offering to its customers through 2010. </t>
  </si>
  <si>
    <t>Peak Load Forecast</t>
  </si>
  <si>
    <t xml:space="preserve">          DR Contracts:  Based on event reduction results using baseline established for each contract.</t>
  </si>
  <si>
    <t xml:space="preserve">          BIP:  The maximum hourly load reduction compared to 10 day rolling average, measured over the duration of the entire event day.  10 in 10 baseline is used and calculated for each 15 minute interval. Load reduction is also calculated by subtracting the last interval before the start of the event from the interval with the minimum usage during the event.</t>
  </si>
  <si>
    <t xml:space="preserve">          DBP: The maximum hourly load reduction measured over the duration of the DBP event is compared to a 10 in 10 day baseline with optional day-of adjustment. </t>
  </si>
  <si>
    <t xml:space="preserve">          OBMC:  The maximum hourly load reduction compared to 10 day rolling average, measured over the duration of the entire event day.  10 in 10 baseline is used and calculated for each 15 minute interval. Load reduction is also calculated by subtracting the last interval before the start of the event from the interval with the minimum usage during the event.</t>
  </si>
  <si>
    <t xml:space="preserve">          AP-I: The maximum hourly load reduction compared to 10 day rolling average, measured over the duration of the entire event day.  10 in 10 baseline is used and calculated for each 15 minute interval.  Load reduction is also calculated by subtracting the last interval before the start of the event from the interval with the minimum usage during the event.</t>
  </si>
  <si>
    <t>CBP- Day-Of</t>
  </si>
  <si>
    <t>15,000 BTU Heat Rate</t>
  </si>
  <si>
    <t>CBP - Day-Ahead</t>
  </si>
  <si>
    <t>Test Event</t>
  </si>
  <si>
    <t>SDP Base</t>
  </si>
  <si>
    <t xml:space="preserve">SDP Enhanced </t>
  </si>
  <si>
    <t>SDP Enhanced</t>
  </si>
  <si>
    <t>CAISO Transmission Emergency</t>
  </si>
  <si>
    <t>TA Identified MW</t>
  </si>
  <si>
    <t>Auto DR Verified MW</t>
  </si>
  <si>
    <t>TI Verified MW</t>
  </si>
  <si>
    <t>Total Technology MW</t>
  </si>
  <si>
    <t>Represents identified MW for service accounts from completed TA.</t>
  </si>
  <si>
    <t>Represents verified/tested MW for service accounts that participated in Auto DR.</t>
  </si>
  <si>
    <t>Represents verified MW for service accounts that participated in TI (i.e. must be enrolled in DR) and not in AutoDR; MW reported here not necessarily amount enrolled in DR.</t>
  </si>
  <si>
    <t>Represents the sum of verified MW associated with the service accounts in the TI and Auto DR programs.</t>
  </si>
  <si>
    <t>AutoDR Verified MW</t>
  </si>
  <si>
    <t>Total TA MW</t>
  </si>
  <si>
    <t>Detailed Breakdown of MW To Date in TA/Auto DR/TI Programs</t>
  </si>
  <si>
    <t>15:21  :  20:15</t>
  </si>
  <si>
    <t>15:21  :  19:57</t>
  </si>
  <si>
    <t>12:20  :  18:19</t>
  </si>
  <si>
    <t>13:00  :  13:25</t>
  </si>
  <si>
    <t>14:00  :  14:26</t>
  </si>
  <si>
    <t>18:57  :  19:28</t>
  </si>
  <si>
    <t>18:58  :  19:28</t>
  </si>
  <si>
    <t>14:00  :  18:00</t>
  </si>
  <si>
    <t>15:00  :  17:00</t>
  </si>
  <si>
    <t>14:00  :  19:00</t>
  </si>
  <si>
    <t>12:00  :  20:00</t>
  </si>
  <si>
    <t>14:00  :  16:00</t>
  </si>
  <si>
    <t>(2) Initial event data subject to change based on billing records and verification.</t>
  </si>
  <si>
    <t xml:space="preserve"> 13:30  :  13:56 </t>
  </si>
  <si>
    <t>16:00  :  16:24</t>
  </si>
  <si>
    <t>15:15  :  15:40</t>
  </si>
  <si>
    <t>15:58  :  16:25</t>
  </si>
  <si>
    <t>15:59  :  16:27</t>
  </si>
  <si>
    <t>16:00  :  16:27</t>
  </si>
  <si>
    <t>16:00  :  16:26</t>
  </si>
  <si>
    <t>16:00  :  16:25</t>
  </si>
  <si>
    <t>14:30  :  19:03</t>
  </si>
  <si>
    <t>14:30  :  18:46</t>
  </si>
  <si>
    <t>14:45  :  18:37</t>
  </si>
  <si>
    <t>14:20  :  18:25</t>
  </si>
  <si>
    <t>CBP- Day-Ahead</t>
  </si>
  <si>
    <t>14:00  :  17:00</t>
  </si>
  <si>
    <t>13:00  :  18:00</t>
  </si>
  <si>
    <t>13:00  :  17:00</t>
  </si>
  <si>
    <t>12:00  :  18:00</t>
  </si>
  <si>
    <t>Southern California Edison</t>
  </si>
  <si>
    <t>Monthly Program Enrollment and Estimated Load Impacts</t>
  </si>
  <si>
    <t>Ex Ante Estimated MW</t>
  </si>
  <si>
    <t>Ex Post Estimated MW</t>
  </si>
  <si>
    <t>Eligible Accounts as of Jan 1, 2010</t>
  </si>
  <si>
    <t>DBP (DO)</t>
  </si>
  <si>
    <t>CBP - (DA)</t>
  </si>
  <si>
    <t>CBP - (DO)</t>
  </si>
  <si>
    <t>DR Contracts - (DO)</t>
  </si>
  <si>
    <t>DR Contracts - (DA)</t>
  </si>
  <si>
    <t>3.  Load Impacts are not available for the SLRP, therefore MW are estimated based on the hour of peak scheduled load reduction.</t>
  </si>
  <si>
    <t>Program Eligibility and Average Load Impacts</t>
  </si>
  <si>
    <t>Average Ex Post Load Impact kW / Customer</t>
  </si>
  <si>
    <t>Program</t>
  </si>
  <si>
    <t xml:space="preserve">August </t>
  </si>
  <si>
    <t xml:space="preserve">September </t>
  </si>
  <si>
    <t xml:space="preserve">November </t>
  </si>
  <si>
    <t>Eligibility Criteria</t>
  </si>
  <si>
    <t>All C &amp; I customers &gt; 200kW</t>
  </si>
  <si>
    <t>SDP - Res.</t>
  </si>
  <si>
    <t>All residential customers with air conditioning</t>
  </si>
  <si>
    <t>SDP - Comm.</t>
  </si>
  <si>
    <t>All commercial customers with air conditioning</t>
  </si>
  <si>
    <t>All non-res. customers who can reduce circuit load by 15%</t>
  </si>
  <si>
    <t>All customers &gt; 37kW on an Ag &amp; Pumping rate</t>
  </si>
  <si>
    <t>CPP-Default</t>
  </si>
  <si>
    <t>All non-residential customers &gt; 200kW</t>
  </si>
  <si>
    <t>DBP -  Day Of</t>
  </si>
  <si>
    <t>DBP -  Day Ahead</t>
  </si>
  <si>
    <t>CBP - Day Of</t>
  </si>
  <si>
    <t>All non-residential customers</t>
  </si>
  <si>
    <t>CBP - Day Ahead</t>
  </si>
  <si>
    <t>DR Contracts - Day Of</t>
  </si>
  <si>
    <t>DR Contracts - Day Ahead</t>
  </si>
  <si>
    <t>All non-res. bundled service customers &gt; 500kW</t>
  </si>
  <si>
    <t xml:space="preserve">All non-res. bundled service customers &gt;100kW </t>
  </si>
  <si>
    <t>*Ex Post AP-I and OBMC Load Impacts are based on program year 2008.  January through December Load Impacts are based on 2009 Load Impact results as reported in April 2010 except as noted.</t>
  </si>
  <si>
    <t>Average Ex Ante Load Impact kW / Customer</t>
  </si>
  <si>
    <t>CPP Load Impacts are based on the legacy CPP group, the program has since changed to CPP-Default</t>
  </si>
  <si>
    <t>The accounts eligible to participate in OBMC is not available because the number of customers who can reduce 15% of their entire circuit load during every rotating outage cannot be reasonably estimated.</t>
  </si>
  <si>
    <t>1.  Ex Ante Estimated MW = The monthly ex ante average load impact per customer reported in the annual April 1st D. 08-04-050 Compliance Filing multiplied by the number of currently enrolled service accounts for the reporting month, where the ex ante average load impact is the average hourly load impact for an event that would occur from 2 - 6 pm on the system peak day of the month.</t>
  </si>
  <si>
    <t>2.  Ex Post Estimated MW = The annual ex post average load impact per customer reported in the annual April 1st D.08-04-050 Compliance Filing multiplied by the number of currently enrolled service accounts for the reporting month, where the ex post load impact per customer is the average load impact per customer for those customers that may have participated in an event(s) during all actual event hours in the preceeding year when or if events occurred. New programs report "n/a", as there were no prior events.  No Ex Post load impacts are available for SDP so N/A is reported for this program.  Ex Post AP-I and OBMC Load Impacts are based on program year 2008.</t>
  </si>
  <si>
    <t xml:space="preserve">4.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2 pm and 6pm during a specific DR program’s operating season, based on 1-in-2 (normal) weather conditions.  In either case, MW estimates in this report will vary from estimates filed in the IOUs' annual April 1st Compliance Filings pursuant to Decision D.08-04-050 and reporting documents that may be supplied to other agencies e.g. CAISO, FERC, NERC etc. </t>
  </si>
  <si>
    <t xml:space="preserve">          CPP: The maximum hourly load reduction measured over the duration of the CPP event is compared to 3 in 10 Adjusted baseline.</t>
  </si>
  <si>
    <t>Estimated Average Ex Post Load Impact kW / Customer = Average kW / Customer service account over all actual event hours for the preceeding year when or if events occurred. Some programs may experience no events or few events while other programs may operate regularly depending on event triggers.  For existing programs, the average ex post load impact per customer service account remains constant across all months with the exception of RTP.</t>
  </si>
  <si>
    <t xml:space="preserve">Estimated Average Ex Ante Load Impact kW/Customer = Average kW / Customer, under 1-in-2 weather conditions, of an event that would occur from 2 - 6 pm on the system peak day of the month, as reported in the load impact reports filed in April 2010 for January through December.  Data from Ex Ante load impact reports filed in 2009 is used for OBMC reporting.   </t>
  </si>
  <si>
    <t>15:16  :  16:31</t>
  </si>
  <si>
    <t>14:00  :  14:25</t>
  </si>
  <si>
    <t>15:00  :  15:27</t>
  </si>
  <si>
    <t>14:31  :  14:56</t>
  </si>
  <si>
    <t>15:00  :  15:26</t>
  </si>
  <si>
    <t>SDP PDR Test Event</t>
  </si>
  <si>
    <t>15:16  :  18:13</t>
  </si>
  <si>
    <t>13:00  :  13:26</t>
  </si>
  <si>
    <t>CBP - Day-Of</t>
  </si>
  <si>
    <t>18:00  :  19:00</t>
  </si>
  <si>
    <t>Participating Load / Proxy Demand Resource Pilot</t>
  </si>
  <si>
    <t>CAISO Request / Transmission Load Relief</t>
  </si>
  <si>
    <t>Critical Peak Pricing (CPP) to Real Time Pricing (RTP)</t>
  </si>
  <si>
    <t>Decision (D.) 09-08-028, Ordering Paragraph 12, directs SCE to offer optional real time pricing rates for all customer classes, effective on or before January 1, 2012.  To comply with this decision, SCE's Real Time Pricing Program has incurred additional marketing and systems costs which were not originally requested in its DR Application (A.08-06-001).  This fund shift from CPP to RTP will allow SCE to comply with Ordering Paragraph 12 in D.09-08-028.</t>
  </si>
  <si>
    <t>The utilities may shift up to 50% of a program's funds to another program within the same budget category.</t>
  </si>
  <si>
    <t>15:00  :  16:00</t>
  </si>
  <si>
    <t xml:space="preserve">          CBP: Reported to SCE in aggregate by portfolio and by product by APX.  These load reductions reflect the highest hourly reduction per event.  10 in 10 baseline and 10 in 10 with adjustment is used to determine event load reduction.    </t>
  </si>
  <si>
    <t>5.  For May through October the CBP service accounts reported reflect only those nominated to participate in Day-Of and Day-Ahead events.  Total CBP enrollment through May includes 517 service accounts.  Total CBP enrollment through June includes 530 service accounts.  Total CBP enrollment through July includes 598 accounts.  Total enrollment through August includes 636 service accounts.  Total enrollment through September includes 590 service accounts.  Total enrollment through October includes 598 service accounts.</t>
  </si>
  <si>
    <t>Technical Assistance &amp; Technology Incentives (TA&amp;TI) commitments as of 12/31/2010.</t>
  </si>
  <si>
    <t>In Decision (D.) 10-12-047, the Commission approved SCE's Petition for Modification of D.09-08-027 to eliminate the Energy Options Program and to continue the Capacity Bidding Program (CBP) through 2011.  Since CBP was expected to be phased out in 2010 with the implementation of Energy Options, SCE was authorized only minimal funding for 2010.  This fund shift from Energy Options to CBP will allow SCE to continue CBP operations and the program offering to its customers through 2011.</t>
  </si>
  <si>
    <t>DR Contracts - Day-Of &amp; Day-Ahead</t>
  </si>
  <si>
    <t>Ordering Paragraph 3 in Decision (D.)10-12-047, approved SCE's Petition for Modification of D.09-08-027 to eliminate the Energy Options Program and to continue the Demand Bidding Program (DBP) through 2011.  Since DBP was expected to be phased out in 2010 with the implementation of Energy Options, SCE was authorized only minimal funding for 2010.  This fund shift from Energy Options to DBP will allow SCE to continue DBP operations and the program offering to its customers through 2011.</t>
  </si>
  <si>
    <t>Category 8</t>
  </si>
  <si>
    <t>DR Resource Portal to
DR System Infrastructure</t>
  </si>
  <si>
    <t>Ordering Paragraph 4 in Decision (D.)10-12-047, approved SCE's Petition for Modification of D.09-08-027 to fund shift and allocate funding for system development activities in support of Proxy Demand Resource.  OP 4 approved fund shifting of $2,525,000 from the DR Resource Portal budget and $1,000,000 of customer aggregator group funding to support these activities.</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</si>
</sst>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409]mmmm\ d\,\ yyyy;@"/>
    <numFmt numFmtId="170" formatCode="_(* #,##0.0_);_(* \(#,##0.0\);_(* &quot;-&quot;??_);_(@_)"/>
    <numFmt numFmtId="171" formatCode="_(* #,##0_);_(* \(#,##0\);_(* &quot;-&quot;??_);_(@_)"/>
    <numFmt numFmtId="172" formatCode="[$-409]dddd\,\ mmmm\ dd\,\ yyyy"/>
    <numFmt numFmtId="173" formatCode="mm/dd/yy;@"/>
    <numFmt numFmtId="174" formatCode="&quot;$&quot;#,##0.0000_);[Red]\(&quot;$&quot;#,##0.0000\)"/>
    <numFmt numFmtId="175" formatCode="&quot;$&quot;#,##0.000_);[Red]\(&quot;$&quot;#,##0.000\)"/>
    <numFmt numFmtId="176" formatCode="_(&quot;$&quot;* #,##0.0_);_(&quot;$&quot;* \(#,##0.0\);_(&quot;$&quot;* &quot;-&quot;??_);_(@_)"/>
    <numFmt numFmtId="177" formatCode="0.000"/>
    <numFmt numFmtId="178" formatCode="0.0"/>
    <numFmt numFmtId="179" formatCode="mmmm\ d\,\ yyyy"/>
    <numFmt numFmtId="180" formatCode="mmmm\-yy"/>
    <numFmt numFmtId="181" formatCode="&quot;$&quot;#,##0"/>
    <numFmt numFmtId="182" formatCode="&quot;$&quot;#,##0.0"/>
    <numFmt numFmtId="183" formatCode="m/d/yy"/>
    <numFmt numFmtId="184" formatCode="mm/dd/yy"/>
    <numFmt numFmtId="185" formatCode="mmm\-yyyy"/>
    <numFmt numFmtId="186" formatCode="mmmm\-yyyy"/>
    <numFmt numFmtId="187" formatCode="[$-409]h:mm:ss\ AM/PM"/>
    <numFmt numFmtId="188" formatCode="h:mm;@"/>
    <numFmt numFmtId="189" formatCode="[h]:mm"/>
    <numFmt numFmtId="190" formatCode="[$-409]mmmm\-yy;@"/>
    <numFmt numFmtId="191" formatCode="&quot;Yes&quot;;&quot;Yes&quot;;&quot;No&quot;"/>
    <numFmt numFmtId="192" formatCode="&quot;True&quot;;&quot;True&quot;;&quot;False&quot;"/>
    <numFmt numFmtId="193" formatCode="&quot;On&quot;;&quot;On&quot;;&quot;Off&quot;"/>
    <numFmt numFmtId="194" formatCode="[$€-2]\ #,##0.00_);[Red]\([$€-2]\ #,##0.00\)"/>
    <numFmt numFmtId="195" formatCode="#,##0.000_);[Red]\(#,##0.000\)"/>
    <numFmt numFmtId="196" formatCode="0.000%"/>
    <numFmt numFmtId="197" formatCode="mmmm\ yyyy"/>
    <numFmt numFmtId="198" formatCode="_(&quot;$&quot;* #,##0.000_);_(&quot;$&quot;* \(#,##0.000\);_(&quot;$&quot;* &quot;-&quot;??_);_(@_)"/>
    <numFmt numFmtId="199" formatCode="&quot;$&quot;#,##0.00"/>
    <numFmt numFmtId="200" formatCode="0.0000%"/>
    <numFmt numFmtId="201" formatCode="&quot;$&quot;#,##0.000"/>
    <numFmt numFmtId="202" formatCode="&quot;$&quot;#,##0.0000"/>
    <numFmt numFmtId="203" formatCode="&quot;$&quot;#,##0.00000"/>
    <numFmt numFmtId="204" formatCode="&quot;$&quot;#,##0.000000"/>
    <numFmt numFmtId="205" formatCode="&quot;$&quot;#,##0.0000000"/>
    <numFmt numFmtId="206" formatCode="&quot;$&quot;#,##0.00000000"/>
    <numFmt numFmtId="207" formatCode="#,##0;[Red]#,##0"/>
    <numFmt numFmtId="208" formatCode="0.0000"/>
    <numFmt numFmtId="209" formatCode="#,##0.000"/>
    <numFmt numFmtId="210" formatCode="#,##0.0000"/>
    <numFmt numFmtId="211" formatCode="0.00000"/>
    <numFmt numFmtId="212" formatCode="0.0E+00"/>
    <numFmt numFmtId="213" formatCode="_(* #,##0.0_);_(* \(#,##0.0\);_(* &quot;-&quot;?_);_(@_)"/>
    <numFmt numFmtId="214" formatCode="[$-F400]h:mm:ss\ AM/PM"/>
  </numFmts>
  <fonts count="41">
    <font>
      <sz val="10"/>
      <name val="Arial"/>
      <family val="0"/>
    </font>
    <font>
      <b/>
      <sz val="10"/>
      <name val="Arial"/>
      <family val="2"/>
    </font>
    <font>
      <u val="single"/>
      <sz val="10"/>
      <color indexed="20"/>
      <name val="Arial"/>
      <family val="0"/>
    </font>
    <font>
      <u val="single"/>
      <sz val="10"/>
      <color indexed="12"/>
      <name val="Arial"/>
      <family val="0"/>
    </font>
    <font>
      <sz val="10"/>
      <color indexed="8"/>
      <name val="Arial"/>
      <family val="0"/>
    </font>
    <font>
      <b/>
      <i/>
      <sz val="10"/>
      <name val="Arial"/>
      <family val="2"/>
    </font>
    <font>
      <b/>
      <vertAlign val="superscript"/>
      <sz val="10"/>
      <name val="Arial"/>
      <family val="2"/>
    </font>
    <font>
      <b/>
      <sz val="11"/>
      <name val="Arial"/>
      <family val="2"/>
    </font>
    <font>
      <sz val="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0"/>
    </font>
    <font>
      <sz val="10"/>
      <color indexed="39"/>
      <name val="Arial"/>
      <family val="2"/>
    </font>
    <font>
      <sz val="19"/>
      <color indexed="48"/>
      <name val="Arial"/>
      <family val="0"/>
    </font>
    <font>
      <sz val="10"/>
      <color indexed="10"/>
      <name val="Arial"/>
      <family val="2"/>
    </font>
    <font>
      <b/>
      <sz val="18"/>
      <color indexed="62"/>
      <name val="Cambria"/>
      <family val="2"/>
    </font>
    <font>
      <sz val="11"/>
      <color indexed="10"/>
      <name val="Calibri"/>
      <family val="2"/>
    </font>
    <font>
      <b/>
      <sz val="14"/>
      <name val="Arial"/>
      <family val="2"/>
    </font>
    <font>
      <sz val="14"/>
      <name val="Arial"/>
      <family val="2"/>
    </font>
    <font>
      <b/>
      <strike/>
      <sz val="14"/>
      <name val="Arial"/>
      <family val="2"/>
    </font>
    <font>
      <strike/>
      <sz val="14"/>
      <name val="Arial"/>
      <family val="2"/>
    </font>
    <font>
      <b/>
      <sz val="12"/>
      <name val="Arial"/>
      <family val="2"/>
    </font>
    <font>
      <sz val="9"/>
      <name val="Arial"/>
      <family val="2"/>
    </font>
    <font>
      <sz val="8"/>
      <name val="Tahoma"/>
      <family val="2"/>
    </font>
    <font>
      <sz val="11"/>
      <name val="Calibri"/>
      <family val="2"/>
    </font>
  </fonts>
  <fills count="47">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65"/>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8"/>
      </top>
      <bottom style="double">
        <color indexed="48"/>
      </bottom>
    </border>
    <border>
      <left>
        <color indexed="63"/>
      </left>
      <right style="medium"/>
      <top>
        <color indexed="63"/>
      </top>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medium"/>
      <top>
        <color indexed="63"/>
      </top>
      <bottom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
      <left>
        <color indexed="63"/>
      </left>
      <right>
        <color indexed="63"/>
      </right>
      <top style="thin"/>
      <bottom style="double"/>
    </border>
    <border>
      <left style="thin"/>
      <right style="thin"/>
      <top>
        <color indexed="63"/>
      </top>
      <bottom style="double"/>
    </border>
    <border>
      <left style="thin"/>
      <right style="thin"/>
      <top style="thin"/>
      <bottom style="double"/>
    </border>
    <border>
      <left style="medium"/>
      <right style="thin"/>
      <top style="medium"/>
      <bottom style="medium"/>
    </border>
    <border>
      <left>
        <color indexed="63"/>
      </left>
      <right style="medium"/>
      <top style="thin"/>
      <bottom style="thin"/>
    </border>
    <border>
      <left style="thin"/>
      <right style="medium"/>
      <top>
        <color indexed="63"/>
      </top>
      <bottom>
        <color indexed="63"/>
      </botto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thin"/>
      <bottom>
        <color indexed="63"/>
      </bottom>
    </border>
    <border>
      <left style="medium"/>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medium"/>
      <right style="medium"/>
      <top style="thin"/>
      <bottom style="thin"/>
    </border>
    <border>
      <left style="medium"/>
      <right style="medium"/>
      <top>
        <color indexed="63"/>
      </top>
      <bottom>
        <color indexed="63"/>
      </bottom>
    </border>
    <border>
      <left>
        <color indexed="63"/>
      </left>
      <right>
        <color indexed="63"/>
      </right>
      <top style="medium"/>
      <bottom>
        <color indexed="63"/>
      </bottom>
    </border>
    <border>
      <left>
        <color indexed="63"/>
      </left>
      <right style="thin"/>
      <top>
        <color indexed="63"/>
      </top>
      <bottom>
        <color indexed="63"/>
      </bottom>
    </border>
    <border>
      <left style="medium"/>
      <right style="medium"/>
      <top>
        <color indexed="63"/>
      </top>
      <bottom style="thin"/>
    </border>
    <border>
      <left style="medium"/>
      <right style="medium"/>
      <top style="thin"/>
      <bottom>
        <color indexed="63"/>
      </bottom>
    </border>
    <border>
      <left>
        <color indexed="63"/>
      </left>
      <right style="thin"/>
      <top style="medium"/>
      <bottom>
        <color indexed="63"/>
      </bottom>
    </border>
    <border>
      <left style="medium"/>
      <right style="medium"/>
      <top style="medium"/>
      <bottom style="medium"/>
    </border>
    <border>
      <left style="thin"/>
      <right style="thin"/>
      <top>
        <color indexed="63"/>
      </top>
      <bottom style="thin"/>
    </border>
    <border>
      <left style="medium"/>
      <right>
        <color indexed="63"/>
      </right>
      <top style="thin"/>
      <bottom style="thin"/>
    </border>
    <border>
      <left style="medium"/>
      <right style="medium"/>
      <top style="thin"/>
      <bottom style="double"/>
    </border>
    <border>
      <left>
        <color indexed="63"/>
      </left>
      <right style="medium"/>
      <top style="medium"/>
      <bottom>
        <color indexed="63"/>
      </bottom>
    </border>
    <border>
      <left>
        <color indexed="63"/>
      </left>
      <right style="medium"/>
      <top style="thin"/>
      <bottom style="double"/>
    </border>
    <border>
      <left style="medium"/>
      <right>
        <color indexed="63"/>
      </right>
      <top style="medium"/>
      <bottom style="thin"/>
    </border>
    <border>
      <left style="medium"/>
      <right>
        <color indexed="63"/>
      </right>
      <top>
        <color indexed="63"/>
      </top>
      <bottom style="thin"/>
    </border>
    <border>
      <left style="medium"/>
      <right>
        <color indexed="63"/>
      </right>
      <top style="medium"/>
      <bottom style="medium"/>
    </border>
    <border>
      <left style="medium"/>
      <right>
        <color indexed="63"/>
      </right>
      <top>
        <color indexed="63"/>
      </top>
      <bottom style="medium"/>
    </border>
    <border>
      <left>
        <color indexed="63"/>
      </left>
      <right>
        <color indexed="63"/>
      </right>
      <top style="double"/>
      <bottom>
        <color indexed="63"/>
      </bottom>
    </border>
    <border>
      <left>
        <color indexed="63"/>
      </left>
      <right>
        <color indexed="63"/>
      </right>
      <top style="double"/>
      <bottom style="medium"/>
    </border>
    <border>
      <left style="thin"/>
      <right>
        <color indexed="63"/>
      </right>
      <top style="thin"/>
      <bottom style="thin"/>
    </border>
    <border>
      <left style="thin"/>
      <right>
        <color indexed="63"/>
      </right>
      <top style="thin"/>
      <bottom>
        <color indexed="63"/>
      </bottom>
    </border>
    <border>
      <left style="thin"/>
      <right style="thin"/>
      <top style="medium"/>
      <bottom style="thin"/>
    </border>
    <border>
      <left style="thin"/>
      <right>
        <color indexed="63"/>
      </right>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color indexed="63"/>
      </right>
      <top>
        <color indexed="63"/>
      </top>
      <bottom style="double"/>
    </border>
    <border>
      <left>
        <color indexed="63"/>
      </left>
      <right>
        <color indexed="63"/>
      </right>
      <top style="double"/>
      <bottom style="double"/>
    </border>
    <border>
      <left style="thin"/>
      <right>
        <color indexed="63"/>
      </right>
      <top>
        <color indexed="63"/>
      </top>
      <bottom style="double"/>
    </border>
    <border>
      <left>
        <color indexed="63"/>
      </left>
      <right style="thin"/>
      <top style="double"/>
      <bottom style="double"/>
    </border>
    <border>
      <left style="thin"/>
      <right>
        <color indexed="63"/>
      </right>
      <top>
        <color indexed="63"/>
      </top>
      <bottom style="thin"/>
    </border>
    <border>
      <left>
        <color indexed="63"/>
      </left>
      <right style="thin"/>
      <top>
        <color indexed="63"/>
      </top>
      <bottom style="double"/>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0" fillId="24" borderId="0" applyNumberFormat="0" applyBorder="0" applyAlignment="0" applyProtection="0"/>
    <xf numFmtId="0" fontId="10" fillId="9" borderId="0" applyNumberFormat="0" applyBorder="0" applyAlignment="0" applyProtection="0"/>
    <xf numFmtId="0" fontId="10" fillId="25"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0" fillId="14"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1" fillId="30" borderId="0" applyNumberFormat="0" applyBorder="0" applyAlignment="0" applyProtection="0"/>
    <xf numFmtId="0" fontId="11" fillId="19"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2" fillId="19" borderId="0" applyNumberFormat="0" applyBorder="0" applyAlignment="0" applyProtection="0"/>
    <xf numFmtId="0" fontId="13" fillId="33" borderId="1" applyNumberFormat="0" applyAlignment="0" applyProtection="0"/>
    <xf numFmtId="0" fontId="14"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37"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1" borderId="0" applyNumberFormat="0" applyBorder="0" applyAlignment="0" applyProtection="0"/>
    <xf numFmtId="0" fontId="4" fillId="0" borderId="0">
      <alignment/>
      <protection/>
    </xf>
    <xf numFmtId="0" fontId="0" fillId="30" borderId="7" applyNumberFormat="0" applyFont="0" applyAlignment="0" applyProtection="0"/>
    <xf numFmtId="0" fontId="24" fillId="33" borderId="8" applyNumberFormat="0" applyAlignment="0" applyProtection="0"/>
    <xf numFmtId="9" fontId="0" fillId="0" borderId="0" applyFont="0" applyFill="0" applyBorder="0" applyAlignment="0" applyProtection="0"/>
    <xf numFmtId="4" fontId="25" fillId="38" borderId="9" applyNumberFormat="0" applyProtection="0">
      <alignment vertical="center"/>
    </xf>
    <xf numFmtId="4" fontId="26" fillId="38" borderId="9" applyNumberFormat="0" applyProtection="0">
      <alignment vertical="center"/>
    </xf>
    <xf numFmtId="4" fontId="25" fillId="38" borderId="9" applyNumberFormat="0" applyProtection="0">
      <alignment horizontal="left" vertical="center" indent="1"/>
    </xf>
    <xf numFmtId="0" fontId="25" fillId="38" borderId="9" applyNumberFormat="0" applyProtection="0">
      <alignment horizontal="left" vertical="top" indent="1"/>
    </xf>
    <xf numFmtId="4" fontId="25" fillId="2" borderId="0" applyNumberFormat="0" applyProtection="0">
      <alignment horizontal="left" vertical="center" indent="1"/>
    </xf>
    <xf numFmtId="4" fontId="4" fillId="7" borderId="9" applyNumberFormat="0" applyProtection="0">
      <alignment horizontal="right" vertical="center"/>
    </xf>
    <xf numFmtId="4" fontId="4" fillId="3" borderId="9" applyNumberFormat="0" applyProtection="0">
      <alignment horizontal="right" vertical="center"/>
    </xf>
    <xf numFmtId="4" fontId="4" fillId="21" borderId="9" applyNumberFormat="0" applyProtection="0">
      <alignment horizontal="right" vertical="center"/>
    </xf>
    <xf numFmtId="4" fontId="4" fillId="39" borderId="9" applyNumberFormat="0" applyProtection="0">
      <alignment horizontal="right" vertical="center"/>
    </xf>
    <xf numFmtId="4" fontId="4" fillId="40" borderId="9" applyNumberFormat="0" applyProtection="0">
      <alignment horizontal="right" vertical="center"/>
    </xf>
    <xf numFmtId="4" fontId="4" fillId="32" borderId="9" applyNumberFormat="0" applyProtection="0">
      <alignment horizontal="right" vertical="center"/>
    </xf>
    <xf numFmtId="4" fontId="4" fillId="9" borderId="9" applyNumberFormat="0" applyProtection="0">
      <alignment horizontal="right" vertical="center"/>
    </xf>
    <xf numFmtId="4" fontId="4" fillId="41" borderId="9" applyNumberFormat="0" applyProtection="0">
      <alignment horizontal="right" vertical="center"/>
    </xf>
    <xf numFmtId="4" fontId="4" fillId="42" borderId="9" applyNumberFormat="0" applyProtection="0">
      <alignment horizontal="right" vertical="center"/>
    </xf>
    <xf numFmtId="4" fontId="25" fillId="43" borderId="10" applyNumberFormat="0" applyProtection="0">
      <alignment horizontal="left" vertical="center" indent="1"/>
    </xf>
    <xf numFmtId="4" fontId="4" fillId="44" borderId="0" applyNumberFormat="0" applyProtection="0">
      <alignment horizontal="left" vertical="center" indent="1"/>
    </xf>
    <xf numFmtId="4" fontId="27" fillId="8" borderId="0" applyNumberFormat="0" applyProtection="0">
      <alignment horizontal="left" vertical="center" indent="1"/>
    </xf>
    <xf numFmtId="4" fontId="4" fillId="2" borderId="9" applyNumberFormat="0" applyProtection="0">
      <alignment horizontal="right" vertical="center"/>
    </xf>
    <xf numFmtId="4" fontId="4" fillId="44" borderId="0" applyNumberFormat="0" applyProtection="0">
      <alignment horizontal="left" vertical="center" indent="1"/>
    </xf>
    <xf numFmtId="4" fontId="4" fillId="2" borderId="0"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 borderId="9" applyNumberFormat="0" applyProtection="0">
      <alignment horizontal="left" vertical="center" indent="1"/>
    </xf>
    <xf numFmtId="0" fontId="0" fillId="2" borderId="9" applyNumberFormat="0" applyProtection="0">
      <alignment horizontal="left" vertical="top" indent="1"/>
    </xf>
    <xf numFmtId="0" fontId="0" fillId="6" borderId="9" applyNumberFormat="0" applyProtection="0">
      <alignment horizontal="left" vertical="center" indent="1"/>
    </xf>
    <xf numFmtId="0" fontId="0" fillId="6" borderId="9" applyNumberFormat="0" applyProtection="0">
      <alignment horizontal="left" vertical="top" indent="1"/>
    </xf>
    <xf numFmtId="0" fontId="0" fillId="44" borderId="9" applyNumberFormat="0" applyProtection="0">
      <alignment horizontal="left" vertical="center" indent="1"/>
    </xf>
    <xf numFmtId="0" fontId="0" fillId="44" borderId="9" applyNumberFormat="0" applyProtection="0">
      <alignment horizontal="left" vertical="top" indent="1"/>
    </xf>
    <xf numFmtId="0" fontId="0" fillId="5" borderId="11" applyNumberFormat="0">
      <alignment/>
      <protection locked="0"/>
    </xf>
    <xf numFmtId="4" fontId="4" fillId="4" borderId="9" applyNumberFormat="0" applyProtection="0">
      <alignment vertical="center"/>
    </xf>
    <xf numFmtId="4" fontId="28" fillId="4" borderId="9" applyNumberFormat="0" applyProtection="0">
      <alignment vertical="center"/>
    </xf>
    <xf numFmtId="4" fontId="4" fillId="4" borderId="9" applyNumberFormat="0" applyProtection="0">
      <alignment horizontal="left" vertical="center" indent="1"/>
    </xf>
    <xf numFmtId="0" fontId="4" fillId="4" borderId="9" applyNumberFormat="0" applyProtection="0">
      <alignment horizontal="left" vertical="top" indent="1"/>
    </xf>
    <xf numFmtId="4" fontId="4" fillId="44" borderId="9" applyNumberFormat="0" applyProtection="0">
      <alignment horizontal="right" vertical="center"/>
    </xf>
    <xf numFmtId="4" fontId="28" fillId="44" borderId="9" applyNumberFormat="0" applyProtection="0">
      <alignment horizontal="right" vertical="center"/>
    </xf>
    <xf numFmtId="4" fontId="4" fillId="2" borderId="9" applyNumberFormat="0" applyProtection="0">
      <alignment horizontal="left" vertical="center" indent="1"/>
    </xf>
    <xf numFmtId="0" fontId="4" fillId="2" borderId="9" applyNumberFormat="0" applyProtection="0">
      <alignment horizontal="left" vertical="top" indent="1"/>
    </xf>
    <xf numFmtId="4" fontId="29" fillId="45" borderId="0" applyNumberFormat="0" applyProtection="0">
      <alignment horizontal="left" vertical="center" indent="1"/>
    </xf>
    <xf numFmtId="4" fontId="30" fillId="44" borderId="9" applyNumberFormat="0" applyProtection="0">
      <alignment horizontal="right" vertical="center"/>
    </xf>
    <xf numFmtId="0" fontId="31" fillId="0" borderId="0" applyNumberFormat="0" applyFill="0" applyBorder="0" applyAlignment="0" applyProtection="0"/>
    <xf numFmtId="0" fontId="31" fillId="0" borderId="0" applyNumberFormat="0" applyFill="0" applyBorder="0" applyAlignment="0" applyProtection="0"/>
    <xf numFmtId="0" fontId="15" fillId="0" borderId="12" applyNumberFormat="0" applyFill="0" applyAlignment="0" applyProtection="0"/>
    <xf numFmtId="0" fontId="32" fillId="0" borderId="0" applyNumberFormat="0" applyFill="0" applyBorder="0" applyAlignment="0" applyProtection="0"/>
  </cellStyleXfs>
  <cellXfs count="471">
    <xf numFmtId="0" fontId="0" fillId="0" borderId="0" xfId="0" applyAlignment="1">
      <alignment/>
    </xf>
    <xf numFmtId="0" fontId="0" fillId="0" borderId="0" xfId="0" applyBorder="1" applyAlignment="1">
      <alignment/>
    </xf>
    <xf numFmtId="0" fontId="0" fillId="0" borderId="13" xfId="0" applyBorder="1" applyAlignment="1">
      <alignment/>
    </xf>
    <xf numFmtId="164" fontId="0" fillId="0" borderId="0" xfId="0" applyNumberFormat="1" applyBorder="1" applyAlignment="1">
      <alignment/>
    </xf>
    <xf numFmtId="164" fontId="0" fillId="0" borderId="13" xfId="0" applyNumberFormat="1" applyBorder="1" applyAlignment="1">
      <alignment/>
    </xf>
    <xf numFmtId="0" fontId="1" fillId="0" borderId="14" xfId="0" applyFont="1" applyBorder="1" applyAlignment="1">
      <alignment/>
    </xf>
    <xf numFmtId="0" fontId="0" fillId="0" borderId="14" xfId="0" applyBorder="1" applyAlignment="1">
      <alignment/>
    </xf>
    <xf numFmtId="0" fontId="1" fillId="0" borderId="0" xfId="0" applyFont="1" applyBorder="1" applyAlignment="1">
      <alignment wrapText="1"/>
    </xf>
    <xf numFmtId="0" fontId="1" fillId="0" borderId="0" xfId="0" applyFont="1" applyBorder="1" applyAlignment="1">
      <alignment/>
    </xf>
    <xf numFmtId="164" fontId="0" fillId="0" borderId="15" xfId="0" applyNumberFormat="1" applyBorder="1" applyAlignment="1">
      <alignment/>
    </xf>
    <xf numFmtId="164" fontId="0" fillId="0" borderId="16" xfId="0" applyNumberFormat="1" applyBorder="1" applyAlignment="1">
      <alignment/>
    </xf>
    <xf numFmtId="0" fontId="1" fillId="0" borderId="17" xfId="0" applyFont="1" applyFill="1" applyBorder="1" applyAlignment="1">
      <alignment/>
    </xf>
    <xf numFmtId="0" fontId="0" fillId="0" borderId="14" xfId="0" applyFill="1" applyBorder="1" applyAlignment="1">
      <alignment/>
    </xf>
    <xf numFmtId="164" fontId="0" fillId="0" borderId="0" xfId="0" applyNumberFormat="1" applyFill="1" applyBorder="1" applyAlignment="1">
      <alignment/>
    </xf>
    <xf numFmtId="165" fontId="0" fillId="0" borderId="0" xfId="0" applyNumberFormat="1" applyBorder="1" applyAlignment="1">
      <alignment/>
    </xf>
    <xf numFmtId="0" fontId="1" fillId="0" borderId="18" xfId="0" applyFont="1" applyBorder="1" applyAlignment="1">
      <alignment horizontal="center"/>
    </xf>
    <xf numFmtId="0" fontId="0" fillId="0" borderId="19" xfId="0" applyBorder="1" applyAlignment="1">
      <alignment/>
    </xf>
    <xf numFmtId="0" fontId="1" fillId="0" borderId="20" xfId="0" applyFont="1" applyBorder="1" applyAlignment="1">
      <alignment horizontal="center" wrapText="1"/>
    </xf>
    <xf numFmtId="0" fontId="1" fillId="0" borderId="21" xfId="0" applyFont="1" applyBorder="1" applyAlignment="1">
      <alignment horizontal="center"/>
    </xf>
    <xf numFmtId="0" fontId="0" fillId="0" borderId="22" xfId="0" applyBorder="1" applyAlignment="1">
      <alignment/>
    </xf>
    <xf numFmtId="0" fontId="1" fillId="0" borderId="18" xfId="0" applyFont="1" applyBorder="1" applyAlignment="1">
      <alignment horizontal="center" wrapText="1"/>
    </xf>
    <xf numFmtId="0" fontId="1" fillId="0" borderId="23" xfId="0" applyFont="1" applyBorder="1" applyAlignment="1">
      <alignment horizontal="center"/>
    </xf>
    <xf numFmtId="0" fontId="1" fillId="0" borderId="22" xfId="0" applyFont="1" applyBorder="1" applyAlignment="1">
      <alignment horizontal="center"/>
    </xf>
    <xf numFmtId="0" fontId="1" fillId="0" borderId="24" xfId="0" applyFont="1" applyBorder="1" applyAlignment="1">
      <alignment horizontal="center" wrapText="1"/>
    </xf>
    <xf numFmtId="0" fontId="1" fillId="46" borderId="25" xfId="0" applyFont="1" applyFill="1" applyBorder="1" applyAlignment="1">
      <alignment/>
    </xf>
    <xf numFmtId="0" fontId="0" fillId="46" borderId="26" xfId="0" applyFill="1" applyBorder="1" applyAlignment="1">
      <alignment/>
    </xf>
    <xf numFmtId="0" fontId="0" fillId="46" borderId="27" xfId="0" applyFill="1" applyBorder="1" applyAlignment="1">
      <alignment/>
    </xf>
    <xf numFmtId="0" fontId="1" fillId="46" borderId="23" xfId="0" applyFont="1" applyFill="1" applyBorder="1" applyAlignment="1">
      <alignment/>
    </xf>
    <xf numFmtId="0" fontId="0" fillId="46" borderId="21" xfId="0" applyFill="1" applyBorder="1" applyAlignment="1">
      <alignment/>
    </xf>
    <xf numFmtId="0" fontId="0" fillId="46" borderId="24" xfId="0" applyFill="1" applyBorder="1" applyAlignment="1">
      <alignment/>
    </xf>
    <xf numFmtId="0" fontId="0" fillId="0" borderId="15" xfId="0" applyBorder="1" applyAlignment="1">
      <alignment/>
    </xf>
    <xf numFmtId="0" fontId="1" fillId="0" borderId="11" xfId="0" applyFont="1" applyBorder="1" applyAlignment="1">
      <alignment horizontal="center" wrapText="1"/>
    </xf>
    <xf numFmtId="0" fontId="1" fillId="0" borderId="28" xfId="0" applyFont="1" applyBorder="1" applyAlignment="1">
      <alignment/>
    </xf>
    <xf numFmtId="6" fontId="0" fillId="0" borderId="0" xfId="0" applyNumberFormat="1" applyBorder="1" applyAlignment="1">
      <alignment horizontal="right"/>
    </xf>
    <xf numFmtId="6" fontId="0" fillId="0" borderId="0" xfId="0" applyNumberFormat="1" applyBorder="1" applyAlignment="1">
      <alignment/>
    </xf>
    <xf numFmtId="6" fontId="0" fillId="0" borderId="18" xfId="0" applyNumberFormat="1" applyFill="1" applyBorder="1" applyAlignment="1">
      <alignment horizontal="right"/>
    </xf>
    <xf numFmtId="6" fontId="0" fillId="0" borderId="11" xfId="0" applyNumberFormat="1" applyFill="1" applyBorder="1" applyAlignment="1">
      <alignment/>
    </xf>
    <xf numFmtId="6" fontId="0" fillId="0" borderId="18" xfId="0" applyNumberFormat="1" applyFill="1" applyBorder="1" applyAlignment="1">
      <alignment/>
    </xf>
    <xf numFmtId="6" fontId="0" fillId="0" borderId="0" xfId="0" applyNumberFormat="1" applyFill="1" applyBorder="1" applyAlignment="1">
      <alignment/>
    </xf>
    <xf numFmtId="6" fontId="0" fillId="0" borderId="19" xfId="0" applyNumberFormat="1" applyFill="1" applyBorder="1" applyAlignment="1">
      <alignment/>
    </xf>
    <xf numFmtId="6" fontId="0" fillId="0" borderId="29" xfId="0" applyNumberFormat="1" applyFill="1" applyBorder="1" applyAlignment="1">
      <alignment/>
    </xf>
    <xf numFmtId="0" fontId="0" fillId="0" borderId="0" xfId="0" applyAlignment="1">
      <alignment horizontal="left"/>
    </xf>
    <xf numFmtId="0" fontId="1" fillId="0" borderId="11" xfId="0" applyFont="1" applyBorder="1" applyAlignment="1">
      <alignment horizontal="left"/>
    </xf>
    <xf numFmtId="0" fontId="1" fillId="0" borderId="11" xfId="0" applyFont="1" applyBorder="1" applyAlignment="1">
      <alignment/>
    </xf>
    <xf numFmtId="0" fontId="1" fillId="0" borderId="0" xfId="0" applyFont="1" applyFill="1" applyBorder="1" applyAlignment="1">
      <alignment/>
    </xf>
    <xf numFmtId="38" fontId="0" fillId="0" borderId="0" xfId="0" applyNumberFormat="1" applyFill="1" applyBorder="1" applyAlignment="1">
      <alignment/>
    </xf>
    <xf numFmtId="0" fontId="1" fillId="0" borderId="30" xfId="0" applyFont="1" applyFill="1" applyBorder="1" applyAlignment="1">
      <alignment/>
    </xf>
    <xf numFmtId="0" fontId="1" fillId="0" borderId="11" xfId="0" applyFont="1" applyBorder="1" applyAlignment="1">
      <alignment horizontal="center"/>
    </xf>
    <xf numFmtId="0" fontId="0" fillId="0" borderId="11" xfId="0" applyBorder="1" applyAlignment="1">
      <alignment/>
    </xf>
    <xf numFmtId="0" fontId="0" fillId="0" borderId="11" xfId="0" applyBorder="1" applyAlignment="1" quotePrefix="1">
      <alignment horizontal="center"/>
    </xf>
    <xf numFmtId="0" fontId="0" fillId="0" borderId="11" xfId="0" applyBorder="1" applyAlignment="1">
      <alignment horizontal="center"/>
    </xf>
    <xf numFmtId="6" fontId="0" fillId="0" borderId="0" xfId="0" applyNumberFormat="1" applyFont="1" applyBorder="1" applyAlignment="1">
      <alignment/>
    </xf>
    <xf numFmtId="6" fontId="0" fillId="0" borderId="0" xfId="0" applyNumberFormat="1" applyFont="1" applyFill="1" applyBorder="1" applyAlignment="1">
      <alignment/>
    </xf>
    <xf numFmtId="6" fontId="0" fillId="0" borderId="31" xfId="0" applyNumberFormat="1" applyFill="1" applyBorder="1" applyAlignment="1">
      <alignment/>
    </xf>
    <xf numFmtId="6" fontId="0" fillId="0" borderId="19" xfId="0" applyNumberFormat="1" applyFont="1" applyFill="1" applyBorder="1" applyAlignment="1">
      <alignment/>
    </xf>
    <xf numFmtId="0" fontId="1" fillId="0" borderId="11" xfId="0" applyFont="1" applyFill="1" applyBorder="1" applyAlignment="1">
      <alignment horizontal="center" wrapText="1"/>
    </xf>
    <xf numFmtId="0" fontId="1" fillId="0" borderId="24" xfId="0" applyFont="1" applyFill="1" applyBorder="1" applyAlignment="1">
      <alignment horizontal="center" wrapText="1"/>
    </xf>
    <xf numFmtId="0" fontId="0" fillId="0" borderId="19" xfId="0" applyFill="1" applyBorder="1" applyAlignment="1">
      <alignment/>
    </xf>
    <xf numFmtId="6" fontId="0" fillId="0" borderId="19" xfId="0" applyNumberFormat="1" applyFill="1" applyBorder="1" applyAlignment="1">
      <alignment horizontal="right"/>
    </xf>
    <xf numFmtId="0" fontId="1" fillId="46" borderId="32" xfId="0" applyFont="1" applyFill="1" applyBorder="1" applyAlignment="1">
      <alignment/>
    </xf>
    <xf numFmtId="0" fontId="0" fillId="0" borderId="0" xfId="0" applyFill="1" applyBorder="1" applyAlignment="1">
      <alignment/>
    </xf>
    <xf numFmtId="164" fontId="0" fillId="0" borderId="15" xfId="0" applyNumberFormat="1" applyFill="1" applyBorder="1" applyAlignment="1">
      <alignment/>
    </xf>
    <xf numFmtId="3" fontId="0" fillId="0" borderId="11" xfId="0" applyNumberFormat="1" applyBorder="1" applyAlignment="1">
      <alignment horizontal="center"/>
    </xf>
    <xf numFmtId="0" fontId="0" fillId="0" borderId="0" xfId="0" applyFill="1" applyAlignment="1">
      <alignment/>
    </xf>
    <xf numFmtId="0" fontId="0" fillId="0" borderId="0" xfId="0" applyFill="1" applyAlignment="1">
      <alignment horizontal="left" indent="1"/>
    </xf>
    <xf numFmtId="164" fontId="0" fillId="0" borderId="0" xfId="0" applyNumberFormat="1" applyAlignment="1">
      <alignment/>
    </xf>
    <xf numFmtId="6" fontId="0" fillId="0" borderId="0" xfId="0" applyNumberFormat="1" applyAlignment="1">
      <alignment/>
    </xf>
    <xf numFmtId="6" fontId="0" fillId="0" borderId="33" xfId="0" applyNumberFormat="1" applyFill="1" applyBorder="1" applyAlignment="1">
      <alignment/>
    </xf>
    <xf numFmtId="6" fontId="0" fillId="0" borderId="20" xfId="0" applyNumberFormat="1" applyFill="1" applyBorder="1" applyAlignment="1">
      <alignment horizontal="right"/>
    </xf>
    <xf numFmtId="6" fontId="0" fillId="0" borderId="34" xfId="0" applyNumberFormat="1" applyBorder="1" applyAlignment="1">
      <alignment/>
    </xf>
    <xf numFmtId="6" fontId="4" fillId="46" borderId="35" xfId="0" applyNumberFormat="1" applyFont="1" applyFill="1" applyBorder="1" applyAlignment="1">
      <alignment/>
    </xf>
    <xf numFmtId="6" fontId="0" fillId="46" borderId="35" xfId="0" applyNumberFormat="1" applyFill="1" applyBorder="1" applyAlignment="1">
      <alignment/>
    </xf>
    <xf numFmtId="6" fontId="0" fillId="0" borderId="35" xfId="0" applyNumberFormat="1" applyFill="1" applyBorder="1" applyAlignment="1">
      <alignment/>
    </xf>
    <xf numFmtId="6" fontId="0" fillId="46" borderId="35" xfId="0" applyNumberFormat="1" applyFill="1" applyBorder="1" applyAlignment="1">
      <alignment horizontal="right"/>
    </xf>
    <xf numFmtId="6" fontId="0" fillId="46" borderId="36" xfId="0" applyNumberFormat="1" applyFill="1" applyBorder="1" applyAlignment="1">
      <alignment horizontal="right"/>
    </xf>
    <xf numFmtId="6" fontId="0" fillId="46" borderId="37" xfId="0" applyNumberFormat="1" applyFill="1" applyBorder="1" applyAlignment="1">
      <alignment/>
    </xf>
    <xf numFmtId="6" fontId="0" fillId="0" borderId="38" xfId="0" applyNumberFormat="1" applyFont="1" applyBorder="1" applyAlignment="1">
      <alignment/>
    </xf>
    <xf numFmtId="164" fontId="0" fillId="0" borderId="0" xfId="0" applyNumberFormat="1" applyFont="1" applyBorder="1" applyAlignment="1">
      <alignment horizontal="left"/>
    </xf>
    <xf numFmtId="0" fontId="0" fillId="0" borderId="0" xfId="0" applyNumberFormat="1" applyFont="1" applyAlignment="1">
      <alignment horizontal="left"/>
    </xf>
    <xf numFmtId="0" fontId="0" fillId="0" borderId="0" xfId="0" applyFont="1" applyFill="1" applyAlignment="1">
      <alignment horizontal="left"/>
    </xf>
    <xf numFmtId="0" fontId="0" fillId="0" borderId="0" xfId="0" applyFont="1" applyAlignment="1">
      <alignment horizontal="left"/>
    </xf>
    <xf numFmtId="0" fontId="0" fillId="0" borderId="0" xfId="0" applyFont="1" applyBorder="1" applyAlignment="1">
      <alignment horizontal="left"/>
    </xf>
    <xf numFmtId="6" fontId="0" fillId="0" borderId="18" xfId="0" applyNumberFormat="1" applyFont="1" applyFill="1" applyBorder="1" applyAlignment="1">
      <alignment/>
    </xf>
    <xf numFmtId="0" fontId="0" fillId="0" borderId="0" xfId="0" applyNumberFormat="1" applyAlignment="1">
      <alignment/>
    </xf>
    <xf numFmtId="0" fontId="0" fillId="0" borderId="11" xfId="0" applyNumberFormat="1" applyBorder="1" applyAlignment="1">
      <alignment horizontal="center"/>
    </xf>
    <xf numFmtId="167" fontId="0" fillId="0" borderId="0" xfId="0" applyNumberFormat="1" applyFill="1" applyBorder="1" applyAlignment="1" quotePrefix="1">
      <alignment horizontal="center"/>
    </xf>
    <xf numFmtId="0" fontId="0" fillId="0" borderId="23" xfId="0" applyFill="1" applyBorder="1" applyAlignment="1">
      <alignment/>
    </xf>
    <xf numFmtId="43" fontId="0" fillId="0" borderId="0" xfId="0" applyNumberFormat="1" applyBorder="1" applyAlignment="1">
      <alignment/>
    </xf>
    <xf numFmtId="0" fontId="0" fillId="0" borderId="39" xfId="0" applyFill="1" applyBorder="1" applyAlignment="1">
      <alignment horizontal="left" indent="1"/>
    </xf>
    <xf numFmtId="0" fontId="0" fillId="0" borderId="39" xfId="0" applyFont="1" applyFill="1" applyBorder="1" applyAlignment="1">
      <alignment horizontal="left" indent="1"/>
    </xf>
    <xf numFmtId="168" fontId="0" fillId="0" borderId="0" xfId="0" applyNumberFormat="1" applyAlignment="1">
      <alignment/>
    </xf>
    <xf numFmtId="6" fontId="0" fillId="0" borderId="0" xfId="0" applyNumberFormat="1" applyFont="1" applyBorder="1" applyAlignment="1">
      <alignment/>
    </xf>
    <xf numFmtId="0" fontId="0" fillId="0" borderId="11" xfId="0" applyFill="1" applyBorder="1" applyAlignment="1">
      <alignment/>
    </xf>
    <xf numFmtId="0" fontId="1" fillId="0" borderId="11" xfId="0" applyFont="1" applyFill="1" applyBorder="1" applyAlignment="1">
      <alignment horizontal="left"/>
    </xf>
    <xf numFmtId="0" fontId="1" fillId="0" borderId="31" xfId="0" applyFont="1" applyFill="1" applyBorder="1" applyAlignment="1">
      <alignment/>
    </xf>
    <xf numFmtId="0" fontId="0" fillId="0" borderId="0" xfId="0" applyFont="1" applyFill="1" applyBorder="1" applyAlignment="1">
      <alignment horizontal="left"/>
    </xf>
    <xf numFmtId="6" fontId="0" fillId="0" borderId="40" xfId="0" applyNumberFormat="1" applyFill="1" applyBorder="1" applyAlignment="1">
      <alignment/>
    </xf>
    <xf numFmtId="164" fontId="0" fillId="0" borderId="41" xfId="0" applyNumberFormat="1" applyBorder="1" applyAlignment="1">
      <alignment/>
    </xf>
    <xf numFmtId="0" fontId="1" fillId="0" borderId="42" xfId="0" applyFont="1" applyFill="1" applyBorder="1" applyAlignment="1">
      <alignment/>
    </xf>
    <xf numFmtId="0" fontId="1" fillId="0" borderId="43" xfId="0" applyFont="1" applyFill="1" applyBorder="1" applyAlignment="1">
      <alignment horizontal="left" indent="1"/>
    </xf>
    <xf numFmtId="0" fontId="5" fillId="0" borderId="43" xfId="0" applyFont="1" applyFill="1" applyBorder="1" applyAlignment="1">
      <alignment wrapText="1"/>
    </xf>
    <xf numFmtId="0" fontId="0" fillId="0" borderId="43" xfId="0" applyFill="1" applyBorder="1" applyAlignment="1">
      <alignment horizontal="left" indent="1"/>
    </xf>
    <xf numFmtId="0" fontId="0" fillId="0" borderId="43" xfId="0" applyFont="1" applyFill="1" applyBorder="1" applyAlignment="1">
      <alignment horizontal="left" indent="1"/>
    </xf>
    <xf numFmtId="0" fontId="1" fillId="0" borderId="42" xfId="0" applyFont="1" applyFill="1" applyBorder="1" applyAlignment="1">
      <alignment wrapText="1"/>
    </xf>
    <xf numFmtId="168" fontId="0" fillId="0" borderId="0" xfId="68" applyNumberFormat="1" applyAlignment="1">
      <alignment/>
    </xf>
    <xf numFmtId="168" fontId="0" fillId="0" borderId="0" xfId="68" applyNumberFormat="1" applyFont="1" applyAlignment="1">
      <alignment/>
    </xf>
    <xf numFmtId="0" fontId="0" fillId="0" borderId="26" xfId="0" applyFill="1" applyBorder="1" applyAlignment="1">
      <alignment/>
    </xf>
    <xf numFmtId="0" fontId="0" fillId="0" borderId="44" xfId="0" applyFill="1" applyBorder="1" applyAlignment="1">
      <alignment/>
    </xf>
    <xf numFmtId="0" fontId="0" fillId="0" borderId="21" xfId="0" applyFill="1" applyBorder="1" applyAlignment="1">
      <alignment/>
    </xf>
    <xf numFmtId="0" fontId="0" fillId="0" borderId="18" xfId="0" applyFill="1" applyBorder="1" applyAlignment="1">
      <alignment/>
    </xf>
    <xf numFmtId="0" fontId="1" fillId="0" borderId="42" xfId="0" applyFont="1" applyFill="1" applyBorder="1" applyAlignment="1">
      <alignment horizontal="center"/>
    </xf>
    <xf numFmtId="0" fontId="1" fillId="0" borderId="21" xfId="0" applyFont="1" applyFill="1" applyBorder="1" applyAlignment="1">
      <alignment horizontal="center"/>
    </xf>
    <xf numFmtId="0" fontId="1" fillId="0" borderId="19" xfId="0" applyFont="1" applyFill="1" applyBorder="1" applyAlignment="1">
      <alignment horizontal="center" wrapText="1"/>
    </xf>
    <xf numFmtId="6" fontId="0" fillId="0" borderId="45" xfId="0" applyNumberFormat="1" applyFill="1" applyBorder="1" applyAlignment="1">
      <alignment/>
    </xf>
    <xf numFmtId="6" fontId="0" fillId="0" borderId="19" xfId="0" applyNumberFormat="1" applyFont="1" applyFill="1" applyBorder="1" applyAlignment="1">
      <alignment horizontal="right"/>
    </xf>
    <xf numFmtId="0" fontId="0" fillId="0" borderId="46" xfId="0" applyFill="1" applyBorder="1" applyAlignment="1">
      <alignment horizontal="left" indent="1"/>
    </xf>
    <xf numFmtId="6" fontId="0" fillId="0" borderId="21" xfId="0" applyNumberFormat="1" applyFill="1" applyBorder="1" applyAlignment="1">
      <alignment/>
    </xf>
    <xf numFmtId="0" fontId="1" fillId="0" borderId="47" xfId="0" applyFont="1" applyFill="1" applyBorder="1" applyAlignment="1">
      <alignment/>
    </xf>
    <xf numFmtId="6" fontId="0" fillId="0" borderId="0" xfId="0" applyNumberFormat="1" applyFill="1" applyBorder="1" applyAlignment="1">
      <alignment horizontal="right"/>
    </xf>
    <xf numFmtId="0" fontId="0" fillId="0" borderId="48" xfId="0" applyFill="1" applyBorder="1" applyAlignment="1">
      <alignment/>
    </xf>
    <xf numFmtId="0" fontId="0" fillId="0" borderId="20" xfId="0" applyFill="1" applyBorder="1" applyAlignment="1">
      <alignment/>
    </xf>
    <xf numFmtId="6" fontId="0" fillId="0" borderId="0" xfId="0" applyNumberFormat="1" applyFill="1" applyAlignment="1">
      <alignment/>
    </xf>
    <xf numFmtId="0" fontId="0" fillId="0" borderId="0" xfId="0" applyNumberFormat="1" applyFill="1" applyAlignment="1">
      <alignment horizontal="left"/>
    </xf>
    <xf numFmtId="44" fontId="0" fillId="0" borderId="0" xfId="68" applyFill="1" applyAlignment="1">
      <alignment/>
    </xf>
    <xf numFmtId="165" fontId="0" fillId="0" borderId="0" xfId="0" applyNumberFormat="1" applyFill="1" applyBorder="1" applyAlignment="1">
      <alignment/>
    </xf>
    <xf numFmtId="16" fontId="0" fillId="0" borderId="11" xfId="0" applyNumberFormat="1" applyBorder="1" applyAlignment="1">
      <alignment horizontal="center"/>
    </xf>
    <xf numFmtId="6" fontId="0" fillId="0" borderId="0" xfId="0" applyNumberFormat="1" applyFont="1" applyFill="1" applyBorder="1" applyAlignment="1">
      <alignment/>
    </xf>
    <xf numFmtId="6" fontId="1" fillId="0" borderId="49" xfId="0" applyNumberFormat="1" applyFont="1" applyFill="1" applyBorder="1" applyAlignment="1">
      <alignment/>
    </xf>
    <xf numFmtId="0" fontId="1" fillId="0" borderId="43" xfId="0" applyFont="1" applyFill="1" applyBorder="1" applyAlignment="1">
      <alignment/>
    </xf>
    <xf numFmtId="0" fontId="0" fillId="0" borderId="40" xfId="0" applyBorder="1" applyAlignment="1">
      <alignment/>
    </xf>
    <xf numFmtId="6" fontId="0" fillId="0" borderId="40" xfId="0" applyNumberFormat="1" applyFont="1" applyFill="1" applyBorder="1" applyAlignment="1">
      <alignment horizontal="right"/>
    </xf>
    <xf numFmtId="6" fontId="0" fillId="0" borderId="50" xfId="0" applyNumberFormat="1" applyFill="1" applyBorder="1" applyAlignment="1">
      <alignment/>
    </xf>
    <xf numFmtId="6" fontId="0" fillId="0" borderId="22" xfId="0" applyNumberFormat="1" applyFill="1" applyBorder="1" applyAlignment="1">
      <alignment/>
    </xf>
    <xf numFmtId="0" fontId="0" fillId="0" borderId="15" xfId="0" applyFill="1" applyBorder="1" applyAlignment="1">
      <alignment/>
    </xf>
    <xf numFmtId="0" fontId="0" fillId="0" borderId="47" xfId="0" applyBorder="1" applyAlignment="1">
      <alignment/>
    </xf>
    <xf numFmtId="0" fontId="0" fillId="0" borderId="43" xfId="0" applyFont="1" applyFill="1" applyBorder="1" applyAlignment="1">
      <alignment horizontal="left" indent="1"/>
    </xf>
    <xf numFmtId="6" fontId="0" fillId="0" borderId="0" xfId="0" applyNumberFormat="1" applyFont="1" applyFill="1" applyBorder="1" applyAlignment="1">
      <alignment horizontal="right"/>
    </xf>
    <xf numFmtId="6" fontId="0" fillId="0" borderId="18" xfId="0" applyNumberFormat="1" applyFont="1" applyFill="1" applyBorder="1" applyAlignment="1">
      <alignment/>
    </xf>
    <xf numFmtId="6" fontId="0" fillId="0" borderId="11" xfId="0" applyNumberFormat="1" applyFont="1" applyFill="1" applyBorder="1" applyAlignment="1">
      <alignment/>
    </xf>
    <xf numFmtId="0" fontId="0" fillId="0" borderId="40" xfId="0" applyFill="1" applyBorder="1" applyAlignment="1">
      <alignment/>
    </xf>
    <xf numFmtId="0" fontId="0" fillId="0" borderId="14" xfId="0" applyFill="1" applyBorder="1" applyAlignment="1">
      <alignment/>
    </xf>
    <xf numFmtId="0" fontId="34" fillId="0" borderId="0" xfId="0" applyFont="1" applyFill="1" applyBorder="1" applyAlignment="1">
      <alignment/>
    </xf>
    <xf numFmtId="0" fontId="1" fillId="0" borderId="11" xfId="0" applyFont="1" applyFill="1" applyBorder="1" applyAlignment="1">
      <alignment/>
    </xf>
    <xf numFmtId="43" fontId="0" fillId="0" borderId="0" xfId="66" applyBorder="1" applyAlignment="1">
      <alignment/>
    </xf>
    <xf numFmtId="0" fontId="5" fillId="0" borderId="13" xfId="0" applyFont="1" applyFill="1" applyBorder="1" applyAlignment="1">
      <alignment wrapText="1"/>
    </xf>
    <xf numFmtId="0" fontId="0" fillId="0" borderId="13" xfId="0" applyFill="1" applyBorder="1" applyAlignment="1">
      <alignment horizontal="left" indent="1"/>
    </xf>
    <xf numFmtId="0" fontId="1" fillId="0" borderId="13" xfId="0" applyFont="1" applyFill="1" applyBorder="1" applyAlignment="1">
      <alignment/>
    </xf>
    <xf numFmtId="0" fontId="1" fillId="0" borderId="0" xfId="0" applyFont="1" applyFill="1" applyBorder="1" applyAlignment="1">
      <alignment wrapText="1"/>
    </xf>
    <xf numFmtId="0" fontId="1" fillId="0" borderId="15" xfId="0" applyFont="1" applyBorder="1" applyAlignment="1">
      <alignment/>
    </xf>
    <xf numFmtId="167" fontId="0" fillId="0" borderId="19" xfId="0" applyNumberFormat="1" applyFont="1" applyFill="1" applyBorder="1" applyAlignment="1">
      <alignment horizontal="right"/>
    </xf>
    <xf numFmtId="0" fontId="1" fillId="0" borderId="13" xfId="0" applyFont="1" applyFill="1" applyBorder="1" applyAlignment="1">
      <alignment horizontal="left" indent="1"/>
    </xf>
    <xf numFmtId="0" fontId="1" fillId="0" borderId="51" xfId="0" applyFont="1" applyFill="1" applyBorder="1" applyAlignment="1">
      <alignment/>
    </xf>
    <xf numFmtId="6" fontId="0" fillId="0" borderId="43" xfId="0" applyNumberFormat="1" applyFill="1" applyBorder="1" applyAlignment="1">
      <alignment/>
    </xf>
    <xf numFmtId="6" fontId="0" fillId="0" borderId="42" xfId="0" applyNumberFormat="1" applyFill="1" applyBorder="1" applyAlignment="1">
      <alignment/>
    </xf>
    <xf numFmtId="0" fontId="0" fillId="0" borderId="51" xfId="0" applyFont="1" applyFill="1" applyBorder="1" applyAlignment="1">
      <alignment horizontal="left" indent="1"/>
    </xf>
    <xf numFmtId="6" fontId="0" fillId="0" borderId="52" xfId="0" applyNumberFormat="1" applyFont="1" applyFill="1" applyBorder="1" applyAlignment="1">
      <alignment wrapText="1"/>
    </xf>
    <xf numFmtId="167" fontId="0" fillId="0" borderId="11" xfId="0" applyNumberFormat="1" applyFont="1" applyFill="1" applyBorder="1" applyAlignment="1">
      <alignment horizontal="right"/>
    </xf>
    <xf numFmtId="167" fontId="0" fillId="0" borderId="11" xfId="0" applyNumberFormat="1" applyFill="1" applyBorder="1" applyAlignment="1">
      <alignment/>
    </xf>
    <xf numFmtId="167" fontId="0" fillId="0" borderId="19" xfId="0" applyNumberFormat="1" applyFill="1" applyBorder="1" applyAlignment="1">
      <alignment/>
    </xf>
    <xf numFmtId="167" fontId="0" fillId="0" borderId="19" xfId="0" applyNumberFormat="1" applyFont="1" applyFill="1" applyBorder="1" applyAlignment="1">
      <alignment/>
    </xf>
    <xf numFmtId="167" fontId="0" fillId="0" borderId="31" xfId="0" applyNumberFormat="1" applyFill="1" applyBorder="1" applyAlignment="1">
      <alignment/>
    </xf>
    <xf numFmtId="167" fontId="0" fillId="0" borderId="19" xfId="0" applyNumberFormat="1" applyFill="1" applyBorder="1" applyAlignment="1">
      <alignment horizontal="center"/>
    </xf>
    <xf numFmtId="167" fontId="0" fillId="0" borderId="11" xfId="0" applyNumberFormat="1" applyFill="1" applyBorder="1" applyAlignment="1">
      <alignment horizontal="center"/>
    </xf>
    <xf numFmtId="6" fontId="0" fillId="0" borderId="50" xfId="0" applyNumberFormat="1" applyFill="1" applyBorder="1" applyAlignment="1">
      <alignment horizontal="right" vertical="center"/>
    </xf>
    <xf numFmtId="0" fontId="4" fillId="0" borderId="0" xfId="84">
      <alignment/>
      <protection/>
    </xf>
    <xf numFmtId="0" fontId="4" fillId="0" borderId="0" xfId="84" applyFont="1">
      <alignment/>
      <protection/>
    </xf>
    <xf numFmtId="0" fontId="25" fillId="0" borderId="0" xfId="84" applyFont="1">
      <alignment/>
      <protection/>
    </xf>
    <xf numFmtId="0" fontId="25" fillId="0" borderId="0" xfId="84" applyFont="1" applyAlignment="1">
      <alignment horizontal="center"/>
      <protection/>
    </xf>
    <xf numFmtId="0" fontId="4" fillId="0" borderId="11" xfId="84" applyFont="1" applyBorder="1">
      <alignment/>
      <protection/>
    </xf>
    <xf numFmtId="0" fontId="4" fillId="0" borderId="11" xfId="84" applyBorder="1">
      <alignment/>
      <protection/>
    </xf>
    <xf numFmtId="0" fontId="1" fillId="0" borderId="0" xfId="0" applyFont="1" applyFill="1" applyAlignment="1">
      <alignment/>
    </xf>
    <xf numFmtId="173" fontId="0" fillId="0" borderId="0" xfId="0" applyNumberFormat="1" applyAlignment="1">
      <alignment/>
    </xf>
    <xf numFmtId="173" fontId="1" fillId="0" borderId="11" xfId="0" applyNumberFormat="1" applyFont="1" applyBorder="1" applyAlignment="1">
      <alignment horizontal="center"/>
    </xf>
    <xf numFmtId="0" fontId="1" fillId="0" borderId="11" xfId="0" applyFont="1" applyFill="1" applyBorder="1" applyAlignment="1">
      <alignment horizontal="center"/>
    </xf>
    <xf numFmtId="0" fontId="5" fillId="0" borderId="11" xfId="0" applyFont="1" applyFill="1" applyBorder="1" applyAlignment="1">
      <alignment wrapText="1"/>
    </xf>
    <xf numFmtId="0" fontId="0" fillId="0" borderId="11" xfId="0" applyFill="1" applyBorder="1" applyAlignment="1">
      <alignment horizontal="left" indent="1"/>
    </xf>
    <xf numFmtId="0" fontId="0" fillId="0" borderId="11" xfId="0" applyFont="1" applyFill="1" applyBorder="1" applyAlignment="1">
      <alignment horizontal="left" indent="1"/>
    </xf>
    <xf numFmtId="3" fontId="0" fillId="0" borderId="11" xfId="0" applyNumberFormat="1" applyBorder="1" applyAlignment="1" quotePrefix="1">
      <alignment horizontal="center"/>
    </xf>
    <xf numFmtId="0" fontId="0" fillId="0" borderId="53" xfId="0" applyFill="1" applyBorder="1" applyAlignment="1">
      <alignment/>
    </xf>
    <xf numFmtId="0" fontId="0" fillId="0" borderId="33" xfId="0" applyFill="1" applyBorder="1" applyAlignment="1">
      <alignment/>
    </xf>
    <xf numFmtId="0" fontId="0" fillId="0" borderId="13" xfId="0" applyFill="1" applyBorder="1" applyAlignment="1">
      <alignment horizontal="center"/>
    </xf>
    <xf numFmtId="5" fontId="0" fillId="0" borderId="13" xfId="0" applyNumberFormat="1" applyFill="1" applyBorder="1" applyAlignment="1" quotePrefix="1">
      <alignment horizontal="center"/>
    </xf>
    <xf numFmtId="181" fontId="0" fillId="0" borderId="13" xfId="0" applyNumberFormat="1" applyFill="1" applyBorder="1" applyAlignment="1" quotePrefix="1">
      <alignment horizontal="center"/>
    </xf>
    <xf numFmtId="181" fontId="0" fillId="0" borderId="0" xfId="0" applyNumberFormat="1" applyFill="1" applyAlignment="1">
      <alignment/>
    </xf>
    <xf numFmtId="0" fontId="1" fillId="0" borderId="42" xfId="0" applyFont="1" applyFill="1" applyBorder="1" applyAlignment="1">
      <alignment horizontal="left" indent="1"/>
    </xf>
    <xf numFmtId="0" fontId="0" fillId="0" borderId="16" xfId="0" applyBorder="1" applyAlignment="1">
      <alignment/>
    </xf>
    <xf numFmtId="181" fontId="0" fillId="0" borderId="0" xfId="0" applyNumberFormat="1" applyAlignment="1">
      <alignment/>
    </xf>
    <xf numFmtId="3" fontId="0" fillId="0" borderId="0" xfId="0" applyNumberFormat="1" applyFill="1" applyAlignment="1">
      <alignment/>
    </xf>
    <xf numFmtId="3" fontId="0" fillId="0" borderId="0" xfId="0" applyNumberFormat="1" applyAlignment="1">
      <alignment/>
    </xf>
    <xf numFmtId="0" fontId="1" fillId="0" borderId="26" xfId="0" applyFont="1" applyFill="1" applyBorder="1" applyAlignment="1">
      <alignment/>
    </xf>
    <xf numFmtId="0" fontId="1" fillId="0" borderId="21" xfId="0" applyFont="1" applyFill="1" applyBorder="1" applyAlignment="1">
      <alignment/>
    </xf>
    <xf numFmtId="0" fontId="5" fillId="0" borderId="14" xfId="0" applyFont="1" applyFill="1" applyBorder="1" applyAlignment="1">
      <alignment wrapText="1"/>
    </xf>
    <xf numFmtId="0" fontId="1" fillId="0" borderId="14" xfId="0" applyFont="1" applyFill="1" applyBorder="1" applyAlignment="1">
      <alignment/>
    </xf>
    <xf numFmtId="0" fontId="1" fillId="0" borderId="14" xfId="0" applyFont="1" applyFill="1" applyBorder="1" applyAlignment="1">
      <alignment horizontal="left" indent="1"/>
    </xf>
    <xf numFmtId="6" fontId="0" fillId="0" borderId="17" xfId="0" applyNumberFormat="1" applyFont="1" applyFill="1" applyBorder="1" applyAlignment="1">
      <alignment/>
    </xf>
    <xf numFmtId="6" fontId="0" fillId="0" borderId="14" xfId="0" applyNumberFormat="1" applyFill="1" applyBorder="1" applyAlignment="1">
      <alignment/>
    </xf>
    <xf numFmtId="6" fontId="0" fillId="0" borderId="17" xfId="0" applyNumberFormat="1" applyFill="1" applyBorder="1" applyAlignment="1">
      <alignment/>
    </xf>
    <xf numFmtId="6" fontId="0" fillId="0" borderId="14" xfId="0" applyNumberFormat="1" applyFill="1" applyBorder="1" applyAlignment="1">
      <alignment horizontal="right"/>
    </xf>
    <xf numFmtId="6" fontId="0" fillId="0" borderId="23" xfId="0" applyNumberFormat="1" applyFill="1" applyBorder="1" applyAlignment="1">
      <alignment horizontal="right"/>
    </xf>
    <xf numFmtId="6" fontId="0" fillId="0" borderId="23" xfId="0" applyNumberFormat="1" applyFill="1" applyBorder="1" applyAlignment="1">
      <alignment/>
    </xf>
    <xf numFmtId="0" fontId="1" fillId="0" borderId="17" xfId="0" applyFont="1" applyFill="1" applyBorder="1" applyAlignment="1">
      <alignment horizontal="center" wrapText="1"/>
    </xf>
    <xf numFmtId="181" fontId="0" fillId="0" borderId="33" xfId="0" applyNumberFormat="1" applyFill="1" applyBorder="1" applyAlignment="1" quotePrefix="1">
      <alignment horizontal="center"/>
    </xf>
    <xf numFmtId="6" fontId="0" fillId="0" borderId="13" xfId="0" applyNumberFormat="1" applyFill="1" applyBorder="1" applyAlignment="1">
      <alignment horizontal="center"/>
    </xf>
    <xf numFmtId="6" fontId="0" fillId="0" borderId="33" xfId="0" applyNumberFormat="1" applyFill="1" applyBorder="1" applyAlignment="1">
      <alignment horizontal="center"/>
    </xf>
    <xf numFmtId="181" fontId="0" fillId="0" borderId="54" xfId="0" applyNumberFormat="1" applyFill="1" applyBorder="1" applyAlignment="1" quotePrefix="1">
      <alignment horizontal="center"/>
    </xf>
    <xf numFmtId="6" fontId="0" fillId="0" borderId="43" xfId="0" applyNumberFormat="1" applyFill="1" applyBorder="1" applyAlignment="1">
      <alignment vertical="center"/>
    </xf>
    <xf numFmtId="6" fontId="0" fillId="0" borderId="19" xfId="0" applyNumberFormat="1" applyFill="1" applyBorder="1" applyAlignment="1">
      <alignment vertical="center"/>
    </xf>
    <xf numFmtId="0" fontId="0" fillId="0" borderId="0" xfId="0" applyAlignment="1">
      <alignment horizontal="left" wrapText="1"/>
    </xf>
    <xf numFmtId="0" fontId="0" fillId="0" borderId="0" xfId="0" applyAlignment="1">
      <alignment/>
    </xf>
    <xf numFmtId="0" fontId="0" fillId="0" borderId="0" xfId="0" applyAlignment="1">
      <alignment wrapText="1"/>
    </xf>
    <xf numFmtId="0" fontId="33" fillId="0" borderId="11" xfId="0" applyFont="1" applyFill="1" applyBorder="1" applyAlignment="1">
      <alignment/>
    </xf>
    <xf numFmtId="0" fontId="1" fillId="0" borderId="55" xfId="0" applyFont="1" applyFill="1" applyBorder="1" applyAlignment="1">
      <alignment/>
    </xf>
    <xf numFmtId="0" fontId="1" fillId="0" borderId="56" xfId="0" applyFont="1" applyFill="1" applyBorder="1" applyAlignment="1">
      <alignment/>
    </xf>
    <xf numFmtId="0" fontId="1" fillId="0" borderId="18" xfId="0" applyFont="1" applyFill="1" applyBorder="1" applyAlignment="1">
      <alignment/>
    </xf>
    <xf numFmtId="0" fontId="1" fillId="0" borderId="39" xfId="0" applyFont="1" applyFill="1" applyBorder="1" applyAlignment="1">
      <alignment wrapText="1"/>
    </xf>
    <xf numFmtId="0" fontId="0" fillId="0" borderId="57" xfId="0" applyNumberFormat="1" applyFont="1" applyFill="1" applyBorder="1" applyAlignment="1">
      <alignment horizontal="left" wrapText="1"/>
    </xf>
    <xf numFmtId="0" fontId="1" fillId="0" borderId="58" xfId="0" applyFont="1" applyBorder="1" applyAlignment="1">
      <alignment/>
    </xf>
    <xf numFmtId="0" fontId="1" fillId="0" borderId="59" xfId="0" applyFont="1" applyFill="1" applyBorder="1" applyAlignment="1">
      <alignment wrapText="1"/>
    </xf>
    <xf numFmtId="0" fontId="0" fillId="0" borderId="37" xfId="0" applyNumberFormat="1" applyFont="1" applyFill="1" applyBorder="1" applyAlignment="1">
      <alignment horizontal="left" wrapText="1"/>
    </xf>
    <xf numFmtId="0" fontId="1" fillId="0" borderId="60" xfId="0" applyFont="1" applyBorder="1" applyAlignment="1">
      <alignment/>
    </xf>
    <xf numFmtId="166" fontId="33" fillId="0" borderId="11" xfId="0" applyNumberFormat="1" applyFont="1" applyFill="1" applyBorder="1" applyAlignment="1">
      <alignment/>
    </xf>
    <xf numFmtId="178" fontId="33" fillId="0" borderId="61" xfId="0" applyNumberFormat="1" applyFont="1" applyFill="1" applyBorder="1" applyAlignment="1">
      <alignment/>
    </xf>
    <xf numFmtId="0" fontId="33" fillId="0" borderId="61" xfId="0" applyFont="1" applyFill="1" applyBorder="1" applyAlignment="1">
      <alignment/>
    </xf>
    <xf numFmtId="166" fontId="33" fillId="0" borderId="61" xfId="0" applyNumberFormat="1" applyFont="1" applyFill="1" applyBorder="1" applyAlignment="1">
      <alignment/>
    </xf>
    <xf numFmtId="166" fontId="33" fillId="0" borderId="11" xfId="0" applyNumberFormat="1" applyFont="1" applyFill="1" applyBorder="1" applyAlignment="1">
      <alignment/>
    </xf>
    <xf numFmtId="0" fontId="33" fillId="0" borderId="0" xfId="0" applyFont="1" applyFill="1" applyAlignment="1">
      <alignment/>
    </xf>
    <xf numFmtId="165" fontId="33" fillId="0" borderId="41" xfId="0" applyNumberFormat="1" applyFont="1" applyFill="1" applyBorder="1" applyAlignment="1">
      <alignment/>
    </xf>
    <xf numFmtId="166" fontId="33" fillId="0" borderId="41" xfId="0" applyNumberFormat="1" applyFont="1" applyFill="1" applyBorder="1" applyAlignment="1">
      <alignment/>
    </xf>
    <xf numFmtId="166" fontId="33" fillId="0" borderId="61" xfId="0" applyNumberFormat="1" applyFont="1" applyFill="1" applyBorder="1" applyAlignment="1">
      <alignment horizontal="right"/>
    </xf>
    <xf numFmtId="0" fontId="33" fillId="0" borderId="22" xfId="0" applyFont="1" applyFill="1" applyBorder="1" applyAlignment="1">
      <alignment horizontal="center"/>
    </xf>
    <xf numFmtId="178" fontId="33" fillId="0" borderId="11" xfId="66" applyNumberFormat="1" applyFont="1" applyFill="1" applyBorder="1" applyAlignment="1">
      <alignment horizontal="right" wrapText="1"/>
    </xf>
    <xf numFmtId="178" fontId="33" fillId="0" borderId="11" xfId="66" applyNumberFormat="1" applyFont="1" applyFill="1" applyBorder="1" applyAlignment="1">
      <alignment horizontal="right"/>
    </xf>
    <xf numFmtId="165" fontId="33" fillId="0" borderId="11" xfId="0" applyNumberFormat="1" applyFont="1" applyFill="1" applyBorder="1" applyAlignment="1">
      <alignment/>
    </xf>
    <xf numFmtId="0" fontId="33" fillId="0" borderId="11" xfId="0" applyFont="1" applyFill="1" applyBorder="1" applyAlignment="1">
      <alignment horizontal="center"/>
    </xf>
    <xf numFmtId="170" fontId="33" fillId="0" borderId="18" xfId="66" applyNumberFormat="1" applyFont="1" applyFill="1" applyBorder="1" applyAlignment="1">
      <alignment horizontal="right"/>
    </xf>
    <xf numFmtId="166" fontId="33" fillId="0" borderId="18" xfId="66" applyNumberFormat="1" applyFont="1" applyFill="1" applyBorder="1" applyAlignment="1">
      <alignment horizontal="right"/>
    </xf>
    <xf numFmtId="166" fontId="33" fillId="0" borderId="11" xfId="66" applyNumberFormat="1" applyFont="1" applyFill="1" applyBorder="1" applyAlignment="1">
      <alignment horizontal="right"/>
    </xf>
    <xf numFmtId="0" fontId="35" fillId="0" borderId="0" xfId="0" applyFont="1" applyFill="1" applyAlignment="1">
      <alignment/>
    </xf>
    <xf numFmtId="0" fontId="34" fillId="0" borderId="0" xfId="0" applyFont="1" applyFill="1" applyAlignment="1">
      <alignment horizontal="left" indent="1"/>
    </xf>
    <xf numFmtId="0" fontId="34" fillId="0" borderId="0" xfId="0" applyFont="1" applyFill="1" applyAlignment="1">
      <alignment/>
    </xf>
    <xf numFmtId="0" fontId="33" fillId="0" borderId="11" xfId="0" applyFont="1" applyFill="1" applyBorder="1" applyAlignment="1">
      <alignment horizontal="center" wrapText="1"/>
    </xf>
    <xf numFmtId="0" fontId="34" fillId="0" borderId="11" xfId="0" applyFont="1" applyFill="1" applyBorder="1" applyAlignment="1">
      <alignment/>
    </xf>
    <xf numFmtId="178" fontId="34" fillId="0" borderId="11" xfId="0" applyNumberFormat="1" applyFont="1" applyFill="1" applyBorder="1" applyAlignment="1" quotePrefix="1">
      <alignment horizontal="center"/>
    </xf>
    <xf numFmtId="178" fontId="34" fillId="0" borderId="11" xfId="66" applyNumberFormat="1" applyFont="1" applyFill="1" applyBorder="1" applyAlignment="1">
      <alignment horizontal="right"/>
    </xf>
    <xf numFmtId="166" fontId="34" fillId="0" borderId="11" xfId="0" applyNumberFormat="1" applyFont="1" applyFill="1" applyBorder="1" applyAlignment="1">
      <alignment/>
    </xf>
    <xf numFmtId="166" fontId="34" fillId="0" borderId="11" xfId="66" applyNumberFormat="1" applyFont="1" applyFill="1" applyBorder="1" applyAlignment="1">
      <alignment horizontal="right"/>
    </xf>
    <xf numFmtId="166" fontId="34" fillId="0" borderId="11" xfId="66" applyNumberFormat="1" applyFont="1" applyFill="1" applyBorder="1" applyAlignment="1">
      <alignment horizontal="right" wrapText="1"/>
    </xf>
    <xf numFmtId="178" fontId="34" fillId="0" borderId="11" xfId="0" applyNumberFormat="1" applyFont="1" applyFill="1" applyBorder="1" applyAlignment="1">
      <alignment/>
    </xf>
    <xf numFmtId="178" fontId="33" fillId="0" borderId="61" xfId="0" applyNumberFormat="1" applyFont="1" applyFill="1" applyBorder="1" applyAlignment="1" quotePrefix="1">
      <alignment horizontal="center"/>
    </xf>
    <xf numFmtId="38" fontId="34" fillId="0" borderId="11" xfId="0" applyNumberFormat="1" applyFont="1" applyFill="1" applyBorder="1" applyAlignment="1">
      <alignment/>
    </xf>
    <xf numFmtId="166" fontId="34" fillId="0" borderId="11" xfId="0" applyNumberFormat="1" applyFont="1" applyFill="1" applyBorder="1" applyAlignment="1">
      <alignment/>
    </xf>
    <xf numFmtId="0" fontId="33" fillId="0" borderId="61" xfId="0" applyFont="1" applyFill="1" applyBorder="1" applyAlignment="1">
      <alignment horizontal="center"/>
    </xf>
    <xf numFmtId="166" fontId="33" fillId="0" borderId="11" xfId="0" applyNumberFormat="1" applyFont="1" applyFill="1" applyBorder="1" applyAlignment="1">
      <alignment horizontal="center" wrapText="1"/>
    </xf>
    <xf numFmtId="166" fontId="33" fillId="0" borderId="11" xfId="0" applyNumberFormat="1" applyFont="1" applyFill="1" applyBorder="1" applyAlignment="1">
      <alignment horizontal="center"/>
    </xf>
    <xf numFmtId="166" fontId="33" fillId="0" borderId="61" xfId="0" applyNumberFormat="1" applyFont="1" applyFill="1" applyBorder="1" applyAlignment="1">
      <alignment horizontal="center"/>
    </xf>
    <xf numFmtId="0" fontId="34" fillId="0" borderId="61" xfId="0" applyFont="1" applyFill="1" applyBorder="1" applyAlignment="1">
      <alignment/>
    </xf>
    <xf numFmtId="178" fontId="34" fillId="0" borderId="61" xfId="0" applyNumberFormat="1" applyFont="1" applyFill="1" applyBorder="1" applyAlignment="1">
      <alignment/>
    </xf>
    <xf numFmtId="178" fontId="34" fillId="0" borderId="61" xfId="66" applyNumberFormat="1" applyFont="1" applyFill="1" applyBorder="1" applyAlignment="1">
      <alignment horizontal="right"/>
    </xf>
    <xf numFmtId="166" fontId="34" fillId="0" borderId="61" xfId="0" applyNumberFormat="1" applyFont="1" applyFill="1" applyBorder="1" applyAlignment="1">
      <alignment/>
    </xf>
    <xf numFmtId="0" fontId="33" fillId="0" borderId="62" xfId="0" applyFont="1" applyFill="1" applyBorder="1" applyAlignment="1">
      <alignment/>
    </xf>
    <xf numFmtId="0" fontId="33" fillId="0" borderId="41" xfId="0" applyFont="1" applyFill="1" applyBorder="1" applyAlignment="1">
      <alignment/>
    </xf>
    <xf numFmtId="38" fontId="34" fillId="0" borderId="41" xfId="0" applyNumberFormat="1" applyFont="1" applyFill="1" applyBorder="1" applyAlignment="1">
      <alignment/>
    </xf>
    <xf numFmtId="166" fontId="34" fillId="0" borderId="41" xfId="0" applyNumberFormat="1" applyFont="1" applyFill="1" applyBorder="1" applyAlignment="1">
      <alignment/>
    </xf>
    <xf numFmtId="166" fontId="34" fillId="0" borderId="41" xfId="0" applyNumberFormat="1" applyFont="1" applyFill="1" applyBorder="1" applyAlignment="1">
      <alignment/>
    </xf>
    <xf numFmtId="166" fontId="33" fillId="0" borderId="41" xfId="0" applyNumberFormat="1" applyFont="1" applyFill="1" applyBorder="1" applyAlignment="1">
      <alignment/>
    </xf>
    <xf numFmtId="171" fontId="34" fillId="0" borderId="18" xfId="66" applyNumberFormat="1" applyFont="1" applyFill="1" applyBorder="1" applyAlignment="1">
      <alignment horizontal="right"/>
    </xf>
    <xf numFmtId="0" fontId="34" fillId="0" borderId="18" xfId="0" applyFont="1" applyFill="1" applyBorder="1" applyAlignment="1">
      <alignment/>
    </xf>
    <xf numFmtId="166" fontId="34" fillId="0" borderId="18" xfId="66" applyNumberFormat="1" applyFont="1" applyFill="1" applyBorder="1" applyAlignment="1">
      <alignment horizontal="right"/>
    </xf>
    <xf numFmtId="166" fontId="34" fillId="0" borderId="18" xfId="0" applyNumberFormat="1" applyFont="1" applyFill="1" applyBorder="1" applyAlignment="1">
      <alignment/>
    </xf>
    <xf numFmtId="166" fontId="34" fillId="0" borderId="20" xfId="0" applyNumberFormat="1" applyFont="1" applyFill="1" applyBorder="1" applyAlignment="1">
      <alignment/>
    </xf>
    <xf numFmtId="0" fontId="34" fillId="0" borderId="11" xfId="0" applyFont="1" applyFill="1" applyBorder="1" applyAlignment="1">
      <alignment wrapText="1" shrinkToFit="1"/>
    </xf>
    <xf numFmtId="171" fontId="34" fillId="0" borderId="11" xfId="66" applyNumberFormat="1" applyFont="1" applyFill="1" applyBorder="1" applyAlignment="1">
      <alignment horizontal="right"/>
    </xf>
    <xf numFmtId="170" fontId="33" fillId="0" borderId="11" xfId="66" applyNumberFormat="1" applyFont="1" applyFill="1" applyBorder="1" applyAlignment="1">
      <alignment horizontal="right"/>
    </xf>
    <xf numFmtId="178" fontId="33" fillId="0" borderId="11" xfId="0" applyNumberFormat="1" applyFont="1" applyFill="1" applyBorder="1" applyAlignment="1">
      <alignment/>
    </xf>
    <xf numFmtId="178" fontId="33" fillId="0" borderId="61" xfId="0" applyNumberFormat="1" applyFont="1" applyFill="1" applyBorder="1" applyAlignment="1">
      <alignment horizontal="right"/>
    </xf>
    <xf numFmtId="0" fontId="33" fillId="0" borderId="0" xfId="0" applyFont="1" applyFill="1" applyBorder="1" applyAlignment="1">
      <alignment/>
    </xf>
    <xf numFmtId="38" fontId="34" fillId="0" borderId="0" xfId="0" applyNumberFormat="1" applyFont="1" applyFill="1" applyBorder="1" applyAlignment="1">
      <alignment/>
    </xf>
    <xf numFmtId="165" fontId="34" fillId="0" borderId="0" xfId="0" applyNumberFormat="1" applyFont="1" applyFill="1" applyBorder="1" applyAlignment="1">
      <alignment/>
    </xf>
    <xf numFmtId="0" fontId="34" fillId="0" borderId="22" xfId="0" applyFont="1" applyFill="1" applyBorder="1" applyAlignment="1">
      <alignment/>
    </xf>
    <xf numFmtId="166" fontId="34" fillId="0" borderId="11" xfId="0" applyNumberFormat="1" applyFont="1" applyFill="1" applyBorder="1" applyAlignment="1" quotePrefix="1">
      <alignment horizontal="center"/>
    </xf>
    <xf numFmtId="178" fontId="33" fillId="0" borderId="0" xfId="0" applyNumberFormat="1" applyFont="1" applyFill="1" applyBorder="1" applyAlignment="1">
      <alignment horizontal="right"/>
    </xf>
    <xf numFmtId="178" fontId="33" fillId="0" borderId="0" xfId="0" applyNumberFormat="1" applyFont="1" applyFill="1" applyBorder="1" applyAlignment="1">
      <alignment horizontal="center"/>
    </xf>
    <xf numFmtId="0" fontId="35" fillId="0" borderId="0" xfId="0" applyFont="1" applyFill="1" applyBorder="1" applyAlignment="1">
      <alignment/>
    </xf>
    <xf numFmtId="38" fontId="36" fillId="0" borderId="0" xfId="0" applyNumberFormat="1" applyFont="1" applyFill="1" applyBorder="1" applyAlignment="1">
      <alignment/>
    </xf>
    <xf numFmtId="165" fontId="36" fillId="0" borderId="0" xfId="0" applyNumberFormat="1" applyFont="1" applyFill="1" applyBorder="1" applyAlignment="1">
      <alignment/>
    </xf>
    <xf numFmtId="0" fontId="36" fillId="0" borderId="0" xfId="0" applyFont="1" applyFill="1" applyAlignment="1">
      <alignment/>
    </xf>
    <xf numFmtId="167" fontId="0" fillId="0" borderId="50" xfId="87" applyNumberFormat="1" applyFill="1" applyBorder="1" applyAlignment="1">
      <alignment vertical="center"/>
    </xf>
    <xf numFmtId="166" fontId="34" fillId="0" borderId="11" xfId="0" applyNumberFormat="1" applyFont="1" applyFill="1" applyBorder="1" applyAlignment="1">
      <alignment/>
    </xf>
    <xf numFmtId="166" fontId="34" fillId="0" borderId="11" xfId="66" applyNumberFormat="1" applyFont="1" applyBorder="1" applyAlignment="1">
      <alignment horizontal="right"/>
    </xf>
    <xf numFmtId="166" fontId="34" fillId="0" borderId="11" xfId="66" applyNumberFormat="1" applyFont="1" applyBorder="1" applyAlignment="1">
      <alignment horizontal="right" wrapText="1"/>
    </xf>
    <xf numFmtId="178" fontId="33" fillId="0" borderId="11" xfId="0" applyNumberFormat="1" applyFont="1" applyFill="1" applyBorder="1" applyAlignment="1">
      <alignment horizontal="right"/>
    </xf>
    <xf numFmtId="0" fontId="0" fillId="0" borderId="11" xfId="0" applyFill="1" applyBorder="1" applyAlignment="1">
      <alignment horizontal="center"/>
    </xf>
    <xf numFmtId="42" fontId="0" fillId="0" borderId="63" xfId="0" applyNumberFormat="1" applyFont="1" applyBorder="1" applyAlignment="1">
      <alignment vertical="top"/>
    </xf>
    <xf numFmtId="0" fontId="0" fillId="0" borderId="63" xfId="0" applyFont="1" applyBorder="1" applyAlignment="1">
      <alignment vertical="top" wrapText="1"/>
    </xf>
    <xf numFmtId="14" fontId="0" fillId="0" borderId="63" xfId="0" applyNumberFormat="1" applyFont="1" applyBorder="1" applyAlignment="1">
      <alignment horizontal="center" vertical="top"/>
    </xf>
    <xf numFmtId="0" fontId="4" fillId="0" borderId="0" xfId="84" applyFont="1">
      <alignment/>
      <protection/>
    </xf>
    <xf numFmtId="167" fontId="0" fillId="0" borderId="50" xfId="0" applyNumberFormat="1" applyFill="1" applyBorder="1" applyAlignment="1">
      <alignment horizontal="right" vertical="center"/>
    </xf>
    <xf numFmtId="6" fontId="0" fillId="0" borderId="50" xfId="0" applyNumberFormat="1" applyFill="1" applyBorder="1" applyAlignment="1">
      <alignment vertical="center"/>
    </xf>
    <xf numFmtId="167" fontId="0" fillId="0" borderId="50" xfId="0" applyNumberFormat="1" applyFill="1" applyBorder="1" applyAlignment="1">
      <alignment vertical="center"/>
    </xf>
    <xf numFmtId="6" fontId="0" fillId="0" borderId="19" xfId="0" applyNumberFormat="1" applyFill="1" applyBorder="1" applyAlignment="1">
      <alignment horizontal="right" vertical="center"/>
    </xf>
    <xf numFmtId="167" fontId="0" fillId="0" borderId="19" xfId="0" applyNumberFormat="1" applyFill="1" applyBorder="1" applyAlignment="1">
      <alignment vertical="center"/>
    </xf>
    <xf numFmtId="0" fontId="0" fillId="0" borderId="0" xfId="0" applyAlignment="1">
      <alignment horizontal="center"/>
    </xf>
    <xf numFmtId="0" fontId="0" fillId="0" borderId="0" xfId="0" applyAlignment="1">
      <alignment horizontal="center" wrapText="1"/>
    </xf>
    <xf numFmtId="173" fontId="0" fillId="0" borderId="11" xfId="0" applyNumberFormat="1" applyBorder="1" applyAlignment="1">
      <alignment horizontal="center"/>
    </xf>
    <xf numFmtId="3" fontId="0" fillId="0" borderId="11" xfId="0" applyNumberFormat="1" applyFill="1" applyBorder="1" applyAlignment="1">
      <alignment horizontal="center"/>
    </xf>
    <xf numFmtId="0" fontId="0" fillId="0" borderId="11" xfId="0" applyNumberFormat="1" applyFill="1" applyBorder="1" applyAlignment="1">
      <alignment horizontal="center"/>
    </xf>
    <xf numFmtId="0" fontId="0" fillId="0" borderId="11" xfId="0" applyFont="1" applyFill="1" applyBorder="1" applyAlignment="1">
      <alignment horizontal="center"/>
    </xf>
    <xf numFmtId="167" fontId="0" fillId="0" borderId="19" xfId="87" applyNumberFormat="1" applyFont="1" applyFill="1" applyBorder="1" applyAlignment="1">
      <alignment/>
    </xf>
    <xf numFmtId="167" fontId="0" fillId="0" borderId="11" xfId="87" applyNumberFormat="1" applyFill="1" applyBorder="1" applyAlignment="1">
      <alignment/>
    </xf>
    <xf numFmtId="166" fontId="34" fillId="0" borderId="11" xfId="0" applyNumberFormat="1" applyFont="1" applyFill="1" applyBorder="1" applyAlignment="1" quotePrefix="1">
      <alignment horizontal="right"/>
    </xf>
    <xf numFmtId="0" fontId="4" fillId="0" borderId="50" xfId="84" applyBorder="1">
      <alignment/>
      <protection/>
    </xf>
    <xf numFmtId="0" fontId="1" fillId="0" borderId="20" xfId="0" applyFont="1" applyBorder="1" applyAlignment="1">
      <alignment horizontal="center"/>
    </xf>
    <xf numFmtId="0" fontId="1" fillId="0" borderId="20" xfId="0" applyFont="1" applyFill="1" applyBorder="1" applyAlignment="1">
      <alignment horizontal="center"/>
    </xf>
    <xf numFmtId="173" fontId="0" fillId="0" borderId="11" xfId="0" applyNumberFormat="1" applyFont="1" applyFill="1" applyBorder="1" applyAlignment="1">
      <alignment horizontal="center"/>
    </xf>
    <xf numFmtId="3" fontId="0" fillId="0" borderId="11" xfId="0" applyNumberFormat="1" applyFont="1" applyFill="1" applyBorder="1" applyAlignment="1" quotePrefix="1">
      <alignment horizontal="center"/>
    </xf>
    <xf numFmtId="20" fontId="0" fillId="0" borderId="11" xfId="0" applyNumberFormat="1" applyFont="1" applyFill="1" applyBorder="1" applyAlignment="1">
      <alignment horizontal="center"/>
    </xf>
    <xf numFmtId="16" fontId="0" fillId="0" borderId="11" xfId="0" applyNumberFormat="1" applyFont="1" applyFill="1" applyBorder="1" applyAlignment="1">
      <alignment horizontal="center"/>
    </xf>
    <xf numFmtId="3" fontId="0" fillId="0" borderId="11" xfId="0" applyNumberFormat="1" applyFont="1" applyFill="1" applyBorder="1" applyAlignment="1">
      <alignment horizontal="center"/>
    </xf>
    <xf numFmtId="0" fontId="0" fillId="0" borderId="11" xfId="0" applyNumberFormat="1" applyFont="1" applyFill="1" applyBorder="1" applyAlignment="1">
      <alignment horizontal="center"/>
    </xf>
    <xf numFmtId="173" fontId="0" fillId="0" borderId="11" xfId="0" applyNumberFormat="1" applyFont="1" applyBorder="1" applyAlignment="1">
      <alignment horizontal="center"/>
    </xf>
    <xf numFmtId="0" fontId="0" fillId="0" borderId="11" xfId="0" applyFont="1" applyBorder="1" applyAlignment="1">
      <alignment horizontal="center"/>
    </xf>
    <xf numFmtId="0" fontId="0" fillId="0" borderId="11" xfId="0" applyFont="1" applyBorder="1" applyAlignment="1" quotePrefix="1">
      <alignment horizontal="center"/>
    </xf>
    <xf numFmtId="0" fontId="37" fillId="0" borderId="0" xfId="0" applyFont="1" applyAlignment="1">
      <alignment/>
    </xf>
    <xf numFmtId="0" fontId="1" fillId="0" borderId="0" xfId="0" applyFont="1" applyAlignment="1">
      <alignment/>
    </xf>
    <xf numFmtId="0" fontId="1" fillId="0" borderId="64" xfId="0" applyFont="1" applyBorder="1" applyAlignment="1">
      <alignment/>
    </xf>
    <xf numFmtId="0" fontId="1" fillId="0" borderId="61" xfId="0" applyFont="1" applyBorder="1" applyAlignment="1">
      <alignment horizontal="center" wrapText="1"/>
    </xf>
    <xf numFmtId="3" fontId="0" fillId="0" borderId="0" xfId="0" applyNumberFormat="1" applyFill="1" applyBorder="1" applyAlignment="1">
      <alignment/>
    </xf>
    <xf numFmtId="178" fontId="0" fillId="0" borderId="0" xfId="0" applyNumberFormat="1" applyAlignment="1">
      <alignment horizontal="center"/>
    </xf>
    <xf numFmtId="3" fontId="0" fillId="0" borderId="64" xfId="0" applyNumberFormat="1" applyBorder="1" applyAlignment="1">
      <alignment/>
    </xf>
    <xf numFmtId="166" fontId="0" fillId="0" borderId="0" xfId="0" applyNumberFormat="1" applyBorder="1" applyAlignment="1">
      <alignment horizontal="center"/>
    </xf>
    <xf numFmtId="165" fontId="0" fillId="0" borderId="45" xfId="0" applyNumberFormat="1" applyBorder="1" applyAlignment="1">
      <alignment horizontal="center"/>
    </xf>
    <xf numFmtId="166" fontId="0" fillId="0" borderId="0" xfId="0" applyNumberFormat="1" applyBorder="1" applyAlignment="1">
      <alignment/>
    </xf>
    <xf numFmtId="38" fontId="0" fillId="0" borderId="45" xfId="0" applyNumberFormat="1" applyBorder="1" applyAlignment="1">
      <alignment/>
    </xf>
    <xf numFmtId="38" fontId="0" fillId="0" borderId="45" xfId="0" applyNumberFormat="1" applyBorder="1" applyAlignment="1">
      <alignment horizontal="right"/>
    </xf>
    <xf numFmtId="3" fontId="0" fillId="0" borderId="29" xfId="0" applyNumberFormat="1" applyFill="1" applyBorder="1" applyAlignment="1">
      <alignment/>
    </xf>
    <xf numFmtId="166" fontId="0" fillId="0" borderId="29" xfId="0" applyNumberFormat="1" applyFill="1" applyBorder="1" applyAlignment="1">
      <alignment/>
    </xf>
    <xf numFmtId="165" fontId="0" fillId="0" borderId="29" xfId="0" applyNumberFormat="1" applyFill="1" applyBorder="1" applyAlignment="1">
      <alignment horizontal="center"/>
    </xf>
    <xf numFmtId="3" fontId="0" fillId="0" borderId="65" xfId="0" applyNumberFormat="1" applyFill="1" applyBorder="1" applyAlignment="1">
      <alignment/>
    </xf>
    <xf numFmtId="165" fontId="0" fillId="0" borderId="29" xfId="0" applyNumberFormat="1" applyBorder="1" applyAlignment="1">
      <alignment/>
    </xf>
    <xf numFmtId="178" fontId="0" fillId="0" borderId="66" xfId="0" applyNumberFormat="1" applyBorder="1" applyAlignment="1">
      <alignment horizontal="center"/>
    </xf>
    <xf numFmtId="165" fontId="0" fillId="0" borderId="66" xfId="0" applyNumberFormat="1" applyFill="1" applyBorder="1" applyAlignment="1">
      <alignment horizontal="center"/>
    </xf>
    <xf numFmtId="38" fontId="0" fillId="0" borderId="66" xfId="0" applyNumberFormat="1" applyFill="1" applyBorder="1" applyAlignment="1">
      <alignment/>
    </xf>
    <xf numFmtId="3" fontId="1" fillId="0" borderId="18" xfId="0" applyNumberFormat="1" applyFont="1" applyBorder="1" applyAlignment="1">
      <alignment horizontal="center" wrapText="1"/>
    </xf>
    <xf numFmtId="3" fontId="1" fillId="0" borderId="61" xfId="0" applyNumberFormat="1" applyFont="1" applyBorder="1" applyAlignment="1">
      <alignment horizontal="center" wrapText="1"/>
    </xf>
    <xf numFmtId="0" fontId="1" fillId="0" borderId="67" xfId="0" applyFont="1" applyBorder="1" applyAlignment="1">
      <alignment horizontal="center"/>
    </xf>
    <xf numFmtId="3" fontId="1" fillId="0" borderId="21" xfId="0" applyNumberFormat="1" applyFont="1" applyBorder="1" applyAlignment="1">
      <alignment horizontal="center" wrapText="1"/>
    </xf>
    <xf numFmtId="38" fontId="1" fillId="0" borderId="20" xfId="0" applyNumberFormat="1" applyFont="1" applyFill="1" applyBorder="1" applyAlignment="1">
      <alignment horizontal="center"/>
    </xf>
    <xf numFmtId="3" fontId="0" fillId="0" borderId="0" xfId="0" applyNumberFormat="1" applyFont="1" applyFill="1" applyBorder="1" applyAlignment="1">
      <alignment/>
    </xf>
    <xf numFmtId="166" fontId="0" fillId="0" borderId="0" xfId="0" applyNumberFormat="1" applyFont="1" applyFill="1" applyBorder="1" applyAlignment="1">
      <alignment/>
    </xf>
    <xf numFmtId="165" fontId="0" fillId="0" borderId="0" xfId="0" applyNumberFormat="1" applyBorder="1" applyAlignment="1">
      <alignment horizontal="center"/>
    </xf>
    <xf numFmtId="3" fontId="0" fillId="0" borderId="64" xfId="0" applyNumberFormat="1" applyFont="1" applyBorder="1" applyAlignment="1">
      <alignment/>
    </xf>
    <xf numFmtId="166" fontId="0" fillId="0" borderId="0" xfId="0" applyNumberFormat="1" applyFont="1" applyBorder="1" applyAlignment="1">
      <alignment horizontal="center"/>
    </xf>
    <xf numFmtId="166" fontId="0" fillId="0" borderId="0" xfId="0" applyNumberFormat="1" applyFont="1" applyBorder="1" applyAlignment="1">
      <alignment/>
    </xf>
    <xf numFmtId="165" fontId="0" fillId="0" borderId="38" xfId="0" applyNumberFormat="1" applyBorder="1" applyAlignment="1">
      <alignment horizontal="center"/>
    </xf>
    <xf numFmtId="38" fontId="0" fillId="0" borderId="40" xfId="0" applyNumberFormat="1" applyBorder="1" applyAlignment="1">
      <alignment/>
    </xf>
    <xf numFmtId="3" fontId="0" fillId="0" borderId="64" xfId="0" applyNumberFormat="1" applyFont="1" applyFill="1" applyBorder="1" applyAlignment="1">
      <alignment/>
    </xf>
    <xf numFmtId="178" fontId="0" fillId="0" borderId="0" xfId="0" applyNumberFormat="1" applyFill="1" applyAlignment="1">
      <alignment horizontal="center"/>
    </xf>
    <xf numFmtId="38" fontId="0" fillId="0" borderId="45" xfId="0" applyNumberFormat="1" applyFill="1" applyBorder="1" applyAlignment="1">
      <alignment/>
    </xf>
    <xf numFmtId="166" fontId="0" fillId="0" borderId="0" xfId="0" applyNumberFormat="1" applyFont="1" applyFill="1" applyBorder="1" applyAlignment="1">
      <alignment horizontal="right"/>
    </xf>
    <xf numFmtId="3" fontId="0" fillId="0" borderId="64" xfId="0" applyNumberFormat="1" applyFill="1" applyBorder="1" applyAlignment="1">
      <alignment/>
    </xf>
    <xf numFmtId="165" fontId="0" fillId="0" borderId="21" xfId="0" applyNumberFormat="1" applyBorder="1" applyAlignment="1">
      <alignment/>
    </xf>
    <xf numFmtId="165" fontId="0" fillId="0" borderId="45" xfId="0" applyNumberFormat="1" applyFill="1" applyBorder="1" applyAlignment="1">
      <alignment horizontal="center"/>
    </xf>
    <xf numFmtId="166" fontId="0" fillId="0" borderId="29" xfId="0" applyNumberFormat="1" applyFill="1" applyBorder="1" applyAlignment="1">
      <alignment horizontal="right"/>
    </xf>
    <xf numFmtId="165" fontId="0" fillId="0" borderId="29" xfId="0" applyNumberFormat="1" applyBorder="1" applyAlignment="1">
      <alignment horizontal="center"/>
    </xf>
    <xf numFmtId="166" fontId="0" fillId="0" borderId="29" xfId="0" applyNumberFormat="1" applyFill="1" applyBorder="1" applyAlignment="1">
      <alignment horizontal="center"/>
    </xf>
    <xf numFmtId="38" fontId="0" fillId="0" borderId="62" xfId="0" applyNumberFormat="1" applyFill="1" applyBorder="1" applyAlignment="1">
      <alignment/>
    </xf>
    <xf numFmtId="3" fontId="0" fillId="0" borderId="68" xfId="0" applyNumberFormat="1" applyFill="1" applyBorder="1" applyAlignment="1">
      <alignment/>
    </xf>
    <xf numFmtId="166" fontId="0" fillId="0" borderId="68" xfId="0" applyNumberFormat="1" applyFill="1" applyBorder="1" applyAlignment="1">
      <alignment/>
    </xf>
    <xf numFmtId="165" fontId="0" fillId="0" borderId="69" xfId="0" applyNumberFormat="1" applyFill="1" applyBorder="1" applyAlignment="1">
      <alignment horizontal="center"/>
    </xf>
    <xf numFmtId="3" fontId="0" fillId="0" borderId="70" xfId="0" applyNumberFormat="1" applyBorder="1" applyAlignment="1">
      <alignment/>
    </xf>
    <xf numFmtId="165" fontId="0" fillId="0" borderId="69" xfId="0" applyNumberFormat="1" applyBorder="1" applyAlignment="1">
      <alignment/>
    </xf>
    <xf numFmtId="178" fontId="0" fillId="0" borderId="71" xfId="0" applyNumberFormat="1" applyBorder="1" applyAlignment="1">
      <alignment horizontal="center"/>
    </xf>
    <xf numFmtId="166" fontId="0" fillId="0" borderId="68" xfId="0" applyNumberFormat="1" applyBorder="1" applyAlignment="1">
      <alignment horizontal="center"/>
    </xf>
    <xf numFmtId="166" fontId="0" fillId="0" borderId="68" xfId="0" applyNumberFormat="1" applyBorder="1" applyAlignment="1">
      <alignment/>
    </xf>
    <xf numFmtId="38" fontId="0" fillId="0" borderId="64" xfId="0" applyNumberFormat="1" applyFill="1" applyBorder="1" applyAlignment="1">
      <alignment/>
    </xf>
    <xf numFmtId="0" fontId="0" fillId="0" borderId="59" xfId="0" applyBorder="1" applyAlignment="1">
      <alignment/>
    </xf>
    <xf numFmtId="38" fontId="0" fillId="0" borderId="0" xfId="0" applyNumberFormat="1" applyAlignment="1">
      <alignment/>
    </xf>
    <xf numFmtId="38" fontId="1" fillId="0" borderId="0" xfId="0" applyNumberFormat="1" applyFont="1" applyBorder="1" applyAlignment="1">
      <alignment/>
    </xf>
    <xf numFmtId="0" fontId="1" fillId="0" borderId="0" xfId="0" applyFont="1" applyBorder="1" applyAlignment="1">
      <alignment/>
    </xf>
    <xf numFmtId="38" fontId="1" fillId="0" borderId="20" xfId="0" applyNumberFormat="1" applyFont="1" applyBorder="1" applyAlignment="1">
      <alignment horizontal="center" wrapText="1"/>
    </xf>
    <xf numFmtId="38" fontId="1" fillId="0" borderId="20" xfId="0" applyNumberFormat="1" applyFont="1" applyBorder="1" applyAlignment="1">
      <alignment horizontal="center"/>
    </xf>
    <xf numFmtId="165" fontId="0" fillId="0" borderId="41" xfId="0" applyNumberFormat="1" applyBorder="1" applyAlignment="1">
      <alignment/>
    </xf>
    <xf numFmtId="166" fontId="0" fillId="0" borderId="0" xfId="0" applyNumberFormat="1" applyFill="1" applyBorder="1" applyAlignment="1">
      <alignment horizontal="center"/>
    </xf>
    <xf numFmtId="166" fontId="0" fillId="0" borderId="0" xfId="0" applyNumberFormat="1" applyBorder="1" applyAlignment="1">
      <alignment horizontal="right"/>
    </xf>
    <xf numFmtId="3" fontId="0" fillId="0" borderId="72" xfId="0" applyNumberFormat="1" applyBorder="1" applyAlignment="1">
      <alignment/>
    </xf>
    <xf numFmtId="165" fontId="0" fillId="0" borderId="22" xfId="0" applyNumberFormat="1" applyBorder="1" applyAlignment="1">
      <alignment horizontal="center"/>
    </xf>
    <xf numFmtId="166" fontId="1" fillId="0" borderId="18" xfId="0" applyNumberFormat="1" applyFont="1" applyBorder="1" applyAlignment="1">
      <alignment horizontal="center" wrapText="1"/>
    </xf>
    <xf numFmtId="3" fontId="1" fillId="0" borderId="61" xfId="0" applyNumberFormat="1" applyFont="1" applyFill="1" applyBorder="1" applyAlignment="1">
      <alignment horizontal="center" wrapText="1"/>
    </xf>
    <xf numFmtId="166" fontId="1" fillId="0" borderId="20" xfId="0" applyNumberFormat="1" applyFont="1" applyFill="1" applyBorder="1" applyAlignment="1">
      <alignment horizontal="center"/>
    </xf>
    <xf numFmtId="3" fontId="0" fillId="0" borderId="62" xfId="0" applyNumberFormat="1" applyFont="1" applyBorder="1" applyAlignment="1">
      <alignment/>
    </xf>
    <xf numFmtId="3" fontId="0" fillId="0" borderId="65" xfId="0" applyNumberFormat="1" applyFont="1" applyBorder="1" applyAlignment="1">
      <alignment/>
    </xf>
    <xf numFmtId="166" fontId="0" fillId="0" borderId="29" xfId="0" applyNumberFormat="1" applyFont="1" applyBorder="1" applyAlignment="1">
      <alignment horizontal="center"/>
    </xf>
    <xf numFmtId="166" fontId="0" fillId="0" borderId="29" xfId="0" applyNumberFormat="1" applyFont="1" applyBorder="1" applyAlignment="1">
      <alignment/>
    </xf>
    <xf numFmtId="165" fontId="0" fillId="0" borderId="73" xfId="0" applyNumberFormat="1" applyBorder="1" applyAlignment="1">
      <alignment horizontal="center"/>
    </xf>
    <xf numFmtId="3" fontId="0" fillId="0" borderId="70" xfId="0" applyNumberFormat="1" applyFill="1" applyBorder="1" applyAlignment="1">
      <alignment/>
    </xf>
    <xf numFmtId="3" fontId="0" fillId="0" borderId="0" xfId="0" applyNumberFormat="1" applyBorder="1" applyAlignment="1">
      <alignment/>
    </xf>
    <xf numFmtId="0" fontId="1" fillId="0" borderId="0" xfId="0" applyFont="1" applyAlignment="1" applyProtection="1">
      <alignment wrapText="1"/>
      <protection/>
    </xf>
    <xf numFmtId="0" fontId="1" fillId="0" borderId="0" xfId="0" applyFont="1" applyAlignment="1" applyProtection="1">
      <alignment/>
      <protection/>
    </xf>
    <xf numFmtId="0" fontId="0" fillId="0" borderId="0" xfId="0" applyFont="1" applyAlignment="1">
      <alignment/>
    </xf>
    <xf numFmtId="0" fontId="0" fillId="0" borderId="0" xfId="0" applyNumberFormat="1" applyFont="1" applyAlignment="1">
      <alignment/>
    </xf>
    <xf numFmtId="0" fontId="38" fillId="0" borderId="0" xfId="0" applyFont="1" applyAlignment="1">
      <alignment wrapText="1"/>
    </xf>
    <xf numFmtId="0" fontId="0" fillId="0" borderId="0" xfId="0" applyFont="1" applyAlignment="1">
      <alignment horizontal="left" indent="1"/>
    </xf>
    <xf numFmtId="0" fontId="38" fillId="0" borderId="0" xfId="0" applyFont="1" applyAlignment="1">
      <alignment/>
    </xf>
    <xf numFmtId="0" fontId="1" fillId="0" borderId="50" xfId="0" applyFont="1" applyBorder="1" applyAlignment="1">
      <alignment/>
    </xf>
    <xf numFmtId="0" fontId="1" fillId="0" borderId="50" xfId="0" applyFont="1" applyBorder="1" applyAlignment="1">
      <alignment horizontal="center"/>
    </xf>
    <xf numFmtId="166" fontId="0" fillId="0" borderId="11" xfId="0" applyNumberFormat="1" applyFill="1" applyBorder="1" applyAlignment="1">
      <alignment horizontal="right"/>
    </xf>
    <xf numFmtId="3" fontId="0" fillId="0" borderId="11" xfId="0" applyNumberFormat="1" applyBorder="1" applyAlignment="1">
      <alignment wrapText="1"/>
    </xf>
    <xf numFmtId="3" fontId="0" fillId="0" borderId="11" xfId="0" applyNumberFormat="1" applyBorder="1" applyAlignment="1">
      <alignment/>
    </xf>
    <xf numFmtId="0" fontId="0" fillId="0" borderId="11" xfId="0" applyBorder="1" applyAlignment="1">
      <alignment horizontal="right"/>
    </xf>
    <xf numFmtId="0" fontId="0" fillId="0" borderId="11" xfId="0" applyBorder="1" applyAlignment="1">
      <alignment wrapText="1"/>
    </xf>
    <xf numFmtId="3" fontId="0" fillId="0" borderId="11" xfId="0" applyNumberFormat="1" applyFill="1" applyBorder="1" applyAlignment="1">
      <alignment/>
    </xf>
    <xf numFmtId="166" fontId="0" fillId="0" borderId="11" xfId="0" applyNumberFormat="1" applyBorder="1" applyAlignment="1">
      <alignment/>
    </xf>
    <xf numFmtId="0" fontId="0" fillId="0" borderId="0" xfId="0" applyNumberFormat="1" applyAlignment="1">
      <alignment horizontal="left" wrapText="1"/>
    </xf>
    <xf numFmtId="166" fontId="0" fillId="0" borderId="11" xfId="0" applyNumberForma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0" fontId="25" fillId="0" borderId="50" xfId="84" applyFont="1" applyBorder="1">
      <alignment/>
      <protection/>
    </xf>
    <xf numFmtId="42" fontId="25" fillId="0" borderId="50" xfId="84" applyNumberFormat="1" applyFont="1" applyBorder="1">
      <alignment/>
      <protection/>
    </xf>
    <xf numFmtId="38" fontId="0" fillId="0" borderId="11" xfId="0" applyNumberFormat="1" applyFont="1" applyFill="1" applyBorder="1" applyAlignment="1">
      <alignment horizontal="center"/>
    </xf>
    <xf numFmtId="3" fontId="0" fillId="0" borderId="62" xfId="0" applyNumberFormat="1" applyBorder="1" applyAlignment="1">
      <alignment/>
    </xf>
    <xf numFmtId="166" fontId="33" fillId="0" borderId="11" xfId="0" applyNumberFormat="1" applyFont="1" applyFill="1" applyBorder="1" applyAlignment="1">
      <alignment/>
    </xf>
    <xf numFmtId="6" fontId="0" fillId="0" borderId="34" xfId="0" applyNumberFormat="1" applyFill="1" applyBorder="1" applyAlignment="1">
      <alignment/>
    </xf>
    <xf numFmtId="6" fontId="0" fillId="0" borderId="64" xfId="0" applyNumberFormat="1" applyFill="1" applyBorder="1" applyAlignment="1">
      <alignment/>
    </xf>
    <xf numFmtId="173" fontId="0" fillId="0" borderId="11" xfId="0" applyNumberFormat="1" applyFill="1" applyBorder="1" applyAlignment="1">
      <alignment horizontal="center"/>
    </xf>
    <xf numFmtId="16" fontId="0" fillId="0" borderId="11" xfId="0" applyNumberFormat="1" applyFill="1" applyBorder="1" applyAlignment="1">
      <alignment horizontal="center"/>
    </xf>
    <xf numFmtId="0" fontId="1" fillId="0" borderId="62" xfId="0" applyFont="1" applyBorder="1" applyAlignment="1">
      <alignment horizontal="center" wrapText="1"/>
    </xf>
    <xf numFmtId="42" fontId="0" fillId="0" borderId="11" xfId="0" applyNumberFormat="1" applyFont="1" applyBorder="1" applyAlignment="1">
      <alignment vertical="top"/>
    </xf>
    <xf numFmtId="0" fontId="0" fillId="0" borderId="11" xfId="0" applyFont="1" applyBorder="1" applyAlignment="1">
      <alignment vertical="top" wrapText="1"/>
    </xf>
    <xf numFmtId="14" fontId="0" fillId="0" borderId="11" xfId="0" applyNumberFormat="1" applyFont="1" applyBorder="1" applyAlignment="1">
      <alignment horizontal="center" vertical="top"/>
    </xf>
    <xf numFmtId="166" fontId="34" fillId="0" borderId="11" xfId="66" applyNumberFormat="1" applyFont="1" applyFill="1" applyBorder="1" applyAlignment="1">
      <alignment/>
    </xf>
    <xf numFmtId="166" fontId="34" fillId="0" borderId="11" xfId="66" applyNumberFormat="1" applyFont="1" applyFill="1" applyBorder="1" applyAlignment="1">
      <alignment wrapText="1"/>
    </xf>
    <xf numFmtId="166" fontId="33" fillId="0" borderId="11" xfId="0" applyNumberFormat="1" applyFont="1" applyFill="1" applyBorder="1" applyAlignment="1">
      <alignment horizontal="right"/>
    </xf>
    <xf numFmtId="0" fontId="0" fillId="0" borderId="0" xfId="0" applyAlignment="1">
      <alignment/>
    </xf>
    <xf numFmtId="0" fontId="1" fillId="0" borderId="0" xfId="0" applyFont="1" applyAlignment="1">
      <alignment horizontal="left" wrapText="1" indent="1"/>
    </xf>
    <xf numFmtId="0" fontId="1" fillId="0" borderId="0" xfId="0" applyFont="1" applyAlignment="1">
      <alignment wrapText="1"/>
    </xf>
    <xf numFmtId="0" fontId="25" fillId="0" borderId="32" xfId="84" applyFont="1" applyBorder="1" applyAlignment="1">
      <alignment horizontal="center"/>
      <protection/>
    </xf>
    <xf numFmtId="0" fontId="25" fillId="0" borderId="74" xfId="84" applyFont="1" applyBorder="1" applyAlignment="1">
      <alignment horizontal="center"/>
      <protection/>
    </xf>
    <xf numFmtId="0" fontId="25" fillId="0" borderId="75" xfId="84" applyFont="1" applyBorder="1" applyAlignment="1">
      <alignment horizontal="center"/>
      <protection/>
    </xf>
    <xf numFmtId="0" fontId="0" fillId="0" borderId="25" xfId="0" applyFont="1" applyBorder="1" applyAlignment="1">
      <alignment horizontal="center" vertical="top"/>
    </xf>
    <xf numFmtId="0" fontId="0" fillId="0" borderId="76" xfId="0" applyFont="1" applyBorder="1" applyAlignment="1">
      <alignment vertical="top" wrapText="1"/>
    </xf>
    <xf numFmtId="0" fontId="0" fillId="0" borderId="17" xfId="0" applyFont="1" applyBorder="1" applyAlignment="1">
      <alignment horizontal="center" vertical="top"/>
    </xf>
    <xf numFmtId="0" fontId="0" fillId="0" borderId="77" xfId="0" applyFont="1" applyBorder="1" applyAlignment="1">
      <alignment vertical="top" wrapText="1"/>
    </xf>
    <xf numFmtId="0" fontId="40" fillId="0" borderId="28" xfId="0" applyFont="1" applyBorder="1" applyAlignment="1">
      <alignment horizontal="center" vertical="top"/>
    </xf>
    <xf numFmtId="42" fontId="40" fillId="0" borderId="78" xfId="0" applyNumberFormat="1" applyFont="1" applyBorder="1" applyAlignment="1">
      <alignment vertical="top"/>
    </xf>
    <xf numFmtId="0" fontId="40" fillId="0" borderId="78" xfId="0" applyFont="1" applyBorder="1" applyAlignment="1">
      <alignment vertical="top" wrapText="1"/>
    </xf>
    <xf numFmtId="14" fontId="40" fillId="0" borderId="78" xfId="0" applyNumberFormat="1" applyFont="1" applyBorder="1" applyAlignment="1">
      <alignment horizontal="center" vertical="top"/>
    </xf>
    <xf numFmtId="0" fontId="40" fillId="0" borderId="79" xfId="0" applyFont="1" applyBorder="1" applyAlignment="1">
      <alignment vertical="top" wrapText="1"/>
    </xf>
    <xf numFmtId="0" fontId="40" fillId="0" borderId="17" xfId="0" applyFont="1" applyBorder="1" applyAlignment="1">
      <alignment horizontal="center" vertical="top"/>
    </xf>
    <xf numFmtId="42" fontId="40" fillId="0" borderId="11" xfId="0" applyNumberFormat="1" applyFont="1" applyBorder="1" applyAlignment="1">
      <alignment vertical="top"/>
    </xf>
    <xf numFmtId="0" fontId="40" fillId="0" borderId="11" xfId="0" applyFont="1" applyBorder="1" applyAlignment="1">
      <alignment vertical="top" wrapText="1"/>
    </xf>
    <xf numFmtId="14" fontId="40" fillId="0" borderId="11" xfId="0" applyNumberFormat="1" applyFont="1" applyBorder="1" applyAlignment="1">
      <alignment horizontal="center" vertical="top"/>
    </xf>
    <xf numFmtId="0" fontId="40" fillId="0" borderId="77" xfId="0" applyFont="1" applyBorder="1" applyAlignment="1">
      <alignment vertical="top" wrapText="1"/>
    </xf>
    <xf numFmtId="0" fontId="1" fillId="0" borderId="61" xfId="0" applyFont="1" applyBorder="1" applyAlignment="1">
      <alignment horizontal="center"/>
    </xf>
    <xf numFmtId="0" fontId="1" fillId="0" borderId="18" xfId="0" applyFont="1" applyBorder="1" applyAlignment="1">
      <alignment horizontal="center"/>
    </xf>
    <xf numFmtId="0" fontId="1" fillId="0" borderId="20" xfId="0" applyFont="1" applyBorder="1" applyAlignment="1">
      <alignment horizontal="center"/>
    </xf>
    <xf numFmtId="0" fontId="0" fillId="0" borderId="0" xfId="0" applyFont="1" applyAlignment="1">
      <alignment horizontal="left" wrapText="1" indent="1"/>
    </xf>
    <xf numFmtId="0" fontId="0" fillId="0" borderId="0" xfId="0" applyFont="1" applyAlignment="1">
      <alignment wrapText="1"/>
    </xf>
    <xf numFmtId="0" fontId="1" fillId="0" borderId="0" xfId="0" applyFont="1" applyFill="1" applyAlignment="1" applyProtection="1">
      <alignment wrapText="1"/>
      <protection/>
    </xf>
    <xf numFmtId="0" fontId="1" fillId="0" borderId="0" xfId="0" applyNumberFormat="1" applyFont="1" applyFill="1" applyBorder="1" applyAlignment="1">
      <alignment horizontal="left" wrapText="1"/>
    </xf>
    <xf numFmtId="0" fontId="1" fillId="0" borderId="0" xfId="0" applyNumberFormat="1" applyFont="1" applyAlignment="1" applyProtection="1">
      <alignment vertical="top" wrapText="1"/>
      <protection/>
    </xf>
    <xf numFmtId="0" fontId="0" fillId="0" borderId="0" xfId="0" applyAlignment="1">
      <alignment vertical="top" wrapText="1"/>
    </xf>
    <xf numFmtId="0" fontId="1" fillId="0" borderId="0" xfId="0" applyFont="1" applyAlignment="1" applyProtection="1">
      <alignment vertical="top" wrapText="1"/>
      <protection/>
    </xf>
    <xf numFmtId="0" fontId="1" fillId="0" borderId="0" xfId="0" applyFont="1" applyFill="1" applyBorder="1" applyAlignment="1">
      <alignment wrapText="1"/>
    </xf>
    <xf numFmtId="0" fontId="1" fillId="0" borderId="11" xfId="0" applyFont="1" applyBorder="1" applyAlignment="1">
      <alignment horizontal="center"/>
    </xf>
    <xf numFmtId="0" fontId="1" fillId="0" borderId="40" xfId="0" applyFont="1" applyBorder="1" applyAlignment="1">
      <alignment horizontal="center" wrapText="1"/>
    </xf>
    <xf numFmtId="0" fontId="1" fillId="0" borderId="50" xfId="0" applyFont="1" applyBorder="1" applyAlignment="1">
      <alignment horizontal="center" wrapText="1"/>
    </xf>
    <xf numFmtId="0" fontId="1" fillId="0" borderId="0" xfId="0" applyNumberFormat="1" applyFont="1" applyAlignment="1">
      <alignment horizontal="left" wrapText="1"/>
    </xf>
    <xf numFmtId="0" fontId="1" fillId="0" borderId="0" xfId="0" applyFont="1" applyAlignment="1">
      <alignment horizontal="left" wrapText="1"/>
    </xf>
    <xf numFmtId="0" fontId="33" fillId="0" borderId="11" xfId="0" applyFont="1" applyFill="1" applyBorder="1" applyAlignment="1">
      <alignment horizontal="center"/>
    </xf>
    <xf numFmtId="0" fontId="0" fillId="0" borderId="0" xfId="0" applyAlignment="1">
      <alignment horizontal="left" wrapText="1"/>
    </xf>
    <xf numFmtId="0" fontId="0" fillId="0" borderId="0" xfId="0" applyFill="1" applyAlignment="1">
      <alignment horizontal="left" wrapText="1"/>
    </xf>
  </cellXfs>
  <cellStyles count="11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_~9345887" xfId="37"/>
    <cellStyle name="Accent2" xfId="38"/>
    <cellStyle name="Accent2 - 20%" xfId="39"/>
    <cellStyle name="Accent2 - 40%" xfId="40"/>
    <cellStyle name="Accent2 - 60%" xfId="41"/>
    <cellStyle name="Accent2_~9345887" xfId="42"/>
    <cellStyle name="Accent3" xfId="43"/>
    <cellStyle name="Accent3 - 20%" xfId="44"/>
    <cellStyle name="Accent3 - 40%" xfId="45"/>
    <cellStyle name="Accent3 - 60%" xfId="46"/>
    <cellStyle name="Accent3_~9345887" xfId="47"/>
    <cellStyle name="Accent4" xfId="48"/>
    <cellStyle name="Accent4 - 20%" xfId="49"/>
    <cellStyle name="Accent4 - 40%" xfId="50"/>
    <cellStyle name="Accent4 - 60%" xfId="51"/>
    <cellStyle name="Accent4_~9345887" xfId="52"/>
    <cellStyle name="Accent5" xfId="53"/>
    <cellStyle name="Accent5 - 20%" xfId="54"/>
    <cellStyle name="Accent5 - 40%" xfId="55"/>
    <cellStyle name="Accent5 - 60%" xfId="56"/>
    <cellStyle name="Accent5_~9345887" xfId="57"/>
    <cellStyle name="Accent6" xfId="58"/>
    <cellStyle name="Accent6 - 20%" xfId="59"/>
    <cellStyle name="Accent6 - 40%" xfId="60"/>
    <cellStyle name="Accent6 - 60%" xfId="61"/>
    <cellStyle name="Accent6_~9345887" xfId="62"/>
    <cellStyle name="Bad" xfId="63"/>
    <cellStyle name="Calculation" xfId="64"/>
    <cellStyle name="Check Cell" xfId="65"/>
    <cellStyle name="Comma" xfId="66"/>
    <cellStyle name="Comma [0]" xfId="67"/>
    <cellStyle name="Currency" xfId="68"/>
    <cellStyle name="Currency [0]" xfId="69"/>
    <cellStyle name="Emphasis 1" xfId="70"/>
    <cellStyle name="Emphasis 2" xfId="71"/>
    <cellStyle name="Emphasis 3" xfId="72"/>
    <cellStyle name="Explanatory Text" xfId="73"/>
    <cellStyle name="Followed Hyperlink" xfId="74"/>
    <cellStyle name="Good" xfId="75"/>
    <cellStyle name="Heading 1" xfId="76"/>
    <cellStyle name="Heading 2" xfId="77"/>
    <cellStyle name="Heading 3" xfId="78"/>
    <cellStyle name="Heading 4" xfId="79"/>
    <cellStyle name="Hyperlink" xfId="80"/>
    <cellStyle name="Input" xfId="81"/>
    <cellStyle name="Linked Cell" xfId="82"/>
    <cellStyle name="Neutral" xfId="83"/>
    <cellStyle name="Normal_Funding Shift Table Sample" xfId="84"/>
    <cellStyle name="Note" xfId="85"/>
    <cellStyle name="Output" xfId="86"/>
    <cellStyle name="Percent" xfId="87"/>
    <cellStyle name="SAPBEXaggData" xfId="88"/>
    <cellStyle name="SAPBEXaggDataEmph" xfId="89"/>
    <cellStyle name="SAPBEXaggItem" xfId="90"/>
    <cellStyle name="SAPBEXaggItemX" xfId="91"/>
    <cellStyle name="SAPBEXchaText" xfId="92"/>
    <cellStyle name="SAPBEXexcBad7" xfId="93"/>
    <cellStyle name="SAPBEXexcBad8" xfId="94"/>
    <cellStyle name="SAPBEXexcBad9" xfId="95"/>
    <cellStyle name="SAPBEXexcCritical4" xfId="96"/>
    <cellStyle name="SAPBEXexcCritical5" xfId="97"/>
    <cellStyle name="SAPBEXexcCritical6" xfId="98"/>
    <cellStyle name="SAPBEXexcGood1" xfId="99"/>
    <cellStyle name="SAPBEXexcGood2" xfId="100"/>
    <cellStyle name="SAPBEXexcGood3" xfId="101"/>
    <cellStyle name="SAPBEXfilterDrill" xfId="102"/>
    <cellStyle name="SAPBEXfilterItem" xfId="103"/>
    <cellStyle name="SAPBEXfilterText" xfId="104"/>
    <cellStyle name="SAPBEXformats" xfId="105"/>
    <cellStyle name="SAPBEXheaderItem" xfId="106"/>
    <cellStyle name="SAPBEXheaderText" xfId="107"/>
    <cellStyle name="SAPBEXHLevel0" xfId="108"/>
    <cellStyle name="SAPBEXHLevel0X" xfId="109"/>
    <cellStyle name="SAPBEXHLevel1" xfId="110"/>
    <cellStyle name="SAPBEXHLevel1X" xfId="111"/>
    <cellStyle name="SAPBEXHLevel2" xfId="112"/>
    <cellStyle name="SAPBEXHLevel2X" xfId="113"/>
    <cellStyle name="SAPBEXHLevel3" xfId="114"/>
    <cellStyle name="SAPBEXHLevel3X" xfId="115"/>
    <cellStyle name="SAPBEXinputData" xfId="116"/>
    <cellStyle name="SAPBEXresData" xfId="117"/>
    <cellStyle name="SAPBEXresDataEmph" xfId="118"/>
    <cellStyle name="SAPBEXresItem" xfId="119"/>
    <cellStyle name="SAPBEXresItemX" xfId="120"/>
    <cellStyle name="SAPBEXstdData" xfId="121"/>
    <cellStyle name="SAPBEXstdDataEmph" xfId="122"/>
    <cellStyle name="SAPBEXstdItem" xfId="123"/>
    <cellStyle name="SAPBEXstdItemX" xfId="124"/>
    <cellStyle name="SAPBEXtitle" xfId="125"/>
    <cellStyle name="SAPBEXundefined" xfId="126"/>
    <cellStyle name="Sheet Title" xfId="127"/>
    <cellStyle name="Title" xfId="128"/>
    <cellStyle name="Total" xfId="129"/>
    <cellStyle name="Warning Text" xfId="1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14</xdr:col>
      <xdr:colOff>0</xdr:colOff>
      <xdr:row>4</xdr:row>
      <xdr:rowOff>381000</xdr:rowOff>
    </xdr:to>
    <xdr:sp>
      <xdr:nvSpPr>
        <xdr:cNvPr id="1" name="TextBox 1"/>
        <xdr:cNvSpPr txBox="1">
          <a:spLocks noChangeArrowheads="1"/>
        </xdr:cNvSpPr>
      </xdr:nvSpPr>
      <xdr:spPr>
        <a:xfrm>
          <a:off x="4914900" y="600075"/>
          <a:ext cx="9782175" cy="371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
2010 Expenditures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14</xdr:col>
      <xdr:colOff>0</xdr:colOff>
      <xdr:row>4</xdr:row>
      <xdr:rowOff>381000</xdr:rowOff>
    </xdr:to>
    <xdr:sp>
      <xdr:nvSpPr>
        <xdr:cNvPr id="1" name="TextBox 1"/>
        <xdr:cNvSpPr txBox="1">
          <a:spLocks noChangeArrowheads="1"/>
        </xdr:cNvSpPr>
      </xdr:nvSpPr>
      <xdr:spPr>
        <a:xfrm>
          <a:off x="4962525" y="600075"/>
          <a:ext cx="8982075" cy="371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
2010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eungja\My%20Documents\SCE\Work\D.%20Reed%20misc\KPI%20reporting\2007\2007-5%20May\May%2007%20TP&amp;S%20BS%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orksheet%20in%20ReportWriter%2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E"/>
      <sheetName val="PO"/>
      <sheetName val="PP&amp;A"/>
      <sheetName val="S&amp;T"/>
      <sheetName val="REG"/>
      <sheetName val="Financia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MA Pivot"/>
      <sheetName val="ACTMA Detail"/>
    </sheetNames>
    <sheetDataSet>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t="str">
            <v/>
          </cell>
          <cell r="P33">
            <v>0</v>
          </cell>
        </row>
        <row r="34">
          <cell r="N34" t="str">
            <v/>
          </cell>
          <cell r="P34">
            <v>0</v>
          </cell>
        </row>
        <row r="35">
          <cell r="N35" t="str">
            <v/>
          </cell>
          <cell r="P35">
            <v>0</v>
          </cell>
        </row>
        <row r="36">
          <cell r="N36" t="str">
            <v/>
          </cell>
          <cell r="P36">
            <v>0</v>
          </cell>
        </row>
        <row r="37">
          <cell r="N37" t="str">
            <v/>
          </cell>
          <cell r="P37">
            <v>0</v>
          </cell>
        </row>
        <row r="38">
          <cell r="N38" t="str">
            <v/>
          </cell>
          <cell r="P38">
            <v>0</v>
          </cell>
        </row>
        <row r="39">
          <cell r="N39" t="str">
            <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t="str">
            <v/>
          </cell>
          <cell r="P46">
            <v>0</v>
          </cell>
        </row>
        <row r="47">
          <cell r="N47" t="str">
            <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t="str">
            <v/>
          </cell>
          <cell r="P79">
            <v>0</v>
          </cell>
        </row>
        <row r="80">
          <cell r="N80" t="str">
            <v>TRANSCONTINENTAL DIRECT USA IN</v>
          </cell>
          <cell r="P80">
            <v>165430</v>
          </cell>
        </row>
        <row r="81">
          <cell r="N81" t="str">
            <v>US POSTMASTER</v>
          </cell>
          <cell r="P81">
            <v>0</v>
          </cell>
        </row>
        <row r="82">
          <cell r="N82" t="str">
            <v/>
          </cell>
          <cell r="P82">
            <v>0</v>
          </cell>
        </row>
        <row r="83">
          <cell r="N83" t="str">
            <v/>
          </cell>
          <cell r="P83">
            <v>0</v>
          </cell>
        </row>
        <row r="84">
          <cell r="N84" t="str">
            <v/>
          </cell>
          <cell r="P84">
            <v>8</v>
          </cell>
        </row>
        <row r="85">
          <cell r="N85" t="str">
            <v/>
          </cell>
          <cell r="P85">
            <v>0</v>
          </cell>
        </row>
        <row r="86">
          <cell r="N86" t="str">
            <v/>
          </cell>
          <cell r="P86">
            <v>0</v>
          </cell>
        </row>
        <row r="87">
          <cell r="N87" t="str">
            <v/>
          </cell>
          <cell r="P87">
            <v>0</v>
          </cell>
        </row>
        <row r="88">
          <cell r="N88" t="str">
            <v/>
          </cell>
          <cell r="P88">
            <v>0</v>
          </cell>
        </row>
        <row r="89">
          <cell r="N89" t="str">
            <v/>
          </cell>
          <cell r="P89">
            <v>1</v>
          </cell>
        </row>
        <row r="90">
          <cell r="N90" t="str">
            <v/>
          </cell>
          <cell r="P90">
            <v>1</v>
          </cell>
        </row>
        <row r="91">
          <cell r="N91" t="str">
            <v/>
          </cell>
          <cell r="P91">
            <v>1</v>
          </cell>
        </row>
        <row r="92">
          <cell r="N92" t="str">
            <v/>
          </cell>
          <cell r="P92">
            <v>1</v>
          </cell>
        </row>
        <row r="93">
          <cell r="N93" t="str">
            <v/>
          </cell>
          <cell r="P93">
            <v>1</v>
          </cell>
        </row>
        <row r="94">
          <cell r="N94" t="str">
            <v/>
          </cell>
          <cell r="P94">
            <v>1</v>
          </cell>
        </row>
        <row r="95">
          <cell r="N95" t="str">
            <v/>
          </cell>
          <cell r="P95">
            <v>1</v>
          </cell>
        </row>
        <row r="96">
          <cell r="N96" t="str">
            <v/>
          </cell>
          <cell r="P96">
            <v>1</v>
          </cell>
        </row>
        <row r="97">
          <cell r="N97" t="str">
            <v/>
          </cell>
          <cell r="P97">
            <v>2</v>
          </cell>
        </row>
        <row r="98">
          <cell r="N98" t="str">
            <v/>
          </cell>
          <cell r="P98">
            <v>1</v>
          </cell>
        </row>
        <row r="99">
          <cell r="N99" t="str">
            <v/>
          </cell>
          <cell r="P99">
            <v>1</v>
          </cell>
        </row>
        <row r="100">
          <cell r="N100" t="str">
            <v/>
          </cell>
          <cell r="P100">
            <v>1</v>
          </cell>
        </row>
        <row r="101">
          <cell r="N101" t="str">
            <v/>
          </cell>
          <cell r="P101">
            <v>1</v>
          </cell>
        </row>
        <row r="102">
          <cell r="N102" t="str">
            <v/>
          </cell>
          <cell r="P102">
            <v>2442.12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01"/>
      <sheetName val="True postings"/>
      <sheetName val="Parked postings"/>
      <sheetName val="Activity types"/>
      <sheetName val="Stat. key figures"/>
      <sheetName val="Orders by Cost Elem Partner Amt"/>
      <sheetName val="NO_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E76"/>
  <sheetViews>
    <sheetView showGridLines="0" tabSelected="1" zoomScale="75" zoomScaleNormal="75" zoomScaleSheetLayoutView="75" workbookViewId="0" topLeftCell="A1">
      <selection activeCell="A1" sqref="A1"/>
    </sheetView>
  </sheetViews>
  <sheetFormatPr defaultColWidth="9.140625" defaultRowHeight="12.75"/>
  <cols>
    <col min="1" max="1" width="38.7109375" style="0" customWidth="1"/>
    <col min="2" max="2" width="12.28125" style="0" customWidth="1"/>
    <col min="3" max="3" width="11.00390625" style="0" customWidth="1"/>
    <col min="4" max="4" width="13.00390625" style="0" customWidth="1"/>
    <col min="5" max="5" width="11.8515625" style="0" customWidth="1"/>
    <col min="6" max="6" width="11.140625" style="0" customWidth="1"/>
    <col min="7" max="7" width="13.421875" style="0" customWidth="1"/>
    <col min="8" max="8" width="13.00390625" style="0" customWidth="1"/>
    <col min="9" max="9" width="11.140625" style="0" customWidth="1"/>
    <col min="10" max="10" width="14.28125" style="0" customWidth="1"/>
    <col min="11" max="11" width="14.57421875" style="0" customWidth="1"/>
    <col min="12" max="12" width="11.140625" style="0" customWidth="1"/>
    <col min="13" max="13" width="12.28125" style="0" customWidth="1"/>
    <col min="14" max="14" width="11.7109375" style="0" customWidth="1"/>
    <col min="15" max="15" width="11.140625" style="0" customWidth="1"/>
    <col min="16" max="16" width="12.8515625" style="0" customWidth="1"/>
    <col min="17" max="17" width="11.57421875" style="0" customWidth="1"/>
    <col min="18" max="18" width="11.140625" style="0" customWidth="1"/>
    <col min="19" max="19" width="13.8515625" style="0" customWidth="1"/>
    <col min="20" max="20" width="21.57421875" style="0" customWidth="1"/>
    <col min="21" max="21" width="9.7109375" style="0" customWidth="1"/>
    <col min="22" max="22" width="11.421875" style="0" customWidth="1"/>
    <col min="23" max="23" width="11.00390625" style="0" customWidth="1"/>
    <col min="24" max="25" width="9.7109375" style="0" customWidth="1"/>
    <col min="26" max="26" width="12.8515625" style="0" customWidth="1"/>
    <col min="27" max="27" width="8.8515625" style="0" bestFit="1" customWidth="1"/>
    <col min="28" max="28" width="10.57421875" style="0" customWidth="1"/>
    <col min="29" max="29" width="9.8515625" style="0" bestFit="1" customWidth="1"/>
    <col min="30" max="30" width="11.140625" style="0" customWidth="1"/>
    <col min="31" max="31" width="9.8515625" style="0" bestFit="1" customWidth="1"/>
    <col min="32" max="32" width="10.8515625" style="0" customWidth="1"/>
    <col min="33" max="33" width="12.140625" style="0" bestFit="1" customWidth="1"/>
    <col min="34" max="34" width="12.140625" style="0" customWidth="1"/>
    <col min="35" max="35" width="9.57421875" style="0" bestFit="1" customWidth="1"/>
    <col min="36" max="36" width="11.140625" style="0" customWidth="1"/>
    <col min="37" max="37" width="11.7109375" style="0" bestFit="1" customWidth="1"/>
    <col min="38" max="38" width="11.7109375" style="0" customWidth="1"/>
  </cols>
  <sheetData>
    <row r="1" ht="15.75">
      <c r="A1" s="322" t="s">
        <v>246</v>
      </c>
    </row>
    <row r="2" ht="12.75">
      <c r="A2" s="323"/>
    </row>
    <row r="3" ht="15.75">
      <c r="A3" s="322" t="s">
        <v>247</v>
      </c>
    </row>
    <row r="4" ht="9" customHeight="1"/>
    <row r="5" spans="1:20" ht="15" customHeight="1">
      <c r="A5" s="19"/>
      <c r="B5" s="452" t="s">
        <v>0</v>
      </c>
      <c r="C5" s="453"/>
      <c r="D5" s="454"/>
      <c r="E5" s="452" t="s">
        <v>1</v>
      </c>
      <c r="F5" s="453"/>
      <c r="G5" s="454"/>
      <c r="H5" s="452" t="s">
        <v>2</v>
      </c>
      <c r="I5" s="453"/>
      <c r="J5" s="454"/>
      <c r="K5" s="452" t="s">
        <v>3</v>
      </c>
      <c r="L5" s="453"/>
      <c r="M5" s="454"/>
      <c r="N5" s="452" t="s">
        <v>4</v>
      </c>
      <c r="O5" s="453"/>
      <c r="P5" s="454"/>
      <c r="Q5" s="452" t="s">
        <v>5</v>
      </c>
      <c r="R5" s="453"/>
      <c r="S5" s="454"/>
      <c r="T5" s="324"/>
    </row>
    <row r="6" spans="1:20" ht="37.5" customHeight="1">
      <c r="A6" s="43" t="s">
        <v>24</v>
      </c>
      <c r="B6" s="20" t="s">
        <v>18</v>
      </c>
      <c r="C6" s="20" t="s">
        <v>248</v>
      </c>
      <c r="D6" s="17" t="s">
        <v>249</v>
      </c>
      <c r="E6" s="20" t="s">
        <v>18</v>
      </c>
      <c r="F6" s="20" t="s">
        <v>248</v>
      </c>
      <c r="G6" s="17" t="s">
        <v>249</v>
      </c>
      <c r="H6" s="20" t="s">
        <v>18</v>
      </c>
      <c r="I6" s="20" t="s">
        <v>248</v>
      </c>
      <c r="J6" s="17" t="s">
        <v>249</v>
      </c>
      <c r="K6" s="20" t="s">
        <v>18</v>
      </c>
      <c r="L6" s="20" t="s">
        <v>248</v>
      </c>
      <c r="M6" s="17" t="s">
        <v>249</v>
      </c>
      <c r="N6" s="20" t="s">
        <v>18</v>
      </c>
      <c r="O6" s="20" t="s">
        <v>248</v>
      </c>
      <c r="P6" s="17" t="s">
        <v>249</v>
      </c>
      <c r="Q6" s="20" t="s">
        <v>18</v>
      </c>
      <c r="R6" s="20" t="s">
        <v>248</v>
      </c>
      <c r="S6" s="17" t="s">
        <v>249</v>
      </c>
      <c r="T6" s="17" t="s">
        <v>250</v>
      </c>
    </row>
    <row r="7" spans="1:20" ht="12.75" customHeight="1">
      <c r="A7" s="93" t="s">
        <v>25</v>
      </c>
      <c r="B7" s="20"/>
      <c r="C7" s="20"/>
      <c r="D7" s="15"/>
      <c r="E7" s="325"/>
      <c r="F7" s="20"/>
      <c r="G7" s="15"/>
      <c r="H7" s="325"/>
      <c r="I7" s="20"/>
      <c r="J7" s="20"/>
      <c r="K7" s="325"/>
      <c r="L7" s="20"/>
      <c r="M7" s="311"/>
      <c r="N7" s="325"/>
      <c r="O7" s="20"/>
      <c r="P7" s="311"/>
      <c r="Q7" s="325"/>
      <c r="R7" s="20"/>
      <c r="S7" s="311"/>
      <c r="T7" s="311"/>
    </row>
    <row r="8" spans="1:20" ht="12.75">
      <c r="A8" s="16" t="s">
        <v>169</v>
      </c>
      <c r="B8" s="326">
        <v>563</v>
      </c>
      <c r="C8" s="124">
        <v>497.27538</v>
      </c>
      <c r="D8" s="327">
        <v>321.7545</v>
      </c>
      <c r="E8" s="328">
        <v>565</v>
      </c>
      <c r="F8" s="14">
        <v>512.35895</v>
      </c>
      <c r="G8" s="327">
        <v>322.8975</v>
      </c>
      <c r="H8" s="328">
        <v>564</v>
      </c>
      <c r="I8" s="14">
        <v>495.05664</v>
      </c>
      <c r="J8" s="329">
        <v>322.326</v>
      </c>
      <c r="K8" s="328">
        <v>565</v>
      </c>
      <c r="L8" s="14">
        <v>534.66515</v>
      </c>
      <c r="M8" s="330">
        <v>322.8975</v>
      </c>
      <c r="N8" s="328">
        <v>566</v>
      </c>
      <c r="O8" s="14">
        <v>548.5841800000001</v>
      </c>
      <c r="P8" s="330">
        <v>323.469</v>
      </c>
      <c r="Q8" s="328">
        <v>567</v>
      </c>
      <c r="R8" s="331">
        <v>489.55913999999996</v>
      </c>
      <c r="S8" s="330">
        <v>324.0405</v>
      </c>
      <c r="T8" s="332">
        <v>11780</v>
      </c>
    </row>
    <row r="9" spans="1:20" ht="12.75">
      <c r="A9" s="16" t="s">
        <v>170</v>
      </c>
      <c r="B9" s="326">
        <v>68</v>
      </c>
      <c r="C9" s="124">
        <v>60.06168</v>
      </c>
      <c r="D9" s="327">
        <v>38.862</v>
      </c>
      <c r="E9" s="328">
        <v>68</v>
      </c>
      <c r="F9" s="14">
        <v>61.66444</v>
      </c>
      <c r="G9" s="327">
        <v>38.862</v>
      </c>
      <c r="H9" s="328">
        <v>67</v>
      </c>
      <c r="I9" s="14">
        <v>58.80992</v>
      </c>
      <c r="J9" s="329">
        <v>38.2905</v>
      </c>
      <c r="K9" s="328">
        <v>67</v>
      </c>
      <c r="L9" s="14">
        <v>63.40277</v>
      </c>
      <c r="M9" s="330">
        <v>38.2905</v>
      </c>
      <c r="N9" s="328">
        <v>67</v>
      </c>
      <c r="O9" s="14">
        <v>64.93841</v>
      </c>
      <c r="P9" s="330">
        <v>38.2905</v>
      </c>
      <c r="Q9" s="328">
        <v>67</v>
      </c>
      <c r="R9" s="331">
        <v>57.84914</v>
      </c>
      <c r="S9" s="330">
        <v>38.2905</v>
      </c>
      <c r="T9" s="332">
        <v>11780</v>
      </c>
    </row>
    <row r="10" spans="1:20" ht="12.75">
      <c r="A10" s="16" t="s">
        <v>44</v>
      </c>
      <c r="B10" s="326">
        <v>69881</v>
      </c>
      <c r="C10" s="124">
        <v>114.60484</v>
      </c>
      <c r="D10" s="327" t="s">
        <v>67</v>
      </c>
      <c r="E10" s="328">
        <v>69588</v>
      </c>
      <c r="F10" s="14">
        <v>114.12432</v>
      </c>
      <c r="G10" s="327" t="s">
        <v>67</v>
      </c>
      <c r="H10" s="328">
        <v>69216</v>
      </c>
      <c r="I10" s="14">
        <v>113.51423999999999</v>
      </c>
      <c r="J10" s="329" t="s">
        <v>67</v>
      </c>
      <c r="K10" s="328">
        <v>68684</v>
      </c>
      <c r="L10" s="14">
        <v>112.64175999999999</v>
      </c>
      <c r="M10" s="330" t="s">
        <v>67</v>
      </c>
      <c r="N10" s="328">
        <v>67524</v>
      </c>
      <c r="O10" s="14">
        <v>110.73936</v>
      </c>
      <c r="P10" s="330" t="s">
        <v>67</v>
      </c>
      <c r="Q10" s="328">
        <v>66733</v>
      </c>
      <c r="R10" s="331">
        <v>98.09751</v>
      </c>
      <c r="S10" s="330" t="s">
        <v>67</v>
      </c>
      <c r="T10" s="332">
        <v>2100470</v>
      </c>
    </row>
    <row r="11" spans="1:20" ht="12.75">
      <c r="A11" s="16" t="s">
        <v>45</v>
      </c>
      <c r="B11" s="326">
        <v>2671</v>
      </c>
      <c r="C11" s="124">
        <v>21.26116</v>
      </c>
      <c r="D11" s="327" t="s">
        <v>67</v>
      </c>
      <c r="E11" s="328">
        <v>2634</v>
      </c>
      <c r="F11" s="14">
        <v>20.966639999999998</v>
      </c>
      <c r="G11" s="327" t="s">
        <v>67</v>
      </c>
      <c r="H11" s="328">
        <v>2615</v>
      </c>
      <c r="I11" s="14">
        <v>20.8154</v>
      </c>
      <c r="J11" s="329" t="s">
        <v>67</v>
      </c>
      <c r="K11" s="328">
        <v>2592</v>
      </c>
      <c r="L11" s="14">
        <v>20.63232</v>
      </c>
      <c r="M11" s="330" t="s">
        <v>67</v>
      </c>
      <c r="N11" s="328">
        <v>2563</v>
      </c>
      <c r="O11" s="14">
        <v>20.40148</v>
      </c>
      <c r="P11" s="330" t="s">
        <v>67</v>
      </c>
      <c r="Q11" s="328">
        <v>2532</v>
      </c>
      <c r="R11" s="331">
        <v>15.951600000000001</v>
      </c>
      <c r="S11" s="330" t="s">
        <v>67</v>
      </c>
      <c r="T11" s="332">
        <v>463742</v>
      </c>
    </row>
    <row r="12" spans="1:20" ht="12.75">
      <c r="A12" s="16" t="s">
        <v>46</v>
      </c>
      <c r="B12" s="326">
        <v>268928</v>
      </c>
      <c r="C12" s="124">
        <v>441.04192</v>
      </c>
      <c r="D12" s="327" t="s">
        <v>67</v>
      </c>
      <c r="E12" s="328">
        <v>267554</v>
      </c>
      <c r="F12" s="14">
        <v>438.78856</v>
      </c>
      <c r="G12" s="327" t="s">
        <v>67</v>
      </c>
      <c r="H12" s="328">
        <v>266117</v>
      </c>
      <c r="I12" s="14">
        <v>436.4318799999999</v>
      </c>
      <c r="J12" s="329" t="s">
        <v>67</v>
      </c>
      <c r="K12" s="328">
        <v>264456</v>
      </c>
      <c r="L12" s="14">
        <v>433.70784</v>
      </c>
      <c r="M12" s="330" t="s">
        <v>67</v>
      </c>
      <c r="N12" s="328">
        <v>263637</v>
      </c>
      <c r="O12" s="14">
        <v>432.36468</v>
      </c>
      <c r="P12" s="330" t="s">
        <v>67</v>
      </c>
      <c r="Q12" s="328">
        <v>263188</v>
      </c>
      <c r="R12" s="331">
        <v>386.88635999999997</v>
      </c>
      <c r="S12" s="330" t="s">
        <v>67</v>
      </c>
      <c r="T12" s="332">
        <v>2100470</v>
      </c>
    </row>
    <row r="13" spans="1:20" ht="12.75">
      <c r="A13" s="16" t="s">
        <v>47</v>
      </c>
      <c r="B13" s="326">
        <v>8476</v>
      </c>
      <c r="C13" s="124">
        <v>67.46896000000001</v>
      </c>
      <c r="D13" s="327" t="s">
        <v>67</v>
      </c>
      <c r="E13" s="328">
        <v>8482</v>
      </c>
      <c r="F13" s="14">
        <v>67.51672</v>
      </c>
      <c r="G13" s="327" t="s">
        <v>67</v>
      </c>
      <c r="H13" s="328">
        <v>8469</v>
      </c>
      <c r="I13" s="14">
        <v>67.41324</v>
      </c>
      <c r="J13" s="329" t="s">
        <v>67</v>
      </c>
      <c r="K13" s="328">
        <v>8454</v>
      </c>
      <c r="L13" s="14">
        <v>67.29384</v>
      </c>
      <c r="M13" s="330" t="s">
        <v>67</v>
      </c>
      <c r="N13" s="328">
        <v>8465</v>
      </c>
      <c r="O13" s="14">
        <v>67.3814</v>
      </c>
      <c r="P13" s="330" t="s">
        <v>67</v>
      </c>
      <c r="Q13" s="328">
        <v>8508</v>
      </c>
      <c r="R13" s="331">
        <v>53.6004</v>
      </c>
      <c r="S13" s="330" t="s">
        <v>67</v>
      </c>
      <c r="T13" s="332">
        <v>463742</v>
      </c>
    </row>
    <row r="14" spans="1:20" ht="12.75">
      <c r="A14" s="16" t="s">
        <v>15</v>
      </c>
      <c r="B14" s="326">
        <v>12</v>
      </c>
      <c r="C14" s="124">
        <v>19.162335</v>
      </c>
      <c r="D14" s="327">
        <v>18.204</v>
      </c>
      <c r="E14" s="328">
        <v>12</v>
      </c>
      <c r="F14" s="14">
        <v>19.192335000000003</v>
      </c>
      <c r="G14" s="327">
        <v>18.204</v>
      </c>
      <c r="H14" s="328">
        <v>12</v>
      </c>
      <c r="I14" s="14">
        <v>19.213383</v>
      </c>
      <c r="J14" s="329">
        <v>18.204</v>
      </c>
      <c r="K14" s="328">
        <v>12</v>
      </c>
      <c r="L14" s="14">
        <v>18.66468</v>
      </c>
      <c r="M14" s="330">
        <v>18.204</v>
      </c>
      <c r="N14" s="328">
        <v>12</v>
      </c>
      <c r="O14" s="14">
        <v>19.31808</v>
      </c>
      <c r="P14" s="330">
        <v>18.204</v>
      </c>
      <c r="Q14" s="328">
        <v>12</v>
      </c>
      <c r="R14" s="331">
        <v>18.29136</v>
      </c>
      <c r="S14" s="330">
        <v>18.204</v>
      </c>
      <c r="T14" s="333" t="s">
        <v>67</v>
      </c>
    </row>
    <row r="15" spans="1:20" ht="12.75">
      <c r="A15" s="16" t="s">
        <v>16</v>
      </c>
      <c r="B15" s="326">
        <v>729</v>
      </c>
      <c r="C15" s="124">
        <v>19.96002</v>
      </c>
      <c r="D15" s="327">
        <v>23.328</v>
      </c>
      <c r="E15" s="328">
        <v>729</v>
      </c>
      <c r="F15" s="14">
        <v>17.67825</v>
      </c>
      <c r="G15" s="327">
        <v>23.328</v>
      </c>
      <c r="H15" s="328">
        <v>736</v>
      </c>
      <c r="I15" s="14">
        <v>22.874879999999997</v>
      </c>
      <c r="J15" s="329">
        <v>23.552</v>
      </c>
      <c r="K15" s="328">
        <v>747</v>
      </c>
      <c r="L15" s="14">
        <v>30.858570000000004</v>
      </c>
      <c r="M15" s="330">
        <v>23.904</v>
      </c>
      <c r="N15" s="328">
        <v>753</v>
      </c>
      <c r="O15" s="14">
        <v>35.11239</v>
      </c>
      <c r="P15" s="330">
        <v>24.096</v>
      </c>
      <c r="Q15" s="328">
        <v>754</v>
      </c>
      <c r="R15" s="331">
        <v>31.05726</v>
      </c>
      <c r="S15" s="330">
        <v>24.128</v>
      </c>
      <c r="T15" s="332">
        <v>7368</v>
      </c>
    </row>
    <row r="16" spans="1:20" ht="14.25" customHeight="1" thickBot="1">
      <c r="A16" s="94" t="s">
        <v>23</v>
      </c>
      <c r="B16" s="334">
        <f aca="true" t="shared" si="0" ref="B16:S16">SUM(B8:B15)</f>
        <v>351328</v>
      </c>
      <c r="C16" s="335">
        <f t="shared" si="0"/>
        <v>1240.8362949999998</v>
      </c>
      <c r="D16" s="336">
        <f t="shared" si="0"/>
        <v>402.1485</v>
      </c>
      <c r="E16" s="337">
        <f t="shared" si="0"/>
        <v>349632</v>
      </c>
      <c r="F16" s="338">
        <f t="shared" si="0"/>
        <v>1252.290215</v>
      </c>
      <c r="G16" s="339">
        <f t="shared" si="0"/>
        <v>403.2915</v>
      </c>
      <c r="H16" s="337">
        <f t="shared" si="0"/>
        <v>347796</v>
      </c>
      <c r="I16" s="338">
        <f t="shared" si="0"/>
        <v>1234.1295830000001</v>
      </c>
      <c r="J16" s="339">
        <f t="shared" si="0"/>
        <v>402.37250000000006</v>
      </c>
      <c r="K16" s="337">
        <f t="shared" si="0"/>
        <v>345577</v>
      </c>
      <c r="L16" s="338">
        <f t="shared" si="0"/>
        <v>1281.8669300000004</v>
      </c>
      <c r="M16" s="340">
        <f t="shared" si="0"/>
        <v>403.296</v>
      </c>
      <c r="N16" s="337">
        <f t="shared" si="0"/>
        <v>343587</v>
      </c>
      <c r="O16" s="338">
        <f t="shared" si="0"/>
        <v>1298.8399800000002</v>
      </c>
      <c r="P16" s="340">
        <f t="shared" si="0"/>
        <v>404.0595</v>
      </c>
      <c r="Q16" s="337">
        <f t="shared" si="0"/>
        <v>342361</v>
      </c>
      <c r="R16" s="335">
        <f t="shared" si="0"/>
        <v>1151.29277</v>
      </c>
      <c r="S16" s="340">
        <f t="shared" si="0"/>
        <v>404.663</v>
      </c>
      <c r="T16" s="341"/>
    </row>
    <row r="17" spans="1:31" ht="16.5" customHeight="1" thickTop="1">
      <c r="A17" s="93" t="s">
        <v>52</v>
      </c>
      <c r="B17" s="342"/>
      <c r="C17" s="342"/>
      <c r="D17" s="15"/>
      <c r="E17" s="343"/>
      <c r="F17" s="342"/>
      <c r="G17" s="344"/>
      <c r="H17" s="343"/>
      <c r="I17" s="345"/>
      <c r="J17" s="342"/>
      <c r="K17" s="343"/>
      <c r="L17" s="342"/>
      <c r="M17" s="311"/>
      <c r="N17" s="343"/>
      <c r="O17" s="345"/>
      <c r="P17" s="312"/>
      <c r="Q17" s="343"/>
      <c r="R17" s="342"/>
      <c r="S17" s="312"/>
      <c r="T17" s="346"/>
      <c r="U17" s="14"/>
      <c r="V17" s="14"/>
      <c r="W17" s="14"/>
      <c r="X17" s="14"/>
      <c r="Y17" s="14"/>
      <c r="Z17" s="14"/>
      <c r="AA17" s="14"/>
      <c r="AB17" s="14"/>
      <c r="AC17" s="14"/>
      <c r="AD17" s="14"/>
      <c r="AE17" s="14"/>
    </row>
    <row r="18" spans="1:31" ht="12.75">
      <c r="A18" s="16" t="s">
        <v>168</v>
      </c>
      <c r="B18" s="347">
        <v>5342</v>
      </c>
      <c r="C18" s="348">
        <v>109.93301799999999</v>
      </c>
      <c r="D18" s="349">
        <v>267.25491800000003</v>
      </c>
      <c r="E18" s="328">
        <v>5353</v>
      </c>
      <c r="F18" s="14">
        <v>113.906487</v>
      </c>
      <c r="G18" s="327">
        <v>267.80523700000003</v>
      </c>
      <c r="H18" s="350">
        <v>5327</v>
      </c>
      <c r="I18" s="14">
        <v>113.37454100000001</v>
      </c>
      <c r="J18" s="351">
        <v>266.504483</v>
      </c>
      <c r="K18" s="350">
        <v>5230</v>
      </c>
      <c r="L18" s="14">
        <v>127.35573</v>
      </c>
      <c r="M18" s="330">
        <v>261.65167</v>
      </c>
      <c r="N18" s="350">
        <v>4785</v>
      </c>
      <c r="O18" s="14">
        <v>121.266255</v>
      </c>
      <c r="P18" s="330">
        <v>239.388765</v>
      </c>
      <c r="Q18" s="350">
        <v>4200</v>
      </c>
      <c r="R18" s="352">
        <v>71.5764</v>
      </c>
      <c r="S18" s="353">
        <v>210.1218</v>
      </c>
      <c r="T18" s="354">
        <v>11481</v>
      </c>
      <c r="U18" s="14"/>
      <c r="V18" s="14"/>
      <c r="W18" s="14"/>
      <c r="X18" s="14"/>
      <c r="Y18" s="14"/>
      <c r="Z18" s="14"/>
      <c r="AA18" s="14"/>
      <c r="AB18" s="14"/>
      <c r="AC18" s="14"/>
      <c r="AD18" s="14"/>
      <c r="AE18" s="14"/>
    </row>
    <row r="19" spans="1:31" ht="12.75">
      <c r="A19" s="16" t="s">
        <v>32</v>
      </c>
      <c r="B19" s="347">
        <v>1327</v>
      </c>
      <c r="C19" s="348">
        <v>34.249869999999994</v>
      </c>
      <c r="D19" s="349">
        <v>43.16731000000001</v>
      </c>
      <c r="E19" s="328">
        <v>1329</v>
      </c>
      <c r="F19" s="14">
        <v>36.06906</v>
      </c>
      <c r="G19" s="327">
        <v>43.23237</v>
      </c>
      <c r="H19" s="350">
        <v>1327</v>
      </c>
      <c r="I19" s="14">
        <v>35.351279999999996</v>
      </c>
      <c r="J19" s="351">
        <v>43.16731000000001</v>
      </c>
      <c r="K19" s="350">
        <v>1322</v>
      </c>
      <c r="L19" s="14">
        <v>38.24546</v>
      </c>
      <c r="M19" s="330">
        <v>43.00466</v>
      </c>
      <c r="N19" s="350">
        <v>1318</v>
      </c>
      <c r="O19" s="14">
        <v>41.5829</v>
      </c>
      <c r="P19" s="330">
        <v>42.87454</v>
      </c>
      <c r="Q19" s="350">
        <v>1293</v>
      </c>
      <c r="R19" s="352">
        <v>40.07007</v>
      </c>
      <c r="S19" s="330">
        <v>42.06129</v>
      </c>
      <c r="T19" s="332">
        <v>12995</v>
      </c>
      <c r="U19" s="14"/>
      <c r="V19" s="14"/>
      <c r="W19" s="14"/>
      <c r="X19" s="14"/>
      <c r="Y19" s="14"/>
      <c r="Z19" s="14"/>
      <c r="AA19" s="14"/>
      <c r="AB19" s="14"/>
      <c r="AC19" s="14"/>
      <c r="AD19" s="14"/>
      <c r="AE19" s="14"/>
    </row>
    <row r="20" spans="1:31" ht="12.75">
      <c r="A20" s="16" t="s">
        <v>251</v>
      </c>
      <c r="B20" s="347">
        <v>0</v>
      </c>
      <c r="C20" s="348">
        <v>0</v>
      </c>
      <c r="D20" s="349">
        <v>0</v>
      </c>
      <c r="E20" s="328">
        <v>0</v>
      </c>
      <c r="F20" s="14">
        <v>0</v>
      </c>
      <c r="G20" s="327">
        <v>0</v>
      </c>
      <c r="H20" s="355">
        <v>0</v>
      </c>
      <c r="I20" s="14">
        <v>0</v>
      </c>
      <c r="J20" s="351">
        <v>0</v>
      </c>
      <c r="K20" s="350">
        <v>0</v>
      </c>
      <c r="L20" s="14">
        <v>0</v>
      </c>
      <c r="M20" s="330">
        <v>0</v>
      </c>
      <c r="N20" s="350">
        <v>0</v>
      </c>
      <c r="O20" s="14">
        <v>0</v>
      </c>
      <c r="P20" s="330">
        <v>0</v>
      </c>
      <c r="Q20" s="350">
        <v>0</v>
      </c>
      <c r="R20" s="352">
        <v>0</v>
      </c>
      <c r="S20" s="330">
        <v>0</v>
      </c>
      <c r="T20" s="332">
        <v>12995</v>
      </c>
      <c r="U20" s="14"/>
      <c r="V20" s="14"/>
      <c r="W20" s="14"/>
      <c r="X20" s="14"/>
      <c r="Y20" s="14"/>
      <c r="Z20" s="14"/>
      <c r="AA20" s="14"/>
      <c r="AB20" s="14"/>
      <c r="AC20" s="14"/>
      <c r="AD20" s="14"/>
      <c r="AE20" s="14"/>
    </row>
    <row r="21" spans="1:31" ht="12.75">
      <c r="A21" s="16" t="s">
        <v>252</v>
      </c>
      <c r="B21" s="347">
        <v>79</v>
      </c>
      <c r="C21" s="348">
        <v>0.77736</v>
      </c>
      <c r="D21" s="349">
        <v>0.59329</v>
      </c>
      <c r="E21" s="328">
        <v>79</v>
      </c>
      <c r="F21" s="14">
        <v>0.77736</v>
      </c>
      <c r="G21" s="327">
        <v>0.59329</v>
      </c>
      <c r="H21" s="355">
        <v>71</v>
      </c>
      <c r="I21" s="14">
        <v>0.69864</v>
      </c>
      <c r="J21" s="351">
        <v>0.5332100000000001</v>
      </c>
      <c r="K21" s="355">
        <v>71</v>
      </c>
      <c r="L21" s="14">
        <v>0.69864</v>
      </c>
      <c r="M21" s="330">
        <v>0.5332100000000001</v>
      </c>
      <c r="N21" s="355">
        <v>76</v>
      </c>
      <c r="O21" s="14">
        <v>0.68324</v>
      </c>
      <c r="P21" s="330">
        <v>0.57076</v>
      </c>
      <c r="Q21" s="350">
        <v>75</v>
      </c>
      <c r="R21" s="352">
        <v>0.6795</v>
      </c>
      <c r="S21" s="330">
        <v>0.56325</v>
      </c>
      <c r="T21" s="332">
        <v>630707</v>
      </c>
      <c r="U21" s="14"/>
      <c r="V21" s="14"/>
      <c r="W21" s="14"/>
      <c r="X21" s="14"/>
      <c r="Y21" s="14"/>
      <c r="Z21" s="14"/>
      <c r="AA21" s="14"/>
      <c r="AB21" s="14"/>
      <c r="AC21" s="14"/>
      <c r="AD21" s="14"/>
      <c r="AE21" s="14"/>
    </row>
    <row r="22" spans="1:31" ht="12.75">
      <c r="A22" s="16" t="s">
        <v>253</v>
      </c>
      <c r="B22" s="347">
        <v>448</v>
      </c>
      <c r="C22" s="348">
        <v>13.18912</v>
      </c>
      <c r="D22" s="349">
        <v>27.33248</v>
      </c>
      <c r="E22" s="328">
        <v>446</v>
      </c>
      <c r="F22" s="14">
        <v>13.13024</v>
      </c>
      <c r="G22" s="327">
        <v>27.210459999999998</v>
      </c>
      <c r="H22" s="355">
        <v>400</v>
      </c>
      <c r="I22" s="14">
        <v>11.776</v>
      </c>
      <c r="J22" s="351">
        <v>24.404</v>
      </c>
      <c r="K22" s="355">
        <v>405</v>
      </c>
      <c r="L22" s="14">
        <v>11.923200000000001</v>
      </c>
      <c r="M22" s="330">
        <v>24.709049999999998</v>
      </c>
      <c r="N22" s="355">
        <v>275</v>
      </c>
      <c r="O22" s="14">
        <v>7.656</v>
      </c>
      <c r="P22" s="330">
        <v>16.77775</v>
      </c>
      <c r="Q22" s="350">
        <v>298</v>
      </c>
      <c r="R22" s="352">
        <v>8.397639999999999</v>
      </c>
      <c r="S22" s="330">
        <v>18.180979999999998</v>
      </c>
      <c r="T22" s="332">
        <v>630707</v>
      </c>
      <c r="U22" s="14"/>
      <c r="V22" s="14"/>
      <c r="W22" s="14"/>
      <c r="X22" s="14"/>
      <c r="Y22" s="14"/>
      <c r="Z22" s="14"/>
      <c r="AA22" s="14"/>
      <c r="AB22" s="14"/>
      <c r="AC22" s="14"/>
      <c r="AD22" s="14"/>
      <c r="AE22" s="14"/>
    </row>
    <row r="23" spans="1:20" ht="12.75">
      <c r="A23" s="16" t="s">
        <v>254</v>
      </c>
      <c r="B23" s="347">
        <v>945</v>
      </c>
      <c r="C23" s="348">
        <v>44.10315</v>
      </c>
      <c r="D23" s="349">
        <v>80.86364999999999</v>
      </c>
      <c r="E23" s="328">
        <v>1025</v>
      </c>
      <c r="F23" s="124">
        <v>47.83675</v>
      </c>
      <c r="G23" s="356">
        <v>87.70925</v>
      </c>
      <c r="H23" s="350">
        <v>1007</v>
      </c>
      <c r="I23" s="14">
        <v>46.99669</v>
      </c>
      <c r="J23" s="351">
        <v>86.16899</v>
      </c>
      <c r="K23" s="350">
        <v>1036</v>
      </c>
      <c r="L23" s="14">
        <v>48.350120000000004</v>
      </c>
      <c r="M23" s="330">
        <v>88.65051999999999</v>
      </c>
      <c r="N23" s="350">
        <v>1205</v>
      </c>
      <c r="O23" s="14">
        <v>55.442049999999995</v>
      </c>
      <c r="P23" s="330">
        <v>103.11184999999999</v>
      </c>
      <c r="Q23" s="350">
        <v>1302</v>
      </c>
      <c r="R23" s="352">
        <v>56.728139999999996</v>
      </c>
      <c r="S23" s="330">
        <v>111.41213999999998</v>
      </c>
      <c r="T23" s="357">
        <v>630707</v>
      </c>
    </row>
    <row r="24" spans="1:20" ht="12.75">
      <c r="A24" s="16" t="s">
        <v>255</v>
      </c>
      <c r="B24" s="347">
        <v>286</v>
      </c>
      <c r="C24" s="348">
        <v>4.92492</v>
      </c>
      <c r="D24" s="349">
        <v>9.06048</v>
      </c>
      <c r="E24" s="328">
        <v>289</v>
      </c>
      <c r="F24" s="124">
        <v>4.97658</v>
      </c>
      <c r="G24" s="356">
        <v>9.155520000000001</v>
      </c>
      <c r="H24" s="350">
        <v>280</v>
      </c>
      <c r="I24" s="14">
        <v>4.821599999999999</v>
      </c>
      <c r="J24" s="351">
        <v>8.8704</v>
      </c>
      <c r="K24" s="350">
        <v>278</v>
      </c>
      <c r="L24" s="14">
        <v>4.78716</v>
      </c>
      <c r="M24" s="330">
        <v>8.807039999999999</v>
      </c>
      <c r="N24" s="350">
        <v>191</v>
      </c>
      <c r="O24" s="14">
        <v>3.1304900000000004</v>
      </c>
      <c r="P24" s="330">
        <v>6.05088</v>
      </c>
      <c r="Q24" s="350">
        <v>165</v>
      </c>
      <c r="R24" s="352">
        <v>2.74065</v>
      </c>
      <c r="S24" s="330">
        <v>5.2272</v>
      </c>
      <c r="T24" s="357">
        <v>630707</v>
      </c>
    </row>
    <row r="25" spans="1:20" ht="12.75">
      <c r="A25" s="16" t="s">
        <v>49</v>
      </c>
      <c r="B25" s="347">
        <v>83</v>
      </c>
      <c r="C25" s="348">
        <v>2.46925</v>
      </c>
      <c r="D25" s="349">
        <v>0.56274</v>
      </c>
      <c r="E25" s="328">
        <v>81</v>
      </c>
      <c r="F25" s="14">
        <v>2.40975</v>
      </c>
      <c r="G25" s="327">
        <v>0.53946</v>
      </c>
      <c r="H25" s="350">
        <v>80</v>
      </c>
      <c r="I25" s="14">
        <v>2.38</v>
      </c>
      <c r="J25" s="351">
        <v>0.5327999999999999</v>
      </c>
      <c r="K25" s="350">
        <v>85</v>
      </c>
      <c r="L25" s="14">
        <v>2.52875</v>
      </c>
      <c r="M25" s="330">
        <v>8.82555</v>
      </c>
      <c r="N25" s="350">
        <v>91</v>
      </c>
      <c r="O25" s="14">
        <v>2.70725</v>
      </c>
      <c r="P25" s="330">
        <v>0.63063</v>
      </c>
      <c r="Q25" s="350">
        <v>98</v>
      </c>
      <c r="R25" s="352">
        <v>0</v>
      </c>
      <c r="S25" s="330">
        <v>2.1638399999999995</v>
      </c>
      <c r="T25" s="332">
        <v>3250</v>
      </c>
    </row>
    <row r="26" spans="1:31" ht="12.75">
      <c r="A26" s="16" t="s">
        <v>35</v>
      </c>
      <c r="B26" s="347">
        <v>6</v>
      </c>
      <c r="C26" s="358">
        <v>0.8</v>
      </c>
      <c r="D26" s="349">
        <v>0.8</v>
      </c>
      <c r="E26" s="359">
        <v>6</v>
      </c>
      <c r="F26" s="124">
        <v>0.8</v>
      </c>
      <c r="G26" s="356">
        <v>0.8</v>
      </c>
      <c r="H26" s="350">
        <v>6</v>
      </c>
      <c r="I26" s="360">
        <v>0.8</v>
      </c>
      <c r="J26" s="351">
        <v>0.8</v>
      </c>
      <c r="K26" s="350">
        <v>6</v>
      </c>
      <c r="L26" s="14">
        <v>0.8</v>
      </c>
      <c r="M26" s="330">
        <v>0.8</v>
      </c>
      <c r="N26" s="350">
        <v>6</v>
      </c>
      <c r="O26" s="124">
        <v>0.8</v>
      </c>
      <c r="P26" s="361">
        <v>0.8</v>
      </c>
      <c r="Q26" s="350">
        <v>6</v>
      </c>
      <c r="R26" s="352">
        <v>0.8</v>
      </c>
      <c r="S26" s="330">
        <v>0.8</v>
      </c>
      <c r="T26" s="332">
        <v>23444</v>
      </c>
      <c r="U26" s="14"/>
      <c r="V26" s="14"/>
      <c r="W26" s="14"/>
      <c r="X26" s="14"/>
      <c r="Y26" s="14"/>
      <c r="Z26" s="14"/>
      <c r="AA26" s="14"/>
      <c r="AB26" s="14"/>
      <c r="AC26" s="14"/>
      <c r="AD26" s="14"/>
      <c r="AE26" s="14"/>
    </row>
    <row r="27" spans="1:31" ht="13.5" thickBot="1">
      <c r="A27" s="94" t="s">
        <v>53</v>
      </c>
      <c r="B27" s="334">
        <f aca="true" t="shared" si="1" ref="B27:S27">SUM(B18:B26)</f>
        <v>8516</v>
      </c>
      <c r="C27" s="362">
        <f t="shared" si="1"/>
        <v>210.446688</v>
      </c>
      <c r="D27" s="363">
        <f t="shared" si="1"/>
        <v>429.63486800000004</v>
      </c>
      <c r="E27" s="337">
        <f t="shared" si="1"/>
        <v>8608</v>
      </c>
      <c r="F27" s="338">
        <f t="shared" si="1"/>
        <v>219.90622700000003</v>
      </c>
      <c r="G27" s="339">
        <f t="shared" si="1"/>
        <v>437.0455870000001</v>
      </c>
      <c r="H27" s="337">
        <f t="shared" si="1"/>
        <v>8498</v>
      </c>
      <c r="I27" s="14">
        <f t="shared" si="1"/>
        <v>216.19875100000002</v>
      </c>
      <c r="J27" s="364">
        <f t="shared" si="1"/>
        <v>430.981193</v>
      </c>
      <c r="K27" s="337">
        <f t="shared" si="1"/>
        <v>8433</v>
      </c>
      <c r="L27" s="338">
        <f t="shared" si="1"/>
        <v>234.68906000000004</v>
      </c>
      <c r="M27" s="340">
        <f t="shared" si="1"/>
        <v>436.9817</v>
      </c>
      <c r="N27" s="337">
        <f t="shared" si="1"/>
        <v>7947</v>
      </c>
      <c r="O27" s="338">
        <f t="shared" si="1"/>
        <v>233.26818500000002</v>
      </c>
      <c r="P27" s="340">
        <f t="shared" si="1"/>
        <v>410.20517500000005</v>
      </c>
      <c r="Q27" s="337">
        <f t="shared" si="1"/>
        <v>7437</v>
      </c>
      <c r="R27" s="335">
        <f t="shared" si="1"/>
        <v>180.9924</v>
      </c>
      <c r="S27" s="340">
        <f t="shared" si="1"/>
        <v>390.53049999999996</v>
      </c>
      <c r="T27" s="365"/>
      <c r="U27" s="14"/>
      <c r="V27" s="14"/>
      <c r="W27" s="124"/>
      <c r="X27" s="14"/>
      <c r="Y27" s="14"/>
      <c r="Z27" s="14"/>
      <c r="AA27" s="14"/>
      <c r="AB27" s="14"/>
      <c r="AC27" s="14"/>
      <c r="AD27" s="14"/>
      <c r="AE27" s="14"/>
    </row>
    <row r="28" spans="1:31" ht="14.25" thickBot="1" thickTop="1">
      <c r="A28" s="46" t="s">
        <v>26</v>
      </c>
      <c r="B28" s="366">
        <f>+B16+B27</f>
        <v>359844</v>
      </c>
      <c r="C28" s="367">
        <f>+C16+C27</f>
        <v>1451.2829829999998</v>
      </c>
      <c r="D28" s="368">
        <f>D16+D27</f>
        <v>831.7833680000001</v>
      </c>
      <c r="E28" s="369">
        <f>+E16+E27</f>
        <v>358240</v>
      </c>
      <c r="F28" s="370">
        <f>+F16+F27</f>
        <v>1472.196442</v>
      </c>
      <c r="G28" s="371">
        <f>+G16+G27</f>
        <v>840.3370870000001</v>
      </c>
      <c r="H28" s="369">
        <f>+H16+H27</f>
        <v>356294</v>
      </c>
      <c r="I28" s="370">
        <f>I16+I27</f>
        <v>1450.3283340000003</v>
      </c>
      <c r="J28" s="372">
        <f>J16+J27</f>
        <v>833.353693</v>
      </c>
      <c r="K28" s="369">
        <f>+K16+K27</f>
        <v>354010</v>
      </c>
      <c r="L28" s="370">
        <f>L16+L27</f>
        <v>1516.5559900000003</v>
      </c>
      <c r="M28" s="340">
        <f>M16+M27</f>
        <v>840.2777</v>
      </c>
      <c r="N28" s="369">
        <f>+N16+N27</f>
        <v>351534</v>
      </c>
      <c r="O28" s="370">
        <f>O16+O27</f>
        <v>1532.108165</v>
      </c>
      <c r="P28" s="340">
        <f>P16+P27</f>
        <v>814.2646750000001</v>
      </c>
      <c r="Q28" s="369">
        <f>+Q16+Q27</f>
        <v>349798</v>
      </c>
      <c r="R28" s="373">
        <f>R16+R27</f>
        <v>1332.28517</v>
      </c>
      <c r="S28" s="340">
        <f>S16+S27</f>
        <v>795.1935</v>
      </c>
      <c r="T28" s="374"/>
      <c r="U28" s="14"/>
      <c r="V28" s="14"/>
      <c r="W28" s="14"/>
      <c r="X28" s="14"/>
      <c r="Y28" s="14"/>
      <c r="Z28" s="14"/>
      <c r="AA28" s="14"/>
      <c r="AB28" s="14"/>
      <c r="AC28" s="14"/>
      <c r="AD28" s="14"/>
      <c r="AE28" s="14"/>
    </row>
    <row r="29" spans="10:20" ht="13.5" thickTop="1">
      <c r="J29" s="375"/>
      <c r="K29" s="326"/>
      <c r="L29" s="124"/>
      <c r="T29" s="376"/>
    </row>
    <row r="30" ht="12.75">
      <c r="T30" s="376"/>
    </row>
    <row r="31" spans="1:21" ht="12.75">
      <c r="A31" s="19"/>
      <c r="B31" s="452" t="s">
        <v>6</v>
      </c>
      <c r="C31" s="453"/>
      <c r="D31" s="454"/>
      <c r="E31" s="452" t="s">
        <v>7</v>
      </c>
      <c r="F31" s="453"/>
      <c r="G31" s="454"/>
      <c r="H31" s="452" t="s">
        <v>8</v>
      </c>
      <c r="I31" s="453"/>
      <c r="J31" s="454"/>
      <c r="K31" s="452" t="s">
        <v>9</v>
      </c>
      <c r="L31" s="453"/>
      <c r="M31" s="454"/>
      <c r="N31" s="452" t="s">
        <v>10</v>
      </c>
      <c r="O31" s="453"/>
      <c r="P31" s="454"/>
      <c r="Q31" s="452" t="s">
        <v>11</v>
      </c>
      <c r="R31" s="453"/>
      <c r="S31" s="454"/>
      <c r="T31" s="377"/>
      <c r="U31" s="378"/>
    </row>
    <row r="32" spans="1:21" ht="38.25">
      <c r="A32" s="42" t="s">
        <v>24</v>
      </c>
      <c r="B32" s="20" t="s">
        <v>18</v>
      </c>
      <c r="C32" s="20" t="s">
        <v>248</v>
      </c>
      <c r="D32" s="17" t="s">
        <v>249</v>
      </c>
      <c r="E32" s="20" t="s">
        <v>18</v>
      </c>
      <c r="F32" s="20" t="s">
        <v>248</v>
      </c>
      <c r="G32" s="17" t="s">
        <v>249</v>
      </c>
      <c r="H32" s="20" t="s">
        <v>18</v>
      </c>
      <c r="I32" s="20" t="s">
        <v>248</v>
      </c>
      <c r="J32" s="17" t="s">
        <v>249</v>
      </c>
      <c r="K32" s="20" t="s">
        <v>18</v>
      </c>
      <c r="L32" s="20" t="s">
        <v>248</v>
      </c>
      <c r="M32" s="17" t="s">
        <v>249</v>
      </c>
      <c r="N32" s="20" t="s">
        <v>18</v>
      </c>
      <c r="O32" s="20" t="s">
        <v>248</v>
      </c>
      <c r="P32" s="17" t="s">
        <v>249</v>
      </c>
      <c r="Q32" s="20" t="s">
        <v>18</v>
      </c>
      <c r="R32" s="20" t="s">
        <v>248</v>
      </c>
      <c r="S32" s="17" t="s">
        <v>249</v>
      </c>
      <c r="T32" s="379" t="s">
        <v>250</v>
      </c>
      <c r="U32" s="1"/>
    </row>
    <row r="33" spans="1:21" ht="12.75">
      <c r="A33" s="93" t="s">
        <v>25</v>
      </c>
      <c r="B33" s="325"/>
      <c r="C33" s="20"/>
      <c r="D33" s="311"/>
      <c r="E33" s="325"/>
      <c r="F33" s="20"/>
      <c r="G33" s="311"/>
      <c r="H33" s="325"/>
      <c r="I33" s="20"/>
      <c r="J33" s="20"/>
      <c r="K33" s="325"/>
      <c r="L33" s="20"/>
      <c r="M33" s="311"/>
      <c r="N33" s="425"/>
      <c r="O33" s="20"/>
      <c r="P33" s="311"/>
      <c r="Q33" s="325"/>
      <c r="R33" s="20"/>
      <c r="S33" s="311"/>
      <c r="T33" s="380"/>
      <c r="U33" s="1"/>
    </row>
    <row r="34" spans="1:21" ht="12.75">
      <c r="A34" s="16" t="s">
        <v>169</v>
      </c>
      <c r="B34" s="359">
        <v>573</v>
      </c>
      <c r="C34" s="381">
        <v>502.92783000000003</v>
      </c>
      <c r="D34" s="330">
        <v>327.4695</v>
      </c>
      <c r="E34" s="328">
        <v>579</v>
      </c>
      <c r="F34" s="14">
        <v>505.93019999999996</v>
      </c>
      <c r="G34" s="330">
        <v>330.8985</v>
      </c>
      <c r="H34" s="328">
        <v>584</v>
      </c>
      <c r="I34" s="14">
        <f>H34*'LI (ExPost &amp; ExAnte)'!J28/1000</f>
        <v>526.27744</v>
      </c>
      <c r="J34" s="382">
        <f>H34*'LI (ExPost &amp; ExAnte)'!J6/1000</f>
        <v>333.756</v>
      </c>
      <c r="K34" s="419">
        <v>584</v>
      </c>
      <c r="L34" s="14">
        <f>K34*'LI (ExPost &amp; ExAnte)'!K28/1000</f>
        <v>549.982</v>
      </c>
      <c r="M34" s="349">
        <f>K34*'LI (ExPost &amp; ExAnte)'!K6/1000</f>
        <v>333.756</v>
      </c>
      <c r="N34" s="419">
        <v>565</v>
      </c>
      <c r="O34" s="14">
        <f>N34*'LI (ExPost &amp; ExAnte)'!L28/1000</f>
        <v>496.70279999999997</v>
      </c>
      <c r="P34" s="330">
        <f>N34*'LI (ExPost &amp; ExAnte)'!L6/1000</f>
        <v>322.8975</v>
      </c>
      <c r="Q34" s="328">
        <v>558</v>
      </c>
      <c r="R34" s="383">
        <f>Q34*'LI (ExPost &amp; ExAnte)'!M28/1000</f>
        <v>460.2663</v>
      </c>
      <c r="S34" s="353">
        <f>Q34*'LI (ExPost &amp; ExAnte)'!M6/1000</f>
        <v>318.897</v>
      </c>
      <c r="T34" s="332">
        <v>11780</v>
      </c>
      <c r="U34" s="1"/>
    </row>
    <row r="35" spans="1:21" ht="12.75">
      <c r="A35" s="16" t="s">
        <v>170</v>
      </c>
      <c r="B35" s="359">
        <v>67</v>
      </c>
      <c r="C35" s="14">
        <v>58.80657</v>
      </c>
      <c r="D35" s="330">
        <v>38.2905</v>
      </c>
      <c r="E35" s="328">
        <v>66</v>
      </c>
      <c r="F35" s="14">
        <v>57.67079999999999</v>
      </c>
      <c r="G35" s="330">
        <v>37.719</v>
      </c>
      <c r="H35" s="328">
        <v>67</v>
      </c>
      <c r="I35" s="14">
        <f>H35*'LI (ExPost &amp; ExAnte)'!J28/1000</f>
        <v>60.377720000000004</v>
      </c>
      <c r="J35" s="382">
        <f>H35*'LI (ExPost &amp; ExAnte)'!J6/1000</f>
        <v>38.2905</v>
      </c>
      <c r="K35" s="328">
        <v>68</v>
      </c>
      <c r="L35" s="14">
        <f>K35*'LI (ExPost &amp; ExAnte)'!K28/1000</f>
        <v>64.039</v>
      </c>
      <c r="M35" s="349">
        <f>K35*'LI (ExPost &amp; ExAnte)'!K6/1000</f>
        <v>38.862</v>
      </c>
      <c r="N35" s="328">
        <v>67</v>
      </c>
      <c r="O35" s="14">
        <f>N35*'LI (ExPost &amp; ExAnte)'!L28/1000</f>
        <v>58.90104</v>
      </c>
      <c r="P35" s="330">
        <f>N35*'LI (ExPost &amp; ExAnte)'!L6/1000</f>
        <v>38.2905</v>
      </c>
      <c r="Q35" s="328">
        <v>68</v>
      </c>
      <c r="R35" s="383">
        <f>Q35*'LI (ExPost &amp; ExAnte)'!M28/1000</f>
        <v>56.089800000000004</v>
      </c>
      <c r="S35" s="330">
        <f>Q35*'LI (ExPost &amp; ExAnte)'!M6/1000</f>
        <v>38.862</v>
      </c>
      <c r="T35" s="332">
        <v>11780</v>
      </c>
      <c r="U35" s="1"/>
    </row>
    <row r="36" spans="1:21" ht="12.75">
      <c r="A36" s="16" t="s">
        <v>44</v>
      </c>
      <c r="B36" s="359">
        <v>66093</v>
      </c>
      <c r="C36" s="14">
        <v>116.32368000000001</v>
      </c>
      <c r="D36" s="330" t="s">
        <v>67</v>
      </c>
      <c r="E36" s="328">
        <v>65699</v>
      </c>
      <c r="F36" s="14">
        <v>105.11840000000001</v>
      </c>
      <c r="G36" s="330" t="s">
        <v>67</v>
      </c>
      <c r="H36" s="328">
        <v>65307</v>
      </c>
      <c r="I36" s="14">
        <f>H36*'LI (ExPost &amp; ExAnte)'!J29/1000</f>
        <v>110.36883</v>
      </c>
      <c r="J36" s="349" t="s">
        <v>67</v>
      </c>
      <c r="K36" s="328">
        <v>65053</v>
      </c>
      <c r="L36" s="14">
        <f>K36*'LI (ExPost &amp; ExAnte)'!K29/1000</f>
        <v>106.68692</v>
      </c>
      <c r="M36" s="349" t="s">
        <v>67</v>
      </c>
      <c r="N36" s="328">
        <v>64722</v>
      </c>
      <c r="O36" s="14">
        <f>N36*'LI (ExPost &amp; ExAnte)'!L29/1000</f>
        <v>106.14407999999999</v>
      </c>
      <c r="P36" s="349" t="s">
        <v>67</v>
      </c>
      <c r="Q36" s="328">
        <v>64193</v>
      </c>
      <c r="R36" s="383">
        <f>Q36*'LI (ExPost &amp; ExAnte)'!M29/1000</f>
        <v>105.27651999999999</v>
      </c>
      <c r="S36" s="330" t="s">
        <v>67</v>
      </c>
      <c r="T36" s="332">
        <v>2100470</v>
      </c>
      <c r="U36" s="1"/>
    </row>
    <row r="37" spans="1:21" ht="12.75">
      <c r="A37" s="16" t="s">
        <v>45</v>
      </c>
      <c r="B37" s="359">
        <v>2523</v>
      </c>
      <c r="C37" s="14">
        <v>20.46153</v>
      </c>
      <c r="D37" s="330" t="s">
        <v>67</v>
      </c>
      <c r="E37" s="328">
        <v>2529</v>
      </c>
      <c r="F37" s="14">
        <v>22.381649999999997</v>
      </c>
      <c r="G37" s="330" t="s">
        <v>67</v>
      </c>
      <c r="H37" s="328">
        <v>2505</v>
      </c>
      <c r="I37" s="14">
        <f>H37*'LI (ExPost &amp; ExAnte)'!J30/1000</f>
        <v>21.768449999999998</v>
      </c>
      <c r="J37" s="349" t="s">
        <v>67</v>
      </c>
      <c r="K37" s="328">
        <v>2493</v>
      </c>
      <c r="L37" s="14">
        <f>K37*'LI (ExPost &amp; ExAnte)'!K30/1000</f>
        <v>19.844279999999998</v>
      </c>
      <c r="M37" s="349" t="s">
        <v>67</v>
      </c>
      <c r="N37" s="328">
        <v>2468</v>
      </c>
      <c r="O37" s="14">
        <f>N37*'LI (ExPost &amp; ExAnte)'!L30/1000</f>
        <v>19.64528</v>
      </c>
      <c r="P37" s="349" t="s">
        <v>67</v>
      </c>
      <c r="Q37" s="328">
        <v>2455</v>
      </c>
      <c r="R37" s="383">
        <f>Q37*'LI (ExPost &amp; ExAnte)'!M30/1000</f>
        <v>19.5418</v>
      </c>
      <c r="S37" s="330" t="s">
        <v>67</v>
      </c>
      <c r="T37" s="332">
        <v>463742</v>
      </c>
      <c r="U37" s="1"/>
    </row>
    <row r="38" spans="1:21" ht="12.75">
      <c r="A38" s="16" t="s">
        <v>46</v>
      </c>
      <c r="B38" s="359">
        <v>263317</v>
      </c>
      <c r="C38" s="14">
        <v>463.43791999999996</v>
      </c>
      <c r="D38" s="330" t="s">
        <v>67</v>
      </c>
      <c r="E38" s="328">
        <v>263748</v>
      </c>
      <c r="F38" s="14">
        <v>421.99680000000006</v>
      </c>
      <c r="G38" s="330" t="s">
        <v>67</v>
      </c>
      <c r="H38" s="328">
        <v>264118</v>
      </c>
      <c r="I38" s="14">
        <f>H38*'LI (ExPost &amp; ExAnte)'!J29/1000</f>
        <v>446.35942</v>
      </c>
      <c r="J38" s="349" t="s">
        <v>67</v>
      </c>
      <c r="K38" s="328">
        <v>264039</v>
      </c>
      <c r="L38" s="14">
        <f>K38*'LI (ExPost &amp; ExAnte)'!K29/1000</f>
        <v>433.02396</v>
      </c>
      <c r="M38" s="349" t="s">
        <v>67</v>
      </c>
      <c r="N38" s="328">
        <v>263079</v>
      </c>
      <c r="O38" s="14">
        <f>N38*'LI (ExPost &amp; ExAnte)'!L29/1000</f>
        <v>431.44956</v>
      </c>
      <c r="P38" s="349" t="s">
        <v>67</v>
      </c>
      <c r="Q38" s="328">
        <v>261615</v>
      </c>
      <c r="R38" s="383">
        <f>Q38*'LI (ExPost &amp; ExAnte)'!M29/1000</f>
        <v>429.04859999999996</v>
      </c>
      <c r="S38" s="330" t="s">
        <v>67</v>
      </c>
      <c r="T38" s="332">
        <v>2100470</v>
      </c>
      <c r="U38" s="1"/>
    </row>
    <row r="39" spans="1:21" ht="12.75">
      <c r="A39" s="16" t="s">
        <v>47</v>
      </c>
      <c r="B39" s="359">
        <v>8593</v>
      </c>
      <c r="C39" s="14">
        <v>69.68923</v>
      </c>
      <c r="D39" s="330" t="s">
        <v>67</v>
      </c>
      <c r="E39" s="328">
        <v>8616</v>
      </c>
      <c r="F39" s="14">
        <v>76.2516</v>
      </c>
      <c r="G39" s="330" t="s">
        <v>67</v>
      </c>
      <c r="H39" s="328">
        <v>8615</v>
      </c>
      <c r="I39" s="14">
        <f>H39*'LI (ExPost &amp; ExAnte)'!J30/1000</f>
        <v>74.86434999999999</v>
      </c>
      <c r="J39" s="349" t="s">
        <v>67</v>
      </c>
      <c r="K39" s="328">
        <v>8640</v>
      </c>
      <c r="L39" s="14">
        <f>K39*'LI (ExPost &amp; ExAnte)'!K30/1000</f>
        <v>68.7744</v>
      </c>
      <c r="M39" s="349" t="s">
        <v>67</v>
      </c>
      <c r="N39" s="328">
        <v>8615</v>
      </c>
      <c r="O39" s="14">
        <f>N39*'LI (ExPost &amp; ExAnte)'!L30/1000</f>
        <v>68.57539999999999</v>
      </c>
      <c r="P39" s="349" t="s">
        <v>67</v>
      </c>
      <c r="Q39" s="328">
        <v>8583</v>
      </c>
      <c r="R39" s="383">
        <f>Q39*'LI (ExPost &amp; ExAnte)'!M30/1000</f>
        <v>68.32068</v>
      </c>
      <c r="S39" s="330" t="s">
        <v>67</v>
      </c>
      <c r="T39" s="332">
        <v>463742</v>
      </c>
      <c r="U39" s="1"/>
    </row>
    <row r="40" spans="1:21" ht="12.75">
      <c r="A40" s="16" t="s">
        <v>15</v>
      </c>
      <c r="B40" s="359">
        <v>12</v>
      </c>
      <c r="C40" s="14">
        <v>18.12732</v>
      </c>
      <c r="D40" s="330">
        <v>18.204</v>
      </c>
      <c r="E40" s="328">
        <v>12</v>
      </c>
      <c r="F40" s="14">
        <v>18.38508</v>
      </c>
      <c r="G40" s="330">
        <v>18.204</v>
      </c>
      <c r="H40" s="328">
        <v>12</v>
      </c>
      <c r="I40" s="14">
        <f>H40*'LI (ExPost &amp; ExAnte)'!J31/1000</f>
        <v>17.63016</v>
      </c>
      <c r="J40" s="382">
        <f>H40*'LI (ExPost &amp; ExAnte)'!J9/1000</f>
        <v>18.204</v>
      </c>
      <c r="K40" s="328">
        <v>12</v>
      </c>
      <c r="L40" s="14">
        <f>K40*'LI (ExPost &amp; ExAnte)'!K31/1000</f>
        <v>17.406599999999997</v>
      </c>
      <c r="M40" s="349">
        <f>K40*'LI (ExPost &amp; ExAnte)'!K9/1000</f>
        <v>18.204</v>
      </c>
      <c r="N40" s="328">
        <v>12</v>
      </c>
      <c r="O40" s="14">
        <f>N40*'LI (ExPost &amp; ExAnte)'!L31/1000</f>
        <v>17.979239999999997</v>
      </c>
      <c r="P40" s="330">
        <f>N40*'LI (ExPost &amp; ExAnte)'!L9/1000</f>
        <v>18.204</v>
      </c>
      <c r="Q40" s="328">
        <v>12</v>
      </c>
      <c r="R40" s="383">
        <f>Q40*'LI (ExPost &amp; ExAnte)'!M31/1000</f>
        <v>16.177319999999998</v>
      </c>
      <c r="S40" s="330">
        <f>Q40*'LI (ExPost &amp; ExAnte)'!M9/1000</f>
        <v>18.204</v>
      </c>
      <c r="T40" s="333" t="s">
        <v>67</v>
      </c>
      <c r="U40" s="1"/>
    </row>
    <row r="41" spans="1:21" ht="12.75">
      <c r="A41" s="16" t="s">
        <v>16</v>
      </c>
      <c r="B41" s="359">
        <v>778</v>
      </c>
      <c r="C41" s="14">
        <v>35.67908</v>
      </c>
      <c r="D41" s="330">
        <v>24.896</v>
      </c>
      <c r="E41" s="384">
        <v>799</v>
      </c>
      <c r="F41" s="360">
        <v>37.16948</v>
      </c>
      <c r="G41" s="385">
        <v>25.568</v>
      </c>
      <c r="H41" s="328">
        <v>802</v>
      </c>
      <c r="I41" s="360">
        <f>H41*'LI (ExPost &amp; ExAnte)'!J32/1000</f>
        <v>30.62036</v>
      </c>
      <c r="J41" s="382">
        <f>H41*'LI (ExPost &amp; ExAnte)'!J10/1000</f>
        <v>25.664</v>
      </c>
      <c r="K41" s="384">
        <v>812</v>
      </c>
      <c r="L41" s="14">
        <f>K41*'LI (ExPost &amp; ExAnte)'!K32/1000</f>
        <v>32.00904</v>
      </c>
      <c r="M41" s="349">
        <f>K41*'LI (ExPost &amp; ExAnte)'!K10/1000</f>
        <v>25.984</v>
      </c>
      <c r="N41" s="384">
        <v>814</v>
      </c>
      <c r="O41" s="360">
        <f>N41*'LI (ExPost &amp; ExAnte)'!L32/1000</f>
        <v>25.038640000000004</v>
      </c>
      <c r="P41" s="385">
        <f>N41*'LI (ExPost &amp; ExAnte)'!L10/1000</f>
        <v>26.048</v>
      </c>
      <c r="Q41" s="328">
        <v>799</v>
      </c>
      <c r="R41" s="383">
        <f>Q41*'LI (ExPost &amp; ExAnte)'!M32/1000</f>
        <v>21.14154</v>
      </c>
      <c r="S41" s="385">
        <f>Q41*'LI (ExPost &amp; ExAnte)'!M10/1000</f>
        <v>25.568</v>
      </c>
      <c r="T41" s="332">
        <v>7368</v>
      </c>
      <c r="U41" s="1"/>
    </row>
    <row r="42" spans="1:21" ht="13.5" thickBot="1">
      <c r="A42" s="94" t="s">
        <v>23</v>
      </c>
      <c r="B42" s="337">
        <f aca="true" t="shared" si="2" ref="B42:S42">SUM(B34:B41)</f>
        <v>341956</v>
      </c>
      <c r="C42" s="338">
        <f t="shared" si="2"/>
        <v>1285.45316</v>
      </c>
      <c r="D42" s="340">
        <f t="shared" si="2"/>
        <v>408.86</v>
      </c>
      <c r="E42" s="337">
        <f t="shared" si="2"/>
        <v>342048</v>
      </c>
      <c r="F42" s="338">
        <f>SUM(F34:F41)</f>
        <v>1244.9040100000002</v>
      </c>
      <c r="G42" s="340">
        <f t="shared" si="2"/>
        <v>412.3895</v>
      </c>
      <c r="H42" s="337">
        <f t="shared" si="2"/>
        <v>342010</v>
      </c>
      <c r="I42" s="338">
        <f t="shared" si="2"/>
        <v>1288.2667299999998</v>
      </c>
      <c r="J42" s="364">
        <f t="shared" si="2"/>
        <v>415.9145</v>
      </c>
      <c r="K42" s="394">
        <f t="shared" si="2"/>
        <v>341701</v>
      </c>
      <c r="L42" s="338">
        <f t="shared" si="2"/>
        <v>1291.7662</v>
      </c>
      <c r="M42" s="340">
        <f t="shared" si="2"/>
        <v>416.806</v>
      </c>
      <c r="N42" s="394">
        <f t="shared" si="2"/>
        <v>340342</v>
      </c>
      <c r="O42" s="338">
        <f t="shared" si="2"/>
        <v>1224.4360399999998</v>
      </c>
      <c r="P42" s="340">
        <f>SUM(P34:P41)</f>
        <v>405.44</v>
      </c>
      <c r="Q42" s="337">
        <f t="shared" si="2"/>
        <v>338283</v>
      </c>
      <c r="R42" s="335">
        <f t="shared" si="2"/>
        <v>1175.86256</v>
      </c>
      <c r="S42" s="340">
        <f t="shared" si="2"/>
        <v>401.531</v>
      </c>
      <c r="T42" s="341"/>
      <c r="U42" s="1"/>
    </row>
    <row r="43" spans="1:21" ht="13.5" thickTop="1">
      <c r="A43" s="93" t="s">
        <v>52</v>
      </c>
      <c r="B43" s="343"/>
      <c r="C43" s="345"/>
      <c r="D43" s="311"/>
      <c r="E43" s="343"/>
      <c r="F43" s="345"/>
      <c r="G43" s="311"/>
      <c r="H43" s="343"/>
      <c r="I43" s="386"/>
      <c r="J43" s="342"/>
      <c r="K43" s="343"/>
      <c r="L43" s="345"/>
      <c r="M43" s="311"/>
      <c r="N43" s="343"/>
      <c r="O43" s="345"/>
      <c r="P43" s="311"/>
      <c r="Q43" s="387"/>
      <c r="R43" s="342"/>
      <c r="S43" s="388"/>
      <c r="T43" s="346"/>
      <c r="U43" s="1"/>
    </row>
    <row r="44" spans="1:21" ht="12.75">
      <c r="A44" s="16" t="s">
        <v>168</v>
      </c>
      <c r="B44" s="389">
        <v>4081</v>
      </c>
      <c r="C44" s="381">
        <v>71.980678</v>
      </c>
      <c r="D44" s="353">
        <v>204.168349</v>
      </c>
      <c r="E44" s="350">
        <v>4072</v>
      </c>
      <c r="F44" s="14">
        <v>73.07611200000001</v>
      </c>
      <c r="G44" s="330">
        <v>203.71808800000002</v>
      </c>
      <c r="H44" s="350">
        <v>4067</v>
      </c>
      <c r="I44" s="14">
        <f>H44*'LI (ExPost &amp; ExAnte)'!J33/1000</f>
        <v>72.84403700000001</v>
      </c>
      <c r="J44" s="351">
        <f>H44*'LI (ExPost &amp; ExAnte)'!J11/1000</f>
        <v>203.46794300000002</v>
      </c>
      <c r="K44" s="350">
        <v>4102</v>
      </c>
      <c r="L44" s="14">
        <f>K44*'LI (ExPost &amp; ExAnte)'!K33/1000</f>
        <v>84.004858</v>
      </c>
      <c r="M44" s="330">
        <f>K44*'LI (ExPost &amp; ExAnte)'!K11/1000</f>
        <v>205.21895800000001</v>
      </c>
      <c r="N44" s="389">
        <v>4124</v>
      </c>
      <c r="O44" s="381">
        <f>N44*'LI (ExPost &amp; ExAnte)'!L33/1000</f>
        <v>100.134844</v>
      </c>
      <c r="P44" s="353">
        <f>N44*'LI (ExPost &amp; ExAnte)'!L11/1000</f>
        <v>206.31959600000002</v>
      </c>
      <c r="Q44" s="350">
        <v>4116</v>
      </c>
      <c r="R44" s="352">
        <f>Q44*'LI (ExPost &amp; ExAnte)'!M33/1000</f>
        <v>85.641612</v>
      </c>
      <c r="S44" s="353">
        <f>Q44*'LI (ExPost &amp; ExAnte)'!M11/1000</f>
        <v>205.919364</v>
      </c>
      <c r="T44" s="354">
        <v>11481</v>
      </c>
      <c r="U44" s="1"/>
    </row>
    <row r="45" spans="1:21" ht="12.75">
      <c r="A45" s="16" t="s">
        <v>32</v>
      </c>
      <c r="B45" s="350">
        <v>1374</v>
      </c>
      <c r="C45" s="14">
        <v>44.146620000000006</v>
      </c>
      <c r="D45" s="330">
        <v>44.696220000000004</v>
      </c>
      <c r="E45" s="350">
        <v>1393</v>
      </c>
      <c r="F45" s="14">
        <v>46.13616</v>
      </c>
      <c r="G45" s="330">
        <v>45.31429</v>
      </c>
      <c r="H45" s="350">
        <v>1395</v>
      </c>
      <c r="I45" s="14">
        <f>H45*'LI (ExPost &amp; ExAnte)'!J35/1000</f>
        <v>46.38375</v>
      </c>
      <c r="J45" s="351">
        <f>H45*'LI (ExPost &amp; ExAnte)'!J13/1000</f>
        <v>45.379349999999995</v>
      </c>
      <c r="K45" s="350">
        <v>1392</v>
      </c>
      <c r="L45" s="14">
        <f>K45*'LI (ExPost &amp; ExAnte)'!K35/1000</f>
        <v>45.11471999999999</v>
      </c>
      <c r="M45" s="330">
        <f>K45*'LI (ExPost &amp; ExAnte)'!K13/1000</f>
        <v>45.281760000000006</v>
      </c>
      <c r="N45" s="350">
        <v>1378</v>
      </c>
      <c r="O45" s="14">
        <f>N45*'LI (ExPost &amp; ExAnte)'!L35/1000</f>
        <v>42.18058</v>
      </c>
      <c r="P45" s="330">
        <f>N45*'LI (ExPost &amp; ExAnte)'!L13/1000</f>
        <v>44.82634</v>
      </c>
      <c r="Q45" s="350">
        <v>1382</v>
      </c>
      <c r="R45" s="352">
        <f>Q45*'LI (ExPost &amp; ExAnte)'!M35/1000</f>
        <v>35.50358</v>
      </c>
      <c r="S45" s="330">
        <f>Q45*'LI (ExPost &amp; ExAnte)'!M13/1000</f>
        <v>44.95646</v>
      </c>
      <c r="T45" s="332">
        <v>12995</v>
      </c>
      <c r="U45" s="1"/>
    </row>
    <row r="46" spans="1:21" ht="12.75">
      <c r="A46" s="16" t="s">
        <v>251</v>
      </c>
      <c r="B46" s="350">
        <v>0</v>
      </c>
      <c r="C46" s="14">
        <v>0</v>
      </c>
      <c r="D46" s="330">
        <v>0</v>
      </c>
      <c r="E46" s="350">
        <v>0</v>
      </c>
      <c r="F46" s="14">
        <v>0</v>
      </c>
      <c r="G46" s="330">
        <v>0</v>
      </c>
      <c r="H46" s="350">
        <v>0</v>
      </c>
      <c r="I46" s="14">
        <v>0</v>
      </c>
      <c r="J46" s="351">
        <v>0</v>
      </c>
      <c r="K46" s="350">
        <v>0</v>
      </c>
      <c r="L46" s="14">
        <v>0</v>
      </c>
      <c r="M46" s="330">
        <v>0</v>
      </c>
      <c r="N46" s="350">
        <v>0</v>
      </c>
      <c r="O46" s="14">
        <v>0</v>
      </c>
      <c r="P46" s="330">
        <v>0</v>
      </c>
      <c r="Q46" s="350">
        <v>0</v>
      </c>
      <c r="R46" s="352">
        <v>0</v>
      </c>
      <c r="S46" s="330">
        <f>0</f>
        <v>0</v>
      </c>
      <c r="T46" s="332">
        <v>12995</v>
      </c>
      <c r="U46" s="1"/>
    </row>
    <row r="47" spans="1:21" ht="12.75">
      <c r="A47" s="16" t="s">
        <v>252</v>
      </c>
      <c r="B47" s="350">
        <v>78</v>
      </c>
      <c r="C47" s="14">
        <v>0.76284</v>
      </c>
      <c r="D47" s="330">
        <v>0.58578</v>
      </c>
      <c r="E47" s="350">
        <v>77</v>
      </c>
      <c r="F47" s="14">
        <v>0.77616</v>
      </c>
      <c r="G47" s="330">
        <v>0.57827</v>
      </c>
      <c r="H47" s="350">
        <v>78</v>
      </c>
      <c r="I47" s="14">
        <f>H47*'LI (ExPost &amp; ExAnte)'!J37/1000</f>
        <v>0.7683</v>
      </c>
      <c r="J47" s="351">
        <f>H47*'LI (ExPost &amp; ExAnte)'!J15/1000</f>
        <v>0.58578</v>
      </c>
      <c r="K47" s="350">
        <v>78</v>
      </c>
      <c r="L47" s="14">
        <f>K47*'LI (ExPost &amp; ExAnte)'!K37/1000</f>
        <v>0.7175999999999999</v>
      </c>
      <c r="M47" s="330">
        <f>K47*'LI (ExPost &amp; ExAnte)'!K15/1000</f>
        <v>0.58578</v>
      </c>
      <c r="N47" s="350">
        <v>104</v>
      </c>
      <c r="O47" s="14">
        <f>N47*'LI (ExPost &amp; ExAnte)'!L37/1000</f>
        <v>1.02336</v>
      </c>
      <c r="P47" s="330">
        <f>N47*'LI (ExPost &amp; ExAnte)'!L15/1000</f>
        <v>0.78104</v>
      </c>
      <c r="Q47" s="350">
        <v>97</v>
      </c>
      <c r="R47" s="352">
        <f>Q47*'LI (ExPost &amp; ExAnte)'!M37/1000</f>
        <v>0.95448</v>
      </c>
      <c r="S47" s="330">
        <f>Q47*'LI (ExPost &amp; ExAnte)'!M15/1000</f>
        <v>0.7284700000000001</v>
      </c>
      <c r="T47" s="332">
        <v>630707</v>
      </c>
      <c r="U47" s="1"/>
    </row>
    <row r="48" spans="1:21" ht="12.75">
      <c r="A48" s="16" t="s">
        <v>253</v>
      </c>
      <c r="B48" s="350">
        <v>305</v>
      </c>
      <c r="C48" s="14">
        <v>9.046299999999999</v>
      </c>
      <c r="D48" s="330">
        <v>18.60805</v>
      </c>
      <c r="E48" s="350">
        <v>334</v>
      </c>
      <c r="F48" s="14">
        <v>10.006639999999999</v>
      </c>
      <c r="G48" s="330">
        <v>20.37734</v>
      </c>
      <c r="H48" s="350">
        <v>359</v>
      </c>
      <c r="I48" s="14">
        <f>H48*'LI (ExPost &amp; ExAnte)'!J36/1000</f>
        <v>10.72333</v>
      </c>
      <c r="J48" s="351">
        <f>H48*'LI (ExPost &amp; ExAnte)'!J14/1000</f>
        <v>21.90259</v>
      </c>
      <c r="K48" s="350">
        <v>360</v>
      </c>
      <c r="L48" s="14">
        <f>K48*'LI (ExPost &amp; ExAnte)'!K36/1000</f>
        <v>10.0944</v>
      </c>
      <c r="M48" s="330">
        <f>K48*'LI (ExPost &amp; ExAnte)'!K14/1000</f>
        <v>21.9636</v>
      </c>
      <c r="N48" s="350">
        <v>471</v>
      </c>
      <c r="O48" s="14">
        <f>N48*'LI (ExPost &amp; ExAnte)'!L36/1000</f>
        <v>13.86624</v>
      </c>
      <c r="P48" s="330">
        <f>N48*'LI (ExPost &amp; ExAnte)'!L14/1000</f>
        <v>28.735709999999997</v>
      </c>
      <c r="Q48" s="350">
        <v>442</v>
      </c>
      <c r="R48" s="352">
        <f>Q48*'LI (ExPost &amp; ExAnte)'!M36/1000</f>
        <v>13.012480000000002</v>
      </c>
      <c r="S48" s="330">
        <f>Q48*'LI (ExPost &amp; ExAnte)'!M14/1000</f>
        <v>26.96642</v>
      </c>
      <c r="T48" s="332">
        <v>630707</v>
      </c>
      <c r="U48" s="1"/>
    </row>
    <row r="49" spans="1:21" ht="12.75">
      <c r="A49" s="16" t="s">
        <v>254</v>
      </c>
      <c r="B49" s="350">
        <v>1348</v>
      </c>
      <c r="C49" s="14">
        <v>62.65503999999999</v>
      </c>
      <c r="D49" s="330">
        <v>115.34835999999999</v>
      </c>
      <c r="E49" s="350">
        <v>1370</v>
      </c>
      <c r="F49" s="14">
        <v>64.7188</v>
      </c>
      <c r="G49" s="330">
        <v>117.23089999999999</v>
      </c>
      <c r="H49" s="350">
        <v>1441</v>
      </c>
      <c r="I49" s="14">
        <f>H49*'LI (ExPost &amp; ExAnte)'!J38/1000</f>
        <v>68.63483000000001</v>
      </c>
      <c r="J49" s="351">
        <f>H49*'LI (ExPost &amp; ExAnte)'!J16/1000</f>
        <v>123.30637</v>
      </c>
      <c r="K49" s="350">
        <v>1493</v>
      </c>
      <c r="L49" s="14">
        <f>K49*'LI (ExPost &amp; ExAnte)'!K38/1000</f>
        <v>69.33492</v>
      </c>
      <c r="M49" s="330">
        <f>K49*'LI (ExPost &amp; ExAnte)'!K16/1000</f>
        <v>127.75600999999999</v>
      </c>
      <c r="N49" s="350">
        <v>1196</v>
      </c>
      <c r="O49" s="14">
        <f>N49*'LI (ExPost &amp; ExAnte)'!L38/1000</f>
        <v>55.81732</v>
      </c>
      <c r="P49" s="330">
        <f>N49*'LI (ExPost &amp; ExAnte)'!L16/1000</f>
        <v>102.34171999999998</v>
      </c>
      <c r="Q49" s="350">
        <v>1225</v>
      </c>
      <c r="R49" s="352">
        <f>Q49*'LI (ExPost &amp; ExAnte)'!M38/1000</f>
        <v>57.17075</v>
      </c>
      <c r="S49" s="330">
        <f>Q49*'LI (ExPost &amp; ExAnte)'!M16/1000</f>
        <v>104.82324999999999</v>
      </c>
      <c r="T49" s="357">
        <v>630707</v>
      </c>
      <c r="U49" s="1"/>
    </row>
    <row r="50" spans="1:21" ht="12.75">
      <c r="A50" s="16" t="s">
        <v>255</v>
      </c>
      <c r="B50" s="350">
        <v>155</v>
      </c>
      <c r="C50" s="14">
        <v>2.6753</v>
      </c>
      <c r="D50" s="330">
        <v>4.910399999999999</v>
      </c>
      <c r="E50" s="350">
        <v>173</v>
      </c>
      <c r="F50" s="14">
        <v>3.0275</v>
      </c>
      <c r="G50" s="330">
        <v>5.48064</v>
      </c>
      <c r="H50" s="350">
        <v>172</v>
      </c>
      <c r="I50" s="14">
        <f>H50*'LI (ExPost &amp; ExAnte)'!J39/1000</f>
        <v>3.04784</v>
      </c>
      <c r="J50" s="351">
        <f>H50*'LI (ExPost &amp; ExAnte)'!J17/1000</f>
        <v>5.4489600000000005</v>
      </c>
      <c r="K50" s="350">
        <v>174</v>
      </c>
      <c r="L50" s="14">
        <f>K50*'LI (ExPost &amp; ExAnte)'!K39/1000</f>
        <v>2.9440800000000005</v>
      </c>
      <c r="M50" s="330">
        <f>K50*'LI (ExPost &amp; ExAnte)'!K17/1000</f>
        <v>5.51232</v>
      </c>
      <c r="N50" s="350">
        <v>391</v>
      </c>
      <c r="O50" s="14">
        <f>N50*'LI (ExPost &amp; ExAnte)'!L39/1000</f>
        <v>6.73302</v>
      </c>
      <c r="P50" s="330">
        <f>N50*'LI (ExPost &amp; ExAnte)'!L17/1000</f>
        <v>12.38688</v>
      </c>
      <c r="Q50" s="350">
        <v>393</v>
      </c>
      <c r="R50" s="352">
        <f>Q50*'LI (ExPost &amp; ExAnte)'!M39/1000</f>
        <v>6.767459999999999</v>
      </c>
      <c r="S50" s="330">
        <f>Q50*'LI (ExPost &amp; ExAnte)'!M17/1000</f>
        <v>12.450239999999999</v>
      </c>
      <c r="T50" s="357">
        <v>630707</v>
      </c>
      <c r="U50" s="1"/>
    </row>
    <row r="51" spans="1:21" ht="12.75">
      <c r="A51" s="16" t="s">
        <v>49</v>
      </c>
      <c r="B51" s="350">
        <v>103</v>
      </c>
      <c r="C51" s="14">
        <v>8.953790000000001</v>
      </c>
      <c r="D51" s="330">
        <v>14.158380000000001</v>
      </c>
      <c r="E51" s="350">
        <v>102</v>
      </c>
      <c r="F51" s="14">
        <v>15.50706</v>
      </c>
      <c r="G51" s="330">
        <v>14.02092</v>
      </c>
      <c r="H51" s="350">
        <v>98</v>
      </c>
      <c r="I51" s="14">
        <f>H51*'LI (ExPost &amp; ExAnte)'!J40/1000</f>
        <v>21.582539999999998</v>
      </c>
      <c r="J51" s="351">
        <f>H51*'LI (ExPost &amp; ExAnte)'!J18/1000</f>
        <v>19.70682</v>
      </c>
      <c r="K51" s="350">
        <v>101</v>
      </c>
      <c r="L51" s="14">
        <f>K51*'LI (ExPost &amp; ExAnte)'!K40/1000</f>
        <v>15.59036</v>
      </c>
      <c r="M51" s="330">
        <f>K51*'LI (ExPost &amp; ExAnte)'!K18/1000</f>
        <v>10.438349999999998</v>
      </c>
      <c r="N51" s="350">
        <v>99</v>
      </c>
      <c r="O51" s="14">
        <f>N51*'LI (ExPost &amp; ExAnte)'!L40/1000</f>
        <v>15.281640000000001</v>
      </c>
      <c r="P51" s="330">
        <f>N51*'LI (ExPost &amp; ExAnte)'!L18/1000</f>
        <v>0.6731999999999999</v>
      </c>
      <c r="Q51" s="350">
        <v>99</v>
      </c>
      <c r="R51" s="352">
        <f>Q51*'LI (ExPost &amp; ExAnte)'!M40/1000</f>
        <v>2.94525</v>
      </c>
      <c r="S51" s="330">
        <f>Q51*'LI (ExPost &amp; ExAnte)'!M18/1000</f>
        <v>0.6633000000000001</v>
      </c>
      <c r="T51" s="332">
        <v>3250</v>
      </c>
      <c r="U51" s="1"/>
    </row>
    <row r="52" spans="1:21" ht="12.75">
      <c r="A52" s="16" t="s">
        <v>35</v>
      </c>
      <c r="B52" s="350">
        <v>3</v>
      </c>
      <c r="C52" s="14">
        <v>0.3</v>
      </c>
      <c r="D52" s="330">
        <v>0.3</v>
      </c>
      <c r="E52" s="350">
        <v>3</v>
      </c>
      <c r="F52" s="14">
        <v>0.3</v>
      </c>
      <c r="G52" s="330">
        <v>0.3</v>
      </c>
      <c r="H52" s="350">
        <v>0</v>
      </c>
      <c r="I52" s="14">
        <v>0</v>
      </c>
      <c r="J52" s="351">
        <v>0</v>
      </c>
      <c r="K52" s="350">
        <v>0</v>
      </c>
      <c r="L52" s="14">
        <v>0</v>
      </c>
      <c r="M52" s="330">
        <v>0</v>
      </c>
      <c r="N52" s="350">
        <v>0</v>
      </c>
      <c r="O52" s="14">
        <v>0</v>
      </c>
      <c r="P52" s="330">
        <v>0</v>
      </c>
      <c r="Q52" s="350">
        <v>0</v>
      </c>
      <c r="R52" s="352">
        <v>0</v>
      </c>
      <c r="S52" s="330">
        <v>0</v>
      </c>
      <c r="T52" s="332">
        <v>23444</v>
      </c>
      <c r="U52" s="1"/>
    </row>
    <row r="53" spans="1:21" ht="13.5" thickBot="1">
      <c r="A53" s="94" t="s">
        <v>53</v>
      </c>
      <c r="B53" s="390">
        <f aca="true" t="shared" si="3" ref="B53:S53">SUM(B44:B52)</f>
        <v>7447</v>
      </c>
      <c r="C53" s="338">
        <f t="shared" si="3"/>
        <v>200.520568</v>
      </c>
      <c r="D53" s="340">
        <f t="shared" si="3"/>
        <v>402.775539</v>
      </c>
      <c r="E53" s="337">
        <f t="shared" si="3"/>
        <v>7524</v>
      </c>
      <c r="F53" s="338">
        <f t="shared" si="3"/>
        <v>213.54843200000005</v>
      </c>
      <c r="G53" s="340">
        <f t="shared" si="3"/>
        <v>407.020448</v>
      </c>
      <c r="H53" s="337">
        <f t="shared" si="3"/>
        <v>7610</v>
      </c>
      <c r="I53" s="338">
        <f t="shared" si="3"/>
        <v>223.984627</v>
      </c>
      <c r="J53" s="391">
        <f t="shared" si="3"/>
        <v>419.797813</v>
      </c>
      <c r="K53" s="337">
        <f t="shared" si="3"/>
        <v>7700</v>
      </c>
      <c r="L53" s="338">
        <f t="shared" si="3"/>
        <v>227.80093800000003</v>
      </c>
      <c r="M53" s="340">
        <f t="shared" si="3"/>
        <v>416.756778</v>
      </c>
      <c r="N53" s="337">
        <f t="shared" si="3"/>
        <v>7763</v>
      </c>
      <c r="O53" s="338">
        <f t="shared" si="3"/>
        <v>235.03700400000002</v>
      </c>
      <c r="P53" s="340">
        <f t="shared" si="3"/>
        <v>396.06448600000004</v>
      </c>
      <c r="Q53" s="337">
        <f t="shared" si="3"/>
        <v>7754</v>
      </c>
      <c r="R53" s="392">
        <f t="shared" si="3"/>
        <v>201.995612</v>
      </c>
      <c r="S53" s="340">
        <f t="shared" si="3"/>
        <v>396.5075039999999</v>
      </c>
      <c r="T53" s="365"/>
      <c r="U53" s="1"/>
    </row>
    <row r="54" spans="1:21" ht="14.25" thickBot="1" thickTop="1">
      <c r="A54" s="46" t="s">
        <v>26</v>
      </c>
      <c r="B54" s="369">
        <f>+B42+B53</f>
        <v>349403</v>
      </c>
      <c r="C54" s="370">
        <f>C42+C53</f>
        <v>1485.973728</v>
      </c>
      <c r="D54" s="340">
        <f>D42+D53</f>
        <v>811.635539</v>
      </c>
      <c r="E54" s="369">
        <f>+E42+E53</f>
        <v>349572</v>
      </c>
      <c r="F54" s="370">
        <f>F42+F53</f>
        <v>1458.4524420000002</v>
      </c>
      <c r="G54" s="340">
        <f>G42+G53</f>
        <v>819.409948</v>
      </c>
      <c r="H54" s="369">
        <f>+H42+H53</f>
        <v>349620</v>
      </c>
      <c r="I54" s="338">
        <f>I42+I53</f>
        <v>1512.2513569999999</v>
      </c>
      <c r="J54" s="372">
        <f>J42+J53</f>
        <v>835.712313</v>
      </c>
      <c r="K54" s="369">
        <f>+K42+K53</f>
        <v>349401</v>
      </c>
      <c r="L54" s="370">
        <f>L42+L53</f>
        <v>1519.567138</v>
      </c>
      <c r="M54" s="393">
        <f>M42+M53</f>
        <v>833.562778</v>
      </c>
      <c r="N54" s="369">
        <f>+N42+N53</f>
        <v>348105</v>
      </c>
      <c r="O54" s="370">
        <f>O42+O53</f>
        <v>1459.4730439999998</v>
      </c>
      <c r="P54" s="393">
        <f>P42+P53</f>
        <v>801.504486</v>
      </c>
      <c r="Q54" s="394">
        <f>+Q42+Q53</f>
        <v>346037</v>
      </c>
      <c r="R54" s="373">
        <f>R42+R53</f>
        <v>1377.858172</v>
      </c>
      <c r="S54" s="393">
        <f>S42+S53</f>
        <v>798.0385039999999</v>
      </c>
      <c r="T54" s="45"/>
      <c r="U54" s="1"/>
    </row>
    <row r="55" spans="1:26" ht="13.5" thickTop="1">
      <c r="A55" s="44"/>
      <c r="B55" s="395"/>
      <c r="C55" s="395"/>
      <c r="D55" s="14"/>
      <c r="E55" s="395"/>
      <c r="F55" s="395"/>
      <c r="G55" s="395"/>
      <c r="H55" s="14"/>
      <c r="I55" s="395"/>
      <c r="J55" s="395"/>
      <c r="K55" s="395"/>
      <c r="L55" s="395"/>
      <c r="M55" s="14"/>
      <c r="N55" s="395"/>
      <c r="O55" s="395"/>
      <c r="P55" s="395"/>
      <c r="Q55" s="14"/>
      <c r="R55" s="395"/>
      <c r="S55" s="395"/>
      <c r="T55" s="395"/>
      <c r="U55" s="14"/>
      <c r="V55" s="395"/>
      <c r="W55" s="395"/>
      <c r="X55" s="124"/>
      <c r="Y55" s="326"/>
      <c r="Z55" s="326"/>
    </row>
    <row r="56" spans="1:26" ht="12.75">
      <c r="A56" s="44"/>
      <c r="B56" s="14"/>
      <c r="C56" s="14"/>
      <c r="D56" s="14"/>
      <c r="E56" s="395"/>
      <c r="F56" s="14"/>
      <c r="G56" s="395"/>
      <c r="H56" s="14"/>
      <c r="I56" s="14"/>
      <c r="J56" s="14"/>
      <c r="K56" s="395"/>
      <c r="L56" s="14"/>
      <c r="M56" s="14"/>
      <c r="N56" s="14"/>
      <c r="O56" s="14"/>
      <c r="P56" s="395"/>
      <c r="Q56" s="14"/>
      <c r="R56" s="14"/>
      <c r="S56" s="14"/>
      <c r="T56" s="395"/>
      <c r="U56" s="14"/>
      <c r="V56" s="14"/>
      <c r="W56" s="395"/>
      <c r="X56" s="124"/>
      <c r="Y56" s="124"/>
      <c r="Z56" s="326"/>
    </row>
    <row r="57" spans="1:26" ht="12.75" customHeight="1">
      <c r="A57" s="457" t="s">
        <v>28</v>
      </c>
      <c r="B57" s="457"/>
      <c r="C57" s="457"/>
      <c r="D57" s="457"/>
      <c r="E57" s="457"/>
      <c r="F57" s="457"/>
      <c r="G57" s="457"/>
      <c r="H57" s="457"/>
      <c r="I57" s="457"/>
      <c r="J57" s="457"/>
      <c r="K57" s="457"/>
      <c r="L57" s="457"/>
      <c r="M57" s="457"/>
      <c r="N57" s="457"/>
      <c r="O57" s="457"/>
      <c r="P57" s="457"/>
      <c r="Q57" s="457"/>
      <c r="R57" s="457"/>
      <c r="S57" s="457"/>
      <c r="T57" s="457"/>
      <c r="U57" s="457"/>
      <c r="V57" s="457"/>
      <c r="W57" s="457"/>
      <c r="X57" s="457"/>
      <c r="Y57" s="457"/>
      <c r="Z57" s="457"/>
    </row>
    <row r="58" spans="1:26" ht="12.75">
      <c r="A58" s="459" t="s">
        <v>286</v>
      </c>
      <c r="B58" s="460"/>
      <c r="C58" s="460"/>
      <c r="D58" s="460"/>
      <c r="E58" s="460"/>
      <c r="F58" s="460"/>
      <c r="G58" s="460"/>
      <c r="H58" s="460"/>
      <c r="I58" s="460"/>
      <c r="J58" s="460"/>
      <c r="K58" s="460"/>
      <c r="L58" s="460"/>
      <c r="M58" s="460"/>
      <c r="N58" s="460"/>
      <c r="O58" s="396"/>
      <c r="P58" s="396"/>
      <c r="Q58" s="396"/>
      <c r="R58" s="396"/>
      <c r="S58" s="396"/>
      <c r="T58" s="396"/>
      <c r="U58" s="396"/>
      <c r="V58" s="396"/>
      <c r="W58" s="396"/>
      <c r="X58" s="396"/>
      <c r="Y58" s="396"/>
      <c r="Z58" s="396"/>
    </row>
    <row r="59" spans="1:26" ht="12.75">
      <c r="A59" s="459"/>
      <c r="B59" s="460"/>
      <c r="C59" s="460"/>
      <c r="D59" s="460"/>
      <c r="E59" s="460"/>
      <c r="F59" s="460"/>
      <c r="G59" s="460"/>
      <c r="H59" s="460"/>
      <c r="I59" s="460"/>
      <c r="J59" s="460"/>
      <c r="K59" s="460"/>
      <c r="L59" s="460"/>
      <c r="M59" s="460"/>
      <c r="N59" s="460"/>
      <c r="O59" s="396"/>
      <c r="P59" s="396"/>
      <c r="Q59" s="396"/>
      <c r="R59" s="396"/>
      <c r="S59" s="396"/>
      <c r="T59" s="396"/>
      <c r="U59" s="396"/>
      <c r="V59" s="396"/>
      <c r="W59" s="396"/>
      <c r="X59" s="396"/>
      <c r="Y59" s="396"/>
      <c r="Z59" s="396"/>
    </row>
    <row r="60" spans="1:26" ht="12.75">
      <c r="A60" s="460"/>
      <c r="B60" s="460"/>
      <c r="C60" s="460"/>
      <c r="D60" s="460"/>
      <c r="E60" s="460"/>
      <c r="F60" s="460"/>
      <c r="G60" s="460"/>
      <c r="H60" s="460"/>
      <c r="I60" s="460"/>
      <c r="J60" s="460"/>
      <c r="K60" s="460"/>
      <c r="L60" s="460"/>
      <c r="M60" s="460"/>
      <c r="N60" s="460"/>
      <c r="O60" s="396"/>
      <c r="P60" s="396"/>
      <c r="Q60" s="396"/>
      <c r="R60" s="396"/>
      <c r="S60" s="396"/>
      <c r="T60" s="396"/>
      <c r="U60" s="396"/>
      <c r="V60" s="396"/>
      <c r="W60" s="396"/>
      <c r="X60" s="396"/>
      <c r="Y60" s="396"/>
      <c r="Z60" s="396"/>
    </row>
    <row r="61" spans="1:26" ht="12.75" customHeight="1">
      <c r="A61" s="461" t="s">
        <v>287</v>
      </c>
      <c r="B61" s="432"/>
      <c r="C61" s="432"/>
      <c r="D61" s="432"/>
      <c r="E61" s="432"/>
      <c r="F61" s="432"/>
      <c r="G61" s="432"/>
      <c r="H61" s="432"/>
      <c r="I61" s="432"/>
      <c r="J61" s="432"/>
      <c r="K61" s="432"/>
      <c r="L61" s="432"/>
      <c r="M61" s="432"/>
      <c r="N61" s="432"/>
      <c r="O61" s="396"/>
      <c r="P61" s="396"/>
      <c r="Q61" s="396"/>
      <c r="R61" s="396"/>
      <c r="S61" s="396"/>
      <c r="T61" s="396"/>
      <c r="U61" s="396"/>
      <c r="V61" s="396"/>
      <c r="W61" s="396"/>
      <c r="X61" s="396"/>
      <c r="Y61" s="396"/>
      <c r="Z61" s="396"/>
    </row>
    <row r="62" spans="1:26" ht="39" customHeight="1">
      <c r="A62" s="432"/>
      <c r="B62" s="432"/>
      <c r="C62" s="432"/>
      <c r="D62" s="432"/>
      <c r="E62" s="432"/>
      <c r="F62" s="432"/>
      <c r="G62" s="432"/>
      <c r="H62" s="432"/>
      <c r="I62" s="432"/>
      <c r="J62" s="432"/>
      <c r="K62" s="432"/>
      <c r="L62" s="432"/>
      <c r="M62" s="432"/>
      <c r="N62" s="432"/>
      <c r="O62" s="397"/>
      <c r="P62" s="397"/>
      <c r="Q62" s="397"/>
      <c r="R62" s="397"/>
      <c r="S62" s="397"/>
      <c r="T62" s="397"/>
      <c r="U62" s="397"/>
      <c r="V62" s="397"/>
      <c r="W62" s="397"/>
      <c r="X62" s="397"/>
      <c r="Y62" s="397"/>
      <c r="Z62" s="397"/>
    </row>
    <row r="63" spans="1:26" ht="12.75" customHeight="1">
      <c r="A63" s="433"/>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row>
    <row r="64" spans="1:26" ht="12.75" customHeight="1">
      <c r="A64" s="323" t="s">
        <v>256</v>
      </c>
      <c r="B64" s="398"/>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row>
    <row r="65" spans="1:26" ht="12.75">
      <c r="A65" s="399"/>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row>
    <row r="66" spans="1:26" ht="93.75" customHeight="1">
      <c r="A66" s="458" t="s">
        <v>288</v>
      </c>
      <c r="B66" s="458"/>
      <c r="C66" s="458"/>
      <c r="D66" s="458"/>
      <c r="E66" s="458"/>
      <c r="F66" s="458"/>
      <c r="G66" s="458"/>
      <c r="H66" s="458"/>
      <c r="I66" s="458"/>
      <c r="J66" s="458"/>
      <c r="K66" s="458"/>
      <c r="L66" s="458"/>
      <c r="M66" s="458"/>
      <c r="N66" s="458"/>
      <c r="O66" s="400"/>
      <c r="P66" s="400"/>
      <c r="Q66" s="400"/>
      <c r="R66" s="400"/>
      <c r="S66" s="400"/>
      <c r="T66" s="400"/>
      <c r="U66" s="400"/>
      <c r="V66" s="400"/>
      <c r="W66" s="400"/>
      <c r="X66" s="400"/>
      <c r="Y66" s="400"/>
      <c r="Z66" s="400"/>
    </row>
    <row r="67" spans="1:26" ht="12.75">
      <c r="A67" s="401"/>
      <c r="B67" s="402"/>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402"/>
    </row>
    <row r="68" spans="1:26" ht="48" customHeight="1">
      <c r="A68" s="458" t="s">
        <v>309</v>
      </c>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row>
    <row r="69" spans="1:26" ht="12.75">
      <c r="A69" s="455"/>
      <c r="B69" s="456"/>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row>
    <row r="70" spans="15:26" ht="30" customHeight="1">
      <c r="O70" s="458"/>
      <c r="P70" s="458"/>
      <c r="Q70" s="458"/>
      <c r="R70" s="458"/>
      <c r="S70" s="458"/>
      <c r="T70" s="458"/>
      <c r="U70" s="458"/>
      <c r="V70" s="458"/>
      <c r="W70" s="458"/>
      <c r="X70" s="458"/>
      <c r="Y70" s="458"/>
      <c r="Z70" s="458"/>
    </row>
    <row r="71" ht="12.75">
      <c r="A71" s="64"/>
    </row>
    <row r="72" spans="1:19" ht="12.75">
      <c r="A72" s="63"/>
      <c r="B72" s="63"/>
      <c r="C72" s="63"/>
      <c r="D72" s="63"/>
      <c r="E72" s="63"/>
      <c r="F72" s="63"/>
      <c r="G72" s="63"/>
      <c r="H72" s="63"/>
      <c r="I72" s="63"/>
      <c r="J72" s="63"/>
      <c r="K72" s="63"/>
      <c r="L72" s="63"/>
      <c r="M72" s="63"/>
      <c r="N72" s="63"/>
      <c r="O72" s="63"/>
      <c r="P72" s="63"/>
      <c r="Q72" s="63"/>
      <c r="R72" s="63"/>
      <c r="S72" s="63"/>
    </row>
    <row r="76" ht="12.75">
      <c r="A76" s="83"/>
    </row>
  </sheetData>
  <mergeCells count="21">
    <mergeCell ref="O68:Z68"/>
    <mergeCell ref="A68:N68"/>
    <mergeCell ref="O70:Z70"/>
    <mergeCell ref="A58:N60"/>
    <mergeCell ref="A61:N62"/>
    <mergeCell ref="A63:Z63"/>
    <mergeCell ref="A66:N66"/>
    <mergeCell ref="Q5:S5"/>
    <mergeCell ref="Q31:S31"/>
    <mergeCell ref="A69:Z69"/>
    <mergeCell ref="B5:D5"/>
    <mergeCell ref="E5:G5"/>
    <mergeCell ref="B31:D31"/>
    <mergeCell ref="H5:J5"/>
    <mergeCell ref="K5:M5"/>
    <mergeCell ref="N5:P5"/>
    <mergeCell ref="A57:Z57"/>
    <mergeCell ref="E31:G31"/>
    <mergeCell ref="H31:J31"/>
    <mergeCell ref="K31:M31"/>
    <mergeCell ref="N31:P31"/>
  </mergeCells>
  <printOptions horizontalCentered="1"/>
  <pageMargins left="0.5" right="0.45" top="0.8" bottom="0.17" header="0.3" footer="0.15"/>
  <pageSetup fitToHeight="1" fitToWidth="1" horizontalDpi="600" verticalDpi="600" orientation="landscape" scale="46" r:id="rId1"/>
  <headerFooter alignWithMargins="0">
    <oddHeader>&amp;C&amp;"Arial,Bold"Table I-1
SCE Interruptible and Price Responsive Programs
 Subscription Statistics -  Estimated Ex Ante and Ex Post MWs
 2010</oddHeader>
    <oddFooter>&amp;L&amp;F&amp;R&amp;D</oddFooter>
  </headerFooter>
  <ignoredErrors>
    <ignoredError sqref="D28 K28 N28 Q28 Q54 N54 K54 H54 E54 I37:I38 L37 O37" formula="1"/>
  </ignoredErrors>
</worksheet>
</file>

<file path=xl/worksheets/sheet2.xml><?xml version="1.0" encoding="utf-8"?>
<worksheet xmlns="http://schemas.openxmlformats.org/spreadsheetml/2006/main" xmlns:r="http://schemas.openxmlformats.org/officeDocument/2006/relationships">
  <dimension ref="A1:O48"/>
  <sheetViews>
    <sheetView showGridLines="0" zoomScale="75" zoomScaleNormal="75" zoomScaleSheetLayoutView="75" workbookViewId="0" topLeftCell="A1">
      <selection activeCell="A1" sqref="A1"/>
    </sheetView>
  </sheetViews>
  <sheetFormatPr defaultColWidth="9.140625" defaultRowHeight="12.75"/>
  <cols>
    <col min="1" max="1" width="27.00390625" style="0" customWidth="1"/>
    <col min="2" max="2" width="8.28125" style="0" customWidth="1"/>
    <col min="4" max="8" width="7.57421875" style="0" customWidth="1"/>
    <col min="9" max="9" width="7.7109375" style="0" customWidth="1"/>
    <col min="10" max="10" width="11.57421875" style="0" customWidth="1"/>
    <col min="11" max="11" width="8.140625" style="0" customWidth="1"/>
    <col min="12" max="12" width="10.8515625" style="0" customWidth="1"/>
    <col min="13" max="13" width="10.28125" style="0" customWidth="1"/>
    <col min="14" max="14" width="13.28125" style="0" customWidth="1"/>
    <col min="15" max="15" width="52.421875" style="0" customWidth="1"/>
    <col min="16" max="16" width="15.00390625" style="0" bestFit="1" customWidth="1"/>
    <col min="17" max="17" width="10.57421875" style="0" customWidth="1"/>
    <col min="18" max="18" width="9.8515625" style="0" bestFit="1" customWidth="1"/>
    <col min="19" max="19" width="11.140625" style="0" customWidth="1"/>
    <col min="20" max="20" width="9.8515625" style="0" bestFit="1" customWidth="1"/>
    <col min="21" max="21" width="10.8515625" style="0" customWidth="1"/>
    <col min="22" max="22" width="12.140625" style="0" bestFit="1" customWidth="1"/>
    <col min="23" max="23" width="12.140625" style="0" customWidth="1"/>
    <col min="24" max="24" width="9.57421875" style="0" bestFit="1" customWidth="1"/>
    <col min="25" max="25" width="11.140625" style="0" customWidth="1"/>
    <col min="26" max="26" width="11.7109375" style="0" bestFit="1" customWidth="1"/>
    <col min="27" max="27" width="11.7109375" style="0" customWidth="1"/>
  </cols>
  <sheetData>
    <row r="1" ht="12.75">
      <c r="A1" s="323" t="s">
        <v>257</v>
      </c>
    </row>
    <row r="4" spans="1:15" ht="12.75">
      <c r="A4" s="129"/>
      <c r="B4" s="463" t="s">
        <v>258</v>
      </c>
      <c r="C4" s="463"/>
      <c r="D4" s="463"/>
      <c r="E4" s="463"/>
      <c r="F4" s="463"/>
      <c r="G4" s="463"/>
      <c r="H4" s="463"/>
      <c r="I4" s="463"/>
      <c r="J4" s="463"/>
      <c r="K4" s="463"/>
      <c r="L4" s="463"/>
      <c r="M4" s="463"/>
      <c r="N4" s="464" t="s">
        <v>250</v>
      </c>
      <c r="O4" s="129"/>
    </row>
    <row r="5" spans="1:15" ht="24.75" customHeight="1">
      <c r="A5" s="403" t="s">
        <v>259</v>
      </c>
      <c r="B5" s="47" t="s">
        <v>0</v>
      </c>
      <c r="C5" s="47" t="s">
        <v>1</v>
      </c>
      <c r="D5" s="47" t="s">
        <v>2</v>
      </c>
      <c r="E5" s="47" t="s">
        <v>3</v>
      </c>
      <c r="F5" s="47" t="s">
        <v>4</v>
      </c>
      <c r="G5" s="47" t="s">
        <v>5</v>
      </c>
      <c r="H5" s="47" t="s">
        <v>6</v>
      </c>
      <c r="I5" s="47" t="s">
        <v>260</v>
      </c>
      <c r="J5" s="47" t="s">
        <v>261</v>
      </c>
      <c r="K5" s="47" t="s">
        <v>9</v>
      </c>
      <c r="L5" s="47" t="s">
        <v>262</v>
      </c>
      <c r="M5" s="47" t="s">
        <v>11</v>
      </c>
      <c r="N5" s="465"/>
      <c r="O5" s="404" t="s">
        <v>263</v>
      </c>
    </row>
    <row r="6" spans="1:15" ht="12.75">
      <c r="A6" s="142" t="s">
        <v>12</v>
      </c>
      <c r="B6" s="405">
        <v>571.5</v>
      </c>
      <c r="C6" s="405">
        <v>571.5</v>
      </c>
      <c r="D6" s="405">
        <v>571.5</v>
      </c>
      <c r="E6" s="405">
        <v>571.5</v>
      </c>
      <c r="F6" s="405">
        <v>571.5</v>
      </c>
      <c r="G6" s="405">
        <v>571.5</v>
      </c>
      <c r="H6" s="405">
        <v>571.5</v>
      </c>
      <c r="I6" s="405">
        <v>571.5</v>
      </c>
      <c r="J6" s="405">
        <v>571.5</v>
      </c>
      <c r="K6" s="405">
        <v>571.5</v>
      </c>
      <c r="L6" s="405">
        <v>571.5</v>
      </c>
      <c r="M6" s="405">
        <v>571.5</v>
      </c>
      <c r="N6" s="406">
        <v>11780</v>
      </c>
      <c r="O6" s="48" t="s">
        <v>264</v>
      </c>
    </row>
    <row r="7" spans="1:15" ht="12.75">
      <c r="A7" s="142" t="s">
        <v>265</v>
      </c>
      <c r="B7" s="405" t="s">
        <v>67</v>
      </c>
      <c r="C7" s="405" t="s">
        <v>67</v>
      </c>
      <c r="D7" s="405" t="s">
        <v>67</v>
      </c>
      <c r="E7" s="405" t="s">
        <v>67</v>
      </c>
      <c r="F7" s="405" t="s">
        <v>67</v>
      </c>
      <c r="G7" s="405" t="s">
        <v>67</v>
      </c>
      <c r="H7" s="405" t="s">
        <v>67</v>
      </c>
      <c r="I7" s="405" t="s">
        <v>67</v>
      </c>
      <c r="J7" s="405" t="s">
        <v>67</v>
      </c>
      <c r="K7" s="405" t="s">
        <v>67</v>
      </c>
      <c r="L7" s="405" t="s">
        <v>67</v>
      </c>
      <c r="M7" s="405" t="s">
        <v>67</v>
      </c>
      <c r="N7" s="407">
        <v>2100470</v>
      </c>
      <c r="O7" s="48" t="s">
        <v>266</v>
      </c>
    </row>
    <row r="8" spans="1:15" ht="12.75">
      <c r="A8" s="142" t="s">
        <v>267</v>
      </c>
      <c r="B8" s="405" t="s">
        <v>67</v>
      </c>
      <c r="C8" s="405" t="s">
        <v>67</v>
      </c>
      <c r="D8" s="405" t="s">
        <v>67</v>
      </c>
      <c r="E8" s="405" t="s">
        <v>67</v>
      </c>
      <c r="F8" s="405" t="s">
        <v>67</v>
      </c>
      <c r="G8" s="405" t="s">
        <v>67</v>
      </c>
      <c r="H8" s="405" t="s">
        <v>67</v>
      </c>
      <c r="I8" s="405" t="s">
        <v>67</v>
      </c>
      <c r="J8" s="405" t="s">
        <v>67</v>
      </c>
      <c r="K8" s="405" t="s">
        <v>67</v>
      </c>
      <c r="L8" s="405" t="s">
        <v>67</v>
      </c>
      <c r="M8" s="405" t="s">
        <v>67</v>
      </c>
      <c r="N8" s="407">
        <v>463742</v>
      </c>
      <c r="O8" s="48" t="s">
        <v>268</v>
      </c>
    </row>
    <row r="9" spans="1:15" ht="12.75">
      <c r="A9" s="142" t="s">
        <v>15</v>
      </c>
      <c r="B9" s="405">
        <v>1517</v>
      </c>
      <c r="C9" s="405">
        <v>1517</v>
      </c>
      <c r="D9" s="405">
        <v>1517</v>
      </c>
      <c r="E9" s="405">
        <v>1517</v>
      </c>
      <c r="F9" s="405">
        <v>1517</v>
      </c>
      <c r="G9" s="405">
        <v>1517</v>
      </c>
      <c r="H9" s="405">
        <v>1517</v>
      </c>
      <c r="I9" s="405">
        <v>1517</v>
      </c>
      <c r="J9" s="405">
        <v>1517</v>
      </c>
      <c r="K9" s="405">
        <v>1517</v>
      </c>
      <c r="L9" s="405">
        <v>1517</v>
      </c>
      <c r="M9" s="405">
        <v>1517</v>
      </c>
      <c r="N9" s="408" t="s">
        <v>67</v>
      </c>
      <c r="O9" s="409" t="s">
        <v>269</v>
      </c>
    </row>
    <row r="10" spans="1:15" ht="12.75">
      <c r="A10" s="142" t="s">
        <v>16</v>
      </c>
      <c r="B10" s="405">
        <v>32</v>
      </c>
      <c r="C10" s="405">
        <v>32</v>
      </c>
      <c r="D10" s="405">
        <v>32</v>
      </c>
      <c r="E10" s="405">
        <v>32</v>
      </c>
      <c r="F10" s="405">
        <v>32</v>
      </c>
      <c r="G10" s="405">
        <v>32</v>
      </c>
      <c r="H10" s="405">
        <v>32</v>
      </c>
      <c r="I10" s="405">
        <v>32</v>
      </c>
      <c r="J10" s="405">
        <v>32</v>
      </c>
      <c r="K10" s="405">
        <v>32</v>
      </c>
      <c r="L10" s="405">
        <v>32</v>
      </c>
      <c r="M10" s="405">
        <v>32</v>
      </c>
      <c r="N10" s="407">
        <v>7368</v>
      </c>
      <c r="O10" s="48" t="s">
        <v>270</v>
      </c>
    </row>
    <row r="11" spans="1:15" s="63" customFormat="1" ht="12.75">
      <c r="A11" s="142" t="s">
        <v>271</v>
      </c>
      <c r="B11" s="405">
        <v>50.029</v>
      </c>
      <c r="C11" s="405">
        <v>50.029</v>
      </c>
      <c r="D11" s="405">
        <v>50.029</v>
      </c>
      <c r="E11" s="405">
        <v>50.029</v>
      </c>
      <c r="F11" s="405">
        <v>50.029</v>
      </c>
      <c r="G11" s="405">
        <v>50.029</v>
      </c>
      <c r="H11" s="405">
        <v>50.029</v>
      </c>
      <c r="I11" s="405">
        <v>50.029</v>
      </c>
      <c r="J11" s="405">
        <v>50.029</v>
      </c>
      <c r="K11" s="405">
        <v>50.029</v>
      </c>
      <c r="L11" s="405">
        <v>50.029</v>
      </c>
      <c r="M11" s="405">
        <v>50.029</v>
      </c>
      <c r="N11" s="410">
        <v>11481</v>
      </c>
      <c r="O11" s="92" t="s">
        <v>272</v>
      </c>
    </row>
    <row r="12" spans="1:15" ht="12.75">
      <c r="A12" s="142" t="s">
        <v>273</v>
      </c>
      <c r="B12" s="411">
        <v>32.53</v>
      </c>
      <c r="C12" s="411">
        <v>32.53</v>
      </c>
      <c r="D12" s="411">
        <v>32.53</v>
      </c>
      <c r="E12" s="411">
        <v>32.53</v>
      </c>
      <c r="F12" s="411">
        <v>32.53</v>
      </c>
      <c r="G12" s="411">
        <v>32.53</v>
      </c>
      <c r="H12" s="411">
        <v>32.53</v>
      </c>
      <c r="I12" s="411">
        <v>32.53</v>
      </c>
      <c r="J12" s="411">
        <v>32.53</v>
      </c>
      <c r="K12" s="411">
        <v>32.53</v>
      </c>
      <c r="L12" s="411">
        <v>32.53</v>
      </c>
      <c r="M12" s="411">
        <v>32.53</v>
      </c>
      <c r="N12" s="407">
        <v>12995</v>
      </c>
      <c r="O12" s="48" t="s">
        <v>272</v>
      </c>
    </row>
    <row r="13" spans="1:15" ht="12.75">
      <c r="A13" s="142" t="s">
        <v>274</v>
      </c>
      <c r="B13" s="411">
        <v>32.53</v>
      </c>
      <c r="C13" s="411">
        <v>32.53</v>
      </c>
      <c r="D13" s="411">
        <v>32.53</v>
      </c>
      <c r="E13" s="411">
        <v>32.53</v>
      </c>
      <c r="F13" s="411">
        <v>32.53</v>
      </c>
      <c r="G13" s="411">
        <v>32.53</v>
      </c>
      <c r="H13" s="411">
        <v>32.53</v>
      </c>
      <c r="I13" s="411">
        <v>32.53</v>
      </c>
      <c r="J13" s="411">
        <v>32.53</v>
      </c>
      <c r="K13" s="411">
        <v>32.53</v>
      </c>
      <c r="L13" s="411">
        <v>32.53</v>
      </c>
      <c r="M13" s="411">
        <v>32.53</v>
      </c>
      <c r="N13" s="407">
        <v>12995</v>
      </c>
      <c r="O13" s="48" t="s">
        <v>272</v>
      </c>
    </row>
    <row r="14" spans="1:15" ht="12.75">
      <c r="A14" s="142" t="s">
        <v>275</v>
      </c>
      <c r="B14" s="405">
        <v>61.01</v>
      </c>
      <c r="C14" s="405">
        <v>61.01</v>
      </c>
      <c r="D14" s="405">
        <v>61.01</v>
      </c>
      <c r="E14" s="405">
        <v>61.01</v>
      </c>
      <c r="F14" s="405">
        <v>61.01</v>
      </c>
      <c r="G14" s="405">
        <v>61.01</v>
      </c>
      <c r="H14" s="405">
        <v>61.01</v>
      </c>
      <c r="I14" s="405">
        <v>61.01</v>
      </c>
      <c r="J14" s="405">
        <v>61.01</v>
      </c>
      <c r="K14" s="405">
        <v>61.01</v>
      </c>
      <c r="L14" s="405">
        <v>61.01</v>
      </c>
      <c r="M14" s="405">
        <v>61.01</v>
      </c>
      <c r="N14" s="407">
        <v>630707</v>
      </c>
      <c r="O14" s="48" t="s">
        <v>276</v>
      </c>
    </row>
    <row r="15" spans="1:15" ht="12.75">
      <c r="A15" s="142" t="s">
        <v>277</v>
      </c>
      <c r="B15" s="405">
        <v>7.51</v>
      </c>
      <c r="C15" s="405">
        <v>7.51</v>
      </c>
      <c r="D15" s="405">
        <v>7.51</v>
      </c>
      <c r="E15" s="405">
        <v>7.51</v>
      </c>
      <c r="F15" s="405">
        <v>7.51</v>
      </c>
      <c r="G15" s="405">
        <v>7.51</v>
      </c>
      <c r="H15" s="405">
        <v>7.51</v>
      </c>
      <c r="I15" s="405">
        <v>7.51</v>
      </c>
      <c r="J15" s="405">
        <v>7.51</v>
      </c>
      <c r="K15" s="405">
        <v>7.51</v>
      </c>
      <c r="L15" s="405">
        <v>7.51</v>
      </c>
      <c r="M15" s="405">
        <v>7.51</v>
      </c>
      <c r="N15" s="407">
        <v>630707</v>
      </c>
      <c r="O15" s="48" t="s">
        <v>276</v>
      </c>
    </row>
    <row r="16" spans="1:15" ht="12.75">
      <c r="A16" s="142" t="s">
        <v>278</v>
      </c>
      <c r="B16" s="405">
        <v>85.57</v>
      </c>
      <c r="C16" s="405">
        <v>85.57</v>
      </c>
      <c r="D16" s="405">
        <v>85.57</v>
      </c>
      <c r="E16" s="405">
        <v>85.57</v>
      </c>
      <c r="F16" s="405">
        <v>85.57</v>
      </c>
      <c r="G16" s="405">
        <v>85.57</v>
      </c>
      <c r="H16" s="405">
        <v>85.57</v>
      </c>
      <c r="I16" s="405">
        <v>85.57</v>
      </c>
      <c r="J16" s="405">
        <v>85.57</v>
      </c>
      <c r="K16" s="405">
        <v>85.57</v>
      </c>
      <c r="L16" s="405">
        <v>85.57</v>
      </c>
      <c r="M16" s="405">
        <v>85.57</v>
      </c>
      <c r="N16" s="407">
        <v>630707</v>
      </c>
      <c r="O16" s="48" t="s">
        <v>276</v>
      </c>
    </row>
    <row r="17" spans="1:15" ht="12.75">
      <c r="A17" s="142" t="s">
        <v>279</v>
      </c>
      <c r="B17" s="405">
        <v>31.68</v>
      </c>
      <c r="C17" s="405">
        <v>31.68</v>
      </c>
      <c r="D17" s="405">
        <v>31.68</v>
      </c>
      <c r="E17" s="405">
        <v>31.68</v>
      </c>
      <c r="F17" s="405">
        <v>31.68</v>
      </c>
      <c r="G17" s="405">
        <v>31.68</v>
      </c>
      <c r="H17" s="405">
        <v>31.68</v>
      </c>
      <c r="I17" s="405">
        <v>31.68</v>
      </c>
      <c r="J17" s="405">
        <v>31.68</v>
      </c>
      <c r="K17" s="405">
        <v>31.68</v>
      </c>
      <c r="L17" s="405">
        <v>31.68</v>
      </c>
      <c r="M17" s="405">
        <v>31.68</v>
      </c>
      <c r="N17" s="407">
        <v>630707</v>
      </c>
      <c r="O17" s="48" t="s">
        <v>276</v>
      </c>
    </row>
    <row r="18" spans="1:15" ht="12.75">
      <c r="A18" s="142" t="s">
        <v>49</v>
      </c>
      <c r="B18" s="405">
        <v>6.78</v>
      </c>
      <c r="C18" s="405">
        <v>6.66</v>
      </c>
      <c r="D18" s="405">
        <v>6.66</v>
      </c>
      <c r="E18" s="405">
        <v>103.83</v>
      </c>
      <c r="F18" s="405">
        <v>6.93</v>
      </c>
      <c r="G18" s="405">
        <v>22.08</v>
      </c>
      <c r="H18" s="405">
        <v>137.46</v>
      </c>
      <c r="I18" s="405">
        <v>137.46</v>
      </c>
      <c r="J18" s="405">
        <v>201.09</v>
      </c>
      <c r="K18" s="405">
        <v>103.35</v>
      </c>
      <c r="L18" s="405">
        <v>6.8</v>
      </c>
      <c r="M18" s="405">
        <v>6.7</v>
      </c>
      <c r="N18" s="407">
        <v>3250</v>
      </c>
      <c r="O18" s="48" t="s">
        <v>280</v>
      </c>
    </row>
    <row r="19" spans="1:15" ht="12.75">
      <c r="A19" s="142" t="s">
        <v>35</v>
      </c>
      <c r="B19" s="50" t="s">
        <v>67</v>
      </c>
      <c r="C19" s="50" t="s">
        <v>67</v>
      </c>
      <c r="D19" s="50" t="s">
        <v>67</v>
      </c>
      <c r="E19" s="50" t="s">
        <v>67</v>
      </c>
      <c r="F19" s="50" t="s">
        <v>67</v>
      </c>
      <c r="G19" s="50" t="s">
        <v>67</v>
      </c>
      <c r="H19" s="50" t="s">
        <v>67</v>
      </c>
      <c r="I19" s="50" t="s">
        <v>67</v>
      </c>
      <c r="J19" s="50" t="s">
        <v>67</v>
      </c>
      <c r="K19" s="50" t="s">
        <v>67</v>
      </c>
      <c r="L19" s="50" t="s">
        <v>67</v>
      </c>
      <c r="M19" s="50" t="s">
        <v>67</v>
      </c>
      <c r="N19" s="407">
        <v>23444</v>
      </c>
      <c r="O19" s="48" t="s">
        <v>281</v>
      </c>
    </row>
    <row r="21" ht="12.75">
      <c r="A21" s="44" t="s">
        <v>28</v>
      </c>
    </row>
    <row r="22" spans="1:15" ht="39" customHeight="1">
      <c r="A22" s="466" t="s">
        <v>290</v>
      </c>
      <c r="B22" s="466"/>
      <c r="C22" s="466"/>
      <c r="D22" s="466"/>
      <c r="E22" s="466"/>
      <c r="F22" s="466"/>
      <c r="G22" s="466"/>
      <c r="H22" s="466"/>
      <c r="I22" s="466"/>
      <c r="J22" s="466"/>
      <c r="K22" s="466"/>
      <c r="L22" s="466"/>
      <c r="M22" s="466"/>
      <c r="N22" s="466"/>
      <c r="O22" s="466"/>
    </row>
    <row r="23" spans="1:15" ht="12.75">
      <c r="A23" s="412"/>
      <c r="B23" s="412"/>
      <c r="C23" s="412"/>
      <c r="D23" s="412"/>
      <c r="E23" s="412"/>
      <c r="F23" s="412"/>
      <c r="G23" s="412"/>
      <c r="H23" s="412"/>
      <c r="I23" s="412"/>
      <c r="J23" s="412"/>
      <c r="K23" s="412"/>
      <c r="L23" s="412"/>
      <c r="M23" s="412"/>
      <c r="N23" s="412"/>
      <c r="O23" s="412"/>
    </row>
    <row r="24" spans="1:15" ht="25.5" customHeight="1">
      <c r="A24" s="467" t="s">
        <v>282</v>
      </c>
      <c r="B24" s="467"/>
      <c r="C24" s="467"/>
      <c r="D24" s="467"/>
      <c r="E24" s="467"/>
      <c r="F24" s="467"/>
      <c r="G24" s="467"/>
      <c r="H24" s="467"/>
      <c r="I24" s="467"/>
      <c r="J24" s="467"/>
      <c r="K24" s="467"/>
      <c r="L24" s="467"/>
      <c r="M24" s="467"/>
      <c r="N24" s="467"/>
      <c r="O24" s="467"/>
    </row>
    <row r="26" spans="1:15" ht="12.75">
      <c r="A26" s="129"/>
      <c r="B26" s="463" t="s">
        <v>283</v>
      </c>
      <c r="C26" s="463"/>
      <c r="D26" s="463"/>
      <c r="E26" s="463"/>
      <c r="F26" s="463"/>
      <c r="G26" s="463"/>
      <c r="H26" s="463"/>
      <c r="I26" s="463"/>
      <c r="J26" s="463"/>
      <c r="K26" s="463"/>
      <c r="L26" s="463"/>
      <c r="M26" s="463"/>
      <c r="N26" s="464" t="s">
        <v>250</v>
      </c>
      <c r="O26" s="129"/>
    </row>
    <row r="27" spans="1:15" ht="25.5" customHeight="1">
      <c r="A27" s="403" t="s">
        <v>259</v>
      </c>
      <c r="B27" s="47" t="s">
        <v>0</v>
      </c>
      <c r="C27" s="47" t="s">
        <v>1</v>
      </c>
      <c r="D27" s="47" t="s">
        <v>2</v>
      </c>
      <c r="E27" s="47" t="s">
        <v>3</v>
      </c>
      <c r="F27" s="47" t="s">
        <v>4</v>
      </c>
      <c r="G27" s="47" t="s">
        <v>5</v>
      </c>
      <c r="H27" s="47" t="s">
        <v>6</v>
      </c>
      <c r="I27" s="47" t="s">
        <v>260</v>
      </c>
      <c r="J27" s="47" t="s">
        <v>261</v>
      </c>
      <c r="K27" s="47" t="s">
        <v>9</v>
      </c>
      <c r="L27" s="47" t="s">
        <v>262</v>
      </c>
      <c r="M27" s="47" t="s">
        <v>11</v>
      </c>
      <c r="N27" s="465"/>
      <c r="O27" s="404" t="s">
        <v>263</v>
      </c>
    </row>
    <row r="28" spans="1:15" ht="12.75">
      <c r="A28" s="142" t="s">
        <v>12</v>
      </c>
      <c r="B28" s="405">
        <v>883.26</v>
      </c>
      <c r="C28" s="405">
        <v>906.83</v>
      </c>
      <c r="D28" s="405">
        <v>877.76</v>
      </c>
      <c r="E28" s="405">
        <v>946.31</v>
      </c>
      <c r="F28" s="405">
        <v>969.23</v>
      </c>
      <c r="G28" s="405">
        <v>863.42</v>
      </c>
      <c r="H28" s="405">
        <v>877.71</v>
      </c>
      <c r="I28" s="405">
        <v>873.8</v>
      </c>
      <c r="J28" s="405">
        <v>901.16</v>
      </c>
      <c r="K28" s="405">
        <v>941.75</v>
      </c>
      <c r="L28" s="405">
        <v>879.12</v>
      </c>
      <c r="M28" s="405">
        <v>824.85</v>
      </c>
      <c r="N28" s="406">
        <v>11780</v>
      </c>
      <c r="O28" s="48" t="s">
        <v>264</v>
      </c>
    </row>
    <row r="29" spans="1:15" ht="12.75">
      <c r="A29" s="142" t="s">
        <v>265</v>
      </c>
      <c r="B29" s="405">
        <v>1.64</v>
      </c>
      <c r="C29" s="405">
        <v>1.64</v>
      </c>
      <c r="D29" s="405">
        <v>1.64</v>
      </c>
      <c r="E29" s="405">
        <v>1.64</v>
      </c>
      <c r="F29" s="405">
        <v>1.64</v>
      </c>
      <c r="G29" s="405">
        <v>1.47</v>
      </c>
      <c r="H29" s="405">
        <v>1.76</v>
      </c>
      <c r="I29" s="405">
        <v>1.6</v>
      </c>
      <c r="J29" s="405">
        <v>1.69</v>
      </c>
      <c r="K29" s="405">
        <v>1.64</v>
      </c>
      <c r="L29" s="405">
        <v>1.64</v>
      </c>
      <c r="M29" s="405">
        <v>1.64</v>
      </c>
      <c r="N29" s="407">
        <v>2100470</v>
      </c>
      <c r="O29" s="48" t="s">
        <v>266</v>
      </c>
    </row>
    <row r="30" spans="1:15" ht="12.75">
      <c r="A30" s="142" t="s">
        <v>267</v>
      </c>
      <c r="B30" s="405">
        <v>7.96</v>
      </c>
      <c r="C30" s="405">
        <v>7.96</v>
      </c>
      <c r="D30" s="405">
        <v>7.96</v>
      </c>
      <c r="E30" s="405">
        <v>7.96</v>
      </c>
      <c r="F30" s="405">
        <v>7.96</v>
      </c>
      <c r="G30" s="405">
        <v>6.3</v>
      </c>
      <c r="H30" s="405">
        <v>8.11</v>
      </c>
      <c r="I30" s="405">
        <v>8.85</v>
      </c>
      <c r="J30" s="405">
        <v>8.69</v>
      </c>
      <c r="K30" s="405">
        <v>7.96</v>
      </c>
      <c r="L30" s="405">
        <v>7.96</v>
      </c>
      <c r="M30" s="405">
        <v>7.96</v>
      </c>
      <c r="N30" s="407">
        <v>463742</v>
      </c>
      <c r="O30" s="48" t="s">
        <v>268</v>
      </c>
    </row>
    <row r="31" spans="1:15" ht="12.75">
      <c r="A31" s="142" t="s">
        <v>15</v>
      </c>
      <c r="B31" s="405">
        <v>1596.86125</v>
      </c>
      <c r="C31" s="405">
        <v>1599.3612500000002</v>
      </c>
      <c r="D31" s="405">
        <v>1601.11525</v>
      </c>
      <c r="E31" s="405">
        <v>1555.39</v>
      </c>
      <c r="F31" s="405">
        <v>1609.84</v>
      </c>
      <c r="G31" s="405">
        <v>1524.28</v>
      </c>
      <c r="H31" s="405">
        <v>1510.61</v>
      </c>
      <c r="I31" s="405">
        <v>1532.09</v>
      </c>
      <c r="J31" s="405">
        <v>1469.18</v>
      </c>
      <c r="K31" s="405">
        <v>1450.55</v>
      </c>
      <c r="L31" s="405">
        <v>1498.27</v>
      </c>
      <c r="M31" s="405">
        <v>1348.11</v>
      </c>
      <c r="N31" s="408" t="s">
        <v>67</v>
      </c>
      <c r="O31" s="409" t="s">
        <v>269</v>
      </c>
    </row>
    <row r="32" spans="1:15" ht="12.75">
      <c r="A32" s="142" t="s">
        <v>16</v>
      </c>
      <c r="B32" s="405">
        <v>27.38</v>
      </c>
      <c r="C32" s="405">
        <v>24.25</v>
      </c>
      <c r="D32" s="405">
        <v>31.08</v>
      </c>
      <c r="E32" s="405">
        <v>41.31</v>
      </c>
      <c r="F32" s="405">
        <v>46.63</v>
      </c>
      <c r="G32" s="405">
        <v>41.19</v>
      </c>
      <c r="H32" s="405">
        <v>45.86</v>
      </c>
      <c r="I32" s="405">
        <v>46.52</v>
      </c>
      <c r="J32" s="405">
        <v>38.18</v>
      </c>
      <c r="K32" s="405">
        <v>39.42</v>
      </c>
      <c r="L32" s="405">
        <v>30.76</v>
      </c>
      <c r="M32" s="405">
        <v>26.46</v>
      </c>
      <c r="N32" s="407">
        <v>7368</v>
      </c>
      <c r="O32" s="48" t="s">
        <v>270</v>
      </c>
    </row>
    <row r="33" spans="1:15" ht="12.75">
      <c r="A33" s="142" t="s">
        <v>271</v>
      </c>
      <c r="B33" s="405">
        <v>20.579</v>
      </c>
      <c r="C33" s="405">
        <v>21.279</v>
      </c>
      <c r="D33" s="405">
        <v>21.283</v>
      </c>
      <c r="E33" s="405">
        <v>24.351</v>
      </c>
      <c r="F33" s="405">
        <v>25.343</v>
      </c>
      <c r="G33" s="405">
        <v>17.042</v>
      </c>
      <c r="H33" s="405">
        <v>17.638</v>
      </c>
      <c r="I33" s="405">
        <v>17.946</v>
      </c>
      <c r="J33" s="405">
        <v>17.911</v>
      </c>
      <c r="K33" s="405">
        <v>20.479</v>
      </c>
      <c r="L33" s="405">
        <v>24.281</v>
      </c>
      <c r="M33" s="405">
        <v>20.807</v>
      </c>
      <c r="N33" s="410">
        <v>11481</v>
      </c>
      <c r="O33" s="48" t="s">
        <v>272</v>
      </c>
    </row>
    <row r="34" spans="1:15" ht="12.75">
      <c r="A34" s="142" t="s">
        <v>273</v>
      </c>
      <c r="B34" s="413">
        <v>25.81</v>
      </c>
      <c r="C34" s="413">
        <v>27.14</v>
      </c>
      <c r="D34" s="413">
        <v>26.64</v>
      </c>
      <c r="E34" s="405">
        <v>28.93</v>
      </c>
      <c r="F34" s="405">
        <v>31.55</v>
      </c>
      <c r="G34" s="405">
        <v>30.99</v>
      </c>
      <c r="H34" s="405">
        <v>32.13</v>
      </c>
      <c r="I34" s="405">
        <v>33.12</v>
      </c>
      <c r="J34" s="405">
        <v>33.25</v>
      </c>
      <c r="K34" s="405">
        <v>32.41</v>
      </c>
      <c r="L34" s="405">
        <v>30.61</v>
      </c>
      <c r="M34" s="405">
        <v>25.69</v>
      </c>
      <c r="N34" s="407">
        <v>12995</v>
      </c>
      <c r="O34" s="48" t="s">
        <v>272</v>
      </c>
    </row>
    <row r="35" spans="1:15" ht="12.75">
      <c r="A35" s="142" t="s">
        <v>274</v>
      </c>
      <c r="B35" s="413">
        <v>25.81</v>
      </c>
      <c r="C35" s="413">
        <v>27.14</v>
      </c>
      <c r="D35" s="413">
        <v>26.64</v>
      </c>
      <c r="E35" s="405">
        <v>28.93</v>
      </c>
      <c r="F35" s="405">
        <v>31.55</v>
      </c>
      <c r="G35" s="405">
        <v>30.99</v>
      </c>
      <c r="H35" s="405">
        <v>32.13</v>
      </c>
      <c r="I35" s="405">
        <v>33.12</v>
      </c>
      <c r="J35" s="405">
        <v>33.25</v>
      </c>
      <c r="K35" s="405">
        <v>32.41</v>
      </c>
      <c r="L35" s="405">
        <v>30.61</v>
      </c>
      <c r="M35" s="405">
        <v>25.69</v>
      </c>
      <c r="N35" s="407">
        <v>12995</v>
      </c>
      <c r="O35" s="48" t="s">
        <v>272</v>
      </c>
    </row>
    <row r="36" spans="1:15" ht="12.75">
      <c r="A36" s="142" t="s">
        <v>275</v>
      </c>
      <c r="B36" s="405">
        <v>29.44</v>
      </c>
      <c r="C36" s="405">
        <v>29.44</v>
      </c>
      <c r="D36" s="405">
        <v>29.44</v>
      </c>
      <c r="E36" s="405">
        <v>29.44</v>
      </c>
      <c r="F36" s="405">
        <v>27.84</v>
      </c>
      <c r="G36" s="405">
        <v>28.18</v>
      </c>
      <c r="H36" s="405">
        <v>29.66</v>
      </c>
      <c r="I36" s="405">
        <v>29.96</v>
      </c>
      <c r="J36" s="405">
        <v>29.87</v>
      </c>
      <c r="K36" s="405">
        <v>28.04</v>
      </c>
      <c r="L36" s="405">
        <v>29.44</v>
      </c>
      <c r="M36" s="405">
        <v>29.44</v>
      </c>
      <c r="N36" s="407">
        <v>630707</v>
      </c>
      <c r="O36" s="48" t="s">
        <v>276</v>
      </c>
    </row>
    <row r="37" spans="1:15" ht="12.75">
      <c r="A37" s="142" t="s">
        <v>277</v>
      </c>
      <c r="B37" s="405">
        <v>9.84</v>
      </c>
      <c r="C37" s="405">
        <v>9.84</v>
      </c>
      <c r="D37" s="405">
        <v>9.84</v>
      </c>
      <c r="E37" s="405">
        <v>9.84</v>
      </c>
      <c r="F37" s="405">
        <v>8.99</v>
      </c>
      <c r="G37" s="405">
        <v>9.06</v>
      </c>
      <c r="H37" s="405">
        <v>9.78</v>
      </c>
      <c r="I37" s="405">
        <v>10.08</v>
      </c>
      <c r="J37" s="405">
        <v>9.85</v>
      </c>
      <c r="K37" s="405">
        <v>9.2</v>
      </c>
      <c r="L37" s="405">
        <v>9.84</v>
      </c>
      <c r="M37" s="405">
        <v>9.84</v>
      </c>
      <c r="N37" s="407">
        <v>630707</v>
      </c>
      <c r="O37" s="48" t="s">
        <v>276</v>
      </c>
    </row>
    <row r="38" spans="1:15" ht="12.75">
      <c r="A38" s="142" t="s">
        <v>278</v>
      </c>
      <c r="B38" s="405">
        <v>46.67</v>
      </c>
      <c r="C38" s="405">
        <v>46.67</v>
      </c>
      <c r="D38" s="405">
        <v>46.67</v>
      </c>
      <c r="E38" s="405">
        <v>46.67</v>
      </c>
      <c r="F38" s="405">
        <v>46.01</v>
      </c>
      <c r="G38" s="405">
        <v>43.57</v>
      </c>
      <c r="H38" s="405">
        <v>46.48</v>
      </c>
      <c r="I38" s="405">
        <v>47.24</v>
      </c>
      <c r="J38" s="405">
        <v>47.63</v>
      </c>
      <c r="K38" s="405">
        <v>46.44</v>
      </c>
      <c r="L38" s="405">
        <v>46.67</v>
      </c>
      <c r="M38" s="405">
        <v>46.67</v>
      </c>
      <c r="N38" s="407">
        <v>630707</v>
      </c>
      <c r="O38" s="48" t="s">
        <v>276</v>
      </c>
    </row>
    <row r="39" spans="1:15" ht="12.75">
      <c r="A39" s="142" t="s">
        <v>279</v>
      </c>
      <c r="B39" s="405">
        <v>17.22</v>
      </c>
      <c r="C39" s="405">
        <v>17.22</v>
      </c>
      <c r="D39" s="405">
        <v>17.22</v>
      </c>
      <c r="E39" s="405">
        <v>17.22</v>
      </c>
      <c r="F39" s="405">
        <v>16.39</v>
      </c>
      <c r="G39" s="405">
        <v>16.61</v>
      </c>
      <c r="H39" s="405">
        <v>17.26</v>
      </c>
      <c r="I39" s="405">
        <v>17.5</v>
      </c>
      <c r="J39" s="405">
        <v>17.72</v>
      </c>
      <c r="K39" s="405">
        <v>16.92</v>
      </c>
      <c r="L39" s="405">
        <v>17.22</v>
      </c>
      <c r="M39" s="405">
        <v>17.22</v>
      </c>
      <c r="N39" s="407">
        <v>630707</v>
      </c>
      <c r="O39" s="48" t="s">
        <v>276</v>
      </c>
    </row>
    <row r="40" spans="1:15" ht="12.75">
      <c r="A40" s="142" t="s">
        <v>49</v>
      </c>
      <c r="B40" s="405">
        <v>29.75</v>
      </c>
      <c r="C40" s="405">
        <v>29.75</v>
      </c>
      <c r="D40" s="405">
        <v>29.75</v>
      </c>
      <c r="E40" s="405">
        <v>29.75</v>
      </c>
      <c r="F40" s="405">
        <v>29.75</v>
      </c>
      <c r="G40" s="405">
        <v>-2.77</v>
      </c>
      <c r="H40" s="405">
        <v>86.93</v>
      </c>
      <c r="I40" s="405">
        <v>152.03</v>
      </c>
      <c r="J40" s="405">
        <v>220.23</v>
      </c>
      <c r="K40" s="405">
        <v>154.36</v>
      </c>
      <c r="L40" s="405">
        <v>154.36</v>
      </c>
      <c r="M40" s="405">
        <v>29.75</v>
      </c>
      <c r="N40" s="407">
        <v>3250</v>
      </c>
      <c r="O40" s="48" t="s">
        <v>280</v>
      </c>
    </row>
    <row r="41" spans="1:15" ht="12.75">
      <c r="A41" s="142" t="s">
        <v>35</v>
      </c>
      <c r="B41" s="50" t="s">
        <v>67</v>
      </c>
      <c r="C41" s="50" t="s">
        <v>67</v>
      </c>
      <c r="D41" s="50" t="s">
        <v>67</v>
      </c>
      <c r="E41" s="291" t="s">
        <v>67</v>
      </c>
      <c r="F41" s="50" t="s">
        <v>67</v>
      </c>
      <c r="G41" s="50" t="s">
        <v>67</v>
      </c>
      <c r="H41" s="50" t="s">
        <v>67</v>
      </c>
      <c r="I41" s="50" t="s">
        <v>67</v>
      </c>
      <c r="J41" s="50" t="s">
        <v>67</v>
      </c>
      <c r="K41" s="50" t="s">
        <v>67</v>
      </c>
      <c r="L41" s="50" t="s">
        <v>67</v>
      </c>
      <c r="M41" s="50" t="s">
        <v>67</v>
      </c>
      <c r="N41" s="407">
        <v>23444</v>
      </c>
      <c r="O41" s="48" t="s">
        <v>281</v>
      </c>
    </row>
    <row r="43" spans="1:15" ht="12.75">
      <c r="A43" s="458" t="s">
        <v>28</v>
      </c>
      <c r="B43" s="458"/>
      <c r="C43" s="458"/>
      <c r="D43" s="458"/>
      <c r="E43" s="458"/>
      <c r="F43" s="458"/>
      <c r="G43" s="458"/>
      <c r="H43" s="458"/>
      <c r="I43" s="458"/>
      <c r="J43" s="458"/>
      <c r="K43" s="458"/>
      <c r="L43" s="458"/>
      <c r="M43" s="458"/>
      <c r="N43" s="458"/>
      <c r="O43" s="458"/>
    </row>
    <row r="44" spans="1:15" ht="25.5" customHeight="1">
      <c r="A44" s="462" t="s">
        <v>291</v>
      </c>
      <c r="B44" s="462"/>
      <c r="C44" s="462"/>
      <c r="D44" s="462"/>
      <c r="E44" s="462"/>
      <c r="F44" s="462"/>
      <c r="G44" s="462"/>
      <c r="H44" s="462"/>
      <c r="I44" s="462"/>
      <c r="J44" s="462"/>
      <c r="K44" s="462"/>
      <c r="L44" s="462"/>
      <c r="M44" s="462"/>
      <c r="N44" s="462"/>
      <c r="O44" s="462"/>
    </row>
    <row r="45" spans="1:15" ht="12.75">
      <c r="A45" s="44"/>
      <c r="B45" s="14"/>
      <c r="C45" s="414"/>
      <c r="D45" s="14"/>
      <c r="E45" s="395"/>
      <c r="F45" s="14"/>
      <c r="G45" s="395"/>
      <c r="H45" s="14"/>
      <c r="I45" s="331"/>
      <c r="J45" s="14"/>
      <c r="K45" s="331"/>
      <c r="L45" s="14"/>
      <c r="M45" s="331"/>
      <c r="N45" s="124"/>
      <c r="O45" s="45"/>
    </row>
    <row r="46" spans="1:15" ht="12.75">
      <c r="A46" s="415" t="s">
        <v>284</v>
      </c>
      <c r="B46" s="147"/>
      <c r="C46" s="147"/>
      <c r="D46" s="147"/>
      <c r="E46" s="147"/>
      <c r="F46" s="147"/>
      <c r="G46" s="147"/>
      <c r="H46" s="147"/>
      <c r="I46" s="147"/>
      <c r="J46" s="147"/>
      <c r="K46" s="147"/>
      <c r="L46" s="147"/>
      <c r="M46" s="147"/>
      <c r="N46" s="147"/>
      <c r="O46" s="147"/>
    </row>
    <row r="47" ht="12.75">
      <c r="A47" s="44"/>
    </row>
    <row r="48" ht="12.75">
      <c r="A48" s="44" t="s">
        <v>285</v>
      </c>
    </row>
  </sheetData>
  <mergeCells count="8">
    <mergeCell ref="A44:O44"/>
    <mergeCell ref="B4:M4"/>
    <mergeCell ref="N4:N5"/>
    <mergeCell ref="B26:M26"/>
    <mergeCell ref="N26:N27"/>
    <mergeCell ref="A43:O43"/>
    <mergeCell ref="A22:O22"/>
    <mergeCell ref="A24:O24"/>
  </mergeCells>
  <printOptions horizontalCentered="1"/>
  <pageMargins left="0.25" right="0.25" top="0.75" bottom="0.5" header="0.4" footer="0.28"/>
  <pageSetup horizontalDpi="600" verticalDpi="600" orientation="landscape" scale="69" r:id="rId1"/>
  <headerFooter alignWithMargins="0">
    <oddHeader>&amp;C&amp;"Arial,Bold"Table I-1A
Average Load Impact kW / Customer
2010</oddHeader>
    <oddFooter>&amp;L&amp;F&amp;R&amp;D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72"/>
  <sheetViews>
    <sheetView zoomScale="50" zoomScaleNormal="50" zoomScaleSheetLayoutView="50" workbookViewId="0" topLeftCell="A1">
      <selection activeCell="A2" sqref="A2"/>
    </sheetView>
  </sheetViews>
  <sheetFormatPr defaultColWidth="9.140625" defaultRowHeight="12.75"/>
  <cols>
    <col min="1" max="1" width="45.7109375" style="239" customWidth="1"/>
    <col min="2" max="2" width="16.8515625" style="239" customWidth="1"/>
    <col min="3" max="3" width="14.8515625" style="239" customWidth="1"/>
    <col min="4" max="4" width="13.7109375" style="239" customWidth="1"/>
    <col min="5" max="5" width="18.7109375" style="239" customWidth="1"/>
    <col min="6" max="6" width="15.421875" style="239" customWidth="1"/>
    <col min="7" max="7" width="14.57421875" style="239" customWidth="1"/>
    <col min="8" max="8" width="13.8515625" style="239" customWidth="1"/>
    <col min="9" max="9" width="18.8515625" style="239" customWidth="1"/>
    <col min="10" max="10" width="15.28125" style="239" customWidth="1"/>
    <col min="11" max="11" width="14.57421875" style="239" customWidth="1"/>
    <col min="12" max="12" width="13.8515625" style="239" customWidth="1"/>
    <col min="13" max="13" width="18.7109375" style="239" customWidth="1"/>
    <col min="14" max="14" width="15.00390625" style="239" customWidth="1"/>
    <col min="15" max="15" width="14.28125" style="239" customWidth="1"/>
    <col min="16" max="16" width="13.57421875" style="239" customWidth="1"/>
    <col min="17" max="17" width="19.140625" style="239" customWidth="1"/>
    <col min="18" max="18" width="15.421875" style="239" customWidth="1"/>
    <col min="19" max="19" width="13.7109375" style="239" customWidth="1"/>
    <col min="20" max="20" width="13.8515625" style="239" customWidth="1"/>
    <col min="21" max="21" width="18.8515625" style="239" customWidth="1"/>
    <col min="22" max="22" width="15.00390625" style="239" customWidth="1"/>
    <col min="23" max="23" width="13.57421875" style="239" customWidth="1"/>
    <col min="24" max="24" width="13.8515625" style="239" customWidth="1"/>
    <col min="25" max="25" width="18.57421875" style="239" customWidth="1"/>
    <col min="26" max="16384" width="9.140625" style="239" customWidth="1"/>
  </cols>
  <sheetData>
    <row r="1" ht="18">
      <c r="A1" s="225" t="s">
        <v>215</v>
      </c>
    </row>
    <row r="3" spans="1:25" ht="21.75" customHeight="1">
      <c r="A3" s="229">
        <v>2010</v>
      </c>
      <c r="B3" s="468" t="s">
        <v>0</v>
      </c>
      <c r="C3" s="468"/>
      <c r="D3" s="468"/>
      <c r="E3" s="468"/>
      <c r="F3" s="468" t="s">
        <v>1</v>
      </c>
      <c r="G3" s="468"/>
      <c r="H3" s="468"/>
      <c r="I3" s="468"/>
      <c r="J3" s="468" t="s">
        <v>2</v>
      </c>
      <c r="K3" s="468"/>
      <c r="L3" s="468"/>
      <c r="M3" s="468"/>
      <c r="N3" s="468" t="s">
        <v>3</v>
      </c>
      <c r="O3" s="468"/>
      <c r="P3" s="468"/>
      <c r="Q3" s="468"/>
      <c r="R3" s="468" t="s">
        <v>4</v>
      </c>
      <c r="S3" s="468"/>
      <c r="T3" s="468"/>
      <c r="U3" s="468"/>
      <c r="V3" s="468" t="s">
        <v>5</v>
      </c>
      <c r="W3" s="468"/>
      <c r="X3" s="468"/>
      <c r="Y3" s="468"/>
    </row>
    <row r="4" spans="1:25" ht="79.5" customHeight="1">
      <c r="A4" s="233" t="s">
        <v>112</v>
      </c>
      <c r="B4" s="240" t="s">
        <v>205</v>
      </c>
      <c r="C4" s="240" t="s">
        <v>206</v>
      </c>
      <c r="D4" s="240" t="s">
        <v>207</v>
      </c>
      <c r="E4" s="240" t="s">
        <v>208</v>
      </c>
      <c r="F4" s="240" t="s">
        <v>205</v>
      </c>
      <c r="G4" s="240" t="s">
        <v>206</v>
      </c>
      <c r="H4" s="240" t="s">
        <v>207</v>
      </c>
      <c r="I4" s="240" t="s">
        <v>208</v>
      </c>
      <c r="J4" s="240" t="s">
        <v>205</v>
      </c>
      <c r="K4" s="240" t="s">
        <v>206</v>
      </c>
      <c r="L4" s="240" t="s">
        <v>207</v>
      </c>
      <c r="M4" s="240" t="s">
        <v>208</v>
      </c>
      <c r="N4" s="240" t="s">
        <v>205</v>
      </c>
      <c r="O4" s="240" t="s">
        <v>206</v>
      </c>
      <c r="P4" s="240" t="s">
        <v>207</v>
      </c>
      <c r="Q4" s="240" t="s">
        <v>208</v>
      </c>
      <c r="R4" s="240" t="s">
        <v>205</v>
      </c>
      <c r="S4" s="240" t="s">
        <v>206</v>
      </c>
      <c r="T4" s="240" t="s">
        <v>207</v>
      </c>
      <c r="U4" s="240" t="s">
        <v>208</v>
      </c>
      <c r="V4" s="240" t="s">
        <v>205</v>
      </c>
      <c r="W4" s="240" t="s">
        <v>206</v>
      </c>
      <c r="X4" s="240" t="s">
        <v>207</v>
      </c>
      <c r="Y4" s="240" t="s">
        <v>208</v>
      </c>
    </row>
    <row r="5" spans="1:25" ht="18">
      <c r="A5" s="241" t="s">
        <v>41</v>
      </c>
      <c r="B5" s="242"/>
      <c r="C5" s="243">
        <v>0</v>
      </c>
      <c r="D5" s="243">
        <v>0.8361000000000001</v>
      </c>
      <c r="E5" s="230">
        <f aca="true" t="shared" si="0" ref="E5:E10">SUM(B5:D5)</f>
        <v>0.8361000000000001</v>
      </c>
      <c r="F5" s="241"/>
      <c r="G5" s="243">
        <v>0</v>
      </c>
      <c r="H5" s="243">
        <v>0.8361000000000001</v>
      </c>
      <c r="I5" s="220">
        <f aca="true" t="shared" si="1" ref="I5:I10">SUM(G5:H5)</f>
        <v>0.8361000000000001</v>
      </c>
      <c r="J5" s="244"/>
      <c r="K5" s="288">
        <v>0</v>
      </c>
      <c r="L5" s="289">
        <v>2.12</v>
      </c>
      <c r="M5" s="220">
        <f aca="true" t="shared" si="2" ref="M5:M10">SUM(K5:L5)</f>
        <v>2.12</v>
      </c>
      <c r="N5" s="244"/>
      <c r="O5" s="245">
        <v>0</v>
      </c>
      <c r="P5" s="246">
        <v>2.12</v>
      </c>
      <c r="Q5" s="220">
        <f aca="true" t="shared" si="3" ref="Q5:Q10">SUM(O5:P5)</f>
        <v>2.12</v>
      </c>
      <c r="R5" s="244"/>
      <c r="S5" s="245">
        <v>0</v>
      </c>
      <c r="T5" s="289">
        <v>2.9955000000000007</v>
      </c>
      <c r="U5" s="220">
        <f aca="true" t="shared" si="4" ref="U5:U10">SUM(S5:T5)</f>
        <v>2.9955000000000007</v>
      </c>
      <c r="V5" s="244"/>
      <c r="W5" s="244">
        <v>0</v>
      </c>
      <c r="X5" s="289">
        <v>3</v>
      </c>
      <c r="Y5" s="220">
        <f aca="true" t="shared" si="5" ref="Y5:Y10">SUM(W5:X5)</f>
        <v>3</v>
      </c>
    </row>
    <row r="6" spans="1:25" ht="18">
      <c r="A6" s="241" t="s">
        <v>177</v>
      </c>
      <c r="B6" s="242"/>
      <c r="C6" s="243">
        <v>0</v>
      </c>
      <c r="D6" s="243">
        <v>0</v>
      </c>
      <c r="E6" s="230">
        <f t="shared" si="0"/>
        <v>0</v>
      </c>
      <c r="F6" s="241"/>
      <c r="G6" s="243">
        <v>0</v>
      </c>
      <c r="H6" s="243">
        <v>0</v>
      </c>
      <c r="I6" s="220">
        <f t="shared" si="1"/>
        <v>0</v>
      </c>
      <c r="J6" s="244"/>
      <c r="K6" s="288">
        <v>0</v>
      </c>
      <c r="L6" s="289">
        <v>0</v>
      </c>
      <c r="M6" s="220">
        <f t="shared" si="2"/>
        <v>0</v>
      </c>
      <c r="N6" s="244"/>
      <c r="O6" s="245">
        <v>0</v>
      </c>
      <c r="P6" s="246">
        <v>0.16</v>
      </c>
      <c r="Q6" s="220">
        <f t="shared" si="3"/>
        <v>0.16</v>
      </c>
      <c r="R6" s="244"/>
      <c r="S6" s="245">
        <v>0</v>
      </c>
      <c r="T6" s="289">
        <v>0.164</v>
      </c>
      <c r="U6" s="220">
        <f t="shared" si="4"/>
        <v>0.164</v>
      </c>
      <c r="V6" s="244"/>
      <c r="W6" s="244">
        <v>0</v>
      </c>
      <c r="X6" s="289">
        <v>0.164</v>
      </c>
      <c r="Y6" s="220">
        <f t="shared" si="5"/>
        <v>0.164</v>
      </c>
    </row>
    <row r="7" spans="1:25" ht="18">
      <c r="A7" s="241" t="s">
        <v>173</v>
      </c>
      <c r="B7" s="242"/>
      <c r="C7" s="243">
        <v>0</v>
      </c>
      <c r="D7" s="243">
        <v>4.2863999999999995</v>
      </c>
      <c r="E7" s="230">
        <f t="shared" si="0"/>
        <v>4.2863999999999995</v>
      </c>
      <c r="F7" s="241"/>
      <c r="G7" s="243">
        <v>0</v>
      </c>
      <c r="H7" s="243">
        <v>4.2863999999999995</v>
      </c>
      <c r="I7" s="220">
        <f t="shared" si="1"/>
        <v>4.2863999999999995</v>
      </c>
      <c r="J7" s="244"/>
      <c r="K7" s="288">
        <v>0.14</v>
      </c>
      <c r="L7" s="289">
        <v>4.29</v>
      </c>
      <c r="M7" s="220">
        <f t="shared" si="2"/>
        <v>4.43</v>
      </c>
      <c r="N7" s="244"/>
      <c r="O7" s="245">
        <v>12.6</v>
      </c>
      <c r="P7" s="246">
        <v>4.29</v>
      </c>
      <c r="Q7" s="220">
        <f t="shared" si="3"/>
        <v>16.89</v>
      </c>
      <c r="R7" s="244"/>
      <c r="S7" s="288">
        <v>12.593999999999996</v>
      </c>
      <c r="T7" s="289">
        <v>4.2864</v>
      </c>
      <c r="U7" s="220">
        <f t="shared" si="4"/>
        <v>16.880399999999995</v>
      </c>
      <c r="V7" s="244"/>
      <c r="W7" s="244">
        <v>12.594</v>
      </c>
      <c r="X7" s="289">
        <v>4.8839000000000015</v>
      </c>
      <c r="Y7" s="220">
        <f t="shared" si="5"/>
        <v>17.4779</v>
      </c>
    </row>
    <row r="8" spans="1:25" ht="18">
      <c r="A8" s="241" t="s">
        <v>174</v>
      </c>
      <c r="B8" s="242"/>
      <c r="C8" s="243">
        <v>0</v>
      </c>
      <c r="D8" s="243">
        <v>0.647</v>
      </c>
      <c r="E8" s="230">
        <f t="shared" si="0"/>
        <v>0.647</v>
      </c>
      <c r="F8" s="241"/>
      <c r="G8" s="243">
        <v>0</v>
      </c>
      <c r="H8" s="243">
        <v>0.647</v>
      </c>
      <c r="I8" s="220">
        <f t="shared" si="1"/>
        <v>0.647</v>
      </c>
      <c r="J8" s="244"/>
      <c r="K8" s="288">
        <v>0</v>
      </c>
      <c r="L8" s="288">
        <v>0.65</v>
      </c>
      <c r="M8" s="220">
        <f t="shared" si="2"/>
        <v>0.65</v>
      </c>
      <c r="N8" s="244"/>
      <c r="O8" s="245">
        <v>0</v>
      </c>
      <c r="P8" s="245">
        <v>0.65</v>
      </c>
      <c r="Q8" s="220">
        <f t="shared" si="3"/>
        <v>0.65</v>
      </c>
      <c r="R8" s="244"/>
      <c r="S8" s="245">
        <v>0</v>
      </c>
      <c r="T8" s="289">
        <v>0.992</v>
      </c>
      <c r="U8" s="220">
        <f t="shared" si="4"/>
        <v>0.992</v>
      </c>
      <c r="V8" s="244"/>
      <c r="W8" s="244">
        <v>0</v>
      </c>
      <c r="X8" s="289">
        <v>1.538</v>
      </c>
      <c r="Y8" s="220">
        <f t="shared" si="5"/>
        <v>1.538</v>
      </c>
    </row>
    <row r="9" spans="1:25" ht="18">
      <c r="A9" s="241" t="s">
        <v>72</v>
      </c>
      <c r="B9" s="242"/>
      <c r="C9" s="243">
        <v>0</v>
      </c>
      <c r="D9" s="243">
        <v>0</v>
      </c>
      <c r="E9" s="230">
        <f t="shared" si="0"/>
        <v>0</v>
      </c>
      <c r="F9" s="241"/>
      <c r="G9" s="243">
        <v>0</v>
      </c>
      <c r="H9" s="243">
        <v>0</v>
      </c>
      <c r="I9" s="220">
        <f t="shared" si="1"/>
        <v>0</v>
      </c>
      <c r="J9" s="244"/>
      <c r="K9" s="288">
        <v>0</v>
      </c>
      <c r="L9" s="288">
        <v>0</v>
      </c>
      <c r="M9" s="220">
        <f t="shared" si="2"/>
        <v>0</v>
      </c>
      <c r="N9" s="244"/>
      <c r="O9" s="245">
        <v>0</v>
      </c>
      <c r="P9" s="245">
        <v>0</v>
      </c>
      <c r="Q9" s="220">
        <f t="shared" si="3"/>
        <v>0</v>
      </c>
      <c r="R9" s="244"/>
      <c r="S9" s="245">
        <v>0</v>
      </c>
      <c r="T9" s="289">
        <v>0</v>
      </c>
      <c r="U9" s="220">
        <f t="shared" si="4"/>
        <v>0</v>
      </c>
      <c r="V9" s="244"/>
      <c r="W9" s="244">
        <v>0</v>
      </c>
      <c r="X9" s="245">
        <v>0</v>
      </c>
      <c r="Y9" s="220">
        <f t="shared" si="5"/>
        <v>0</v>
      </c>
    </row>
    <row r="10" spans="1:25" ht="18">
      <c r="A10" s="241" t="s">
        <v>35</v>
      </c>
      <c r="B10" s="242"/>
      <c r="C10" s="243">
        <v>0</v>
      </c>
      <c r="D10" s="243">
        <v>0</v>
      </c>
      <c r="E10" s="230">
        <f t="shared" si="0"/>
        <v>0</v>
      </c>
      <c r="F10" s="241"/>
      <c r="G10" s="243">
        <v>0</v>
      </c>
      <c r="H10" s="243">
        <v>0</v>
      </c>
      <c r="I10" s="220">
        <f t="shared" si="1"/>
        <v>0</v>
      </c>
      <c r="J10" s="244"/>
      <c r="K10" s="288">
        <v>0</v>
      </c>
      <c r="L10" s="288">
        <v>0</v>
      </c>
      <c r="M10" s="220">
        <f t="shared" si="2"/>
        <v>0</v>
      </c>
      <c r="N10" s="244"/>
      <c r="O10" s="245">
        <v>0</v>
      </c>
      <c r="P10" s="245">
        <v>0</v>
      </c>
      <c r="Q10" s="220">
        <f t="shared" si="3"/>
        <v>0</v>
      </c>
      <c r="R10" s="244"/>
      <c r="S10" s="245">
        <v>0</v>
      </c>
      <c r="T10" s="289">
        <v>0</v>
      </c>
      <c r="U10" s="220">
        <f t="shared" si="4"/>
        <v>0</v>
      </c>
      <c r="V10" s="244"/>
      <c r="W10" s="244">
        <v>0</v>
      </c>
      <c r="X10" s="245">
        <v>0</v>
      </c>
      <c r="Y10" s="220">
        <f t="shared" si="5"/>
        <v>0</v>
      </c>
    </row>
    <row r="11" spans="1:25" ht="18">
      <c r="A11" s="241"/>
      <c r="B11" s="247"/>
      <c r="C11" s="243"/>
      <c r="D11" s="243"/>
      <c r="E11" s="231"/>
      <c r="F11" s="241"/>
      <c r="G11" s="245"/>
      <c r="H11" s="245"/>
      <c r="I11" s="220"/>
      <c r="J11" s="244"/>
      <c r="K11" s="245"/>
      <c r="L11" s="245"/>
      <c r="M11" s="220"/>
      <c r="N11" s="244"/>
      <c r="O11" s="245"/>
      <c r="P11" s="245"/>
      <c r="Q11" s="220"/>
      <c r="R11" s="244"/>
      <c r="S11" s="245"/>
      <c r="T11" s="245"/>
      <c r="U11" s="220"/>
      <c r="V11" s="244"/>
      <c r="W11" s="245"/>
      <c r="X11" s="245"/>
      <c r="Y11" s="220"/>
    </row>
    <row r="12" spans="1:25" s="225" customFormat="1" ht="18">
      <c r="A12" s="222" t="s">
        <v>125</v>
      </c>
      <c r="B12" s="248"/>
      <c r="C12" s="221">
        <f>SUM(C5:C11)</f>
        <v>0</v>
      </c>
      <c r="D12" s="221">
        <f>SUM(D5:D11)</f>
        <v>5.7695</v>
      </c>
      <c r="E12" s="221">
        <f>SUM(E5:E11)</f>
        <v>5.7695</v>
      </c>
      <c r="F12" s="222"/>
      <c r="G12" s="220">
        <f>SUM(G5:G11)</f>
        <v>0</v>
      </c>
      <c r="H12" s="220">
        <f>SUM(H5:H11)</f>
        <v>5.7695</v>
      </c>
      <c r="I12" s="220">
        <f>SUM(I5:I11)</f>
        <v>5.7695</v>
      </c>
      <c r="J12" s="223"/>
      <c r="K12" s="220">
        <f>SUM(K5:K11)</f>
        <v>0.14</v>
      </c>
      <c r="L12" s="220">
        <f>SUM(L5:L11)</f>
        <v>7.0600000000000005</v>
      </c>
      <c r="M12" s="220">
        <f>SUM(M5:M11)</f>
        <v>7.2</v>
      </c>
      <c r="N12" s="223"/>
      <c r="O12" s="220">
        <f>SUM(O5:O11)</f>
        <v>12.6</v>
      </c>
      <c r="P12" s="220">
        <f>SUM(P5:P11)</f>
        <v>7.220000000000001</v>
      </c>
      <c r="Q12" s="220">
        <f>SUM(Q5:Q11)</f>
        <v>19.82</v>
      </c>
      <c r="R12" s="223"/>
      <c r="S12" s="220">
        <f>SUM(S5:S11)</f>
        <v>12.593999999999996</v>
      </c>
      <c r="T12" s="220">
        <f>SUM(T5:T11)</f>
        <v>8.437900000000003</v>
      </c>
      <c r="U12" s="220">
        <f>SUM(U5:U11)</f>
        <v>21.031899999999997</v>
      </c>
      <c r="V12" s="223"/>
      <c r="W12" s="220">
        <f>SUM(W5:W11)</f>
        <v>12.594</v>
      </c>
      <c r="X12" s="220">
        <f>SUM(X5:X11)</f>
        <v>9.585900000000002</v>
      </c>
      <c r="Y12" s="220">
        <f>SUM(Y5:Y11)</f>
        <v>22.179900000000004</v>
      </c>
    </row>
    <row r="13" spans="1:25" ht="3.75" customHeight="1">
      <c r="A13" s="222"/>
      <c r="B13" s="222"/>
      <c r="C13" s="249"/>
      <c r="D13" s="249"/>
      <c r="E13" s="232"/>
      <c r="F13" s="222"/>
      <c r="G13" s="244"/>
      <c r="H13" s="244"/>
      <c r="I13" s="220"/>
      <c r="J13" s="223"/>
      <c r="K13" s="244"/>
      <c r="L13" s="250"/>
      <c r="M13" s="220"/>
      <c r="N13" s="223"/>
      <c r="O13" s="244"/>
      <c r="P13" s="250"/>
      <c r="Q13" s="220"/>
      <c r="R13" s="223"/>
      <c r="S13" s="244"/>
      <c r="T13" s="250"/>
      <c r="U13" s="220"/>
      <c r="V13" s="223"/>
      <c r="W13" s="244"/>
      <c r="X13" s="250"/>
      <c r="Y13" s="220"/>
    </row>
    <row r="14" spans="1:25" ht="18">
      <c r="A14" s="251" t="s">
        <v>25</v>
      </c>
      <c r="B14" s="251"/>
      <c r="C14" s="240"/>
      <c r="D14" s="240"/>
      <c r="E14" s="233"/>
      <c r="F14" s="251"/>
      <c r="G14" s="252"/>
      <c r="H14" s="253"/>
      <c r="I14" s="253"/>
      <c r="J14" s="254"/>
      <c r="K14" s="252"/>
      <c r="L14" s="253"/>
      <c r="M14" s="220"/>
      <c r="N14" s="254"/>
      <c r="O14" s="252"/>
      <c r="P14" s="253"/>
      <c r="Q14" s="220"/>
      <c r="R14" s="254"/>
      <c r="S14" s="252"/>
      <c r="T14" s="253"/>
      <c r="U14" s="220"/>
      <c r="V14" s="254"/>
      <c r="W14" s="252"/>
      <c r="X14" s="253"/>
      <c r="Y14" s="220"/>
    </row>
    <row r="15" spans="1:25" ht="18">
      <c r="A15" s="241" t="s">
        <v>176</v>
      </c>
      <c r="B15" s="242"/>
      <c r="C15" s="243">
        <v>0</v>
      </c>
      <c r="D15" s="243">
        <v>0</v>
      </c>
      <c r="E15" s="230">
        <f>SUM(B15:D15)</f>
        <v>0</v>
      </c>
      <c r="F15" s="241"/>
      <c r="G15" s="243">
        <v>0</v>
      </c>
      <c r="H15" s="243">
        <v>0</v>
      </c>
      <c r="I15" s="220">
        <f>SUM(G15:H15)</f>
        <v>0</v>
      </c>
      <c r="J15" s="244"/>
      <c r="K15" s="288">
        <v>0</v>
      </c>
      <c r="L15" s="288">
        <v>0</v>
      </c>
      <c r="M15" s="220">
        <f>SUM(K15:L15)</f>
        <v>0</v>
      </c>
      <c r="N15" s="244"/>
      <c r="O15" s="245">
        <v>0</v>
      </c>
      <c r="P15" s="245">
        <v>0</v>
      </c>
      <c r="Q15" s="220">
        <f>SUM(O15:P15)</f>
        <v>0</v>
      </c>
      <c r="R15" s="244"/>
      <c r="S15" s="245">
        <v>0</v>
      </c>
      <c r="T15" s="245">
        <v>0</v>
      </c>
      <c r="U15" s="220">
        <f>SUM(S15:T15)</f>
        <v>0</v>
      </c>
      <c r="V15" s="244"/>
      <c r="W15" s="245">
        <v>0</v>
      </c>
      <c r="X15" s="245">
        <v>0</v>
      </c>
      <c r="Y15" s="220">
        <f>SUM(W15:X15)</f>
        <v>0</v>
      </c>
    </row>
    <row r="16" spans="1:25" ht="18">
      <c r="A16" s="241" t="s">
        <v>178</v>
      </c>
      <c r="B16" s="242"/>
      <c r="C16" s="243">
        <v>0</v>
      </c>
      <c r="D16" s="243">
        <v>0</v>
      </c>
      <c r="E16" s="230">
        <f>SUM(B16:D16)</f>
        <v>0</v>
      </c>
      <c r="F16" s="241"/>
      <c r="G16" s="243">
        <v>0</v>
      </c>
      <c r="H16" s="243">
        <v>0</v>
      </c>
      <c r="I16" s="220">
        <f>SUM(G16:H16)</f>
        <v>0</v>
      </c>
      <c r="J16" s="244"/>
      <c r="K16" s="288">
        <v>0</v>
      </c>
      <c r="L16" s="288">
        <v>0</v>
      </c>
      <c r="M16" s="220">
        <f>SUM(K16:L16)</f>
        <v>0</v>
      </c>
      <c r="N16" s="244"/>
      <c r="O16" s="245">
        <v>0</v>
      </c>
      <c r="P16" s="245">
        <v>0</v>
      </c>
      <c r="Q16" s="220">
        <f>SUM(O16:P16)</f>
        <v>0</v>
      </c>
      <c r="R16" s="244"/>
      <c r="S16" s="245">
        <v>0</v>
      </c>
      <c r="T16" s="245">
        <v>0</v>
      </c>
      <c r="U16" s="220">
        <f>SUM(S16:T16)</f>
        <v>0</v>
      </c>
      <c r="V16" s="244"/>
      <c r="W16" s="245">
        <v>0</v>
      </c>
      <c r="X16" s="245">
        <v>0</v>
      </c>
      <c r="Y16" s="220">
        <f>SUM(W16:X16)</f>
        <v>0</v>
      </c>
    </row>
    <row r="17" spans="1:25" ht="18">
      <c r="A17" s="241" t="s">
        <v>175</v>
      </c>
      <c r="B17" s="242"/>
      <c r="C17" s="243">
        <v>0</v>
      </c>
      <c r="D17" s="243">
        <v>0</v>
      </c>
      <c r="E17" s="230">
        <f>SUM(B17:D17)</f>
        <v>0</v>
      </c>
      <c r="F17" s="241"/>
      <c r="G17" s="243">
        <v>0</v>
      </c>
      <c r="H17" s="243">
        <v>0</v>
      </c>
      <c r="I17" s="220">
        <f>SUM(G17:H17)</f>
        <v>0</v>
      </c>
      <c r="J17" s="244"/>
      <c r="K17" s="288">
        <v>0</v>
      </c>
      <c r="L17" s="288">
        <v>0</v>
      </c>
      <c r="M17" s="220">
        <f>SUM(K17:L17)</f>
        <v>0</v>
      </c>
      <c r="N17" s="244"/>
      <c r="O17" s="245">
        <v>0</v>
      </c>
      <c r="P17" s="245">
        <v>0</v>
      </c>
      <c r="Q17" s="220">
        <f>SUM(O17:P17)</f>
        <v>0</v>
      </c>
      <c r="R17" s="244"/>
      <c r="S17" s="245">
        <v>0</v>
      </c>
      <c r="T17" s="245">
        <v>0</v>
      </c>
      <c r="U17" s="220">
        <f>SUM(S17:T17)</f>
        <v>0</v>
      </c>
      <c r="V17" s="244"/>
      <c r="W17" s="245">
        <v>0</v>
      </c>
      <c r="X17" s="245">
        <v>0</v>
      </c>
      <c r="Y17" s="220">
        <f>SUM(W17:X17)</f>
        <v>0</v>
      </c>
    </row>
    <row r="18" spans="1:25" ht="18">
      <c r="A18" s="241" t="s">
        <v>15</v>
      </c>
      <c r="B18" s="247"/>
      <c r="C18" s="243">
        <v>0</v>
      </c>
      <c r="D18" s="243">
        <v>0</v>
      </c>
      <c r="E18" s="230">
        <f>SUM(B18:D18)</f>
        <v>0</v>
      </c>
      <c r="F18" s="241"/>
      <c r="G18" s="243">
        <v>0</v>
      </c>
      <c r="H18" s="243">
        <v>0</v>
      </c>
      <c r="I18" s="220">
        <f>SUM(G18:H18)</f>
        <v>0</v>
      </c>
      <c r="J18" s="244"/>
      <c r="K18" s="288">
        <v>0</v>
      </c>
      <c r="L18" s="288">
        <v>0</v>
      </c>
      <c r="M18" s="220">
        <f>SUM(K18:L18)</f>
        <v>0</v>
      </c>
      <c r="N18" s="244"/>
      <c r="O18" s="245">
        <v>0</v>
      </c>
      <c r="P18" s="245">
        <v>0</v>
      </c>
      <c r="Q18" s="220">
        <f>SUM(O18:P18)</f>
        <v>0</v>
      </c>
      <c r="R18" s="244"/>
      <c r="S18" s="245">
        <v>0</v>
      </c>
      <c r="T18" s="245">
        <v>0</v>
      </c>
      <c r="U18" s="220">
        <f>SUM(S18:T18)</f>
        <v>0</v>
      </c>
      <c r="V18" s="244"/>
      <c r="W18" s="245">
        <v>0</v>
      </c>
      <c r="X18" s="245">
        <v>0</v>
      </c>
      <c r="Y18" s="220">
        <f>SUM(W18:X18)</f>
        <v>0</v>
      </c>
    </row>
    <row r="19" spans="1:25" ht="18">
      <c r="A19" s="255"/>
      <c r="B19" s="256"/>
      <c r="C19" s="257"/>
      <c r="D19" s="257"/>
      <c r="E19" s="230"/>
      <c r="F19" s="255"/>
      <c r="G19" s="245"/>
      <c r="H19" s="245"/>
      <c r="I19" s="244"/>
      <c r="J19" s="258"/>
      <c r="K19" s="245"/>
      <c r="L19" s="245"/>
      <c r="M19" s="220"/>
      <c r="N19" s="258"/>
      <c r="O19" s="245"/>
      <c r="P19" s="245"/>
      <c r="Q19" s="220"/>
      <c r="R19" s="258"/>
      <c r="S19" s="245"/>
      <c r="T19" s="245"/>
      <c r="U19" s="220"/>
      <c r="V19" s="258"/>
      <c r="W19" s="245"/>
      <c r="X19" s="245"/>
      <c r="Y19" s="220"/>
    </row>
    <row r="20" spans="1:25" s="225" customFormat="1" ht="18">
      <c r="A20" s="222" t="s">
        <v>125</v>
      </c>
      <c r="B20" s="248"/>
      <c r="C20" s="221">
        <f>SUM(C15:C19)</f>
        <v>0</v>
      </c>
      <c r="D20" s="221">
        <f>SUM(D15:D19)</f>
        <v>0</v>
      </c>
      <c r="E20" s="221">
        <f>SUM(E15:E19)</f>
        <v>0</v>
      </c>
      <c r="F20" s="222"/>
      <c r="G20" s="224">
        <f>SUM(G15:G19)</f>
        <v>0</v>
      </c>
      <c r="H20" s="224">
        <f>SUM(H15:H19)</f>
        <v>0</v>
      </c>
      <c r="I20" s="220">
        <f>SUM(I14:I18)</f>
        <v>0</v>
      </c>
      <c r="J20" s="223"/>
      <c r="K20" s="224">
        <f>SUM(K15:K19)</f>
        <v>0</v>
      </c>
      <c r="L20" s="224">
        <f>SUM(L15:L19)</f>
        <v>0</v>
      </c>
      <c r="M20" s="220">
        <f>SUM(M15:M19)</f>
        <v>0</v>
      </c>
      <c r="N20" s="223"/>
      <c r="O20" s="224">
        <f>SUM(O15:O19)</f>
        <v>0</v>
      </c>
      <c r="P20" s="224">
        <f>SUM(P15:P19)</f>
        <v>0</v>
      </c>
      <c r="Q20" s="220">
        <f>SUM(Q15:Q19)</f>
        <v>0</v>
      </c>
      <c r="R20" s="223"/>
      <c r="S20" s="224">
        <f>SUM(S15:S19)</f>
        <v>0</v>
      </c>
      <c r="T20" s="224">
        <f>SUM(T15:T19)</f>
        <v>0</v>
      </c>
      <c r="U20" s="220">
        <f>SUM(U15:U19)</f>
        <v>0</v>
      </c>
      <c r="V20" s="223"/>
      <c r="W20" s="224">
        <f>SUM(W15:W19)</f>
        <v>0</v>
      </c>
      <c r="X20" s="224">
        <f>SUM(X15:X19)</f>
        <v>0</v>
      </c>
      <c r="Y20" s="220">
        <f>SUM(Y15:Y19)</f>
        <v>0</v>
      </c>
    </row>
    <row r="21" spans="1:25" ht="3.75" customHeight="1">
      <c r="A21" s="222"/>
      <c r="B21" s="222"/>
      <c r="C21" s="249"/>
      <c r="D21" s="249"/>
      <c r="E21" s="232"/>
      <c r="F21" s="222"/>
      <c r="G21" s="244"/>
      <c r="H21" s="250"/>
      <c r="I21" s="220"/>
      <c r="J21" s="223"/>
      <c r="K21" s="244"/>
      <c r="L21" s="250"/>
      <c r="M21" s="220">
        <f>SUM(M14:M18)</f>
        <v>0</v>
      </c>
      <c r="N21" s="223"/>
      <c r="O21" s="244"/>
      <c r="P21" s="250"/>
      <c r="Q21" s="220">
        <f>SUM(Q14:Q18)</f>
        <v>0</v>
      </c>
      <c r="R21" s="223"/>
      <c r="S21" s="244"/>
      <c r="T21" s="250"/>
      <c r="U21" s="220">
        <f>SUM(U14:U18)</f>
        <v>0</v>
      </c>
      <c r="V21" s="223"/>
      <c r="W21" s="244"/>
      <c r="X21" s="250"/>
      <c r="Y21" s="220">
        <f>SUM(Y14:Y18)</f>
        <v>0</v>
      </c>
    </row>
    <row r="22" spans="1:25" s="225" customFormat="1" ht="17.25" customHeight="1">
      <c r="A22" s="222" t="s">
        <v>208</v>
      </c>
      <c r="B22" s="222"/>
      <c r="C22" s="221">
        <f>C12+C20</f>
        <v>0</v>
      </c>
      <c r="D22" s="221">
        <f>D12+D20</f>
        <v>5.7695</v>
      </c>
      <c r="E22" s="221">
        <f>E12+E20</f>
        <v>5.7695</v>
      </c>
      <c r="F22" s="222"/>
      <c r="G22" s="220">
        <f>G12+G20</f>
        <v>0</v>
      </c>
      <c r="H22" s="224">
        <f>H12+H20</f>
        <v>5.7695</v>
      </c>
      <c r="I22" s="220">
        <f>I12+I20</f>
        <v>5.7695</v>
      </c>
      <c r="J22" s="223"/>
      <c r="K22" s="220">
        <f>K12+K20</f>
        <v>0.14</v>
      </c>
      <c r="L22" s="224">
        <f>L12+L20</f>
        <v>7.0600000000000005</v>
      </c>
      <c r="M22" s="220">
        <f>M12+M20</f>
        <v>7.2</v>
      </c>
      <c r="N22" s="223"/>
      <c r="O22" s="220">
        <f>O12+O20</f>
        <v>12.6</v>
      </c>
      <c r="P22" s="224">
        <f>P12+P20</f>
        <v>7.220000000000001</v>
      </c>
      <c r="Q22" s="220">
        <f>Q12+Q20</f>
        <v>19.82</v>
      </c>
      <c r="R22" s="223"/>
      <c r="S22" s="220">
        <f>S12+S20</f>
        <v>12.593999999999996</v>
      </c>
      <c r="T22" s="224">
        <f>T12+T20</f>
        <v>8.437900000000003</v>
      </c>
      <c r="U22" s="220">
        <f>U12+U20</f>
        <v>21.031899999999997</v>
      </c>
      <c r="V22" s="223"/>
      <c r="W22" s="220">
        <f>W12+W20</f>
        <v>12.594</v>
      </c>
      <c r="X22" s="224">
        <f>X12+X20</f>
        <v>9.585900000000002</v>
      </c>
      <c r="Y22" s="220">
        <f>Y12+Y20</f>
        <v>22.179900000000004</v>
      </c>
    </row>
    <row r="23" spans="1:25" ht="17.25" customHeight="1">
      <c r="A23" s="259"/>
      <c r="B23" s="260"/>
      <c r="C23" s="261"/>
      <c r="D23" s="261"/>
      <c r="E23" s="226"/>
      <c r="F23" s="260"/>
      <c r="G23" s="262"/>
      <c r="H23" s="263"/>
      <c r="I23" s="264"/>
      <c r="J23" s="264"/>
      <c r="K23" s="262"/>
      <c r="L23" s="263"/>
      <c r="M23" s="264"/>
      <c r="N23" s="264"/>
      <c r="O23" s="262"/>
      <c r="P23" s="263"/>
      <c r="Q23" s="264"/>
      <c r="R23" s="264"/>
      <c r="S23" s="262"/>
      <c r="T23" s="263"/>
      <c r="U23" s="264"/>
      <c r="V23" s="264"/>
      <c r="W23" s="262"/>
      <c r="X23" s="263"/>
      <c r="Y23" s="264"/>
    </row>
    <row r="24" spans="1:25" ht="18">
      <c r="A24" s="233" t="s">
        <v>171</v>
      </c>
      <c r="B24" s="255"/>
      <c r="C24" s="265"/>
      <c r="D24" s="265"/>
      <c r="E24" s="234"/>
      <c r="F24" s="266"/>
      <c r="G24" s="267"/>
      <c r="H24" s="267"/>
      <c r="I24" s="268"/>
      <c r="J24" s="268"/>
      <c r="K24" s="267"/>
      <c r="L24" s="267"/>
      <c r="M24" s="268"/>
      <c r="N24" s="268"/>
      <c r="O24" s="267"/>
      <c r="P24" s="267"/>
      <c r="Q24" s="268"/>
      <c r="R24" s="268"/>
      <c r="S24" s="267"/>
      <c r="T24" s="267"/>
      <c r="U24" s="268"/>
      <c r="V24" s="268"/>
      <c r="W24" s="267"/>
      <c r="X24" s="267"/>
      <c r="Y24" s="269"/>
    </row>
    <row r="25" spans="1:25" ht="36">
      <c r="A25" s="270" t="s">
        <v>179</v>
      </c>
      <c r="B25" s="247">
        <v>13.7</v>
      </c>
      <c r="C25" s="242"/>
      <c r="D25" s="242"/>
      <c r="E25" s="231"/>
      <c r="F25" s="241">
        <v>13.7</v>
      </c>
      <c r="G25" s="245"/>
      <c r="H25" s="245"/>
      <c r="I25" s="244"/>
      <c r="J25" s="287">
        <v>20.18</v>
      </c>
      <c r="K25" s="245"/>
      <c r="L25" s="288">
        <v>0.11</v>
      </c>
      <c r="M25" s="244"/>
      <c r="N25" s="287">
        <v>25.67</v>
      </c>
      <c r="O25" s="245"/>
      <c r="P25" s="288">
        <v>0.09</v>
      </c>
      <c r="Q25" s="244"/>
      <c r="R25" s="244">
        <v>26.5</v>
      </c>
      <c r="S25" s="245"/>
      <c r="T25" s="245">
        <v>0.1</v>
      </c>
      <c r="U25" s="244"/>
      <c r="V25" s="244">
        <v>27.5</v>
      </c>
      <c r="W25" s="245"/>
      <c r="X25" s="245">
        <v>0.1</v>
      </c>
      <c r="Y25" s="244"/>
    </row>
    <row r="26" spans="1:25" ht="18">
      <c r="A26" s="241"/>
      <c r="B26" s="241"/>
      <c r="C26" s="271"/>
      <c r="D26" s="271"/>
      <c r="E26" s="272"/>
      <c r="F26" s="241"/>
      <c r="G26" s="245"/>
      <c r="H26" s="245"/>
      <c r="I26" s="244"/>
      <c r="J26" s="244"/>
      <c r="K26" s="245"/>
      <c r="L26" s="245"/>
      <c r="M26" s="244"/>
      <c r="N26" s="244"/>
      <c r="O26" s="245"/>
      <c r="P26" s="245"/>
      <c r="Q26" s="244"/>
      <c r="R26" s="244"/>
      <c r="S26" s="245"/>
      <c r="T26" s="245"/>
      <c r="U26" s="244"/>
      <c r="V26" s="244"/>
      <c r="W26" s="245"/>
      <c r="X26" s="245"/>
      <c r="Y26" s="244"/>
    </row>
    <row r="27" spans="1:25" s="225" customFormat="1" ht="18">
      <c r="A27" s="210" t="s">
        <v>125</v>
      </c>
      <c r="B27" s="221">
        <f>SUM(B25:B26)</f>
        <v>13.7</v>
      </c>
      <c r="C27" s="221"/>
      <c r="D27" s="221"/>
      <c r="E27" s="221"/>
      <c r="F27" s="273">
        <f>SUM(F25:F26)</f>
        <v>13.7</v>
      </c>
      <c r="G27" s="221"/>
      <c r="H27" s="236"/>
      <c r="I27" s="220"/>
      <c r="J27" s="220">
        <f>SUM(J25:J26)</f>
        <v>20.18</v>
      </c>
      <c r="K27" s="236"/>
      <c r="L27" s="236">
        <v>0.1</v>
      </c>
      <c r="M27" s="220"/>
      <c r="N27" s="220">
        <f>SUM(N25:N26)</f>
        <v>25.67</v>
      </c>
      <c r="O27" s="236"/>
      <c r="P27" s="236">
        <v>0.1</v>
      </c>
      <c r="Q27" s="220"/>
      <c r="R27" s="220">
        <f>SUM(R25:R26)</f>
        <v>26.5</v>
      </c>
      <c r="S27" s="236"/>
      <c r="T27" s="236">
        <v>0.1</v>
      </c>
      <c r="U27" s="220"/>
      <c r="V27" s="220">
        <f>SUM(V25:V26)</f>
        <v>27.5</v>
      </c>
      <c r="W27" s="236"/>
      <c r="X27" s="236">
        <v>0.1</v>
      </c>
      <c r="Y27" s="220"/>
    </row>
    <row r="28" spans="1:25" ht="3.75" customHeight="1">
      <c r="A28" s="222"/>
      <c r="B28" s="249"/>
      <c r="C28" s="249"/>
      <c r="D28" s="249"/>
      <c r="E28" s="232"/>
      <c r="F28" s="222"/>
      <c r="G28" s="244"/>
      <c r="H28" s="250"/>
      <c r="I28" s="220"/>
      <c r="J28" s="223"/>
      <c r="K28" s="244"/>
      <c r="L28" s="250"/>
      <c r="M28" s="220"/>
      <c r="N28" s="223"/>
      <c r="O28" s="244"/>
      <c r="P28" s="250"/>
      <c r="Q28" s="220"/>
      <c r="R28" s="223"/>
      <c r="S28" s="244"/>
      <c r="T28" s="250"/>
      <c r="U28" s="220"/>
      <c r="V28" s="223"/>
      <c r="W28" s="244"/>
      <c r="X28" s="250"/>
      <c r="Y28" s="220"/>
    </row>
    <row r="29" spans="1:25" s="225" customFormat="1" ht="18">
      <c r="A29" s="222" t="s">
        <v>214</v>
      </c>
      <c r="B29" s="274">
        <f>B27</f>
        <v>13.7</v>
      </c>
      <c r="C29" s="274" t="s">
        <v>67</v>
      </c>
      <c r="D29" s="274" t="s">
        <v>67</v>
      </c>
      <c r="E29" s="274" t="s">
        <v>67</v>
      </c>
      <c r="F29" s="290">
        <f>F27</f>
        <v>13.7</v>
      </c>
      <c r="G29" s="274" t="s">
        <v>67</v>
      </c>
      <c r="H29" s="274" t="s">
        <v>67</v>
      </c>
      <c r="I29" s="274" t="s">
        <v>67</v>
      </c>
      <c r="J29" s="228">
        <f>J27</f>
        <v>20.18</v>
      </c>
      <c r="K29" s="274" t="s">
        <v>67</v>
      </c>
      <c r="L29" s="274" t="s">
        <v>67</v>
      </c>
      <c r="M29" s="274" t="s">
        <v>67</v>
      </c>
      <c r="N29" s="228">
        <f>N27</f>
        <v>25.67</v>
      </c>
      <c r="O29" s="274" t="s">
        <v>67</v>
      </c>
      <c r="P29" s="274" t="s">
        <v>67</v>
      </c>
      <c r="Q29" s="274" t="s">
        <v>67</v>
      </c>
      <c r="R29" s="228">
        <f>R27</f>
        <v>26.5</v>
      </c>
      <c r="S29" s="274" t="s">
        <v>67</v>
      </c>
      <c r="T29" s="274" t="s">
        <v>67</v>
      </c>
      <c r="U29" s="274" t="s">
        <v>67</v>
      </c>
      <c r="V29" s="228">
        <f>V27</f>
        <v>27.5</v>
      </c>
      <c r="W29" s="274" t="s">
        <v>67</v>
      </c>
      <c r="X29" s="274" t="s">
        <v>67</v>
      </c>
      <c r="Y29" s="274" t="s">
        <v>67</v>
      </c>
    </row>
    <row r="30" spans="1:25" ht="18">
      <c r="A30" s="275"/>
      <c r="B30" s="275"/>
      <c r="C30" s="276"/>
      <c r="D30" s="276"/>
      <c r="E30" s="277"/>
      <c r="F30" s="275"/>
      <c r="G30" s="276"/>
      <c r="H30" s="277"/>
      <c r="I30" s="275"/>
      <c r="J30" s="275"/>
      <c r="K30" s="276"/>
      <c r="L30" s="277"/>
      <c r="M30" s="275"/>
      <c r="N30" s="275"/>
      <c r="O30" s="276"/>
      <c r="P30" s="277"/>
      <c r="Q30" s="275"/>
      <c r="R30" s="275"/>
      <c r="S30" s="276"/>
      <c r="T30" s="277"/>
      <c r="U30" s="275"/>
      <c r="V30" s="275"/>
      <c r="W30" s="276"/>
      <c r="X30" s="277"/>
      <c r="Y30" s="275"/>
    </row>
    <row r="32" spans="1:25" ht="18">
      <c r="A32" s="278"/>
      <c r="B32" s="468" t="s">
        <v>6</v>
      </c>
      <c r="C32" s="468"/>
      <c r="D32" s="468"/>
      <c r="E32" s="468"/>
      <c r="F32" s="468" t="s">
        <v>7</v>
      </c>
      <c r="G32" s="468"/>
      <c r="H32" s="468"/>
      <c r="I32" s="468" t="s">
        <v>6</v>
      </c>
      <c r="J32" s="468" t="s">
        <v>8</v>
      </c>
      <c r="K32" s="468"/>
      <c r="L32" s="468"/>
      <c r="M32" s="468" t="s">
        <v>6</v>
      </c>
      <c r="N32" s="468" t="s">
        <v>9</v>
      </c>
      <c r="O32" s="468"/>
      <c r="P32" s="468"/>
      <c r="Q32" s="468" t="s">
        <v>6</v>
      </c>
      <c r="R32" s="468" t="s">
        <v>10</v>
      </c>
      <c r="S32" s="468"/>
      <c r="T32" s="468"/>
      <c r="U32" s="468" t="s">
        <v>6</v>
      </c>
      <c r="V32" s="468" t="s">
        <v>11</v>
      </c>
      <c r="W32" s="468"/>
      <c r="X32" s="468"/>
      <c r="Y32" s="468" t="s">
        <v>6</v>
      </c>
    </row>
    <row r="33" spans="1:25" ht="54">
      <c r="A33" s="233" t="s">
        <v>112</v>
      </c>
      <c r="B33" s="240" t="s">
        <v>205</v>
      </c>
      <c r="C33" s="240" t="s">
        <v>206</v>
      </c>
      <c r="D33" s="240" t="s">
        <v>207</v>
      </c>
      <c r="E33" s="240" t="s">
        <v>208</v>
      </c>
      <c r="F33" s="240" t="s">
        <v>205</v>
      </c>
      <c r="G33" s="240" t="s">
        <v>206</v>
      </c>
      <c r="H33" s="240" t="s">
        <v>207</v>
      </c>
      <c r="I33" s="240" t="s">
        <v>208</v>
      </c>
      <c r="J33" s="240" t="s">
        <v>205</v>
      </c>
      <c r="K33" s="240" t="s">
        <v>206</v>
      </c>
      <c r="L33" s="240" t="s">
        <v>207</v>
      </c>
      <c r="M33" s="240" t="s">
        <v>208</v>
      </c>
      <c r="N33" s="240" t="s">
        <v>205</v>
      </c>
      <c r="O33" s="240" t="s">
        <v>206</v>
      </c>
      <c r="P33" s="240" t="s">
        <v>207</v>
      </c>
      <c r="Q33" s="240" t="s">
        <v>208</v>
      </c>
      <c r="R33" s="240" t="s">
        <v>205</v>
      </c>
      <c r="S33" s="240" t="s">
        <v>206</v>
      </c>
      <c r="T33" s="240" t="s">
        <v>207</v>
      </c>
      <c r="U33" s="240" t="s">
        <v>208</v>
      </c>
      <c r="V33" s="240" t="s">
        <v>205</v>
      </c>
      <c r="W33" s="240" t="s">
        <v>206</v>
      </c>
      <c r="X33" s="240" t="s">
        <v>207</v>
      </c>
      <c r="Y33" s="240" t="s">
        <v>208</v>
      </c>
    </row>
    <row r="34" spans="1:25" ht="18">
      <c r="A34" s="241" t="s">
        <v>41</v>
      </c>
      <c r="B34" s="244"/>
      <c r="C34" s="288">
        <v>0</v>
      </c>
      <c r="D34" s="288">
        <v>3.0152500000000004</v>
      </c>
      <c r="E34" s="220">
        <f aca="true" t="shared" si="6" ref="E34:E39">SUM(C34:D34)</f>
        <v>3.0152500000000004</v>
      </c>
      <c r="F34" s="244"/>
      <c r="G34" s="245">
        <v>0</v>
      </c>
      <c r="H34" s="246">
        <v>3</v>
      </c>
      <c r="I34" s="220">
        <f aca="true" t="shared" si="7" ref="I34:I39">SUM(G34:H34)</f>
        <v>3</v>
      </c>
      <c r="J34" s="244"/>
      <c r="K34" s="288">
        <v>0</v>
      </c>
      <c r="L34" s="288">
        <v>3.035</v>
      </c>
      <c r="M34" s="220">
        <f aca="true" t="shared" si="8" ref="M34:M39">SUM(K34:L34)</f>
        <v>3.035</v>
      </c>
      <c r="N34" s="244"/>
      <c r="O34" s="288">
        <v>0.989900000000001</v>
      </c>
      <c r="P34" s="289">
        <v>3.035</v>
      </c>
      <c r="Q34" s="420">
        <f aca="true" t="shared" si="9" ref="Q34:Q39">SUM(O34:P34)</f>
        <v>4.0249000000000015</v>
      </c>
      <c r="R34" s="244"/>
      <c r="S34" s="245">
        <v>4.1</v>
      </c>
      <c r="T34" s="246">
        <v>3.06</v>
      </c>
      <c r="U34" s="220">
        <f aca="true" t="shared" si="10" ref="U34:U39">SUM(S34:T34)</f>
        <v>7.16</v>
      </c>
      <c r="V34" s="244"/>
      <c r="W34" s="429">
        <v>4.1</v>
      </c>
      <c r="X34" s="430">
        <v>3.1</v>
      </c>
      <c r="Y34" s="220">
        <f aca="true" t="shared" si="11" ref="Y34:Y39">SUM(W34:X34)</f>
        <v>7.199999999999999</v>
      </c>
    </row>
    <row r="35" spans="1:25" ht="18">
      <c r="A35" s="241" t="s">
        <v>177</v>
      </c>
      <c r="B35" s="244"/>
      <c r="C35" s="288">
        <v>2.7283000000000004</v>
      </c>
      <c r="D35" s="288">
        <v>0.164</v>
      </c>
      <c r="E35" s="220">
        <f t="shared" si="6"/>
        <v>2.8923000000000005</v>
      </c>
      <c r="F35" s="244"/>
      <c r="G35" s="245">
        <v>2.9</v>
      </c>
      <c r="H35" s="246">
        <v>0.2</v>
      </c>
      <c r="I35" s="220">
        <f t="shared" si="7"/>
        <v>3.1</v>
      </c>
      <c r="J35" s="244"/>
      <c r="K35" s="288">
        <v>2.8823999999999996</v>
      </c>
      <c r="L35" s="288">
        <v>0.164</v>
      </c>
      <c r="M35" s="220">
        <f t="shared" si="8"/>
        <v>3.0463999999999998</v>
      </c>
      <c r="N35" s="244"/>
      <c r="O35" s="288">
        <v>2.8823999999999996</v>
      </c>
      <c r="P35" s="289">
        <v>0.164</v>
      </c>
      <c r="Q35" s="420">
        <f t="shared" si="9"/>
        <v>3.0463999999999998</v>
      </c>
      <c r="R35" s="244"/>
      <c r="S35" s="245">
        <v>3.4</v>
      </c>
      <c r="T35" s="246">
        <v>0.16</v>
      </c>
      <c r="U35" s="220">
        <f t="shared" si="10"/>
        <v>3.56</v>
      </c>
      <c r="V35" s="244"/>
      <c r="W35" s="429">
        <v>3.8</v>
      </c>
      <c r="X35" s="430">
        <v>0.2</v>
      </c>
      <c r="Y35" s="220">
        <f t="shared" si="11"/>
        <v>4</v>
      </c>
    </row>
    <row r="36" spans="1:25" ht="18">
      <c r="A36" s="241" t="s">
        <v>173</v>
      </c>
      <c r="B36" s="244"/>
      <c r="C36" s="288">
        <v>12.594000000000001</v>
      </c>
      <c r="D36" s="288">
        <v>5.1179</v>
      </c>
      <c r="E36" s="220">
        <f t="shared" si="6"/>
        <v>17.7119</v>
      </c>
      <c r="F36" s="244"/>
      <c r="G36" s="245">
        <v>14.4</v>
      </c>
      <c r="H36" s="246">
        <v>5.1</v>
      </c>
      <c r="I36" s="220">
        <f t="shared" si="7"/>
        <v>19.5</v>
      </c>
      <c r="J36" s="244"/>
      <c r="K36" s="288">
        <v>19.98</v>
      </c>
      <c r="L36" s="288">
        <v>0.234</v>
      </c>
      <c r="M36" s="220">
        <f t="shared" si="8"/>
        <v>20.214000000000002</v>
      </c>
      <c r="N36" s="244"/>
      <c r="O36" s="288">
        <v>19.977400000000003</v>
      </c>
      <c r="P36" s="289">
        <v>0.234</v>
      </c>
      <c r="Q36" s="420">
        <f t="shared" si="9"/>
        <v>20.211400000000005</v>
      </c>
      <c r="R36" s="244"/>
      <c r="S36" s="245">
        <v>20.03</v>
      </c>
      <c r="T36" s="246">
        <v>0.23</v>
      </c>
      <c r="U36" s="220">
        <f t="shared" si="10"/>
        <v>20.26</v>
      </c>
      <c r="V36" s="244"/>
      <c r="W36" s="429">
        <v>22.1</v>
      </c>
      <c r="X36" s="430">
        <v>0.2</v>
      </c>
      <c r="Y36" s="220">
        <f t="shared" si="11"/>
        <v>22.3</v>
      </c>
    </row>
    <row r="37" spans="1:25" ht="18">
      <c r="A37" s="241" t="s">
        <v>174</v>
      </c>
      <c r="B37" s="244"/>
      <c r="C37" s="288">
        <v>0</v>
      </c>
      <c r="D37" s="288">
        <v>1.538</v>
      </c>
      <c r="E37" s="220">
        <f t="shared" si="6"/>
        <v>1.538</v>
      </c>
      <c r="F37" s="244"/>
      <c r="G37" s="245">
        <v>0</v>
      </c>
      <c r="H37" s="245">
        <v>1.5</v>
      </c>
      <c r="I37" s="220">
        <f t="shared" si="7"/>
        <v>1.5</v>
      </c>
      <c r="J37" s="244"/>
      <c r="K37" s="288">
        <v>0</v>
      </c>
      <c r="L37" s="288">
        <v>1.538</v>
      </c>
      <c r="M37" s="220">
        <f t="shared" si="8"/>
        <v>1.538</v>
      </c>
      <c r="N37" s="244"/>
      <c r="O37" s="288">
        <v>0.7223000000000002</v>
      </c>
      <c r="P37" s="288">
        <v>1.538</v>
      </c>
      <c r="Q37" s="420">
        <f t="shared" si="9"/>
        <v>2.2603</v>
      </c>
      <c r="R37" s="244"/>
      <c r="S37" s="245">
        <v>0.72</v>
      </c>
      <c r="T37" s="245">
        <v>1.54</v>
      </c>
      <c r="U37" s="220">
        <f t="shared" si="10"/>
        <v>2.26</v>
      </c>
      <c r="V37" s="244"/>
      <c r="W37" s="429">
        <v>3.2</v>
      </c>
      <c r="X37" s="429">
        <v>1.5</v>
      </c>
      <c r="Y37" s="220">
        <f t="shared" si="11"/>
        <v>4.7</v>
      </c>
    </row>
    <row r="38" spans="1:25" ht="18">
      <c r="A38" s="241" t="s">
        <v>72</v>
      </c>
      <c r="B38" s="244"/>
      <c r="C38" s="288">
        <v>0</v>
      </c>
      <c r="D38" s="288">
        <v>0</v>
      </c>
      <c r="E38" s="220">
        <f t="shared" si="6"/>
        <v>0</v>
      </c>
      <c r="F38" s="244"/>
      <c r="G38" s="245">
        <v>0.7</v>
      </c>
      <c r="H38" s="245">
        <v>0</v>
      </c>
      <c r="I38" s="220">
        <f t="shared" si="7"/>
        <v>0.7</v>
      </c>
      <c r="J38" s="244"/>
      <c r="K38" s="288">
        <v>0.682</v>
      </c>
      <c r="L38" s="288">
        <v>0</v>
      </c>
      <c r="M38" s="220">
        <f t="shared" si="8"/>
        <v>0.682</v>
      </c>
      <c r="N38" s="244"/>
      <c r="O38" s="288">
        <v>0.682</v>
      </c>
      <c r="P38" s="288">
        <v>0</v>
      </c>
      <c r="Q38" s="420">
        <f t="shared" si="9"/>
        <v>0.682</v>
      </c>
      <c r="R38" s="244"/>
      <c r="S38" s="245">
        <v>0.68</v>
      </c>
      <c r="T38" s="245">
        <v>0</v>
      </c>
      <c r="U38" s="220">
        <f t="shared" si="10"/>
        <v>0.68</v>
      </c>
      <c r="V38" s="244"/>
      <c r="W38" s="429">
        <v>0.7</v>
      </c>
      <c r="X38" s="429"/>
      <c r="Y38" s="220">
        <f t="shared" si="11"/>
        <v>0.7</v>
      </c>
    </row>
    <row r="39" spans="1:25" ht="18">
      <c r="A39" s="241" t="s">
        <v>35</v>
      </c>
      <c r="B39" s="244"/>
      <c r="C39" s="288">
        <v>0</v>
      </c>
      <c r="D39" s="288">
        <v>0</v>
      </c>
      <c r="E39" s="220">
        <f t="shared" si="6"/>
        <v>0</v>
      </c>
      <c r="F39" s="244"/>
      <c r="G39" s="245">
        <v>0</v>
      </c>
      <c r="H39" s="245">
        <v>0</v>
      </c>
      <c r="I39" s="220">
        <f t="shared" si="7"/>
        <v>0</v>
      </c>
      <c r="J39" s="244"/>
      <c r="K39" s="288">
        <v>0</v>
      </c>
      <c r="L39" s="288">
        <v>0</v>
      </c>
      <c r="M39" s="220">
        <f t="shared" si="8"/>
        <v>0</v>
      </c>
      <c r="N39" s="244"/>
      <c r="O39" s="288">
        <v>0</v>
      </c>
      <c r="P39" s="288">
        <v>0</v>
      </c>
      <c r="Q39" s="420">
        <f t="shared" si="9"/>
        <v>0</v>
      </c>
      <c r="R39" s="244"/>
      <c r="S39" s="245">
        <v>0</v>
      </c>
      <c r="T39" s="245">
        <v>0</v>
      </c>
      <c r="U39" s="220">
        <f t="shared" si="10"/>
        <v>0</v>
      </c>
      <c r="V39" s="244"/>
      <c r="W39" s="429">
        <v>0</v>
      </c>
      <c r="X39" s="429"/>
      <c r="Y39" s="220">
        <f t="shared" si="11"/>
        <v>0</v>
      </c>
    </row>
    <row r="40" spans="1:25" ht="18">
      <c r="A40" s="255"/>
      <c r="B40" s="244"/>
      <c r="C40" s="245"/>
      <c r="D40" s="245"/>
      <c r="E40" s="220"/>
      <c r="F40" s="244"/>
      <c r="G40" s="245"/>
      <c r="H40" s="245"/>
      <c r="I40" s="220"/>
      <c r="J40" s="244"/>
      <c r="K40" s="245"/>
      <c r="L40" s="245"/>
      <c r="M40" s="220"/>
      <c r="N40" s="244"/>
      <c r="O40" s="245"/>
      <c r="P40" s="245"/>
      <c r="Q40" s="220"/>
      <c r="R40" s="244"/>
      <c r="S40" s="245"/>
      <c r="T40" s="245"/>
      <c r="U40" s="220"/>
      <c r="V40" s="244"/>
      <c r="W40" s="245"/>
      <c r="X40" s="245"/>
      <c r="Y40" s="220"/>
    </row>
    <row r="41" spans="1:25" s="225" customFormat="1" ht="18">
      <c r="A41" s="222" t="s">
        <v>125</v>
      </c>
      <c r="B41" s="223"/>
      <c r="C41" s="220">
        <f>SUM(C34:C40)</f>
        <v>15.322300000000002</v>
      </c>
      <c r="D41" s="220">
        <f>SUM(D34:D40)</f>
        <v>9.83515</v>
      </c>
      <c r="E41" s="220">
        <f>SUM(E34:E40)</f>
        <v>25.15745</v>
      </c>
      <c r="F41" s="223"/>
      <c r="G41" s="220">
        <f>SUM(G34:G40)</f>
        <v>18</v>
      </c>
      <c r="H41" s="220">
        <f>SUM(H34:H40)</f>
        <v>9.8</v>
      </c>
      <c r="I41" s="220">
        <f>SUM(I34:I40)</f>
        <v>27.8</v>
      </c>
      <c r="J41" s="223"/>
      <c r="K41" s="220">
        <f>SUM(K34:K40)</f>
        <v>23.5444</v>
      </c>
      <c r="L41" s="220">
        <f>SUM(L34:L40)</f>
        <v>4.971</v>
      </c>
      <c r="M41" s="220">
        <f>SUM(M34:M40)</f>
        <v>28.5154</v>
      </c>
      <c r="N41" s="223"/>
      <c r="O41" s="220">
        <f>SUM(O34:O40)</f>
        <v>25.254</v>
      </c>
      <c r="P41" s="220">
        <f>SUM(P34:P40)</f>
        <v>4.971</v>
      </c>
      <c r="Q41" s="220">
        <f>SUM(Q34:Q40)</f>
        <v>30.225000000000005</v>
      </c>
      <c r="R41" s="223"/>
      <c r="S41" s="220">
        <f>SUM(S34:S40)</f>
        <v>28.93</v>
      </c>
      <c r="T41" s="220">
        <f>SUM(T34:T40)</f>
        <v>4.99</v>
      </c>
      <c r="U41" s="220">
        <f>SUM(U34:U40)</f>
        <v>33.92</v>
      </c>
      <c r="V41" s="223"/>
      <c r="W41" s="220">
        <f>SUM(W34:W40)</f>
        <v>33.900000000000006</v>
      </c>
      <c r="X41" s="220">
        <f>SUM(X34:X40)</f>
        <v>5</v>
      </c>
      <c r="Y41" s="220">
        <f>SUM(Y34:Y40)</f>
        <v>38.900000000000006</v>
      </c>
    </row>
    <row r="42" spans="1:25" ht="3.75" customHeight="1">
      <c r="A42" s="222"/>
      <c r="B42" s="223"/>
      <c r="C42" s="244"/>
      <c r="D42" s="250"/>
      <c r="E42" s="220"/>
      <c r="F42" s="223"/>
      <c r="G42" s="244"/>
      <c r="H42" s="250"/>
      <c r="I42" s="220"/>
      <c r="J42" s="223"/>
      <c r="K42" s="244"/>
      <c r="L42" s="250"/>
      <c r="M42" s="220"/>
      <c r="N42" s="223"/>
      <c r="O42" s="244"/>
      <c r="P42" s="250"/>
      <c r="Q42" s="220"/>
      <c r="R42" s="223"/>
      <c r="S42" s="244"/>
      <c r="T42" s="250"/>
      <c r="U42" s="220"/>
      <c r="V42" s="223"/>
      <c r="W42" s="244"/>
      <c r="X42" s="250"/>
      <c r="Y42" s="220"/>
    </row>
    <row r="43" spans="1:25" ht="18">
      <c r="A43" s="251" t="s">
        <v>25</v>
      </c>
      <c r="B43" s="254"/>
      <c r="C43" s="252"/>
      <c r="D43" s="253"/>
      <c r="E43" s="220"/>
      <c r="F43" s="254"/>
      <c r="G43" s="252"/>
      <c r="H43" s="253"/>
      <c r="I43" s="220"/>
      <c r="J43" s="254"/>
      <c r="K43" s="252"/>
      <c r="L43" s="253"/>
      <c r="M43" s="220"/>
      <c r="N43" s="254"/>
      <c r="O43" s="252"/>
      <c r="P43" s="253"/>
      <c r="Q43" s="220"/>
      <c r="R43" s="254"/>
      <c r="S43" s="252"/>
      <c r="T43" s="253"/>
      <c r="U43" s="220"/>
      <c r="V43" s="254"/>
      <c r="W43" s="252"/>
      <c r="X43" s="253"/>
      <c r="Y43" s="220"/>
    </row>
    <row r="44" spans="1:25" ht="18">
      <c r="A44" s="241" t="s">
        <v>176</v>
      </c>
      <c r="B44" s="244"/>
      <c r="C44" s="245">
        <v>0</v>
      </c>
      <c r="D44" s="245">
        <v>0</v>
      </c>
      <c r="E44" s="220">
        <f>SUM(C44:D44)</f>
        <v>0</v>
      </c>
      <c r="F44" s="244"/>
      <c r="G44" s="245">
        <v>0</v>
      </c>
      <c r="H44" s="245">
        <v>0</v>
      </c>
      <c r="I44" s="220">
        <f>SUM(G44:H44)</f>
        <v>0</v>
      </c>
      <c r="J44" s="244"/>
      <c r="K44" s="245">
        <v>0</v>
      </c>
      <c r="L44" s="245">
        <v>0</v>
      </c>
      <c r="M44" s="220">
        <f>SUM(K44:L44)</f>
        <v>0</v>
      </c>
      <c r="N44" s="244"/>
      <c r="O44" s="245">
        <v>0</v>
      </c>
      <c r="P44" s="245">
        <v>0</v>
      </c>
      <c r="Q44" s="220">
        <f>SUM(O44:P44)</f>
        <v>0</v>
      </c>
      <c r="R44" s="244"/>
      <c r="S44" s="245">
        <v>0</v>
      </c>
      <c r="T44" s="245">
        <v>0</v>
      </c>
      <c r="U44" s="220">
        <f>SUM(S44:T44)</f>
        <v>0</v>
      </c>
      <c r="V44" s="244"/>
      <c r="W44" s="245">
        <v>0</v>
      </c>
      <c r="X44" s="245">
        <v>0</v>
      </c>
      <c r="Y44" s="220">
        <f>SUM(W44:X44)</f>
        <v>0</v>
      </c>
    </row>
    <row r="45" spans="1:25" ht="18">
      <c r="A45" s="241" t="s">
        <v>178</v>
      </c>
      <c r="B45" s="244"/>
      <c r="C45" s="245">
        <v>0</v>
      </c>
      <c r="D45" s="245">
        <v>0</v>
      </c>
      <c r="E45" s="220">
        <f>SUM(C45:D45)</f>
        <v>0</v>
      </c>
      <c r="F45" s="244"/>
      <c r="G45" s="245">
        <v>0</v>
      </c>
      <c r="H45" s="245">
        <v>0</v>
      </c>
      <c r="I45" s="220">
        <f>SUM(G45:H45)</f>
        <v>0</v>
      </c>
      <c r="J45" s="244"/>
      <c r="K45" s="245">
        <v>0</v>
      </c>
      <c r="L45" s="245">
        <v>0</v>
      </c>
      <c r="M45" s="220">
        <f>SUM(K45:L45)</f>
        <v>0</v>
      </c>
      <c r="N45" s="244"/>
      <c r="O45" s="245">
        <v>0</v>
      </c>
      <c r="P45" s="245">
        <v>0</v>
      </c>
      <c r="Q45" s="220">
        <f>SUM(O45:P45)</f>
        <v>0</v>
      </c>
      <c r="R45" s="244"/>
      <c r="S45" s="245">
        <v>0</v>
      </c>
      <c r="T45" s="245">
        <v>0</v>
      </c>
      <c r="U45" s="220">
        <f>SUM(S45:T45)</f>
        <v>0</v>
      </c>
      <c r="V45" s="244"/>
      <c r="W45" s="245">
        <v>0</v>
      </c>
      <c r="X45" s="245">
        <v>0</v>
      </c>
      <c r="Y45" s="220">
        <f>SUM(W45:X45)</f>
        <v>0</v>
      </c>
    </row>
    <row r="46" spans="1:25" ht="18">
      <c r="A46" s="241" t="s">
        <v>175</v>
      </c>
      <c r="B46" s="244"/>
      <c r="C46" s="245">
        <v>0</v>
      </c>
      <c r="D46" s="245">
        <v>0</v>
      </c>
      <c r="E46" s="220">
        <f>SUM(C46:D46)</f>
        <v>0</v>
      </c>
      <c r="F46" s="244"/>
      <c r="G46" s="245">
        <v>0</v>
      </c>
      <c r="H46" s="245">
        <v>0</v>
      </c>
      <c r="I46" s="220">
        <f>SUM(G46:H46)</f>
        <v>0</v>
      </c>
      <c r="J46" s="244"/>
      <c r="K46" s="245">
        <v>0</v>
      </c>
      <c r="L46" s="245">
        <v>0</v>
      </c>
      <c r="M46" s="220">
        <f>SUM(K46:L46)</f>
        <v>0</v>
      </c>
      <c r="N46" s="244"/>
      <c r="O46" s="245">
        <v>0</v>
      </c>
      <c r="P46" s="245">
        <v>0</v>
      </c>
      <c r="Q46" s="220">
        <f>SUM(O46:P46)</f>
        <v>0</v>
      </c>
      <c r="R46" s="244"/>
      <c r="S46" s="245">
        <v>0</v>
      </c>
      <c r="T46" s="245">
        <v>0</v>
      </c>
      <c r="U46" s="220">
        <f>SUM(S46:T46)</f>
        <v>0</v>
      </c>
      <c r="V46" s="244"/>
      <c r="W46" s="245">
        <v>0</v>
      </c>
      <c r="X46" s="245">
        <v>0</v>
      </c>
      <c r="Y46" s="220">
        <f>SUM(W46:X46)</f>
        <v>0</v>
      </c>
    </row>
    <row r="47" spans="1:25" ht="18">
      <c r="A47" s="241" t="s">
        <v>15</v>
      </c>
      <c r="B47" s="244"/>
      <c r="C47" s="245">
        <v>0</v>
      </c>
      <c r="D47" s="245">
        <v>0</v>
      </c>
      <c r="E47" s="220">
        <f>SUM(C47:D47)</f>
        <v>0</v>
      </c>
      <c r="F47" s="244"/>
      <c r="G47" s="245">
        <v>0</v>
      </c>
      <c r="H47" s="245">
        <v>0</v>
      </c>
      <c r="I47" s="220">
        <f>SUM(G47:H47)</f>
        <v>0</v>
      </c>
      <c r="J47" s="244"/>
      <c r="K47" s="245">
        <v>0</v>
      </c>
      <c r="L47" s="245">
        <v>0</v>
      </c>
      <c r="M47" s="220">
        <f>SUM(K47:L47)</f>
        <v>0</v>
      </c>
      <c r="N47" s="244"/>
      <c r="O47" s="245">
        <v>0</v>
      </c>
      <c r="P47" s="245">
        <v>0</v>
      </c>
      <c r="Q47" s="220">
        <f>SUM(O47:P47)</f>
        <v>0</v>
      </c>
      <c r="R47" s="244"/>
      <c r="S47" s="245">
        <v>0</v>
      </c>
      <c r="T47" s="245">
        <v>0</v>
      </c>
      <c r="U47" s="220">
        <f>SUM(S47:T47)</f>
        <v>0</v>
      </c>
      <c r="V47" s="244"/>
      <c r="W47" s="245">
        <v>0</v>
      </c>
      <c r="X47" s="245">
        <v>0</v>
      </c>
      <c r="Y47" s="220">
        <f>SUM(W47:X47)</f>
        <v>0</v>
      </c>
    </row>
    <row r="48" spans="1:25" ht="18">
      <c r="A48" s="241"/>
      <c r="B48" s="258"/>
      <c r="C48" s="245"/>
      <c r="D48" s="245"/>
      <c r="E48" s="220"/>
      <c r="F48" s="258"/>
      <c r="G48" s="245"/>
      <c r="H48" s="245"/>
      <c r="I48" s="220"/>
      <c r="J48" s="258"/>
      <c r="K48" s="245"/>
      <c r="L48" s="245"/>
      <c r="M48" s="220"/>
      <c r="N48" s="258"/>
      <c r="O48" s="245"/>
      <c r="P48" s="245"/>
      <c r="Q48" s="220"/>
      <c r="R48" s="258"/>
      <c r="S48" s="245"/>
      <c r="T48" s="245"/>
      <c r="U48" s="220"/>
      <c r="V48" s="258"/>
      <c r="W48" s="245"/>
      <c r="X48" s="245"/>
      <c r="Y48" s="220"/>
    </row>
    <row r="49" spans="1:25" s="225" customFormat="1" ht="18">
      <c r="A49" s="222" t="s">
        <v>125</v>
      </c>
      <c r="B49" s="223"/>
      <c r="C49" s="224">
        <f>SUM(C44:C48)</f>
        <v>0</v>
      </c>
      <c r="D49" s="224">
        <f>SUM(D44:D48)</f>
        <v>0</v>
      </c>
      <c r="E49" s="220">
        <f>SUM(E44:E48)</f>
        <v>0</v>
      </c>
      <c r="F49" s="223"/>
      <c r="G49" s="224">
        <f>SUM(G44:G48)</f>
        <v>0</v>
      </c>
      <c r="H49" s="224">
        <f>SUM(H44:H48)</f>
        <v>0</v>
      </c>
      <c r="I49" s="220">
        <f>SUM(I44:I48)</f>
        <v>0</v>
      </c>
      <c r="J49" s="223"/>
      <c r="K49" s="224">
        <f>SUM(K44:K48)</f>
        <v>0</v>
      </c>
      <c r="L49" s="224">
        <f>SUM(L44:L48)</f>
        <v>0</v>
      </c>
      <c r="M49" s="220">
        <f>SUM(M44:M48)</f>
        <v>0</v>
      </c>
      <c r="N49" s="223"/>
      <c r="O49" s="224">
        <f>SUM(O44:O48)</f>
        <v>0</v>
      </c>
      <c r="P49" s="224">
        <f>SUM(P44:P48)</f>
        <v>0</v>
      </c>
      <c r="Q49" s="220">
        <f>SUM(Q44:Q48)</f>
        <v>0</v>
      </c>
      <c r="R49" s="223"/>
      <c r="S49" s="224">
        <f>SUM(S44:S48)</f>
        <v>0</v>
      </c>
      <c r="T49" s="224">
        <f>SUM(T44:T48)</f>
        <v>0</v>
      </c>
      <c r="U49" s="220">
        <f>SUM(U44:U48)</f>
        <v>0</v>
      </c>
      <c r="V49" s="223"/>
      <c r="W49" s="224">
        <f>SUM(W44:W48)</f>
        <v>0</v>
      </c>
      <c r="X49" s="224">
        <f>SUM(X44:X48)</f>
        <v>0</v>
      </c>
      <c r="Y49" s="220">
        <f>SUM(Y44:Y48)</f>
        <v>0</v>
      </c>
    </row>
    <row r="50" spans="1:25" ht="3.75" customHeight="1">
      <c r="A50" s="222"/>
      <c r="B50" s="223"/>
      <c r="C50" s="244"/>
      <c r="D50" s="250"/>
      <c r="E50" s="220">
        <f>SUM(E43:E47)</f>
        <v>0</v>
      </c>
      <c r="F50" s="223"/>
      <c r="G50" s="244"/>
      <c r="H50" s="250"/>
      <c r="I50" s="220">
        <f>SUM(I43:I47)</f>
        <v>0</v>
      </c>
      <c r="J50" s="223"/>
      <c r="K50" s="244"/>
      <c r="L50" s="250"/>
      <c r="M50" s="220">
        <f>SUM(M43:M47)</f>
        <v>0</v>
      </c>
      <c r="N50" s="223"/>
      <c r="O50" s="244"/>
      <c r="P50" s="250"/>
      <c r="Q50" s="220">
        <f>SUM(Q43:Q47)</f>
        <v>0</v>
      </c>
      <c r="R50" s="223"/>
      <c r="S50" s="244"/>
      <c r="T50" s="250"/>
      <c r="U50" s="220">
        <f>SUM(U43:U47)</f>
        <v>0</v>
      </c>
      <c r="V50" s="223"/>
      <c r="W50" s="244"/>
      <c r="X50" s="250"/>
      <c r="Y50" s="220">
        <f>SUM(Y43:Y47)</f>
        <v>0</v>
      </c>
    </row>
    <row r="51" spans="1:25" ht="17.25" customHeight="1">
      <c r="A51" s="222" t="s">
        <v>208</v>
      </c>
      <c r="B51" s="223"/>
      <c r="C51" s="220">
        <f>C41+C49</f>
        <v>15.322300000000002</v>
      </c>
      <c r="D51" s="224">
        <f>D41+D49</f>
        <v>9.83515</v>
      </c>
      <c r="E51" s="220">
        <f>E41+E49</f>
        <v>25.15745</v>
      </c>
      <c r="F51" s="223"/>
      <c r="G51" s="220">
        <f>G41+G49</f>
        <v>18</v>
      </c>
      <c r="H51" s="224">
        <f>H41+H49</f>
        <v>9.8</v>
      </c>
      <c r="I51" s="220">
        <f>I41+I49</f>
        <v>27.8</v>
      </c>
      <c r="J51" s="223"/>
      <c r="K51" s="220">
        <f>K41+K49</f>
        <v>23.5444</v>
      </c>
      <c r="L51" s="224">
        <f>L41+L49</f>
        <v>4.971</v>
      </c>
      <c r="M51" s="220">
        <f>M41+M49</f>
        <v>28.5154</v>
      </c>
      <c r="N51" s="223"/>
      <c r="O51" s="220">
        <f>O41+O49</f>
        <v>25.254</v>
      </c>
      <c r="P51" s="224">
        <f>P41+P49</f>
        <v>4.971</v>
      </c>
      <c r="Q51" s="220">
        <f>Q41+Q49</f>
        <v>30.225000000000005</v>
      </c>
      <c r="R51" s="223"/>
      <c r="S51" s="220">
        <f>S41+S49</f>
        <v>28.93</v>
      </c>
      <c r="T51" s="224">
        <f>T41+T49</f>
        <v>4.99</v>
      </c>
      <c r="U51" s="220">
        <f>U41+U49</f>
        <v>33.92</v>
      </c>
      <c r="V51" s="223"/>
      <c r="W51" s="220">
        <f>W41+W49</f>
        <v>33.900000000000006</v>
      </c>
      <c r="X51" s="224">
        <f>X41+X49</f>
        <v>5</v>
      </c>
      <c r="Y51" s="220">
        <f>Y41+Y49</f>
        <v>38.900000000000006</v>
      </c>
    </row>
    <row r="52" spans="1:25" ht="17.25" customHeight="1">
      <c r="A52" s="259"/>
      <c r="B52" s="264"/>
      <c r="C52" s="262"/>
      <c r="D52" s="262"/>
      <c r="E52" s="227"/>
      <c r="F52" s="264"/>
      <c r="G52" s="262"/>
      <c r="H52" s="263"/>
      <c r="I52" s="264"/>
      <c r="J52" s="264"/>
      <c r="K52" s="262"/>
      <c r="L52" s="263"/>
      <c r="M52" s="264"/>
      <c r="N52" s="264"/>
      <c r="O52" s="262"/>
      <c r="P52" s="263"/>
      <c r="Q52" s="264"/>
      <c r="R52" s="264"/>
      <c r="S52" s="262"/>
      <c r="T52" s="263"/>
      <c r="U52" s="264"/>
      <c r="V52" s="264"/>
      <c r="W52" s="262"/>
      <c r="X52" s="263"/>
      <c r="Y52" s="264"/>
    </row>
    <row r="53" spans="1:25" ht="18">
      <c r="A53" s="233" t="s">
        <v>171</v>
      </c>
      <c r="B53" s="258"/>
      <c r="C53" s="267"/>
      <c r="D53" s="267"/>
      <c r="E53" s="235"/>
      <c r="F53" s="268"/>
      <c r="G53" s="267"/>
      <c r="H53" s="267"/>
      <c r="I53" s="268"/>
      <c r="J53" s="268"/>
      <c r="K53" s="267"/>
      <c r="L53" s="267"/>
      <c r="M53" s="268"/>
      <c r="N53" s="268"/>
      <c r="O53" s="267"/>
      <c r="P53" s="267"/>
      <c r="Q53" s="268"/>
      <c r="R53" s="268"/>
      <c r="S53" s="267"/>
      <c r="T53" s="267"/>
      <c r="U53" s="268"/>
      <c r="V53" s="268"/>
      <c r="W53" s="267"/>
      <c r="X53" s="267"/>
      <c r="Y53" s="269"/>
    </row>
    <row r="54" spans="1:25" ht="36">
      <c r="A54" s="270" t="s">
        <v>179</v>
      </c>
      <c r="B54" s="244">
        <v>27.6</v>
      </c>
      <c r="C54" s="279"/>
      <c r="D54" s="309">
        <v>0.1</v>
      </c>
      <c r="E54" s="236"/>
      <c r="F54" s="244">
        <v>51.1</v>
      </c>
      <c r="G54" s="279"/>
      <c r="H54" s="309">
        <v>0.1</v>
      </c>
      <c r="I54" s="236"/>
      <c r="J54" s="244">
        <v>51.7</v>
      </c>
      <c r="K54" s="279"/>
      <c r="L54" s="309">
        <v>0.1</v>
      </c>
      <c r="M54" s="236"/>
      <c r="N54" s="244">
        <v>53.4</v>
      </c>
      <c r="O54" s="279"/>
      <c r="P54" s="309">
        <v>0.7</v>
      </c>
      <c r="Q54" s="236"/>
      <c r="R54" s="244">
        <v>54.3</v>
      </c>
      <c r="S54" s="279"/>
      <c r="T54" s="309">
        <v>0.65</v>
      </c>
      <c r="U54" s="236"/>
      <c r="V54" s="244">
        <v>58.1</v>
      </c>
      <c r="W54" s="279"/>
      <c r="X54" s="309">
        <v>2.4</v>
      </c>
      <c r="Y54" s="236"/>
    </row>
    <row r="55" spans="1:25" ht="18">
      <c r="A55" s="241"/>
      <c r="B55" s="244"/>
      <c r="C55" s="245"/>
      <c r="D55" s="245"/>
      <c r="E55" s="236"/>
      <c r="F55" s="244"/>
      <c r="G55" s="245"/>
      <c r="H55" s="245"/>
      <c r="I55" s="236"/>
      <c r="J55" s="244"/>
      <c r="K55" s="245"/>
      <c r="L55" s="245"/>
      <c r="M55" s="236"/>
      <c r="N55" s="244"/>
      <c r="O55" s="245"/>
      <c r="P55" s="245"/>
      <c r="Q55" s="236"/>
      <c r="R55" s="244"/>
      <c r="S55" s="245"/>
      <c r="T55" s="245"/>
      <c r="U55" s="236"/>
      <c r="V55" s="244"/>
      <c r="W55" s="245"/>
      <c r="X55" s="245"/>
      <c r="Y55" s="236"/>
    </row>
    <row r="56" spans="1:25" s="225" customFormat="1" ht="18">
      <c r="A56" s="210" t="s">
        <v>125</v>
      </c>
      <c r="B56" s="223">
        <f>SUM(B54:B55)</f>
        <v>27.6</v>
      </c>
      <c r="C56" s="223"/>
      <c r="D56" s="223">
        <v>0.1</v>
      </c>
      <c r="E56" s="223"/>
      <c r="F56" s="223">
        <f>SUM(F54:F55)</f>
        <v>51.1</v>
      </c>
      <c r="G56" s="223"/>
      <c r="H56" s="228">
        <v>0.1</v>
      </c>
      <c r="I56" s="223"/>
      <c r="J56" s="223">
        <f>SUM(J54:J55)</f>
        <v>51.7</v>
      </c>
      <c r="K56" s="223"/>
      <c r="L56" s="223">
        <v>0.1</v>
      </c>
      <c r="M56" s="223"/>
      <c r="N56" s="223">
        <f>SUM(N54:N55)</f>
        <v>53.4</v>
      </c>
      <c r="O56" s="223"/>
      <c r="P56" s="228">
        <v>0.7</v>
      </c>
      <c r="Q56" s="223"/>
      <c r="R56" s="223">
        <f>SUM(R54:R55)</f>
        <v>54.3</v>
      </c>
      <c r="S56" s="223"/>
      <c r="T56" s="223"/>
      <c r="U56" s="223"/>
      <c r="V56" s="223">
        <f>SUM(V54:V55)</f>
        <v>58.1</v>
      </c>
      <c r="W56" s="223"/>
      <c r="X56" s="223"/>
      <c r="Y56" s="220"/>
    </row>
    <row r="57" spans="1:25" ht="3.75" customHeight="1">
      <c r="A57" s="222"/>
      <c r="B57" s="244"/>
      <c r="C57" s="244"/>
      <c r="D57" s="244"/>
      <c r="E57" s="224"/>
      <c r="F57" s="244"/>
      <c r="G57" s="244"/>
      <c r="H57" s="244"/>
      <c r="I57" s="224"/>
      <c r="J57" s="244"/>
      <c r="K57" s="244"/>
      <c r="L57" s="244"/>
      <c r="M57" s="224"/>
      <c r="N57" s="244"/>
      <c r="O57" s="244"/>
      <c r="P57" s="244"/>
      <c r="Q57" s="224"/>
      <c r="R57" s="244"/>
      <c r="S57" s="244"/>
      <c r="T57" s="244"/>
      <c r="U57" s="224"/>
      <c r="V57" s="244"/>
      <c r="W57" s="244"/>
      <c r="X57" s="244"/>
      <c r="Y57" s="224"/>
    </row>
    <row r="58" spans="1:25" s="237" customFormat="1" ht="18">
      <c r="A58" s="222" t="s">
        <v>214</v>
      </c>
      <c r="B58" s="228">
        <f>B56</f>
        <v>27.6</v>
      </c>
      <c r="C58" s="228" t="s">
        <v>67</v>
      </c>
      <c r="D58" s="228" t="s">
        <v>67</v>
      </c>
      <c r="E58" s="228" t="s">
        <v>67</v>
      </c>
      <c r="F58" s="228">
        <f>F56</f>
        <v>51.1</v>
      </c>
      <c r="G58" s="228" t="s">
        <v>67</v>
      </c>
      <c r="H58" s="228" t="s">
        <v>67</v>
      </c>
      <c r="I58" s="228" t="s">
        <v>67</v>
      </c>
      <c r="J58" s="228">
        <f>J56</f>
        <v>51.7</v>
      </c>
      <c r="K58" s="228" t="s">
        <v>67</v>
      </c>
      <c r="L58" s="228" t="s">
        <v>67</v>
      </c>
      <c r="M58" s="228" t="s">
        <v>67</v>
      </c>
      <c r="N58" s="228">
        <f>N56</f>
        <v>53.4</v>
      </c>
      <c r="O58" s="228" t="s">
        <v>67</v>
      </c>
      <c r="P58" s="228" t="s">
        <v>67</v>
      </c>
      <c r="Q58" s="228" t="s">
        <v>67</v>
      </c>
      <c r="R58" s="228">
        <f>R56</f>
        <v>54.3</v>
      </c>
      <c r="S58" s="228" t="s">
        <v>67</v>
      </c>
      <c r="T58" s="228" t="s">
        <v>67</v>
      </c>
      <c r="U58" s="228" t="s">
        <v>67</v>
      </c>
      <c r="V58" s="228">
        <f>V56</f>
        <v>58.1</v>
      </c>
      <c r="W58" s="228" t="s">
        <v>67</v>
      </c>
      <c r="X58" s="228" t="s">
        <v>67</v>
      </c>
      <c r="Y58" s="431" t="s">
        <v>67</v>
      </c>
    </row>
    <row r="59" spans="1:25" s="285" customFormat="1" ht="18">
      <c r="A59" s="275"/>
      <c r="B59" s="280"/>
      <c r="C59" s="280"/>
      <c r="D59" s="280"/>
      <c r="E59" s="281"/>
      <c r="F59" s="282"/>
      <c r="G59" s="283"/>
      <c r="H59" s="284"/>
      <c r="I59" s="282"/>
      <c r="J59" s="282"/>
      <c r="K59" s="283"/>
      <c r="L59" s="284"/>
      <c r="M59" s="282"/>
      <c r="N59" s="282"/>
      <c r="O59" s="283"/>
      <c r="P59" s="284"/>
      <c r="Q59" s="282"/>
      <c r="R59" s="282"/>
      <c r="S59" s="283"/>
      <c r="T59" s="284"/>
      <c r="U59" s="282"/>
      <c r="V59" s="282"/>
      <c r="W59" s="283"/>
      <c r="X59" s="284"/>
      <c r="Y59" s="282"/>
    </row>
    <row r="60" spans="1:25" ht="18">
      <c r="A60" s="275" t="s">
        <v>28</v>
      </c>
      <c r="B60" s="275"/>
      <c r="C60" s="277"/>
      <c r="D60" s="277"/>
      <c r="E60" s="277"/>
      <c r="F60" s="275"/>
      <c r="G60" s="277"/>
      <c r="H60" s="277"/>
      <c r="I60" s="275"/>
      <c r="J60" s="275"/>
      <c r="K60" s="277"/>
      <c r="L60" s="277"/>
      <c r="M60" s="275"/>
      <c r="N60" s="275"/>
      <c r="O60" s="277"/>
      <c r="P60" s="277"/>
      <c r="Q60" s="275"/>
      <c r="R60" s="275"/>
      <c r="S60" s="277"/>
      <c r="T60" s="277"/>
      <c r="U60" s="275"/>
      <c r="V60" s="275"/>
      <c r="W60" s="277"/>
      <c r="X60" s="277"/>
      <c r="Y60" s="275"/>
    </row>
    <row r="61" spans="1:25" ht="18">
      <c r="A61" s="275"/>
      <c r="B61" s="275" t="s">
        <v>180</v>
      </c>
      <c r="C61" s="277"/>
      <c r="D61" s="277"/>
      <c r="E61" s="277"/>
      <c r="F61" s="275"/>
      <c r="G61" s="277"/>
      <c r="H61" s="277"/>
      <c r="I61" s="275"/>
      <c r="J61" s="275"/>
      <c r="K61" s="277"/>
      <c r="L61" s="277"/>
      <c r="M61" s="275"/>
      <c r="N61" s="275"/>
      <c r="O61" s="277"/>
      <c r="P61" s="277"/>
      <c r="Q61" s="275"/>
      <c r="R61" s="275"/>
      <c r="S61" s="277"/>
      <c r="T61" s="277"/>
      <c r="U61" s="275"/>
      <c r="V61" s="275"/>
      <c r="W61" s="277"/>
      <c r="X61" s="277"/>
      <c r="Y61" s="275"/>
    </row>
    <row r="62" spans="1:25" ht="24" customHeight="1">
      <c r="A62" s="275"/>
      <c r="B62" s="275" t="s">
        <v>181</v>
      </c>
      <c r="C62" s="277"/>
      <c r="D62" s="277"/>
      <c r="E62" s="277"/>
      <c r="F62" s="275"/>
      <c r="G62" s="277"/>
      <c r="H62" s="277"/>
      <c r="I62" s="275"/>
      <c r="J62" s="275"/>
      <c r="K62" s="277"/>
      <c r="L62" s="277"/>
      <c r="M62" s="275"/>
      <c r="N62" s="275"/>
      <c r="O62" s="277"/>
      <c r="P62" s="277"/>
      <c r="Q62" s="275"/>
      <c r="R62" s="275"/>
      <c r="S62" s="277"/>
      <c r="T62" s="277"/>
      <c r="U62" s="275"/>
      <c r="V62" s="275"/>
      <c r="W62" s="277"/>
      <c r="X62" s="277"/>
      <c r="Y62" s="275"/>
    </row>
    <row r="64" spans="1:25" ht="18">
      <c r="A64" s="275" t="s">
        <v>205</v>
      </c>
      <c r="B64" s="275" t="s">
        <v>209</v>
      </c>
      <c r="D64" s="277"/>
      <c r="G64" s="277"/>
      <c r="I64" s="275"/>
      <c r="K64" s="277"/>
      <c r="M64" s="275"/>
      <c r="N64" s="141"/>
      <c r="O64" s="277"/>
      <c r="P64" s="277"/>
      <c r="Q64" s="141"/>
      <c r="R64" s="141"/>
      <c r="S64" s="277"/>
      <c r="T64" s="277"/>
      <c r="U64" s="141"/>
      <c r="V64" s="141"/>
      <c r="W64" s="277"/>
      <c r="X64" s="277"/>
      <c r="Y64" s="141"/>
    </row>
    <row r="65" spans="1:25" ht="18">
      <c r="A65" s="275" t="s">
        <v>213</v>
      </c>
      <c r="B65" s="275" t="s">
        <v>210</v>
      </c>
      <c r="D65" s="277"/>
      <c r="G65" s="277"/>
      <c r="I65" s="275"/>
      <c r="K65" s="277"/>
      <c r="M65" s="275"/>
      <c r="N65" s="141"/>
      <c r="O65" s="277"/>
      <c r="P65" s="277"/>
      <c r="Q65" s="141"/>
      <c r="R65" s="141"/>
      <c r="S65" s="277"/>
      <c r="T65" s="277"/>
      <c r="U65" s="141"/>
      <c r="V65" s="141"/>
      <c r="W65" s="277"/>
      <c r="X65" s="277"/>
      <c r="Y65" s="141"/>
    </row>
    <row r="66" spans="1:13" ht="18">
      <c r="A66" s="275" t="s">
        <v>207</v>
      </c>
      <c r="B66" s="275" t="s">
        <v>211</v>
      </c>
      <c r="D66" s="277"/>
      <c r="G66" s="277"/>
      <c r="I66" s="275"/>
      <c r="K66" s="277"/>
      <c r="M66" s="275"/>
    </row>
    <row r="67" spans="1:25" ht="18">
      <c r="A67" s="275" t="s">
        <v>208</v>
      </c>
      <c r="B67" s="275" t="s">
        <v>212</v>
      </c>
      <c r="D67" s="277"/>
      <c r="F67" s="238"/>
      <c r="I67" s="238"/>
      <c r="J67" s="238"/>
      <c r="M67" s="238"/>
      <c r="N67" s="238"/>
      <c r="Q67" s="238"/>
      <c r="R67" s="238"/>
      <c r="U67" s="238"/>
      <c r="V67" s="238"/>
      <c r="Y67" s="238"/>
    </row>
    <row r="68" spans="1:25" ht="18">
      <c r="A68" s="275" t="s">
        <v>182</v>
      </c>
      <c r="B68" s="275" t="s">
        <v>183</v>
      </c>
      <c r="D68" s="277"/>
      <c r="G68" s="277"/>
      <c r="I68" s="275"/>
      <c r="K68" s="277"/>
      <c r="M68" s="275"/>
      <c r="N68" s="141"/>
      <c r="O68" s="277"/>
      <c r="P68" s="277"/>
      <c r="Q68" s="141"/>
      <c r="R68" s="141"/>
      <c r="S68" s="277"/>
      <c r="T68" s="277"/>
      <c r="U68" s="141"/>
      <c r="V68" s="141"/>
      <c r="W68" s="277"/>
      <c r="X68" s="277"/>
      <c r="Y68" s="141"/>
    </row>
    <row r="69" spans="1:25" ht="18">
      <c r="A69" s="238"/>
      <c r="B69" s="238"/>
      <c r="F69" s="238"/>
      <c r="I69" s="238"/>
      <c r="J69" s="238"/>
      <c r="M69" s="238"/>
      <c r="N69" s="238"/>
      <c r="Q69" s="238"/>
      <c r="R69" s="238"/>
      <c r="U69" s="238"/>
      <c r="V69" s="238"/>
      <c r="Y69" s="238"/>
    </row>
    <row r="70" spans="1:25" ht="18">
      <c r="A70" s="238"/>
      <c r="B70" s="238"/>
      <c r="F70" s="238"/>
      <c r="I70" s="238"/>
      <c r="J70" s="238"/>
      <c r="M70" s="238"/>
      <c r="N70" s="238"/>
      <c r="Q70" s="238"/>
      <c r="R70" s="238"/>
      <c r="U70" s="238"/>
      <c r="V70" s="238"/>
      <c r="Y70" s="238"/>
    </row>
    <row r="71" spans="1:25" ht="18">
      <c r="A71" s="238"/>
      <c r="B71" s="238"/>
      <c r="F71" s="238"/>
      <c r="I71" s="238"/>
      <c r="J71" s="238"/>
      <c r="M71" s="238"/>
      <c r="N71" s="238"/>
      <c r="Q71" s="238"/>
      <c r="R71" s="238"/>
      <c r="U71" s="238"/>
      <c r="V71" s="238"/>
      <c r="Y71" s="238"/>
    </row>
    <row r="72" spans="1:25" ht="18">
      <c r="A72" s="238"/>
      <c r="B72" s="238"/>
      <c r="F72" s="238"/>
      <c r="I72" s="238"/>
      <c r="J72" s="238"/>
      <c r="M72" s="238"/>
      <c r="N72" s="238"/>
      <c r="Q72" s="238"/>
      <c r="R72" s="238"/>
      <c r="U72" s="238"/>
      <c r="V72" s="238"/>
      <c r="Y72" s="238"/>
    </row>
  </sheetData>
  <mergeCells count="12">
    <mergeCell ref="B3:E3"/>
    <mergeCell ref="B32:E32"/>
    <mergeCell ref="F3:I3"/>
    <mergeCell ref="F32:I32"/>
    <mergeCell ref="J3:M3"/>
    <mergeCell ref="J32:M32"/>
    <mergeCell ref="N3:Q3"/>
    <mergeCell ref="N32:Q32"/>
    <mergeCell ref="R3:U3"/>
    <mergeCell ref="R32:U32"/>
    <mergeCell ref="V3:Y3"/>
    <mergeCell ref="V32:Y32"/>
  </mergeCells>
  <printOptions horizontalCentered="1" verticalCentered="1"/>
  <pageMargins left="0.4" right="0.34" top="1" bottom="1" header="0.5" footer="0.5"/>
  <pageSetup fitToHeight="1" fitToWidth="1" horizontalDpi="600" verticalDpi="600" orientation="landscape" scale="31" r:id="rId1"/>
  <headerFooter alignWithMargins="0">
    <oddHeader>&amp;C&amp;14Table I-1B
SCE TA/TI and Auto DR Program Subscription Statistics 
2010</oddHeader>
    <oddFooter>&amp;L&amp;F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01"/>
  <sheetViews>
    <sheetView showGridLines="0" view="pageBreakPreview" zoomScale="75" zoomScaleNormal="75" zoomScaleSheetLayoutView="75" workbookViewId="0" topLeftCell="A1">
      <pane xSplit="1" topLeftCell="F1" activePane="topRight" state="frozen"/>
      <selection pane="topLeft" activeCell="A1" sqref="A1"/>
      <selection pane="topRight" activeCell="A1" sqref="A1"/>
    </sheetView>
  </sheetViews>
  <sheetFormatPr defaultColWidth="9.140625" defaultRowHeight="12.75"/>
  <cols>
    <col min="1" max="1" width="60.00390625" style="0" customWidth="1"/>
    <col min="2" max="2" width="13.57421875" style="0" customWidth="1"/>
    <col min="3" max="3" width="16.57421875" style="0" bestFit="1" customWidth="1"/>
    <col min="4" max="4" width="10.7109375" style="0" customWidth="1"/>
    <col min="5" max="5" width="11.28125" style="0" bestFit="1" customWidth="1"/>
    <col min="6" max="6" width="12.28125" style="0" bestFit="1" customWidth="1"/>
    <col min="7" max="8" width="12.00390625" style="0" bestFit="1" customWidth="1"/>
    <col min="9" max="9" width="12.57421875" style="0" bestFit="1" customWidth="1"/>
    <col min="10" max="10" width="12.28125" style="0" bestFit="1" customWidth="1"/>
    <col min="11" max="11" width="12.00390625" style="0" customWidth="1"/>
    <col min="12" max="12" width="11.57421875" style="0" bestFit="1" customWidth="1"/>
    <col min="13" max="13" width="11.8515625" style="0" customWidth="1"/>
    <col min="14" max="14" width="11.7109375" style="0" customWidth="1"/>
    <col min="15" max="15" width="14.421875" style="0" bestFit="1" customWidth="1"/>
    <col min="16" max="16" width="14.28125" style="0" customWidth="1"/>
    <col min="17" max="17" width="19.00390625" style="63" bestFit="1" customWidth="1"/>
    <col min="18" max="18" width="14.7109375" style="63" customWidth="1"/>
    <col min="19" max="19" width="13.421875" style="0" bestFit="1" customWidth="1"/>
  </cols>
  <sheetData>
    <row r="1" s="63" customFormat="1" ht="12.75">
      <c r="A1" s="170" t="s">
        <v>126</v>
      </c>
    </row>
    <row r="2" s="63" customFormat="1" ht="13.5" thickBot="1"/>
    <row r="3" spans="1:19" s="63" customFormat="1" ht="12.75">
      <c r="A3" s="211"/>
      <c r="B3" s="189"/>
      <c r="C3" s="106"/>
      <c r="D3" s="106"/>
      <c r="E3" s="106"/>
      <c r="F3" s="106"/>
      <c r="G3" s="106"/>
      <c r="H3" s="106"/>
      <c r="I3" s="106"/>
      <c r="J3" s="106"/>
      <c r="K3" s="106"/>
      <c r="L3" s="106"/>
      <c r="M3" s="106"/>
      <c r="N3" s="107"/>
      <c r="O3" s="107"/>
      <c r="P3" s="107"/>
      <c r="Q3" s="107"/>
      <c r="R3" s="107"/>
      <c r="S3" s="119"/>
    </row>
    <row r="4" spans="1:19" s="63" customFormat="1" ht="7.5" customHeight="1">
      <c r="A4" s="212"/>
      <c r="B4" s="213"/>
      <c r="C4" s="108"/>
      <c r="D4" s="108"/>
      <c r="E4" s="108"/>
      <c r="F4" s="108"/>
      <c r="G4" s="108"/>
      <c r="H4" s="108"/>
      <c r="I4" s="108"/>
      <c r="J4" s="108"/>
      <c r="K4" s="108"/>
      <c r="L4" s="108"/>
      <c r="M4" s="108"/>
      <c r="N4" s="109"/>
      <c r="O4" s="109"/>
      <c r="P4" s="109"/>
      <c r="Q4" s="109"/>
      <c r="R4" s="109"/>
      <c r="S4" s="120"/>
    </row>
    <row r="5" spans="1:19" s="63" customFormat="1" ht="57.75" customHeight="1">
      <c r="A5" s="110" t="s">
        <v>21</v>
      </c>
      <c r="B5" s="56" t="s">
        <v>113</v>
      </c>
      <c r="C5" s="111" t="s">
        <v>0</v>
      </c>
      <c r="D5" s="111" t="s">
        <v>1</v>
      </c>
      <c r="E5" s="111" t="s">
        <v>2</v>
      </c>
      <c r="F5" s="111" t="s">
        <v>3</v>
      </c>
      <c r="G5" s="111" t="s">
        <v>4</v>
      </c>
      <c r="H5" s="111" t="s">
        <v>5</v>
      </c>
      <c r="I5" s="111" t="s">
        <v>6</v>
      </c>
      <c r="J5" s="111" t="s">
        <v>7</v>
      </c>
      <c r="K5" s="111" t="s">
        <v>8</v>
      </c>
      <c r="L5" s="111" t="s">
        <v>9</v>
      </c>
      <c r="M5" s="111" t="s">
        <v>10</v>
      </c>
      <c r="N5" s="111" t="s">
        <v>11</v>
      </c>
      <c r="O5" s="55" t="s">
        <v>117</v>
      </c>
      <c r="P5" s="55" t="s">
        <v>116</v>
      </c>
      <c r="Q5" s="55" t="s">
        <v>115</v>
      </c>
      <c r="R5" s="55" t="s">
        <v>184</v>
      </c>
      <c r="S5" s="55" t="s">
        <v>114</v>
      </c>
    </row>
    <row r="6" spans="1:19" s="63" customFormat="1" ht="12.75">
      <c r="A6" s="100" t="s">
        <v>68</v>
      </c>
      <c r="B6" s="144"/>
      <c r="C6" s="38"/>
      <c r="D6" s="38"/>
      <c r="E6" s="38"/>
      <c r="F6" s="38"/>
      <c r="G6" s="38"/>
      <c r="H6" s="38"/>
      <c r="I6" s="38"/>
      <c r="J6" s="38"/>
      <c r="K6" s="38"/>
      <c r="L6" s="38"/>
      <c r="M6" s="38"/>
      <c r="N6" s="38"/>
      <c r="O6" s="112"/>
      <c r="P6" s="112" t="s">
        <v>14</v>
      </c>
      <c r="Q6" s="57"/>
      <c r="R6" s="57"/>
      <c r="S6" s="57"/>
    </row>
    <row r="7" spans="1:19" s="63" customFormat="1" ht="12.75">
      <c r="A7" s="88" t="s">
        <v>63</v>
      </c>
      <c r="B7" s="152">
        <v>419531</v>
      </c>
      <c r="C7" s="38">
        <v>27071</v>
      </c>
      <c r="D7" s="38">
        <v>21942</v>
      </c>
      <c r="E7" s="38">
        <v>43098</v>
      </c>
      <c r="F7" s="38">
        <v>29689</v>
      </c>
      <c r="G7" s="38">
        <v>24777</v>
      </c>
      <c r="H7" s="38">
        <v>44444</v>
      </c>
      <c r="I7" s="38">
        <v>35151</v>
      </c>
      <c r="J7" s="38">
        <v>47804</v>
      </c>
      <c r="K7" s="38">
        <v>29430</v>
      </c>
      <c r="L7" s="38">
        <v>32508</v>
      </c>
      <c r="M7" s="38">
        <v>27429</v>
      </c>
      <c r="N7" s="113">
        <v>37786</v>
      </c>
      <c r="O7" s="39">
        <f aca="true" t="shared" si="0" ref="O7:O12">SUM(C7:N7)</f>
        <v>401129</v>
      </c>
      <c r="P7" s="39">
        <f aca="true" t="shared" si="1" ref="P7:P12">+B7+O7</f>
        <v>820660</v>
      </c>
      <c r="Q7" s="114">
        <v>1400000</v>
      </c>
      <c r="R7" s="114"/>
      <c r="S7" s="149">
        <f aca="true" t="shared" si="2" ref="S7:S12">+P7/Q7</f>
        <v>0.5861857142857143</v>
      </c>
    </row>
    <row r="8" spans="1:19" s="63" customFormat="1" ht="12.75">
      <c r="A8" s="89" t="s">
        <v>12</v>
      </c>
      <c r="B8" s="152">
        <v>1506744</v>
      </c>
      <c r="C8" s="38">
        <v>58196</v>
      </c>
      <c r="D8" s="38">
        <v>61246</v>
      </c>
      <c r="E8" s="38">
        <v>65387</v>
      </c>
      <c r="F8" s="38">
        <v>50636</v>
      </c>
      <c r="G8" s="38">
        <v>74245</v>
      </c>
      <c r="H8" s="38">
        <v>74265</v>
      </c>
      <c r="I8" s="38">
        <v>61389</v>
      </c>
      <c r="J8" s="38">
        <v>61494</v>
      </c>
      <c r="K8" s="38">
        <v>45490</v>
      </c>
      <c r="L8" s="38">
        <v>43448</v>
      </c>
      <c r="M8" s="38">
        <v>67876</v>
      </c>
      <c r="N8" s="113">
        <v>80047</v>
      </c>
      <c r="O8" s="39">
        <f t="shared" si="0"/>
        <v>743719</v>
      </c>
      <c r="P8" s="39">
        <f t="shared" si="1"/>
        <v>2250463</v>
      </c>
      <c r="Q8" s="114">
        <v>4702374</v>
      </c>
      <c r="R8" s="114"/>
      <c r="S8" s="149">
        <f t="shared" si="2"/>
        <v>0.47858018098943217</v>
      </c>
    </row>
    <row r="9" spans="1:19" s="63" customFormat="1" ht="12.75">
      <c r="A9" s="89" t="s">
        <v>60</v>
      </c>
      <c r="B9" s="152">
        <v>16615143</v>
      </c>
      <c r="C9" s="38">
        <v>227748</v>
      </c>
      <c r="D9" s="38">
        <v>170257</v>
      </c>
      <c r="E9" s="38">
        <v>205475</v>
      </c>
      <c r="F9" s="38">
        <v>462529</v>
      </c>
      <c r="G9" s="38">
        <v>376038</v>
      </c>
      <c r="H9" s="38">
        <v>980009</v>
      </c>
      <c r="I9" s="38">
        <v>1125657</v>
      </c>
      <c r="J9" s="38">
        <v>1127894</v>
      </c>
      <c r="K9" s="38">
        <v>506472</v>
      </c>
      <c r="L9" s="38">
        <v>605741</v>
      </c>
      <c r="M9" s="38">
        <v>315791</v>
      </c>
      <c r="N9" s="38">
        <v>565385</v>
      </c>
      <c r="O9" s="39">
        <f t="shared" si="0"/>
        <v>6668996</v>
      </c>
      <c r="P9" s="39">
        <f t="shared" si="1"/>
        <v>23284139</v>
      </c>
      <c r="Q9" s="114">
        <v>30334000</v>
      </c>
      <c r="R9" s="114"/>
      <c r="S9" s="149">
        <f t="shared" si="2"/>
        <v>0.7675921078657612</v>
      </c>
    </row>
    <row r="10" spans="1:19" s="63" customFormat="1" ht="12.75">
      <c r="A10" s="89" t="s">
        <v>57</v>
      </c>
      <c r="B10" s="152">
        <v>20442</v>
      </c>
      <c r="C10" s="38">
        <v>2214</v>
      </c>
      <c r="D10" s="38">
        <v>1502</v>
      </c>
      <c r="E10" s="38">
        <v>3446</v>
      </c>
      <c r="F10" s="38">
        <v>2529</v>
      </c>
      <c r="G10" s="38">
        <v>3726</v>
      </c>
      <c r="H10" s="38">
        <v>-442</v>
      </c>
      <c r="I10" s="38">
        <v>3216</v>
      </c>
      <c r="J10" s="38">
        <v>6054</v>
      </c>
      <c r="K10" s="38">
        <v>2501</v>
      </c>
      <c r="L10" s="38">
        <v>15671</v>
      </c>
      <c r="M10" s="38">
        <v>4818</v>
      </c>
      <c r="N10" s="38">
        <v>14174</v>
      </c>
      <c r="O10" s="39">
        <f t="shared" si="0"/>
        <v>59409</v>
      </c>
      <c r="P10" s="39">
        <f t="shared" si="1"/>
        <v>79851</v>
      </c>
      <c r="Q10" s="114">
        <v>408738</v>
      </c>
      <c r="R10" s="114"/>
      <c r="S10" s="149">
        <f t="shared" si="2"/>
        <v>0.19535986377581727</v>
      </c>
    </row>
    <row r="11" spans="1:19" s="63" customFormat="1" ht="12.75">
      <c r="A11" s="88" t="s">
        <v>35</v>
      </c>
      <c r="B11" s="152">
        <v>0</v>
      </c>
      <c r="C11" s="38">
        <v>0</v>
      </c>
      <c r="D11" s="38">
        <v>90</v>
      </c>
      <c r="E11" s="38">
        <v>860</v>
      </c>
      <c r="F11" s="38">
        <v>1086</v>
      </c>
      <c r="G11" s="38">
        <v>375</v>
      </c>
      <c r="H11" s="38">
        <v>206</v>
      </c>
      <c r="I11" s="38">
        <v>1234</v>
      </c>
      <c r="J11" s="38">
        <v>648</v>
      </c>
      <c r="K11" s="38">
        <v>1197</v>
      </c>
      <c r="L11" s="38">
        <v>3319</v>
      </c>
      <c r="M11" s="38">
        <v>711</v>
      </c>
      <c r="N11" s="113">
        <v>1037</v>
      </c>
      <c r="O11" s="39">
        <f t="shared" si="0"/>
        <v>10763</v>
      </c>
      <c r="P11" s="39">
        <f t="shared" si="1"/>
        <v>10763</v>
      </c>
      <c r="Q11" s="114">
        <v>52995</v>
      </c>
      <c r="R11" s="114"/>
      <c r="S11" s="149">
        <f t="shared" si="2"/>
        <v>0.20309463156901594</v>
      </c>
    </row>
    <row r="12" spans="1:19" s="63" customFormat="1" ht="12.75">
      <c r="A12" s="89" t="s">
        <v>56</v>
      </c>
      <c r="B12" s="152">
        <v>27727</v>
      </c>
      <c r="C12" s="38">
        <v>2306</v>
      </c>
      <c r="D12" s="38">
        <v>2260</v>
      </c>
      <c r="E12" s="38">
        <v>3332</v>
      </c>
      <c r="F12" s="38">
        <v>3440</v>
      </c>
      <c r="G12" s="38">
        <v>2344</v>
      </c>
      <c r="H12" s="38">
        <v>1908</v>
      </c>
      <c r="I12" s="38">
        <v>1578</v>
      </c>
      <c r="J12" s="38">
        <v>3358</v>
      </c>
      <c r="K12" s="38">
        <v>1374</v>
      </c>
      <c r="L12" s="38">
        <v>3319</v>
      </c>
      <c r="M12" s="38">
        <v>655</v>
      </c>
      <c r="N12" s="38">
        <v>789</v>
      </c>
      <c r="O12" s="39">
        <f t="shared" si="0"/>
        <v>26663</v>
      </c>
      <c r="P12" s="39">
        <f t="shared" si="1"/>
        <v>54390</v>
      </c>
      <c r="Q12" s="114">
        <v>197994</v>
      </c>
      <c r="R12" s="114"/>
      <c r="S12" s="149">
        <f t="shared" si="2"/>
        <v>0.2747052940998212</v>
      </c>
    </row>
    <row r="13" spans="1:19" s="63" customFormat="1" ht="12.75">
      <c r="A13" s="151" t="s">
        <v>38</v>
      </c>
      <c r="B13" s="153">
        <f aca="true" t="shared" si="3" ref="B13:Q13">SUM(B7:B12)</f>
        <v>18589587</v>
      </c>
      <c r="C13" s="82">
        <f t="shared" si="3"/>
        <v>317535</v>
      </c>
      <c r="D13" s="82">
        <f t="shared" si="3"/>
        <v>257297</v>
      </c>
      <c r="E13" s="82">
        <f t="shared" si="3"/>
        <v>321598</v>
      </c>
      <c r="F13" s="82">
        <f t="shared" si="3"/>
        <v>549909</v>
      </c>
      <c r="G13" s="82">
        <f t="shared" si="3"/>
        <v>481505</v>
      </c>
      <c r="H13" s="82">
        <f t="shared" si="3"/>
        <v>1100390</v>
      </c>
      <c r="I13" s="82">
        <f t="shared" si="3"/>
        <v>1228225</v>
      </c>
      <c r="J13" s="82">
        <f t="shared" si="3"/>
        <v>1247252</v>
      </c>
      <c r="K13" s="82">
        <f t="shared" si="3"/>
        <v>586464</v>
      </c>
      <c r="L13" s="82">
        <f t="shared" si="3"/>
        <v>704006</v>
      </c>
      <c r="M13" s="82">
        <f t="shared" si="3"/>
        <v>417280</v>
      </c>
      <c r="N13" s="82">
        <f t="shared" si="3"/>
        <v>699218</v>
      </c>
      <c r="O13" s="36">
        <f t="shared" si="3"/>
        <v>7910679</v>
      </c>
      <c r="P13" s="36">
        <f t="shared" si="3"/>
        <v>26500266</v>
      </c>
      <c r="Q13" s="36">
        <f t="shared" si="3"/>
        <v>37096101</v>
      </c>
      <c r="R13" s="36"/>
      <c r="S13" s="156">
        <f>+P13/Q13</f>
        <v>0.7143679601260521</v>
      </c>
    </row>
    <row r="14" spans="1:19" ht="12.75">
      <c r="A14" s="134"/>
      <c r="B14" s="2"/>
      <c r="O14" s="129"/>
      <c r="P14" s="129"/>
      <c r="Q14" s="139"/>
      <c r="R14" s="139"/>
      <c r="S14" s="129"/>
    </row>
    <row r="15" spans="1:19" ht="12.75">
      <c r="A15" s="100" t="s">
        <v>69</v>
      </c>
      <c r="B15" s="144"/>
      <c r="O15" s="16"/>
      <c r="P15" s="16"/>
      <c r="Q15" s="57"/>
      <c r="R15" s="57"/>
      <c r="S15" s="16"/>
    </row>
    <row r="16" spans="1:19" s="63" customFormat="1" ht="12.75">
      <c r="A16" s="101" t="s">
        <v>41</v>
      </c>
      <c r="B16" s="152">
        <v>969711</v>
      </c>
      <c r="C16" s="38">
        <v>-264751</v>
      </c>
      <c r="D16" s="38">
        <v>-24076</v>
      </c>
      <c r="E16" s="38">
        <v>22621</v>
      </c>
      <c r="F16" s="38">
        <v>107906</v>
      </c>
      <c r="G16" s="38">
        <v>47688</v>
      </c>
      <c r="H16" s="38">
        <v>74578</v>
      </c>
      <c r="I16" s="38">
        <v>69879</v>
      </c>
      <c r="J16" s="38">
        <v>74707</v>
      </c>
      <c r="K16" s="38">
        <v>170626</v>
      </c>
      <c r="L16" s="38">
        <v>74254</v>
      </c>
      <c r="M16" s="38">
        <v>68195</v>
      </c>
      <c r="N16" s="113">
        <v>97610</v>
      </c>
      <c r="O16" s="39">
        <f>SUM(C16:N16)</f>
        <v>519237</v>
      </c>
      <c r="P16" s="39">
        <f>B16+O16</f>
        <v>1488948</v>
      </c>
      <c r="Q16" s="39">
        <f>812299+R16</f>
        <v>2838327</v>
      </c>
      <c r="R16" s="39">
        <f>1050000+976028</f>
        <v>2026028</v>
      </c>
      <c r="S16" s="149">
        <f aca="true" t="shared" si="4" ref="S16:S21">+P16/Q16</f>
        <v>0.5245864905629267</v>
      </c>
    </row>
    <row r="17" spans="1:19" s="63" customFormat="1" ht="12.75">
      <c r="A17" s="101" t="s">
        <v>111</v>
      </c>
      <c r="B17" s="152">
        <v>736378</v>
      </c>
      <c r="C17" s="38">
        <v>19991</v>
      </c>
      <c r="D17" s="38">
        <v>29808</v>
      </c>
      <c r="E17" s="38">
        <v>53865</v>
      </c>
      <c r="F17" s="38">
        <v>44476</v>
      </c>
      <c r="G17" s="38">
        <v>35857</v>
      </c>
      <c r="H17" s="38">
        <v>32719</v>
      </c>
      <c r="I17" s="38">
        <v>37966</v>
      </c>
      <c r="J17" s="38">
        <v>37504</v>
      </c>
      <c r="K17" s="38">
        <v>21140</v>
      </c>
      <c r="L17" s="38">
        <v>41886</v>
      </c>
      <c r="M17" s="38">
        <v>46920</v>
      </c>
      <c r="N17" s="113">
        <v>97823</v>
      </c>
      <c r="O17" s="39">
        <f>SUM(C17:N17)</f>
        <v>499955</v>
      </c>
      <c r="P17" s="39">
        <f>B17+O17</f>
        <v>1236333</v>
      </c>
      <c r="Q17" s="39">
        <f>2641459+R17</f>
        <v>2281459</v>
      </c>
      <c r="R17" s="39">
        <v>-360000</v>
      </c>
      <c r="S17" s="149">
        <f>+P17/Q17</f>
        <v>0.5419045444165335</v>
      </c>
    </row>
    <row r="18" spans="1:19" s="63" customFormat="1" ht="12.75">
      <c r="A18" s="101" t="s">
        <v>71</v>
      </c>
      <c r="B18" s="152">
        <v>327994</v>
      </c>
      <c r="C18" s="38">
        <v>40688</v>
      </c>
      <c r="D18" s="38">
        <v>75423</v>
      </c>
      <c r="E18" s="38">
        <v>76571</v>
      </c>
      <c r="F18" s="38">
        <v>93729</v>
      </c>
      <c r="G18" s="38">
        <v>283830</v>
      </c>
      <c r="H18" s="38">
        <v>106899</v>
      </c>
      <c r="I18" s="38">
        <v>37675</v>
      </c>
      <c r="J18" s="38">
        <v>49935</v>
      </c>
      <c r="K18" s="38">
        <v>23343</v>
      </c>
      <c r="L18" s="38">
        <v>30780</v>
      </c>
      <c r="M18" s="38">
        <v>30623</v>
      </c>
      <c r="N18" s="113">
        <v>34877</v>
      </c>
      <c r="O18" s="39">
        <f>SUM(C18:N18)</f>
        <v>884373</v>
      </c>
      <c r="P18" s="39">
        <f>B18+O18</f>
        <v>1212367</v>
      </c>
      <c r="Q18" s="39">
        <f>259939+R18</f>
        <v>3818142</v>
      </c>
      <c r="R18" s="39">
        <f>1801932+1756271</f>
        <v>3558203</v>
      </c>
      <c r="S18" s="149">
        <f t="shared" si="4"/>
        <v>0.31752800183963825</v>
      </c>
    </row>
    <row r="19" spans="1:19" ht="12.75">
      <c r="A19" s="101" t="s">
        <v>70</v>
      </c>
      <c r="B19" s="152">
        <v>46085</v>
      </c>
      <c r="C19" s="38">
        <v>0</v>
      </c>
      <c r="D19" s="38">
        <v>31616</v>
      </c>
      <c r="E19" s="38">
        <v>41931</v>
      </c>
      <c r="F19" s="38">
        <v>0</v>
      </c>
      <c r="G19" s="38">
        <v>293</v>
      </c>
      <c r="H19" s="38">
        <v>0</v>
      </c>
      <c r="I19" s="38">
        <v>0</v>
      </c>
      <c r="J19" s="38">
        <v>0</v>
      </c>
      <c r="K19" s="38">
        <v>0</v>
      </c>
      <c r="L19" s="38">
        <v>309</v>
      </c>
      <c r="M19" s="38">
        <v>-293</v>
      </c>
      <c r="N19" s="38">
        <v>1222</v>
      </c>
      <c r="O19" s="39">
        <f>SUM(C19:N19)</f>
        <v>75078</v>
      </c>
      <c r="P19" s="39">
        <f>B19+O19</f>
        <v>121163</v>
      </c>
      <c r="Q19" s="39">
        <f>5703864+R19</f>
        <v>119633</v>
      </c>
      <c r="R19" s="39">
        <v>-5584231</v>
      </c>
      <c r="S19" s="149">
        <f t="shared" si="4"/>
        <v>1.0127891133717286</v>
      </c>
    </row>
    <row r="20" spans="1:19" ht="12.75">
      <c r="A20" s="101" t="s">
        <v>72</v>
      </c>
      <c r="B20" s="152">
        <v>8258</v>
      </c>
      <c r="C20" s="38">
        <v>5607</v>
      </c>
      <c r="D20" s="38">
        <v>4586</v>
      </c>
      <c r="E20" s="38">
        <v>12291</v>
      </c>
      <c r="F20" s="38">
        <v>14734</v>
      </c>
      <c r="G20" s="38">
        <v>8964</v>
      </c>
      <c r="H20" s="38">
        <v>5253</v>
      </c>
      <c r="I20" s="38">
        <v>2881</v>
      </c>
      <c r="J20" s="38">
        <v>5855</v>
      </c>
      <c r="K20" s="38">
        <v>2978</v>
      </c>
      <c r="L20" s="38">
        <v>12262</v>
      </c>
      <c r="M20" s="38">
        <v>5609</v>
      </c>
      <c r="N20" s="38">
        <v>7161</v>
      </c>
      <c r="O20" s="131">
        <f>SUM(C20:N20)</f>
        <v>88181</v>
      </c>
      <c r="P20" s="39">
        <f>B20+O20</f>
        <v>96439</v>
      </c>
      <c r="Q20" s="39">
        <f>70409+R20</f>
        <v>430409</v>
      </c>
      <c r="R20" s="39">
        <v>360000</v>
      </c>
      <c r="S20" s="149">
        <f t="shared" si="4"/>
        <v>0.2240636232049051</v>
      </c>
    </row>
    <row r="21" spans="1:19" s="63" customFormat="1" ht="12.75">
      <c r="A21" s="98" t="s">
        <v>39</v>
      </c>
      <c r="B21" s="153">
        <f aca="true" t="shared" si="5" ref="B21:Q21">SUM(B16:B20)</f>
        <v>2088426</v>
      </c>
      <c r="C21" s="82">
        <f t="shared" si="5"/>
        <v>-198465</v>
      </c>
      <c r="D21" s="82">
        <f t="shared" si="5"/>
        <v>117357</v>
      </c>
      <c r="E21" s="82">
        <f t="shared" si="5"/>
        <v>207279</v>
      </c>
      <c r="F21" s="82">
        <f t="shared" si="5"/>
        <v>260845</v>
      </c>
      <c r="G21" s="82">
        <f t="shared" si="5"/>
        <v>376632</v>
      </c>
      <c r="H21" s="82">
        <f t="shared" si="5"/>
        <v>219449</v>
      </c>
      <c r="I21" s="82">
        <f t="shared" si="5"/>
        <v>148401</v>
      </c>
      <c r="J21" s="82">
        <f t="shared" si="5"/>
        <v>168001</v>
      </c>
      <c r="K21" s="82">
        <f t="shared" si="5"/>
        <v>218087</v>
      </c>
      <c r="L21" s="82">
        <f t="shared" si="5"/>
        <v>159491</v>
      </c>
      <c r="M21" s="82">
        <f t="shared" si="5"/>
        <v>151054</v>
      </c>
      <c r="N21" s="82">
        <f t="shared" si="5"/>
        <v>238693</v>
      </c>
      <c r="O21" s="36">
        <f t="shared" si="5"/>
        <v>2066824</v>
      </c>
      <c r="P21" s="36">
        <f t="shared" si="5"/>
        <v>4155250</v>
      </c>
      <c r="Q21" s="36">
        <f t="shared" si="5"/>
        <v>9487970</v>
      </c>
      <c r="R21" s="36"/>
      <c r="S21" s="156">
        <f t="shared" si="4"/>
        <v>0.4379493189797185</v>
      </c>
    </row>
    <row r="22" spans="1:19" s="63" customFormat="1" ht="12.75">
      <c r="A22" s="128"/>
      <c r="B22" s="146"/>
      <c r="C22" s="126"/>
      <c r="D22" s="126"/>
      <c r="E22" s="126"/>
      <c r="F22" s="126"/>
      <c r="G22" s="126"/>
      <c r="H22" s="126"/>
      <c r="I22" s="126"/>
      <c r="J22" s="126"/>
      <c r="K22" s="126"/>
      <c r="L22" s="126"/>
      <c r="M22" s="126"/>
      <c r="N22" s="126"/>
      <c r="O22" s="39"/>
      <c r="P22" s="39"/>
      <c r="Q22" s="39"/>
      <c r="R22" s="39"/>
      <c r="S22" s="39"/>
    </row>
    <row r="23" spans="1:19" s="63" customFormat="1" ht="12.75">
      <c r="A23" s="100" t="s">
        <v>73</v>
      </c>
      <c r="B23" s="144"/>
      <c r="C23" s="126"/>
      <c r="D23" s="126"/>
      <c r="E23" s="126"/>
      <c r="F23" s="126"/>
      <c r="G23" s="126"/>
      <c r="H23" s="126"/>
      <c r="I23" s="126"/>
      <c r="J23" s="126"/>
      <c r="K23" s="126"/>
      <c r="L23" s="126"/>
      <c r="M23" s="126"/>
      <c r="N23" s="126"/>
      <c r="O23" s="39"/>
      <c r="P23" s="39"/>
      <c r="Q23" s="39"/>
      <c r="R23" s="39"/>
      <c r="S23" s="39"/>
    </row>
    <row r="24" spans="1:19" s="63" customFormat="1" ht="12.75">
      <c r="A24" s="101" t="s">
        <v>128</v>
      </c>
      <c r="B24" s="205">
        <v>738085</v>
      </c>
      <c r="C24" s="38">
        <v>38802</v>
      </c>
      <c r="D24" s="38">
        <v>55968</v>
      </c>
      <c r="E24" s="38">
        <v>56379</v>
      </c>
      <c r="F24" s="38">
        <v>45916</v>
      </c>
      <c r="G24" s="38">
        <v>51493</v>
      </c>
      <c r="H24" s="38">
        <v>116676</v>
      </c>
      <c r="I24" s="38">
        <v>-25707</v>
      </c>
      <c r="J24" s="38">
        <v>50140</v>
      </c>
      <c r="K24" s="38">
        <v>49024</v>
      </c>
      <c r="L24" s="38">
        <v>249038</v>
      </c>
      <c r="M24" s="38">
        <v>21502</v>
      </c>
      <c r="N24" s="113">
        <v>-93746</v>
      </c>
      <c r="O24" s="39">
        <f>SUM(C24:N24)</f>
        <v>615485</v>
      </c>
      <c r="P24" s="39">
        <f>B24+O24</f>
        <v>1353570</v>
      </c>
      <c r="Q24" s="206">
        <v>25233275</v>
      </c>
      <c r="R24" s="163"/>
      <c r="S24" s="286">
        <f>P24/Q24</f>
        <v>0.053642264034295985</v>
      </c>
    </row>
    <row r="25" spans="1:19" s="63" customFormat="1" ht="12.75">
      <c r="A25" s="98" t="s">
        <v>74</v>
      </c>
      <c r="B25" s="153">
        <f aca="true" t="shared" si="6" ref="B25:Q25">SUM(B24:B24)</f>
        <v>738085</v>
      </c>
      <c r="C25" s="82">
        <f t="shared" si="6"/>
        <v>38802</v>
      </c>
      <c r="D25" s="82">
        <f t="shared" si="6"/>
        <v>55968</v>
      </c>
      <c r="E25" s="82">
        <f t="shared" si="6"/>
        <v>56379</v>
      </c>
      <c r="F25" s="82">
        <f t="shared" si="6"/>
        <v>45916</v>
      </c>
      <c r="G25" s="82">
        <f t="shared" si="6"/>
        <v>51493</v>
      </c>
      <c r="H25" s="82">
        <f t="shared" si="6"/>
        <v>116676</v>
      </c>
      <c r="I25" s="82">
        <f t="shared" si="6"/>
        <v>-25707</v>
      </c>
      <c r="J25" s="82">
        <f t="shared" si="6"/>
        <v>50140</v>
      </c>
      <c r="K25" s="82">
        <f t="shared" si="6"/>
        <v>49024</v>
      </c>
      <c r="L25" s="82">
        <f t="shared" si="6"/>
        <v>249038</v>
      </c>
      <c r="M25" s="82">
        <f t="shared" si="6"/>
        <v>21502</v>
      </c>
      <c r="N25" s="82">
        <f t="shared" si="6"/>
        <v>-93746</v>
      </c>
      <c r="O25" s="36">
        <f t="shared" si="6"/>
        <v>615485</v>
      </c>
      <c r="P25" s="36">
        <f t="shared" si="6"/>
        <v>1353570</v>
      </c>
      <c r="Q25" s="36">
        <f t="shared" si="6"/>
        <v>25233275</v>
      </c>
      <c r="R25" s="39"/>
      <c r="S25" s="149">
        <f>P25/Q25</f>
        <v>0.053642264034295985</v>
      </c>
    </row>
    <row r="26" spans="1:19" s="63" customFormat="1" ht="12.75">
      <c r="A26" s="101"/>
      <c r="B26" s="145"/>
      <c r="C26" s="38"/>
      <c r="D26" s="38"/>
      <c r="E26" s="38"/>
      <c r="F26" s="38"/>
      <c r="G26" s="38"/>
      <c r="H26" s="38"/>
      <c r="I26" s="38"/>
      <c r="J26" s="126"/>
      <c r="K26" s="38"/>
      <c r="L26" s="38"/>
      <c r="M26" s="38"/>
      <c r="N26" s="38"/>
      <c r="O26" s="96"/>
      <c r="P26" s="96"/>
      <c r="Q26" s="130"/>
      <c r="R26" s="130"/>
      <c r="S26" s="130"/>
    </row>
    <row r="27" spans="1:19" ht="12.75">
      <c r="A27" s="100" t="s">
        <v>75</v>
      </c>
      <c r="B27" s="144"/>
      <c r="O27" s="16"/>
      <c r="P27" s="16"/>
      <c r="Q27" s="57"/>
      <c r="R27" s="57"/>
      <c r="S27" s="16"/>
    </row>
    <row r="28" spans="1:19" s="63" customFormat="1" ht="12.75">
      <c r="A28" s="101" t="s">
        <v>61</v>
      </c>
      <c r="B28" s="152">
        <v>400860</v>
      </c>
      <c r="C28" s="38">
        <v>30735</v>
      </c>
      <c r="D28" s="38">
        <v>163231</v>
      </c>
      <c r="E28" s="38">
        <v>73079</v>
      </c>
      <c r="F28" s="38">
        <v>78798</v>
      </c>
      <c r="G28" s="38">
        <v>267617</v>
      </c>
      <c r="H28" s="38">
        <v>81213</v>
      </c>
      <c r="I28" s="38">
        <v>77816</v>
      </c>
      <c r="J28" s="38">
        <v>136223</v>
      </c>
      <c r="K28" s="38">
        <v>167133</v>
      </c>
      <c r="L28" s="38">
        <v>123410</v>
      </c>
      <c r="M28" s="38">
        <v>174787</v>
      </c>
      <c r="N28" s="38">
        <v>304377</v>
      </c>
      <c r="O28" s="39">
        <f>SUM(C28:N28)</f>
        <v>1678419</v>
      </c>
      <c r="P28" s="39">
        <f>B28+O28</f>
        <v>2079279</v>
      </c>
      <c r="Q28" s="39">
        <v>4302881</v>
      </c>
      <c r="R28" s="39"/>
      <c r="S28" s="149">
        <f aca="true" t="shared" si="7" ref="S28:S33">P28/Q28</f>
        <v>0.4832294920542771</v>
      </c>
    </row>
    <row r="29" spans="1:19" ht="12.75">
      <c r="A29" s="101" t="s">
        <v>76</v>
      </c>
      <c r="B29" s="152">
        <v>0</v>
      </c>
      <c r="C29" s="38">
        <v>0</v>
      </c>
      <c r="D29" s="38">
        <v>0</v>
      </c>
      <c r="E29" s="38">
        <v>0</v>
      </c>
      <c r="F29" s="38">
        <v>0</v>
      </c>
      <c r="G29" s="38">
        <v>0</v>
      </c>
      <c r="H29" s="38">
        <v>0</v>
      </c>
      <c r="I29" s="38">
        <v>0</v>
      </c>
      <c r="J29" s="38">
        <v>0</v>
      </c>
      <c r="K29" s="38">
        <v>0</v>
      </c>
      <c r="L29" s="38">
        <v>0</v>
      </c>
      <c r="M29" s="38">
        <v>0</v>
      </c>
      <c r="N29" s="38">
        <v>0</v>
      </c>
      <c r="O29" s="39">
        <f>SUM(C29:N29)</f>
        <v>0</v>
      </c>
      <c r="P29" s="39">
        <f>B29+O29</f>
        <v>0</v>
      </c>
      <c r="Q29" s="39">
        <v>126019</v>
      </c>
      <c r="R29" s="39"/>
      <c r="S29" s="149">
        <f t="shared" si="7"/>
        <v>0</v>
      </c>
    </row>
    <row r="30" spans="1:19" s="63" customFormat="1" ht="12.75">
      <c r="A30" s="101" t="s">
        <v>33</v>
      </c>
      <c r="B30" s="152">
        <v>889269</v>
      </c>
      <c r="C30" s="52">
        <v>23644</v>
      </c>
      <c r="D30" s="38">
        <f>33316+2338+-5443</f>
        <v>30211</v>
      </c>
      <c r="E30" s="38">
        <v>60019</v>
      </c>
      <c r="F30" s="38">
        <v>64705</v>
      </c>
      <c r="G30" s="38">
        <v>417533</v>
      </c>
      <c r="H30" s="38">
        <v>-237046</v>
      </c>
      <c r="I30" s="38">
        <v>100306</v>
      </c>
      <c r="J30" s="38">
        <v>194911</v>
      </c>
      <c r="K30" s="38">
        <v>91123</v>
      </c>
      <c r="L30" s="38">
        <v>85577</v>
      </c>
      <c r="M30" s="118">
        <v>146247</v>
      </c>
      <c r="N30" s="118">
        <v>437811</v>
      </c>
      <c r="O30" s="39">
        <f>SUM(C30:N30)</f>
        <v>1415041</v>
      </c>
      <c r="P30" s="39">
        <f>B30+O30</f>
        <v>2304310</v>
      </c>
      <c r="Q30" s="39">
        <v>9244405</v>
      </c>
      <c r="R30" s="39"/>
      <c r="S30" s="149">
        <f t="shared" si="7"/>
        <v>0.24926536645679198</v>
      </c>
    </row>
    <row r="31" spans="1:19" s="63" customFormat="1" ht="12.75">
      <c r="A31" s="88" t="s">
        <v>107</v>
      </c>
      <c r="B31" s="152">
        <v>1784372</v>
      </c>
      <c r="C31" s="38">
        <v>120291</v>
      </c>
      <c r="D31" s="38">
        <v>21900</v>
      </c>
      <c r="E31" s="38">
        <v>151747</v>
      </c>
      <c r="F31" s="38">
        <v>98162</v>
      </c>
      <c r="G31" s="38">
        <v>236580</v>
      </c>
      <c r="H31" s="38">
        <v>452649</v>
      </c>
      <c r="I31" s="38">
        <v>114318</v>
      </c>
      <c r="J31" s="38">
        <v>74389</v>
      </c>
      <c r="K31" s="38">
        <v>99476</v>
      </c>
      <c r="L31" s="38">
        <v>237175</v>
      </c>
      <c r="M31" s="38">
        <v>138019</v>
      </c>
      <c r="N31" s="113">
        <v>249446</v>
      </c>
      <c r="O31" s="39">
        <f>SUM(C31:N31)</f>
        <v>1994152</v>
      </c>
      <c r="P31" s="39">
        <f>B31+O31</f>
        <v>3778524</v>
      </c>
      <c r="Q31" s="206">
        <v>7262525</v>
      </c>
      <c r="R31" s="299"/>
      <c r="S31" s="300">
        <f t="shared" si="7"/>
        <v>0.5202769009401</v>
      </c>
    </row>
    <row r="32" spans="1:19" s="63" customFormat="1" ht="12.75">
      <c r="A32" s="88" t="s">
        <v>108</v>
      </c>
      <c r="B32" s="152">
        <v>2309914</v>
      </c>
      <c r="C32" s="38">
        <v>338878</v>
      </c>
      <c r="D32" s="38">
        <v>-214950</v>
      </c>
      <c r="E32" s="38">
        <v>264062</v>
      </c>
      <c r="F32" s="38">
        <v>2890799</v>
      </c>
      <c r="G32" s="38">
        <v>86250</v>
      </c>
      <c r="H32" s="38">
        <v>285800</v>
      </c>
      <c r="I32" s="38">
        <v>469971</v>
      </c>
      <c r="J32" s="38">
        <v>666391</v>
      </c>
      <c r="K32" s="38">
        <v>457759</v>
      </c>
      <c r="L32" s="38">
        <v>524523</v>
      </c>
      <c r="M32" s="38">
        <v>972825</v>
      </c>
      <c r="N32" s="113">
        <v>962226</v>
      </c>
      <c r="O32" s="39">
        <f>SUM(C32:N32)</f>
        <v>7704534</v>
      </c>
      <c r="P32" s="39">
        <f>B32+O32</f>
        <v>10014448</v>
      </c>
      <c r="Q32" s="297">
        <v>43000000</v>
      </c>
      <c r="R32" s="163"/>
      <c r="S32" s="298">
        <f t="shared" si="7"/>
        <v>0.23289413953488372</v>
      </c>
    </row>
    <row r="33" spans="1:19" s="63" customFormat="1" ht="12.75">
      <c r="A33" s="98" t="s">
        <v>77</v>
      </c>
      <c r="B33" s="153">
        <f aca="true" t="shared" si="8" ref="B33:Q33">SUM(B28:B32)</f>
        <v>5384415</v>
      </c>
      <c r="C33" s="82">
        <f t="shared" si="8"/>
        <v>513548</v>
      </c>
      <c r="D33" s="82">
        <f t="shared" si="8"/>
        <v>392</v>
      </c>
      <c r="E33" s="82">
        <f t="shared" si="8"/>
        <v>548907</v>
      </c>
      <c r="F33" s="82">
        <f t="shared" si="8"/>
        <v>3132464</v>
      </c>
      <c r="G33" s="82">
        <f t="shared" si="8"/>
        <v>1007980</v>
      </c>
      <c r="H33" s="82">
        <f t="shared" si="8"/>
        <v>582616</v>
      </c>
      <c r="I33" s="82">
        <f t="shared" si="8"/>
        <v>762411</v>
      </c>
      <c r="J33" s="82">
        <f t="shared" si="8"/>
        <v>1071914</v>
      </c>
      <c r="K33" s="82">
        <f t="shared" si="8"/>
        <v>815491</v>
      </c>
      <c r="L33" s="82">
        <f t="shared" si="8"/>
        <v>970685</v>
      </c>
      <c r="M33" s="82">
        <f t="shared" si="8"/>
        <v>1431878</v>
      </c>
      <c r="N33" s="82">
        <f>SUM(N28:N32)</f>
        <v>1953860</v>
      </c>
      <c r="O33" s="36">
        <f t="shared" si="8"/>
        <v>12792146</v>
      </c>
      <c r="P33" s="36">
        <f t="shared" si="8"/>
        <v>18176561</v>
      </c>
      <c r="Q33" s="36">
        <f t="shared" si="8"/>
        <v>63935830</v>
      </c>
      <c r="R33" s="36"/>
      <c r="S33" s="157">
        <f t="shared" si="7"/>
        <v>0.28429381459504005</v>
      </c>
    </row>
    <row r="34" spans="1:19" s="63" customFormat="1" ht="12.75">
      <c r="A34" s="88"/>
      <c r="B34" s="101"/>
      <c r="C34" s="38"/>
      <c r="D34" s="38"/>
      <c r="E34" s="38"/>
      <c r="F34" s="38"/>
      <c r="G34" s="38"/>
      <c r="H34" s="38"/>
      <c r="I34" s="38"/>
      <c r="J34" s="126"/>
      <c r="K34" s="38"/>
      <c r="L34" s="38"/>
      <c r="M34" s="38"/>
      <c r="N34" s="113"/>
      <c r="O34" s="39"/>
      <c r="P34" s="39"/>
      <c r="Q34" s="54"/>
      <c r="R34" s="54"/>
      <c r="S34" s="54"/>
    </row>
    <row r="35" spans="1:19" s="63" customFormat="1" ht="12.75">
      <c r="A35" s="100" t="s">
        <v>78</v>
      </c>
      <c r="B35" s="100"/>
      <c r="C35" s="38"/>
      <c r="D35" s="38"/>
      <c r="E35" s="38"/>
      <c r="F35" s="38"/>
      <c r="G35" s="38"/>
      <c r="H35" s="38"/>
      <c r="I35" s="38"/>
      <c r="J35" s="126"/>
      <c r="K35" s="38"/>
      <c r="L35" s="38"/>
      <c r="M35" s="38"/>
      <c r="N35" s="113"/>
      <c r="O35" s="39"/>
      <c r="P35" s="39"/>
      <c r="Q35" s="54"/>
      <c r="R35" s="54"/>
      <c r="S35" s="54"/>
    </row>
    <row r="36" spans="1:19" s="63" customFormat="1" ht="12.75">
      <c r="A36" s="88" t="s">
        <v>302</v>
      </c>
      <c r="B36" s="152">
        <v>895342</v>
      </c>
      <c r="C36" s="38">
        <v>371048</v>
      </c>
      <c r="D36" s="38">
        <v>14222</v>
      </c>
      <c r="E36" s="38">
        <v>23419</v>
      </c>
      <c r="F36" s="38">
        <v>43758</v>
      </c>
      <c r="G36" s="38">
        <v>28957</v>
      </c>
      <c r="H36" s="38">
        <v>17707</v>
      </c>
      <c r="I36" s="38">
        <v>67801</v>
      </c>
      <c r="J36" s="38">
        <v>57900</v>
      </c>
      <c r="K36" s="38">
        <v>44924</v>
      </c>
      <c r="L36" s="38">
        <v>68779</v>
      </c>
      <c r="M36" s="38">
        <v>30083</v>
      </c>
      <c r="N36" s="113">
        <v>144731</v>
      </c>
      <c r="O36" s="39">
        <f>SUM(C36:N36)</f>
        <v>913329</v>
      </c>
      <c r="P36" s="39">
        <f>B36+O36</f>
        <v>1808671</v>
      </c>
      <c r="Q36" s="39">
        <v>3600000</v>
      </c>
      <c r="R36" s="39"/>
      <c r="S36" s="158">
        <f>P36/Q36</f>
        <v>0.5024086111111111</v>
      </c>
    </row>
    <row r="37" spans="1:19" s="63" customFormat="1" ht="12.75">
      <c r="A37" s="88" t="s">
        <v>79</v>
      </c>
      <c r="B37" s="152">
        <v>0</v>
      </c>
      <c r="C37" s="38">
        <v>0</v>
      </c>
      <c r="D37" s="38">
        <v>0</v>
      </c>
      <c r="E37" s="38">
        <v>0</v>
      </c>
      <c r="F37" s="38">
        <v>0</v>
      </c>
      <c r="G37" s="38">
        <v>0</v>
      </c>
      <c r="H37" s="38">
        <v>0</v>
      </c>
      <c r="I37" s="38">
        <v>0</v>
      </c>
      <c r="J37" s="38">
        <v>0</v>
      </c>
      <c r="K37" s="38">
        <v>0</v>
      </c>
      <c r="L37" s="38">
        <v>0</v>
      </c>
      <c r="M37" s="38">
        <v>0</v>
      </c>
      <c r="N37" s="113">
        <v>0</v>
      </c>
      <c r="O37" s="39">
        <f>SUM(C37:N37)</f>
        <v>0</v>
      </c>
      <c r="P37" s="39">
        <f>B37+O37</f>
        <v>0</v>
      </c>
      <c r="Q37" s="39">
        <v>780674</v>
      </c>
      <c r="R37" s="39"/>
      <c r="S37" s="158">
        <f>P37/Q37</f>
        <v>0</v>
      </c>
    </row>
    <row r="38" spans="1:19" s="63" customFormat="1" ht="12.75">
      <c r="A38" s="88" t="s">
        <v>80</v>
      </c>
      <c r="B38" s="152">
        <v>0</v>
      </c>
      <c r="C38" s="38">
        <v>0</v>
      </c>
      <c r="D38" s="38">
        <v>0</v>
      </c>
      <c r="E38" s="38">
        <v>0</v>
      </c>
      <c r="F38" s="38">
        <v>0</v>
      </c>
      <c r="G38" s="38">
        <v>0</v>
      </c>
      <c r="H38" s="38">
        <v>0</v>
      </c>
      <c r="I38" s="38">
        <v>0</v>
      </c>
      <c r="J38" s="38">
        <v>0</v>
      </c>
      <c r="K38" s="38">
        <v>0</v>
      </c>
      <c r="L38" s="38">
        <v>0</v>
      </c>
      <c r="M38" s="116">
        <v>0</v>
      </c>
      <c r="N38" s="132">
        <v>0</v>
      </c>
      <c r="O38" s="39">
        <f>SUM(C38:N38)</f>
        <v>0</v>
      </c>
      <c r="P38" s="39">
        <f>B38+O38</f>
        <v>0</v>
      </c>
      <c r="Q38" s="39">
        <v>569750</v>
      </c>
      <c r="R38" s="39"/>
      <c r="S38" s="158">
        <f>P38/Q38</f>
        <v>0</v>
      </c>
    </row>
    <row r="39" spans="1:19" s="63" customFormat="1" ht="12.75">
      <c r="A39" s="98" t="s">
        <v>81</v>
      </c>
      <c r="B39" s="153">
        <f aca="true" t="shared" si="9" ref="B39:Q39">SUM(B36:B38)</f>
        <v>895342</v>
      </c>
      <c r="C39" s="82">
        <f t="shared" si="9"/>
        <v>371048</v>
      </c>
      <c r="D39" s="82">
        <f t="shared" si="9"/>
        <v>14222</v>
      </c>
      <c r="E39" s="82">
        <f t="shared" si="9"/>
        <v>23419</v>
      </c>
      <c r="F39" s="82">
        <f t="shared" si="9"/>
        <v>43758</v>
      </c>
      <c r="G39" s="82">
        <f t="shared" si="9"/>
        <v>28957</v>
      </c>
      <c r="H39" s="82">
        <f t="shared" si="9"/>
        <v>17707</v>
      </c>
      <c r="I39" s="82">
        <f t="shared" si="9"/>
        <v>67801</v>
      </c>
      <c r="J39" s="82">
        <f t="shared" si="9"/>
        <v>57900</v>
      </c>
      <c r="K39" s="82">
        <f t="shared" si="9"/>
        <v>44924</v>
      </c>
      <c r="L39" s="82">
        <f t="shared" si="9"/>
        <v>68779</v>
      </c>
      <c r="M39" s="82">
        <f t="shared" si="9"/>
        <v>30083</v>
      </c>
      <c r="N39" s="82">
        <f t="shared" si="9"/>
        <v>144731</v>
      </c>
      <c r="O39" s="36">
        <f t="shared" si="9"/>
        <v>913329</v>
      </c>
      <c r="P39" s="36">
        <f t="shared" si="9"/>
        <v>1808671</v>
      </c>
      <c r="Q39" s="36">
        <f t="shared" si="9"/>
        <v>4950424</v>
      </c>
      <c r="R39" s="36"/>
      <c r="S39" s="157">
        <f>P39/Q39</f>
        <v>0.36535678560058693</v>
      </c>
    </row>
    <row r="40" spans="1:19" s="63" customFormat="1" ht="12.75">
      <c r="A40" s="88"/>
      <c r="B40" s="101"/>
      <c r="C40" s="38"/>
      <c r="D40" s="38"/>
      <c r="E40" s="38"/>
      <c r="F40" s="38"/>
      <c r="G40" s="38"/>
      <c r="H40" s="38"/>
      <c r="I40" s="38"/>
      <c r="J40" s="126"/>
      <c r="K40" s="38"/>
      <c r="L40" s="38"/>
      <c r="M40" s="38"/>
      <c r="N40" s="113"/>
      <c r="O40" s="39"/>
      <c r="P40" s="39"/>
      <c r="Q40" s="54"/>
      <c r="R40" s="54"/>
      <c r="S40" s="54"/>
    </row>
    <row r="41" spans="1:19" s="63" customFormat="1" ht="12.75">
      <c r="A41" s="100" t="s">
        <v>82</v>
      </c>
      <c r="B41" s="100"/>
      <c r="C41" s="38"/>
      <c r="D41" s="38"/>
      <c r="E41" s="38"/>
      <c r="F41" s="38"/>
      <c r="G41" s="38"/>
      <c r="H41" s="38"/>
      <c r="I41" s="38"/>
      <c r="J41" s="126"/>
      <c r="K41" s="38"/>
      <c r="L41" s="38"/>
      <c r="M41" s="38"/>
      <c r="N41" s="113"/>
      <c r="O41" s="39"/>
      <c r="P41" s="39"/>
      <c r="Q41" s="54"/>
      <c r="R41" s="54"/>
      <c r="S41" s="54"/>
    </row>
    <row r="42" spans="1:19" s="63" customFormat="1" ht="12.75">
      <c r="A42" s="101" t="s">
        <v>54</v>
      </c>
      <c r="B42" s="152">
        <v>170939</v>
      </c>
      <c r="C42" s="118">
        <v>4303</v>
      </c>
      <c r="D42" s="118">
        <v>7758</v>
      </c>
      <c r="E42" s="118">
        <v>8385</v>
      </c>
      <c r="F42" s="118">
        <v>6512</v>
      </c>
      <c r="G42" s="118">
        <v>7270</v>
      </c>
      <c r="H42" s="118">
        <v>2332</v>
      </c>
      <c r="I42" s="118">
        <v>6391</v>
      </c>
      <c r="J42" s="118">
        <v>7284</v>
      </c>
      <c r="K42" s="118">
        <v>4208</v>
      </c>
      <c r="L42" s="118">
        <v>10078</v>
      </c>
      <c r="M42" s="118">
        <v>10241</v>
      </c>
      <c r="N42" s="118">
        <v>130382</v>
      </c>
      <c r="O42" s="39">
        <f>SUM(C42:N42)</f>
        <v>205144</v>
      </c>
      <c r="P42" s="39">
        <f>B42+O42</f>
        <v>376083</v>
      </c>
      <c r="Q42" s="54">
        <v>4947991</v>
      </c>
      <c r="R42" s="54"/>
      <c r="S42" s="307">
        <f>P42/Q42</f>
        <v>0.07600721181586628</v>
      </c>
    </row>
    <row r="43" spans="1:19" s="63" customFormat="1" ht="12.75">
      <c r="A43" s="98" t="s">
        <v>83</v>
      </c>
      <c r="B43" s="153">
        <f aca="true" t="shared" si="10" ref="B43:Q43">SUM(B42)</f>
        <v>170939</v>
      </c>
      <c r="C43" s="82">
        <f t="shared" si="10"/>
        <v>4303</v>
      </c>
      <c r="D43" s="82">
        <f t="shared" si="10"/>
        <v>7758</v>
      </c>
      <c r="E43" s="82">
        <f t="shared" si="10"/>
        <v>8385</v>
      </c>
      <c r="F43" s="82">
        <f t="shared" si="10"/>
        <v>6512</v>
      </c>
      <c r="G43" s="82">
        <f t="shared" si="10"/>
        <v>7270</v>
      </c>
      <c r="H43" s="82">
        <f t="shared" si="10"/>
        <v>2332</v>
      </c>
      <c r="I43" s="82">
        <f t="shared" si="10"/>
        <v>6391</v>
      </c>
      <c r="J43" s="82">
        <f t="shared" si="10"/>
        <v>7284</v>
      </c>
      <c r="K43" s="82">
        <f t="shared" si="10"/>
        <v>4208</v>
      </c>
      <c r="L43" s="82">
        <f t="shared" si="10"/>
        <v>10078</v>
      </c>
      <c r="M43" s="82">
        <f t="shared" si="10"/>
        <v>10241</v>
      </c>
      <c r="N43" s="82">
        <f t="shared" si="10"/>
        <v>130382</v>
      </c>
      <c r="O43" s="36">
        <f t="shared" si="10"/>
        <v>205144</v>
      </c>
      <c r="P43" s="36">
        <f t="shared" si="10"/>
        <v>376083</v>
      </c>
      <c r="Q43" s="36">
        <f t="shared" si="10"/>
        <v>4947991</v>
      </c>
      <c r="R43" s="36"/>
      <c r="S43" s="308">
        <f>P43/Q43</f>
        <v>0.07600721181586628</v>
      </c>
    </row>
    <row r="44" spans="1:19" s="63" customFormat="1" ht="12.75">
      <c r="A44" s="88"/>
      <c r="B44" s="152"/>
      <c r="C44" s="38"/>
      <c r="D44" s="38"/>
      <c r="E44" s="38"/>
      <c r="F44" s="38"/>
      <c r="G44" s="38"/>
      <c r="H44" s="38"/>
      <c r="I44" s="38"/>
      <c r="J44" s="126"/>
      <c r="K44" s="38"/>
      <c r="L44" s="38"/>
      <c r="M44" s="38"/>
      <c r="N44" s="113"/>
      <c r="O44" s="39"/>
      <c r="P44" s="39"/>
      <c r="Q44" s="58"/>
      <c r="R44" s="58"/>
      <c r="S44" s="58"/>
    </row>
    <row r="45" spans="1:19" s="63" customFormat="1" ht="12.75">
      <c r="A45" s="100" t="s">
        <v>109</v>
      </c>
      <c r="B45" s="100"/>
      <c r="C45" s="38"/>
      <c r="D45" s="38"/>
      <c r="E45" s="38"/>
      <c r="F45" s="38"/>
      <c r="G45" s="38"/>
      <c r="H45" s="38"/>
      <c r="I45" s="38"/>
      <c r="J45" s="126"/>
      <c r="K45" s="38"/>
      <c r="L45" s="38"/>
      <c r="M45" s="38"/>
      <c r="N45" s="113"/>
      <c r="O45" s="39"/>
      <c r="P45" s="39"/>
      <c r="Q45" s="54"/>
      <c r="R45" s="54"/>
      <c r="S45" s="54"/>
    </row>
    <row r="46" spans="1:19" s="63" customFormat="1" ht="12.75">
      <c r="A46" s="101" t="s">
        <v>110</v>
      </c>
      <c r="B46" s="152">
        <v>711811</v>
      </c>
      <c r="C46" s="118">
        <v>45033</v>
      </c>
      <c r="D46" s="118">
        <v>115143</v>
      </c>
      <c r="E46" s="118">
        <f>30137+5000</f>
        <v>35137</v>
      </c>
      <c r="F46" s="118">
        <v>118054</v>
      </c>
      <c r="G46" s="118">
        <v>249676</v>
      </c>
      <c r="H46" s="118">
        <v>63280</v>
      </c>
      <c r="I46" s="118">
        <v>180680</v>
      </c>
      <c r="J46" s="118">
        <v>100708</v>
      </c>
      <c r="K46" s="118">
        <v>94460</v>
      </c>
      <c r="L46" s="118">
        <v>446064</v>
      </c>
      <c r="M46" s="118">
        <v>50969</v>
      </c>
      <c r="N46" s="118">
        <v>166999</v>
      </c>
      <c r="O46" s="39">
        <f>SUM(C46:N46)</f>
        <v>1666203</v>
      </c>
      <c r="P46" s="39">
        <f>B46+O46</f>
        <v>2378014</v>
      </c>
      <c r="Q46" s="39">
        <v>7074990</v>
      </c>
      <c r="R46" s="39"/>
      <c r="S46" s="158">
        <f>P46/Q46</f>
        <v>0.33611552807848494</v>
      </c>
    </row>
    <row r="47" spans="1:19" s="63" customFormat="1" ht="12.75">
      <c r="A47" s="98" t="s">
        <v>84</v>
      </c>
      <c r="B47" s="153">
        <f>SUM(B46)</f>
        <v>711811</v>
      </c>
      <c r="C47" s="82">
        <f aca="true" t="shared" si="11" ref="C47:O47">SUM(C46:C46)</f>
        <v>45033</v>
      </c>
      <c r="D47" s="82">
        <f t="shared" si="11"/>
        <v>115143</v>
      </c>
      <c r="E47" s="82">
        <f t="shared" si="11"/>
        <v>35137</v>
      </c>
      <c r="F47" s="82">
        <f t="shared" si="11"/>
        <v>118054</v>
      </c>
      <c r="G47" s="82">
        <f t="shared" si="11"/>
        <v>249676</v>
      </c>
      <c r="H47" s="82">
        <f t="shared" si="11"/>
        <v>63280</v>
      </c>
      <c r="I47" s="82">
        <f t="shared" si="11"/>
        <v>180680</v>
      </c>
      <c r="J47" s="82">
        <f t="shared" si="11"/>
        <v>100708</v>
      </c>
      <c r="K47" s="82">
        <f t="shared" si="11"/>
        <v>94460</v>
      </c>
      <c r="L47" s="82">
        <f t="shared" si="11"/>
        <v>446064</v>
      </c>
      <c r="M47" s="82">
        <f t="shared" si="11"/>
        <v>50969</v>
      </c>
      <c r="N47" s="82">
        <f t="shared" si="11"/>
        <v>166999</v>
      </c>
      <c r="O47" s="36">
        <f t="shared" si="11"/>
        <v>1666203</v>
      </c>
      <c r="P47" s="36">
        <f>SUM(P46)</f>
        <v>2378014</v>
      </c>
      <c r="Q47" s="36">
        <f>SUM(Q46:Q46)</f>
        <v>7074990</v>
      </c>
      <c r="R47" s="36"/>
      <c r="S47" s="157">
        <f>P47/Q47</f>
        <v>0.33611552807848494</v>
      </c>
    </row>
    <row r="48" spans="1:19" s="63" customFormat="1" ht="12.75">
      <c r="A48" s="101"/>
      <c r="B48" s="145"/>
      <c r="C48" s="118"/>
      <c r="D48" s="118"/>
      <c r="E48" s="118"/>
      <c r="F48" s="118"/>
      <c r="G48" s="118"/>
      <c r="H48" s="118"/>
      <c r="I48" s="118"/>
      <c r="J48" s="118"/>
      <c r="K48" s="118"/>
      <c r="L48" s="118"/>
      <c r="M48" s="118"/>
      <c r="N48" s="118"/>
      <c r="O48" s="39"/>
      <c r="P48" s="39"/>
      <c r="Q48" s="39"/>
      <c r="R48" s="39"/>
      <c r="S48" s="158"/>
    </row>
    <row r="49" spans="1:19" s="63" customFormat="1" ht="12.75">
      <c r="A49" s="100" t="s">
        <v>85</v>
      </c>
      <c r="B49" s="100"/>
      <c r="C49" s="38"/>
      <c r="D49" s="38"/>
      <c r="E49" s="38"/>
      <c r="F49" s="38"/>
      <c r="G49" s="38"/>
      <c r="H49" s="38"/>
      <c r="I49" s="38"/>
      <c r="J49" s="126"/>
      <c r="K49" s="38"/>
      <c r="L49" s="38"/>
      <c r="M49" s="38"/>
      <c r="N49" s="113"/>
      <c r="O49" s="39"/>
      <c r="P49" s="39"/>
      <c r="Q49" s="54"/>
      <c r="R49" s="54"/>
      <c r="S49" s="159"/>
    </row>
    <row r="50" spans="1:19" s="63" customFormat="1" ht="12.75">
      <c r="A50" s="101" t="s">
        <v>65</v>
      </c>
      <c r="B50" s="152">
        <v>0</v>
      </c>
      <c r="C50" s="118">
        <v>0</v>
      </c>
      <c r="D50" s="118">
        <v>18428</v>
      </c>
      <c r="E50" s="118">
        <v>8157</v>
      </c>
      <c r="F50" s="118">
        <v>7807</v>
      </c>
      <c r="G50" s="118">
        <v>7421</v>
      </c>
      <c r="H50" s="118">
        <v>7052</v>
      </c>
      <c r="I50" s="118">
        <v>4488</v>
      </c>
      <c r="J50" s="118">
        <v>10698</v>
      </c>
      <c r="K50" s="118">
        <v>7938</v>
      </c>
      <c r="L50" s="118">
        <v>7305</v>
      </c>
      <c r="M50" s="118">
        <v>13862</v>
      </c>
      <c r="N50" s="118">
        <v>20280</v>
      </c>
      <c r="O50" s="39">
        <f>SUM(C50:N50)</f>
        <v>113436</v>
      </c>
      <c r="P50" s="39">
        <f>B50+O50</f>
        <v>113436</v>
      </c>
      <c r="Q50" s="39">
        <v>1102453</v>
      </c>
      <c r="R50" s="39"/>
      <c r="S50" s="158">
        <f>P50/Q50</f>
        <v>0.1028941823370248</v>
      </c>
    </row>
    <row r="51" spans="1:19" s="63" customFormat="1" ht="12.75">
      <c r="A51" s="101" t="s">
        <v>86</v>
      </c>
      <c r="B51" s="152">
        <v>0</v>
      </c>
      <c r="C51" s="118">
        <v>0</v>
      </c>
      <c r="D51" s="118">
        <v>0</v>
      </c>
      <c r="E51" s="118">
        <v>0</v>
      </c>
      <c r="F51" s="118">
        <v>0</v>
      </c>
      <c r="G51" s="118">
        <v>0</v>
      </c>
      <c r="H51" s="118">
        <v>0</v>
      </c>
      <c r="I51" s="118">
        <v>0</v>
      </c>
      <c r="J51" s="118">
        <v>0</v>
      </c>
      <c r="K51" s="118">
        <v>0</v>
      </c>
      <c r="L51" s="118">
        <v>0</v>
      </c>
      <c r="M51" s="118">
        <v>0</v>
      </c>
      <c r="N51" s="118">
        <v>0</v>
      </c>
      <c r="O51" s="39">
        <f>SUM(C51:N51)</f>
        <v>0</v>
      </c>
      <c r="P51" s="39">
        <f>B51+O51</f>
        <v>0</v>
      </c>
      <c r="Q51" s="39">
        <f>2535000+R51</f>
        <v>10000</v>
      </c>
      <c r="R51" s="39">
        <v>-2525000</v>
      </c>
      <c r="S51" s="158">
        <f>P51/Q51</f>
        <v>0</v>
      </c>
    </row>
    <row r="52" spans="1:19" s="63" customFormat="1" ht="12.75">
      <c r="A52" s="101" t="s">
        <v>87</v>
      </c>
      <c r="B52" s="152">
        <v>887565</v>
      </c>
      <c r="C52" s="118">
        <v>105065</v>
      </c>
      <c r="D52" s="118">
        <f>28477+253873</f>
        <v>282350</v>
      </c>
      <c r="E52" s="118">
        <v>108867</v>
      </c>
      <c r="F52" s="118">
        <v>236370</v>
      </c>
      <c r="G52" s="118">
        <v>352790</v>
      </c>
      <c r="H52" s="118">
        <v>347704</v>
      </c>
      <c r="I52" s="118">
        <v>330843</v>
      </c>
      <c r="J52" s="118">
        <v>154644</v>
      </c>
      <c r="K52" s="118">
        <v>140792</v>
      </c>
      <c r="L52" s="118">
        <v>160580</v>
      </c>
      <c r="M52" s="118">
        <v>186371</v>
      </c>
      <c r="N52" s="118">
        <v>233078</v>
      </c>
      <c r="O52" s="39">
        <f>SUM(C52:N52)</f>
        <v>2639454</v>
      </c>
      <c r="P52" s="39">
        <f>B52+O52</f>
        <v>3527019</v>
      </c>
      <c r="Q52" s="163">
        <f>9520967+R52</f>
        <v>12045967</v>
      </c>
      <c r="R52" s="163">
        <v>2525000</v>
      </c>
      <c r="S52" s="296">
        <f>P52/Q52</f>
        <v>0.29279666796364295</v>
      </c>
    </row>
    <row r="53" spans="1:19" s="63" customFormat="1" ht="12.75">
      <c r="A53" s="98" t="s">
        <v>88</v>
      </c>
      <c r="B53" s="153">
        <f aca="true" t="shared" si="12" ref="B53:Q53">SUM(B50:B52)</f>
        <v>887565</v>
      </c>
      <c r="C53" s="82">
        <f t="shared" si="12"/>
        <v>105065</v>
      </c>
      <c r="D53" s="82">
        <f t="shared" si="12"/>
        <v>300778</v>
      </c>
      <c r="E53" s="82">
        <f t="shared" si="12"/>
        <v>117024</v>
      </c>
      <c r="F53" s="82">
        <f t="shared" si="12"/>
        <v>244177</v>
      </c>
      <c r="G53" s="82">
        <f t="shared" si="12"/>
        <v>360211</v>
      </c>
      <c r="H53" s="82">
        <f t="shared" si="12"/>
        <v>354756</v>
      </c>
      <c r="I53" s="82">
        <f t="shared" si="12"/>
        <v>335331</v>
      </c>
      <c r="J53" s="82">
        <f t="shared" si="12"/>
        <v>165342</v>
      </c>
      <c r="K53" s="82">
        <f t="shared" si="12"/>
        <v>148730</v>
      </c>
      <c r="L53" s="82">
        <f t="shared" si="12"/>
        <v>167885</v>
      </c>
      <c r="M53" s="82">
        <f t="shared" si="12"/>
        <v>200233</v>
      </c>
      <c r="N53" s="82">
        <f t="shared" si="12"/>
        <v>253358</v>
      </c>
      <c r="O53" s="36">
        <f t="shared" si="12"/>
        <v>2752890</v>
      </c>
      <c r="P53" s="36">
        <f t="shared" si="12"/>
        <v>3640455</v>
      </c>
      <c r="Q53" s="36">
        <f t="shared" si="12"/>
        <v>13158420</v>
      </c>
      <c r="R53" s="36"/>
      <c r="S53" s="157">
        <f>P53/Q53</f>
        <v>0.2766635355916592</v>
      </c>
    </row>
    <row r="54" spans="1:19" s="63" customFormat="1" ht="12.75">
      <c r="A54" s="101"/>
      <c r="B54" s="145"/>
      <c r="C54" s="118"/>
      <c r="D54" s="118"/>
      <c r="E54" s="118"/>
      <c r="F54" s="118"/>
      <c r="G54" s="118"/>
      <c r="H54" s="118"/>
      <c r="I54" s="118"/>
      <c r="J54" s="118"/>
      <c r="K54" s="118"/>
      <c r="L54" s="118"/>
      <c r="M54" s="118"/>
      <c r="N54" s="118"/>
      <c r="O54" s="39"/>
      <c r="P54" s="39"/>
      <c r="Q54" s="39"/>
      <c r="R54" s="39"/>
      <c r="S54" s="158"/>
    </row>
    <row r="55" spans="1:19" s="63" customFormat="1" ht="12.75">
      <c r="A55" s="100" t="s">
        <v>89</v>
      </c>
      <c r="B55" s="100"/>
      <c r="C55" s="38"/>
      <c r="D55" s="38"/>
      <c r="E55" s="38"/>
      <c r="F55" s="38"/>
      <c r="G55" s="38"/>
      <c r="H55" s="38"/>
      <c r="I55" s="38"/>
      <c r="J55" s="126"/>
      <c r="K55" s="38"/>
      <c r="L55" s="38"/>
      <c r="M55" s="38"/>
      <c r="N55" s="113"/>
      <c r="O55" s="39"/>
      <c r="P55" s="39"/>
      <c r="Q55" s="54"/>
      <c r="R55" s="54"/>
      <c r="S55" s="159"/>
    </row>
    <row r="56" spans="1:19" s="63" customFormat="1" ht="12.75">
      <c r="A56" s="88" t="s">
        <v>90</v>
      </c>
      <c r="B56" s="152">
        <v>32691</v>
      </c>
      <c r="C56" s="38">
        <v>4728</v>
      </c>
      <c r="D56" s="38">
        <v>2689</v>
      </c>
      <c r="E56" s="38">
        <v>4778</v>
      </c>
      <c r="F56" s="38">
        <v>3371</v>
      </c>
      <c r="G56" s="38">
        <v>3758</v>
      </c>
      <c r="H56" s="38">
        <v>-1059</v>
      </c>
      <c r="I56" s="38">
        <v>9597</v>
      </c>
      <c r="J56" s="38">
        <v>21519</v>
      </c>
      <c r="K56" s="38">
        <v>879</v>
      </c>
      <c r="L56" s="38">
        <v>12270</v>
      </c>
      <c r="M56" s="38">
        <v>8669</v>
      </c>
      <c r="N56" s="113">
        <v>21088</v>
      </c>
      <c r="O56" s="39">
        <f aca="true" t="shared" si="13" ref="O56:O62">SUM(C56:N56)</f>
        <v>92287</v>
      </c>
      <c r="P56" s="39">
        <f aca="true" t="shared" si="14" ref="P56:P62">B56+O56</f>
        <v>124978</v>
      </c>
      <c r="Q56" s="39">
        <v>489068</v>
      </c>
      <c r="R56" s="39"/>
      <c r="S56" s="158">
        <f aca="true" t="shared" si="15" ref="S56:S61">P56/Q56</f>
        <v>0.2555431964471198</v>
      </c>
    </row>
    <row r="57" spans="1:19" s="63" customFormat="1" ht="12.75">
      <c r="A57" s="88" t="s">
        <v>64</v>
      </c>
      <c r="B57" s="152">
        <v>71414</v>
      </c>
      <c r="C57" s="38">
        <v>14539</v>
      </c>
      <c r="D57" s="38">
        <v>2083</v>
      </c>
      <c r="E57" s="38">
        <v>3487</v>
      </c>
      <c r="F57" s="38">
        <v>2816</v>
      </c>
      <c r="G57" s="38">
        <v>3600</v>
      </c>
      <c r="H57" s="38">
        <v>15</v>
      </c>
      <c r="I57" s="38">
        <v>10224</v>
      </c>
      <c r="J57" s="38">
        <v>6233</v>
      </c>
      <c r="K57" s="38">
        <v>12925</v>
      </c>
      <c r="L57" s="38">
        <v>16373</v>
      </c>
      <c r="M57" s="38">
        <v>119986</v>
      </c>
      <c r="N57" s="113">
        <v>70091</v>
      </c>
      <c r="O57" s="39">
        <f t="shared" si="13"/>
        <v>262372</v>
      </c>
      <c r="P57" s="39">
        <f t="shared" si="14"/>
        <v>333786</v>
      </c>
      <c r="Q57" s="39">
        <v>1529188</v>
      </c>
      <c r="R57" s="39"/>
      <c r="S57" s="158">
        <f t="shared" si="15"/>
        <v>0.21827662785739882</v>
      </c>
    </row>
    <row r="58" spans="1:19" s="63" customFormat="1" ht="12.75">
      <c r="A58" s="88" t="s">
        <v>40</v>
      </c>
      <c r="B58" s="152">
        <v>21762</v>
      </c>
      <c r="C58" s="38">
        <v>2487</v>
      </c>
      <c r="D58" s="38">
        <v>3889</v>
      </c>
      <c r="E58" s="38">
        <v>10146</v>
      </c>
      <c r="F58" s="38">
        <v>24911</v>
      </c>
      <c r="G58" s="38">
        <v>40625</v>
      </c>
      <c r="H58" s="38">
        <v>21150</v>
      </c>
      <c r="I58" s="38">
        <v>43000</v>
      </c>
      <c r="J58" s="38">
        <v>42054</v>
      </c>
      <c r="K58" s="38">
        <v>36259</v>
      </c>
      <c r="L58" s="38">
        <v>46609</v>
      </c>
      <c r="M58" s="38">
        <v>57653</v>
      </c>
      <c r="N58" s="113">
        <v>-25115</v>
      </c>
      <c r="O58" s="39">
        <f t="shared" si="13"/>
        <v>303668</v>
      </c>
      <c r="P58" s="39">
        <f t="shared" si="14"/>
        <v>325430</v>
      </c>
      <c r="Q58" s="39">
        <v>1685269</v>
      </c>
      <c r="R58" s="39"/>
      <c r="S58" s="158">
        <f t="shared" si="15"/>
        <v>0.19310270348531897</v>
      </c>
    </row>
    <row r="59" spans="1:19" s="63" customFormat="1" ht="12.75">
      <c r="A59" s="88" t="s">
        <v>91</v>
      </c>
      <c r="B59" s="152">
        <v>0</v>
      </c>
      <c r="C59" s="38">
        <v>0</v>
      </c>
      <c r="D59" s="38">
        <v>0</v>
      </c>
      <c r="E59" s="38">
        <v>716</v>
      </c>
      <c r="F59" s="38">
        <v>631</v>
      </c>
      <c r="G59" s="38">
        <v>417</v>
      </c>
      <c r="H59" s="38">
        <v>67</v>
      </c>
      <c r="I59" s="38">
        <v>310</v>
      </c>
      <c r="J59" s="38">
        <v>1119</v>
      </c>
      <c r="K59" s="38">
        <v>893</v>
      </c>
      <c r="L59" s="38">
        <v>799</v>
      </c>
      <c r="M59" s="38">
        <v>1329</v>
      </c>
      <c r="N59" s="38">
        <v>1339</v>
      </c>
      <c r="O59" s="39">
        <f t="shared" si="13"/>
        <v>7620</v>
      </c>
      <c r="P59" s="39">
        <f t="shared" si="14"/>
        <v>7620</v>
      </c>
      <c r="Q59" s="39">
        <v>120768</v>
      </c>
      <c r="R59" s="39"/>
      <c r="S59" s="158">
        <f t="shared" si="15"/>
        <v>0.06309618441971383</v>
      </c>
    </row>
    <row r="60" spans="1:19" s="63" customFormat="1" ht="12.75">
      <c r="A60" s="88" t="s">
        <v>92</v>
      </c>
      <c r="B60" s="152">
        <v>103419</v>
      </c>
      <c r="C60" s="38">
        <v>3435</v>
      </c>
      <c r="D60" s="38">
        <v>15358</v>
      </c>
      <c r="E60" s="38">
        <v>14655</v>
      </c>
      <c r="F60" s="38">
        <v>15972</v>
      </c>
      <c r="G60" s="38">
        <v>17566</v>
      </c>
      <c r="H60" s="38">
        <v>16581</v>
      </c>
      <c r="I60" s="38">
        <v>13204</v>
      </c>
      <c r="J60" s="38">
        <v>21419</v>
      </c>
      <c r="K60" s="38">
        <v>13026</v>
      </c>
      <c r="L60" s="38">
        <v>51078</v>
      </c>
      <c r="M60" s="38">
        <v>57995</v>
      </c>
      <c r="N60" s="113">
        <v>70164</v>
      </c>
      <c r="O60" s="39">
        <f t="shared" si="13"/>
        <v>310453</v>
      </c>
      <c r="P60" s="39">
        <f t="shared" si="14"/>
        <v>413872</v>
      </c>
      <c r="Q60" s="39">
        <v>2604093</v>
      </c>
      <c r="R60" s="39"/>
      <c r="S60" s="158">
        <f t="shared" si="15"/>
        <v>0.15893134384985483</v>
      </c>
    </row>
    <row r="61" spans="1:19" s="63" customFormat="1" ht="12.75">
      <c r="A61" s="88" t="s">
        <v>93</v>
      </c>
      <c r="B61" s="152">
        <v>113347</v>
      </c>
      <c r="C61" s="38">
        <v>8078</v>
      </c>
      <c r="D61" s="38">
        <v>10564</v>
      </c>
      <c r="E61" s="38">
        <v>53677</v>
      </c>
      <c r="F61" s="38">
        <v>53438</v>
      </c>
      <c r="G61" s="38">
        <v>22157</v>
      </c>
      <c r="H61" s="38">
        <v>21574</v>
      </c>
      <c r="I61" s="38">
        <v>61041</v>
      </c>
      <c r="J61" s="38">
        <v>58170</v>
      </c>
      <c r="K61" s="38">
        <v>14663</v>
      </c>
      <c r="L61" s="38">
        <v>33109</v>
      </c>
      <c r="M61" s="38">
        <v>38477</v>
      </c>
      <c r="N61" s="113">
        <v>39237</v>
      </c>
      <c r="O61" s="39">
        <f t="shared" si="13"/>
        <v>414185</v>
      </c>
      <c r="P61" s="39">
        <f t="shared" si="14"/>
        <v>527532</v>
      </c>
      <c r="Q61" s="39">
        <v>2953078</v>
      </c>
      <c r="R61" s="39"/>
      <c r="S61" s="158">
        <f t="shared" si="15"/>
        <v>0.17863801768866247</v>
      </c>
    </row>
    <row r="62" spans="1:19" s="63" customFormat="1" ht="12.75">
      <c r="A62" s="135" t="s">
        <v>62</v>
      </c>
      <c r="B62" s="152">
        <v>162</v>
      </c>
      <c r="C62" s="38">
        <v>0</v>
      </c>
      <c r="D62" s="38">
        <v>0</v>
      </c>
      <c r="E62" s="38">
        <v>0</v>
      </c>
      <c r="F62" s="38">
        <v>0</v>
      </c>
      <c r="G62" s="38">
        <v>0</v>
      </c>
      <c r="H62" s="38">
        <v>0</v>
      </c>
      <c r="I62" s="38">
        <v>65</v>
      </c>
      <c r="J62" s="38">
        <v>0</v>
      </c>
      <c r="K62" s="38">
        <v>648</v>
      </c>
      <c r="L62" s="38">
        <v>0</v>
      </c>
      <c r="M62" s="136">
        <v>0</v>
      </c>
      <c r="N62" s="136">
        <v>-912</v>
      </c>
      <c r="O62" s="54">
        <f t="shared" si="13"/>
        <v>-199</v>
      </c>
      <c r="P62" s="39">
        <f t="shared" si="14"/>
        <v>-37</v>
      </c>
      <c r="Q62" s="39">
        <v>0</v>
      </c>
      <c r="R62" s="39"/>
      <c r="S62" s="161" t="s">
        <v>67</v>
      </c>
    </row>
    <row r="63" spans="1:19" s="63" customFormat="1" ht="12.75">
      <c r="A63" s="98" t="s">
        <v>95</v>
      </c>
      <c r="B63" s="153">
        <f aca="true" t="shared" si="16" ref="B63:Q63">SUM(B56:B62)</f>
        <v>342795</v>
      </c>
      <c r="C63" s="82">
        <f t="shared" si="16"/>
        <v>33267</v>
      </c>
      <c r="D63" s="82">
        <f t="shared" si="16"/>
        <v>34583</v>
      </c>
      <c r="E63" s="82">
        <f t="shared" si="16"/>
        <v>87459</v>
      </c>
      <c r="F63" s="82">
        <f t="shared" si="16"/>
        <v>101139</v>
      </c>
      <c r="G63" s="82">
        <f t="shared" si="16"/>
        <v>88123</v>
      </c>
      <c r="H63" s="82">
        <f t="shared" si="16"/>
        <v>58328</v>
      </c>
      <c r="I63" s="82">
        <f t="shared" si="16"/>
        <v>137441</v>
      </c>
      <c r="J63" s="82">
        <f t="shared" si="16"/>
        <v>150514</v>
      </c>
      <c r="K63" s="82">
        <f t="shared" si="16"/>
        <v>79293</v>
      </c>
      <c r="L63" s="82">
        <f t="shared" si="16"/>
        <v>160238</v>
      </c>
      <c r="M63" s="82">
        <f t="shared" si="16"/>
        <v>284109</v>
      </c>
      <c r="N63" s="82">
        <f t="shared" si="16"/>
        <v>175892</v>
      </c>
      <c r="O63" s="36">
        <f t="shared" si="16"/>
        <v>1390386</v>
      </c>
      <c r="P63" s="36">
        <f t="shared" si="16"/>
        <v>1733181</v>
      </c>
      <c r="Q63" s="36">
        <f t="shared" si="16"/>
        <v>9381464</v>
      </c>
      <c r="R63" s="36"/>
      <c r="S63" s="157">
        <f>P63/Q63</f>
        <v>0.1847452593752958</v>
      </c>
    </row>
    <row r="64" spans="1:19" s="63" customFormat="1" ht="12.75">
      <c r="A64" s="117"/>
      <c r="B64" s="146"/>
      <c r="C64" s="38"/>
      <c r="D64" s="38"/>
      <c r="E64" s="38"/>
      <c r="F64" s="38"/>
      <c r="G64" s="38"/>
      <c r="H64" s="38"/>
      <c r="I64" s="38"/>
      <c r="J64" s="38"/>
      <c r="K64" s="38"/>
      <c r="L64" s="38"/>
      <c r="M64" s="38"/>
      <c r="N64" s="38"/>
      <c r="O64" s="39"/>
      <c r="P64" s="39"/>
      <c r="Q64" s="39"/>
      <c r="R64" s="39"/>
      <c r="S64" s="158"/>
    </row>
    <row r="65" spans="1:19" s="63" customFormat="1" ht="12.75">
      <c r="A65" s="100" t="s">
        <v>94</v>
      </c>
      <c r="B65" s="144"/>
      <c r="C65" s="38"/>
      <c r="D65" s="38"/>
      <c r="E65" s="38"/>
      <c r="F65" s="38"/>
      <c r="G65" s="38"/>
      <c r="H65" s="38"/>
      <c r="I65" s="38"/>
      <c r="J65" s="38"/>
      <c r="K65" s="38"/>
      <c r="L65" s="38"/>
      <c r="M65" s="38"/>
      <c r="N65" s="38"/>
      <c r="O65" s="39"/>
      <c r="P65" s="39"/>
      <c r="Q65" s="39"/>
      <c r="R65" s="39"/>
      <c r="S65" s="158"/>
    </row>
    <row r="66" spans="1:19" ht="12.75">
      <c r="A66" s="101" t="s">
        <v>97</v>
      </c>
      <c r="B66" s="152">
        <v>0</v>
      </c>
      <c r="C66" s="118">
        <v>0</v>
      </c>
      <c r="D66" s="118">
        <v>397</v>
      </c>
      <c r="E66" s="118">
        <v>134</v>
      </c>
      <c r="F66" s="118">
        <v>47</v>
      </c>
      <c r="G66" s="118">
        <v>207</v>
      </c>
      <c r="H66" s="118">
        <v>1933</v>
      </c>
      <c r="I66" s="118">
        <v>395</v>
      </c>
      <c r="J66" s="118">
        <v>304</v>
      </c>
      <c r="K66" s="118">
        <v>1068</v>
      </c>
      <c r="L66" s="118">
        <v>211</v>
      </c>
      <c r="M66" s="118">
        <v>523</v>
      </c>
      <c r="N66" s="118">
        <v>124</v>
      </c>
      <c r="O66" s="39">
        <f aca="true" t="shared" si="17" ref="O66:O73">SUM(C66:N66)</f>
        <v>5343</v>
      </c>
      <c r="P66" s="39">
        <f aca="true" t="shared" si="18" ref="P66:P73">B66+O66</f>
        <v>5343</v>
      </c>
      <c r="Q66" s="39">
        <v>831674</v>
      </c>
      <c r="R66" s="39"/>
      <c r="S66" s="158">
        <f aca="true" t="shared" si="19" ref="S66:S74">P66/Q66</f>
        <v>0.006424392249847897</v>
      </c>
    </row>
    <row r="67" spans="1:19" ht="12.75">
      <c r="A67" s="101" t="s">
        <v>98</v>
      </c>
      <c r="B67" s="152">
        <v>0</v>
      </c>
      <c r="C67" s="118">
        <v>0</v>
      </c>
      <c r="D67" s="118">
        <v>397</v>
      </c>
      <c r="E67" s="118">
        <v>890</v>
      </c>
      <c r="F67" s="118">
        <v>867</v>
      </c>
      <c r="G67" s="118">
        <v>923</v>
      </c>
      <c r="H67" s="118">
        <v>2322</v>
      </c>
      <c r="I67" s="118">
        <v>829</v>
      </c>
      <c r="J67" s="118">
        <v>4321</v>
      </c>
      <c r="K67" s="118">
        <v>4338</v>
      </c>
      <c r="L67" s="118">
        <v>1281</v>
      </c>
      <c r="M67" s="118">
        <v>5808</v>
      </c>
      <c r="N67" s="118">
        <v>-10242</v>
      </c>
      <c r="O67" s="39">
        <f t="shared" si="17"/>
        <v>11734</v>
      </c>
      <c r="P67" s="39">
        <f t="shared" si="18"/>
        <v>11734</v>
      </c>
      <c r="Q67" s="39">
        <v>417066</v>
      </c>
      <c r="R67" s="39"/>
      <c r="S67" s="158">
        <f t="shared" si="19"/>
        <v>0.028134635765082745</v>
      </c>
    </row>
    <row r="68" spans="1:19" ht="12.75">
      <c r="A68" s="101" t="s">
        <v>99</v>
      </c>
      <c r="B68" s="152">
        <v>0</v>
      </c>
      <c r="C68" s="118">
        <v>0</v>
      </c>
      <c r="D68" s="118">
        <v>397</v>
      </c>
      <c r="E68" s="118">
        <v>1242</v>
      </c>
      <c r="F68" s="118">
        <v>2300</v>
      </c>
      <c r="G68" s="118">
        <v>2891</v>
      </c>
      <c r="H68" s="118">
        <v>3712</v>
      </c>
      <c r="I68" s="118">
        <v>1573</v>
      </c>
      <c r="J68" s="118">
        <v>3165</v>
      </c>
      <c r="K68" s="118">
        <v>2996</v>
      </c>
      <c r="L68" s="118">
        <v>2212</v>
      </c>
      <c r="M68" s="118">
        <v>40967</v>
      </c>
      <c r="N68" s="118">
        <v>2412</v>
      </c>
      <c r="O68" s="39">
        <f t="shared" si="17"/>
        <v>63867</v>
      </c>
      <c r="P68" s="39">
        <f t="shared" si="18"/>
        <v>63867</v>
      </c>
      <c r="Q68" s="39">
        <v>327003</v>
      </c>
      <c r="R68" s="39"/>
      <c r="S68" s="158">
        <f t="shared" si="19"/>
        <v>0.19531013476940579</v>
      </c>
    </row>
    <row r="69" spans="1:19" ht="12.75">
      <c r="A69" s="101" t="s">
        <v>100</v>
      </c>
      <c r="B69" s="152">
        <v>0</v>
      </c>
      <c r="C69" s="118">
        <v>0</v>
      </c>
      <c r="D69" s="118">
        <v>397</v>
      </c>
      <c r="E69" s="118">
        <v>755</v>
      </c>
      <c r="F69" s="118">
        <v>1070</v>
      </c>
      <c r="G69" s="118">
        <v>-803</v>
      </c>
      <c r="H69" s="118">
        <v>2072</v>
      </c>
      <c r="I69" s="118">
        <v>893</v>
      </c>
      <c r="J69" s="118">
        <v>3940</v>
      </c>
      <c r="K69" s="118">
        <v>3992</v>
      </c>
      <c r="L69" s="118">
        <v>1611</v>
      </c>
      <c r="M69" s="118">
        <v>4916</v>
      </c>
      <c r="N69" s="118">
        <v>-4796</v>
      </c>
      <c r="O69" s="39">
        <f t="shared" si="17"/>
        <v>14047</v>
      </c>
      <c r="P69" s="39">
        <f t="shared" si="18"/>
        <v>14047</v>
      </c>
      <c r="Q69" s="39">
        <v>291628</v>
      </c>
      <c r="R69" s="39"/>
      <c r="S69" s="158">
        <f t="shared" si="19"/>
        <v>0.048167528495206224</v>
      </c>
    </row>
    <row r="70" spans="1:19" ht="12.75">
      <c r="A70" s="101" t="s">
        <v>101</v>
      </c>
      <c r="B70" s="152">
        <v>0</v>
      </c>
      <c r="C70" s="118">
        <v>0</v>
      </c>
      <c r="D70" s="118">
        <v>397</v>
      </c>
      <c r="E70" s="118">
        <v>671</v>
      </c>
      <c r="F70" s="118">
        <v>521</v>
      </c>
      <c r="G70" s="118">
        <v>480</v>
      </c>
      <c r="H70" s="118">
        <v>1999</v>
      </c>
      <c r="I70" s="118">
        <v>704</v>
      </c>
      <c r="J70" s="118">
        <v>2255</v>
      </c>
      <c r="K70" s="118">
        <v>2690</v>
      </c>
      <c r="L70" s="118">
        <v>1010</v>
      </c>
      <c r="M70" s="118">
        <v>3644</v>
      </c>
      <c r="N70" s="118">
        <v>-505</v>
      </c>
      <c r="O70" s="39">
        <f t="shared" si="17"/>
        <v>13866</v>
      </c>
      <c r="P70" s="39">
        <f t="shared" si="18"/>
        <v>13866</v>
      </c>
      <c r="Q70" s="39">
        <v>149485</v>
      </c>
      <c r="R70" s="39"/>
      <c r="S70" s="158">
        <f t="shared" si="19"/>
        <v>0.09275847074957354</v>
      </c>
    </row>
    <row r="71" spans="1:19" ht="12.75">
      <c r="A71" s="101" t="s">
        <v>102</v>
      </c>
      <c r="B71" s="152">
        <v>0</v>
      </c>
      <c r="C71" s="118">
        <v>0</v>
      </c>
      <c r="D71" s="118">
        <v>397</v>
      </c>
      <c r="E71" s="118">
        <v>134</v>
      </c>
      <c r="F71" s="118">
        <v>0</v>
      </c>
      <c r="G71" s="118">
        <v>-143</v>
      </c>
      <c r="H71" s="118">
        <v>1750</v>
      </c>
      <c r="I71" s="118">
        <v>252</v>
      </c>
      <c r="J71" s="118">
        <v>9</v>
      </c>
      <c r="K71" s="118">
        <v>858</v>
      </c>
      <c r="L71" s="118">
        <v>11</v>
      </c>
      <c r="M71" s="118">
        <v>-3248</v>
      </c>
      <c r="N71" s="118">
        <v>-19</v>
      </c>
      <c r="O71" s="39">
        <f t="shared" si="17"/>
        <v>1</v>
      </c>
      <c r="P71" s="39">
        <f t="shared" si="18"/>
        <v>1</v>
      </c>
      <c r="Q71" s="39">
        <v>543492</v>
      </c>
      <c r="R71" s="39"/>
      <c r="S71" s="158">
        <f t="shared" si="19"/>
        <v>1.8399534859758746E-06</v>
      </c>
    </row>
    <row r="72" spans="1:19" ht="12.75">
      <c r="A72" s="101" t="s">
        <v>103</v>
      </c>
      <c r="B72" s="152">
        <v>0</v>
      </c>
      <c r="C72" s="118">
        <v>0</v>
      </c>
      <c r="D72" s="118">
        <v>397</v>
      </c>
      <c r="E72" s="118">
        <v>1903</v>
      </c>
      <c r="F72" s="118">
        <v>842</v>
      </c>
      <c r="G72" s="118">
        <v>157</v>
      </c>
      <c r="H72" s="118">
        <v>2160</v>
      </c>
      <c r="I72" s="118">
        <v>580</v>
      </c>
      <c r="J72" s="118">
        <v>677</v>
      </c>
      <c r="K72" s="118">
        <v>1360</v>
      </c>
      <c r="L72" s="118">
        <v>487</v>
      </c>
      <c r="M72" s="118">
        <v>5047</v>
      </c>
      <c r="N72" s="118">
        <v>460</v>
      </c>
      <c r="O72" s="39">
        <f t="shared" si="17"/>
        <v>14070</v>
      </c>
      <c r="P72" s="39">
        <f t="shared" si="18"/>
        <v>14070</v>
      </c>
      <c r="Q72" s="39">
        <v>310401</v>
      </c>
      <c r="R72" s="39"/>
      <c r="S72" s="158">
        <f t="shared" si="19"/>
        <v>0.04532846221500575</v>
      </c>
    </row>
    <row r="73" spans="1:19" ht="12.75">
      <c r="A73" s="115" t="s">
        <v>104</v>
      </c>
      <c r="B73" s="152">
        <v>0</v>
      </c>
      <c r="C73" s="118">
        <v>0</v>
      </c>
      <c r="D73" s="118">
        <v>1139</v>
      </c>
      <c r="E73" s="118">
        <v>535</v>
      </c>
      <c r="F73" s="118">
        <v>47</v>
      </c>
      <c r="G73" s="118">
        <v>-366</v>
      </c>
      <c r="H73" s="118">
        <v>1933</v>
      </c>
      <c r="I73" s="118">
        <v>1014</v>
      </c>
      <c r="J73" s="118">
        <v>2542</v>
      </c>
      <c r="K73" s="118">
        <v>2821</v>
      </c>
      <c r="L73" s="118">
        <v>1796</v>
      </c>
      <c r="M73" s="118">
        <v>2033</v>
      </c>
      <c r="N73" s="118">
        <v>43795</v>
      </c>
      <c r="O73" s="39">
        <f t="shared" si="17"/>
        <v>57289</v>
      </c>
      <c r="P73" s="39">
        <f t="shared" si="18"/>
        <v>57289</v>
      </c>
      <c r="Q73" s="39">
        <v>88785</v>
      </c>
      <c r="R73" s="39"/>
      <c r="S73" s="158">
        <f t="shared" si="19"/>
        <v>0.6452553922396801</v>
      </c>
    </row>
    <row r="74" spans="1:19" s="63" customFormat="1" ht="12.75">
      <c r="A74" s="98" t="s">
        <v>96</v>
      </c>
      <c r="B74" s="153">
        <f aca="true" t="shared" si="20" ref="B74:Q74">SUM(B66:B73)</f>
        <v>0</v>
      </c>
      <c r="C74" s="37">
        <f t="shared" si="20"/>
        <v>0</v>
      </c>
      <c r="D74" s="37">
        <f t="shared" si="20"/>
        <v>3918</v>
      </c>
      <c r="E74" s="37">
        <f t="shared" si="20"/>
        <v>6264</v>
      </c>
      <c r="F74" s="37">
        <f t="shared" si="20"/>
        <v>5694</v>
      </c>
      <c r="G74" s="37">
        <f t="shared" si="20"/>
        <v>3346</v>
      </c>
      <c r="H74" s="37">
        <f t="shared" si="20"/>
        <v>17881</v>
      </c>
      <c r="I74" s="37">
        <f t="shared" si="20"/>
        <v>6240</v>
      </c>
      <c r="J74" s="37">
        <f t="shared" si="20"/>
        <v>17213</v>
      </c>
      <c r="K74" s="37">
        <f t="shared" si="20"/>
        <v>20123</v>
      </c>
      <c r="L74" s="37">
        <f t="shared" si="20"/>
        <v>8619</v>
      </c>
      <c r="M74" s="37">
        <f t="shared" si="20"/>
        <v>59690</v>
      </c>
      <c r="N74" s="37">
        <f t="shared" si="20"/>
        <v>31229</v>
      </c>
      <c r="O74" s="36">
        <f t="shared" si="20"/>
        <v>180217</v>
      </c>
      <c r="P74" s="36">
        <f t="shared" si="20"/>
        <v>180217</v>
      </c>
      <c r="Q74" s="36">
        <f t="shared" si="20"/>
        <v>2959534</v>
      </c>
      <c r="R74" s="36"/>
      <c r="S74" s="157">
        <f t="shared" si="19"/>
        <v>0.060893708266233804</v>
      </c>
    </row>
    <row r="75" spans="1:19" s="63" customFormat="1" ht="12.75">
      <c r="A75" s="128"/>
      <c r="B75" s="146"/>
      <c r="C75" s="38"/>
      <c r="D75" s="38"/>
      <c r="E75" s="38"/>
      <c r="F75" s="38"/>
      <c r="G75" s="38"/>
      <c r="H75" s="38"/>
      <c r="I75" s="38"/>
      <c r="J75" s="38"/>
      <c r="K75" s="38"/>
      <c r="L75" s="38"/>
      <c r="M75" s="38"/>
      <c r="N75" s="38"/>
      <c r="O75" s="39"/>
      <c r="P75" s="39"/>
      <c r="Q75" s="39"/>
      <c r="R75" s="39"/>
      <c r="S75" s="158"/>
    </row>
    <row r="76" spans="1:19" s="63" customFormat="1" ht="12.75">
      <c r="A76" s="154" t="s">
        <v>106</v>
      </c>
      <c r="B76" s="153">
        <v>98439</v>
      </c>
      <c r="C76" s="137">
        <f>11231+22158</f>
        <v>33389</v>
      </c>
      <c r="D76" s="137">
        <f>-98488+7829</f>
        <v>-90659</v>
      </c>
      <c r="E76" s="137">
        <f>563+-35957</f>
        <v>-35394</v>
      </c>
      <c r="F76" s="137">
        <v>6347</v>
      </c>
      <c r="G76" s="137">
        <v>1513</v>
      </c>
      <c r="H76" s="137">
        <v>263929</v>
      </c>
      <c r="I76" s="137">
        <v>-243988</v>
      </c>
      <c r="J76" s="137">
        <v>-28775</v>
      </c>
      <c r="K76" s="137">
        <v>1088</v>
      </c>
      <c r="L76" s="137">
        <v>50534</v>
      </c>
      <c r="M76" s="137">
        <v>-49032</v>
      </c>
      <c r="N76" s="137">
        <v>-2397</v>
      </c>
      <c r="O76" s="138">
        <f>SUM(C76:N76)</f>
        <v>-93445</v>
      </c>
      <c r="P76" s="138">
        <f>B76+O76</f>
        <v>4994</v>
      </c>
      <c r="Q76" s="138">
        <v>0</v>
      </c>
      <c r="R76" s="138"/>
      <c r="S76" s="162" t="s">
        <v>67</v>
      </c>
    </row>
    <row r="77" spans="1:19" s="63" customFormat="1" ht="12.75">
      <c r="A77" s="99"/>
      <c r="B77" s="150"/>
      <c r="C77" s="38"/>
      <c r="D77" s="52"/>
      <c r="E77" s="52"/>
      <c r="F77" s="52"/>
      <c r="G77" s="52"/>
      <c r="H77" s="52"/>
      <c r="I77" s="52"/>
      <c r="J77" s="52"/>
      <c r="K77" s="52"/>
      <c r="L77" s="52"/>
      <c r="M77" s="52"/>
      <c r="N77" s="38"/>
      <c r="O77" s="39"/>
      <c r="P77" s="39"/>
      <c r="Q77" s="39"/>
      <c r="R77" s="39"/>
      <c r="S77" s="158"/>
    </row>
    <row r="78" spans="1:19" ht="15" customHeight="1" thickBot="1">
      <c r="A78" s="103" t="s">
        <v>34</v>
      </c>
      <c r="B78" s="155">
        <f>B13+B21+B25+B33+B39+B43+B47+B53+B63+B74+B76</f>
        <v>29907404</v>
      </c>
      <c r="C78" s="40">
        <f aca="true" t="shared" si="21" ref="C78:N78">+C13+C21+C25+C33+C39+C43+C47+C53+C63+C74+C76</f>
        <v>1263525</v>
      </c>
      <c r="D78" s="40">
        <f t="shared" si="21"/>
        <v>816757</v>
      </c>
      <c r="E78" s="40">
        <f t="shared" si="21"/>
        <v>1376457</v>
      </c>
      <c r="F78" s="40">
        <f t="shared" si="21"/>
        <v>4514815</v>
      </c>
      <c r="G78" s="40">
        <f t="shared" si="21"/>
        <v>2656706</v>
      </c>
      <c r="H78" s="40">
        <f t="shared" si="21"/>
        <v>2797344</v>
      </c>
      <c r="I78" s="40">
        <f t="shared" si="21"/>
        <v>2603226</v>
      </c>
      <c r="J78" s="40">
        <f t="shared" si="21"/>
        <v>3007493</v>
      </c>
      <c r="K78" s="40">
        <f t="shared" si="21"/>
        <v>2061892</v>
      </c>
      <c r="L78" s="40">
        <f t="shared" si="21"/>
        <v>2995417</v>
      </c>
      <c r="M78" s="40">
        <f t="shared" si="21"/>
        <v>2608007</v>
      </c>
      <c r="N78" s="40">
        <f t="shared" si="21"/>
        <v>3698219</v>
      </c>
      <c r="O78" s="53">
        <f>O13+O21+O25+O33+O39+O43+O47+O53+O63+O74+O76</f>
        <v>30399858</v>
      </c>
      <c r="P78" s="53">
        <f>P13+P21+P25+P33+P39+P43+P47+P53+P63+P74+P76</f>
        <v>60307262</v>
      </c>
      <c r="Q78" s="53">
        <f>Q13+Q21+Q25+Q33+Q39+Q43+Q47+Q53+Q63+Q74</f>
        <v>178225999</v>
      </c>
      <c r="R78" s="53"/>
      <c r="S78" s="160">
        <f>P78/Q78</f>
        <v>0.33837522212457904</v>
      </c>
    </row>
    <row r="79" spans="1:19" ht="15" customHeight="1" thickBot="1" thickTop="1">
      <c r="A79" s="214"/>
      <c r="B79" s="217"/>
      <c r="C79" s="38"/>
      <c r="D79" s="38"/>
      <c r="E79" s="38"/>
      <c r="F79" s="38"/>
      <c r="G79" s="38"/>
      <c r="H79" s="38"/>
      <c r="I79" s="38"/>
      <c r="J79" s="38"/>
      <c r="K79" s="38"/>
      <c r="L79" s="38"/>
      <c r="M79" s="38"/>
      <c r="N79" s="38"/>
      <c r="O79" s="38"/>
      <c r="P79" s="38"/>
      <c r="Q79" s="38"/>
      <c r="R79" s="38"/>
      <c r="S79" s="38"/>
    </row>
    <row r="80" spans="1:19" ht="32.25" customHeight="1" thickBot="1">
      <c r="A80" s="215" t="s">
        <v>310</v>
      </c>
      <c r="B80" s="218"/>
      <c r="C80" s="127">
        <v>19240379</v>
      </c>
      <c r="D80" s="38"/>
      <c r="E80" s="38"/>
      <c r="F80" s="38"/>
      <c r="G80" s="38"/>
      <c r="H80" s="38"/>
      <c r="I80" s="38"/>
      <c r="J80" s="38"/>
      <c r="K80" s="38"/>
      <c r="L80" s="38"/>
      <c r="M80" s="38"/>
      <c r="N80" s="38"/>
      <c r="O80" s="38"/>
      <c r="P80" s="38"/>
      <c r="Q80" s="38"/>
      <c r="R80" s="38"/>
      <c r="S80" s="38"/>
    </row>
    <row r="81" spans="1:19" ht="15" customHeight="1">
      <c r="A81" s="214"/>
      <c r="B81" s="147"/>
      <c r="C81" s="38"/>
      <c r="D81" s="38"/>
      <c r="E81" s="38"/>
      <c r="F81" s="38"/>
      <c r="G81" s="38"/>
      <c r="H81" s="38"/>
      <c r="I81" s="38"/>
      <c r="J81" s="38"/>
      <c r="K81" s="38"/>
      <c r="L81" s="38"/>
      <c r="M81" s="38"/>
      <c r="N81" s="38"/>
      <c r="O81" s="38"/>
      <c r="P81" s="38"/>
      <c r="Q81" s="38"/>
      <c r="R81" s="38"/>
      <c r="S81" s="38"/>
    </row>
    <row r="82" spans="1:19" ht="15" customHeight="1">
      <c r="A82" s="214"/>
      <c r="B82" s="147"/>
      <c r="C82" s="38"/>
      <c r="D82" s="38"/>
      <c r="E82" s="38"/>
      <c r="F82" s="38"/>
      <c r="G82" s="38"/>
      <c r="H82" s="38"/>
      <c r="I82" s="38"/>
      <c r="J82" s="38"/>
      <c r="K82" s="38"/>
      <c r="L82" s="38"/>
      <c r="M82" s="38"/>
      <c r="N82" s="38"/>
      <c r="O82" s="38"/>
      <c r="P82" s="38"/>
      <c r="Q82" s="38"/>
      <c r="R82" s="38"/>
      <c r="S82" s="38"/>
    </row>
    <row r="83" spans="1:19" ht="10.5" customHeight="1" thickBot="1">
      <c r="A83" s="216"/>
      <c r="B83" s="148"/>
      <c r="C83" s="9"/>
      <c r="D83" s="9"/>
      <c r="E83" s="9"/>
      <c r="F83" s="9"/>
      <c r="G83" s="9"/>
      <c r="H83" s="9"/>
      <c r="I83" s="9"/>
      <c r="J83" s="9"/>
      <c r="K83" s="9"/>
      <c r="L83" s="9"/>
      <c r="M83" s="9"/>
      <c r="N83" s="9"/>
      <c r="O83" s="9"/>
      <c r="P83" s="9"/>
      <c r="Q83" s="133"/>
      <c r="R83" s="133"/>
      <c r="S83" s="30"/>
    </row>
    <row r="85" spans="1:16" s="63" customFormat="1" ht="12.75">
      <c r="A85" s="63" t="s">
        <v>66</v>
      </c>
      <c r="O85" s="121"/>
      <c r="P85" s="121"/>
    </row>
    <row r="86" spans="1:16" s="63" customFormat="1" ht="12.75">
      <c r="A86" s="63" t="s">
        <v>172</v>
      </c>
      <c r="O86" s="121"/>
      <c r="P86" s="121"/>
    </row>
    <row r="87" spans="1:19" s="63" customFormat="1" ht="12.75">
      <c r="A87" s="63" t="s">
        <v>105</v>
      </c>
      <c r="N87" s="121"/>
      <c r="O87" s="121"/>
      <c r="P87" s="121"/>
      <c r="Q87" s="121"/>
      <c r="R87" s="121"/>
      <c r="S87" s="121"/>
    </row>
    <row r="88" spans="1:15" s="63" customFormat="1" ht="12.75">
      <c r="A88" s="122" t="s">
        <v>129</v>
      </c>
      <c r="B88" s="122"/>
      <c r="O88" s="63" t="s">
        <v>14</v>
      </c>
    </row>
    <row r="89" spans="1:5" s="63" customFormat="1" ht="12.75">
      <c r="A89" s="60" t="s">
        <v>188</v>
      </c>
      <c r="B89" s="60"/>
      <c r="E89" s="123"/>
    </row>
    <row r="90" spans="1:14" ht="12.75">
      <c r="A90" s="60"/>
      <c r="B90" s="60"/>
      <c r="C90" s="63"/>
      <c r="D90" s="63"/>
      <c r="E90" s="63"/>
      <c r="F90" s="63"/>
      <c r="G90" s="63"/>
      <c r="H90" s="63"/>
      <c r="I90" s="63"/>
      <c r="J90" s="63"/>
      <c r="K90" s="63"/>
      <c r="N90" s="66"/>
    </row>
    <row r="91" spans="1:7" ht="12.75">
      <c r="A91" s="60"/>
      <c r="B91" s="60"/>
      <c r="C91" s="63"/>
      <c r="D91" s="63"/>
      <c r="E91" s="33"/>
      <c r="F91" s="104"/>
      <c r="G91" s="66"/>
    </row>
    <row r="92" spans="5:7" ht="12.75">
      <c r="E92" s="33"/>
      <c r="F92" s="104"/>
      <c r="G92" s="66"/>
    </row>
    <row r="93" spans="5:7" ht="12.75">
      <c r="E93" s="33"/>
      <c r="F93" s="104"/>
      <c r="G93" s="66"/>
    </row>
    <row r="94" spans="5:7" ht="12.75">
      <c r="E94" s="33"/>
      <c r="F94" s="104"/>
      <c r="G94" s="66"/>
    </row>
    <row r="95" spans="5:6" ht="12.75">
      <c r="E95" s="1"/>
      <c r="F95" s="105"/>
    </row>
    <row r="96" spans="5:7" ht="12.75">
      <c r="E96" s="91"/>
      <c r="F96" s="104"/>
      <c r="G96" s="66"/>
    </row>
    <row r="97" spans="5:7" ht="12.75">
      <c r="E97" s="91"/>
      <c r="F97" s="104"/>
      <c r="G97" s="66"/>
    </row>
    <row r="98" spans="5:7" ht="12.75">
      <c r="E98" s="91"/>
      <c r="F98" s="104"/>
      <c r="G98" s="66"/>
    </row>
    <row r="99" spans="5:7" ht="12.75">
      <c r="E99" s="91"/>
      <c r="F99" s="104"/>
      <c r="G99" s="66"/>
    </row>
    <row r="100" spans="5:7" ht="12.75">
      <c r="E100" s="91"/>
      <c r="F100" s="104"/>
      <c r="G100" s="66"/>
    </row>
    <row r="101" spans="5:7" ht="12.75">
      <c r="E101" s="1"/>
      <c r="F101" s="90"/>
      <c r="G101" s="66"/>
    </row>
  </sheetData>
  <printOptions horizontalCentered="1"/>
  <pageMargins left="0.5" right="0.5" top="0.57" bottom="0.51" header="0.26" footer="0.25"/>
  <pageSetup fitToHeight="1" fitToWidth="1" horizontalDpi="600" verticalDpi="600" orientation="landscape" scale="43" r:id="rId2"/>
  <headerFooter alignWithMargins="0">
    <oddHeader>&amp;C&amp;"Arial,Bold"Table I-2
SCE Demand Response Programs and Activities
Incremental Cost 
2010 Funding (1)&amp;"Arial,Regular"
</oddHeader>
    <oddFooter>&amp;L&amp;F&amp;R&amp;D</oddFooter>
  </headerFooter>
  <drawing r:id="rId1"/>
</worksheet>
</file>

<file path=xl/worksheets/sheet5.xml><?xml version="1.0" encoding="utf-8"?>
<worksheet xmlns="http://schemas.openxmlformats.org/spreadsheetml/2006/main" xmlns:r="http://schemas.openxmlformats.org/officeDocument/2006/relationships">
  <dimension ref="A3:E35"/>
  <sheetViews>
    <sheetView workbookViewId="0" topLeftCell="A1">
      <selection activeCell="A1" sqref="A1"/>
    </sheetView>
  </sheetViews>
  <sheetFormatPr defaultColWidth="9.140625" defaultRowHeight="12.75"/>
  <cols>
    <col min="1" max="1" width="18.7109375" style="164" customWidth="1"/>
    <col min="2" max="2" width="16.8515625" style="164" customWidth="1"/>
    <col min="3" max="3" width="58.57421875" style="164" customWidth="1"/>
    <col min="4" max="4" width="10.8515625" style="164" customWidth="1"/>
    <col min="5" max="5" width="78.140625" style="164" customWidth="1"/>
    <col min="6" max="16384" width="9.140625" style="164" customWidth="1"/>
  </cols>
  <sheetData>
    <row r="3" spans="1:3" ht="12.75">
      <c r="A3" s="166" t="s">
        <v>118</v>
      </c>
      <c r="B3" s="165"/>
      <c r="C3" s="165"/>
    </row>
    <row r="5" spans="1:2" s="166" customFormat="1" ht="12.75">
      <c r="A5" s="166" t="s">
        <v>119</v>
      </c>
      <c r="B5" s="166" t="s">
        <v>306</v>
      </c>
    </row>
    <row r="6" s="166" customFormat="1" ht="12.75">
      <c r="B6" s="166" t="s">
        <v>120</v>
      </c>
    </row>
    <row r="8" ht="13.5" thickBot="1"/>
    <row r="9" spans="1:5" s="167" customFormat="1" ht="13.5" thickBot="1">
      <c r="A9" s="435" t="s">
        <v>124</v>
      </c>
      <c r="B9" s="436" t="s">
        <v>121</v>
      </c>
      <c r="C9" s="436" t="s">
        <v>123</v>
      </c>
      <c r="D9" s="436" t="s">
        <v>22</v>
      </c>
      <c r="E9" s="437" t="s">
        <v>122</v>
      </c>
    </row>
    <row r="10" spans="1:5" s="295" customFormat="1" ht="89.25">
      <c r="A10" s="438" t="s">
        <v>185</v>
      </c>
      <c r="B10" s="292">
        <v>1050000</v>
      </c>
      <c r="C10" s="293" t="s">
        <v>186</v>
      </c>
      <c r="D10" s="294">
        <v>40298</v>
      </c>
      <c r="E10" s="439" t="s">
        <v>189</v>
      </c>
    </row>
    <row r="11" spans="1:5" s="295" customFormat="1" ht="89.25">
      <c r="A11" s="440" t="s">
        <v>185</v>
      </c>
      <c r="B11" s="426">
        <f>(5703864/2)-B10</f>
        <v>1801932</v>
      </c>
      <c r="C11" s="427" t="s">
        <v>187</v>
      </c>
      <c r="D11" s="428">
        <v>40298</v>
      </c>
      <c r="E11" s="441" t="s">
        <v>190</v>
      </c>
    </row>
    <row r="12" spans="1:5" s="295" customFormat="1" ht="76.5">
      <c r="A12" s="440" t="s">
        <v>185</v>
      </c>
      <c r="B12" s="426">
        <f>110000+250000</f>
        <v>360000</v>
      </c>
      <c r="C12" s="427" t="s">
        <v>304</v>
      </c>
      <c r="D12" s="428">
        <v>40451</v>
      </c>
      <c r="E12" s="441" t="s">
        <v>305</v>
      </c>
    </row>
    <row r="13" spans="1:5" s="295" customFormat="1" ht="76.5">
      <c r="A13" s="440" t="s">
        <v>185</v>
      </c>
      <c r="B13" s="426">
        <f>2838327-812299-B10</f>
        <v>976028</v>
      </c>
      <c r="C13" s="427" t="s">
        <v>186</v>
      </c>
      <c r="D13" s="428">
        <v>40543</v>
      </c>
      <c r="E13" s="441" t="s">
        <v>311</v>
      </c>
    </row>
    <row r="14" spans="1:5" s="295" customFormat="1" ht="105">
      <c r="A14" s="447" t="s">
        <v>185</v>
      </c>
      <c r="B14" s="448">
        <f>3818142-259939-B11</f>
        <v>1756271</v>
      </c>
      <c r="C14" s="449" t="s">
        <v>187</v>
      </c>
      <c r="D14" s="450">
        <v>40543</v>
      </c>
      <c r="E14" s="451" t="s">
        <v>313</v>
      </c>
    </row>
    <row r="15" spans="1:5" s="295" customFormat="1" ht="75.75" thickBot="1">
      <c r="A15" s="442" t="s">
        <v>314</v>
      </c>
      <c r="B15" s="443">
        <v>2525000</v>
      </c>
      <c r="C15" s="444" t="s">
        <v>315</v>
      </c>
      <c r="D15" s="445">
        <v>40543</v>
      </c>
      <c r="E15" s="446" t="s">
        <v>316</v>
      </c>
    </row>
    <row r="16" spans="1:5" ht="12.75">
      <c r="A16" s="416" t="s">
        <v>125</v>
      </c>
      <c r="B16" s="417">
        <f>SUM(B10:B15)</f>
        <v>8469231</v>
      </c>
      <c r="C16" s="310"/>
      <c r="D16" s="310"/>
      <c r="E16" s="310"/>
    </row>
    <row r="17" spans="1:5" ht="12.75">
      <c r="A17" s="169"/>
      <c r="B17" s="169"/>
      <c r="C17" s="169"/>
      <c r="D17" s="169"/>
      <c r="E17" s="310"/>
    </row>
    <row r="18" spans="1:5" ht="12.75">
      <c r="A18" s="169"/>
      <c r="B18" s="169"/>
      <c r="C18" s="169"/>
      <c r="D18" s="169"/>
      <c r="E18" s="169"/>
    </row>
    <row r="19" spans="1:5" ht="12.75">
      <c r="A19" s="168" t="s">
        <v>28</v>
      </c>
      <c r="B19" s="168"/>
      <c r="C19" s="169"/>
      <c r="D19" s="169"/>
      <c r="E19" s="169"/>
    </row>
    <row r="20" spans="1:5" ht="12.75">
      <c r="A20" s="169"/>
      <c r="B20" s="169"/>
      <c r="C20" s="169"/>
      <c r="D20" s="169"/>
      <c r="E20" s="169"/>
    </row>
    <row r="21" spans="1:5" ht="12.75">
      <c r="A21" s="169"/>
      <c r="B21" s="168"/>
      <c r="C21" s="169"/>
      <c r="D21" s="169"/>
      <c r="E21" s="169"/>
    </row>
    <row r="35" ht="12.75">
      <c r="C35" s="165"/>
    </row>
  </sheetData>
  <printOptions/>
  <pageMargins left="0.5" right="0.5" top="1" bottom="0.72" header="0.5" footer="0.5"/>
  <pageSetup horizontalDpi="600" verticalDpi="600" orientation="landscape" scale="70" r:id="rId1"/>
  <headerFooter alignWithMargins="0">
    <oddHeader>&amp;CTable I-2A
SCE Demand Response Programs and Activities Fund Shifting
2010</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R65"/>
  <sheetViews>
    <sheetView showGridLines="0" zoomScale="75" zoomScaleNormal="75" workbookViewId="0" topLeftCell="A1">
      <pane xSplit="1" topLeftCell="B1" activePane="topRight" state="frozen"/>
      <selection pane="topLeft" activeCell="A1" sqref="A1"/>
      <selection pane="topRight" activeCell="A1" sqref="A1"/>
    </sheetView>
  </sheetViews>
  <sheetFormatPr defaultColWidth="9.140625" defaultRowHeight="12.75"/>
  <cols>
    <col min="1" max="1" width="60.57421875" style="0" customWidth="1"/>
    <col min="2" max="2" width="13.7109375" style="0" customWidth="1"/>
    <col min="3" max="3" width="13.00390625" style="0" customWidth="1"/>
    <col min="4" max="5" width="10.7109375" style="0" customWidth="1"/>
    <col min="6" max="6" width="11.28125" style="0" customWidth="1"/>
    <col min="7" max="10" width="10.7109375" style="0" customWidth="1"/>
    <col min="11" max="11" width="12.00390625" style="0" customWidth="1"/>
    <col min="12" max="12" width="10.7109375" style="0" customWidth="1"/>
    <col min="13" max="13" width="11.8515625" style="0" customWidth="1"/>
    <col min="14" max="14" width="11.7109375" style="0" customWidth="1"/>
    <col min="15" max="16" width="14.140625" style="0" customWidth="1"/>
    <col min="17" max="17" width="14.8515625" style="0" customWidth="1"/>
    <col min="19" max="19" width="10.00390625" style="0" bestFit="1" customWidth="1"/>
  </cols>
  <sheetData>
    <row r="1" spans="1:2" s="63" customFormat="1" ht="12.75">
      <c r="A1" s="60" t="s">
        <v>130</v>
      </c>
      <c r="B1" s="60"/>
    </row>
    <row r="2" spans="1:2" s="63" customFormat="1" ht="13.5" thickBot="1">
      <c r="A2" s="60"/>
      <c r="B2" s="60"/>
    </row>
    <row r="3" spans="1:17" s="63" customFormat="1" ht="12.75">
      <c r="A3" s="189"/>
      <c r="B3" s="189"/>
      <c r="C3" s="106"/>
      <c r="D3" s="106"/>
      <c r="E3" s="106"/>
      <c r="F3" s="106"/>
      <c r="G3" s="106"/>
      <c r="H3" s="106"/>
      <c r="I3" s="106"/>
      <c r="J3" s="106"/>
      <c r="K3" s="106"/>
      <c r="L3" s="106"/>
      <c r="M3" s="106"/>
      <c r="N3" s="107"/>
      <c r="O3" s="107"/>
      <c r="P3" s="107"/>
      <c r="Q3" s="178"/>
    </row>
    <row r="4" spans="1:17" s="63" customFormat="1" ht="7.5" customHeight="1">
      <c r="A4" s="190"/>
      <c r="B4" s="190"/>
      <c r="C4" s="108"/>
      <c r="D4" s="108"/>
      <c r="E4" s="108"/>
      <c r="F4" s="108"/>
      <c r="G4" s="108"/>
      <c r="H4" s="108"/>
      <c r="I4" s="108"/>
      <c r="J4" s="108"/>
      <c r="K4" s="108"/>
      <c r="L4" s="108"/>
      <c r="M4" s="108"/>
      <c r="N4" s="109"/>
      <c r="O4" s="109"/>
      <c r="P4" s="109"/>
      <c r="Q4" s="179"/>
    </row>
    <row r="5" spans="1:17" s="63" customFormat="1" ht="70.5" customHeight="1">
      <c r="A5" s="110" t="s">
        <v>21</v>
      </c>
      <c r="B5" s="200" t="s">
        <v>131</v>
      </c>
      <c r="C5" s="111" t="s">
        <v>0</v>
      </c>
      <c r="D5" s="111" t="s">
        <v>1</v>
      </c>
      <c r="E5" s="111" t="s">
        <v>2</v>
      </c>
      <c r="F5" s="111" t="s">
        <v>3</v>
      </c>
      <c r="G5" s="111" t="s">
        <v>4</v>
      </c>
      <c r="H5" s="111" t="s">
        <v>5</v>
      </c>
      <c r="I5" s="111" t="s">
        <v>6</v>
      </c>
      <c r="J5" s="111" t="s">
        <v>7</v>
      </c>
      <c r="K5" s="111" t="s">
        <v>8</v>
      </c>
      <c r="L5" s="111" t="s">
        <v>9</v>
      </c>
      <c r="M5" s="111" t="s">
        <v>10</v>
      </c>
      <c r="N5" s="111" t="s">
        <v>11</v>
      </c>
      <c r="O5" s="55" t="s">
        <v>161</v>
      </c>
      <c r="P5" s="55" t="s">
        <v>160</v>
      </c>
      <c r="Q5" s="56" t="s">
        <v>132</v>
      </c>
    </row>
    <row r="6" spans="1:17" s="63" customFormat="1" ht="12.75">
      <c r="A6" s="100" t="s">
        <v>133</v>
      </c>
      <c r="B6" s="191"/>
      <c r="C6" s="38"/>
      <c r="D6" s="38"/>
      <c r="E6" s="38"/>
      <c r="F6" s="38"/>
      <c r="G6" s="38"/>
      <c r="H6" s="38"/>
      <c r="I6" s="38"/>
      <c r="J6" s="38"/>
      <c r="K6" s="38"/>
      <c r="L6" s="38"/>
      <c r="M6" s="38"/>
      <c r="N6" s="38"/>
      <c r="O6" s="112"/>
      <c r="P6" s="112"/>
      <c r="Q6" s="180"/>
    </row>
    <row r="7" spans="1:17" s="63" customFormat="1" ht="12.75">
      <c r="A7" s="88" t="s">
        <v>134</v>
      </c>
      <c r="B7" s="195">
        <v>-233964</v>
      </c>
      <c r="C7" s="38">
        <v>0</v>
      </c>
      <c r="D7" s="38">
        <v>0</v>
      </c>
      <c r="E7" s="38">
        <v>0</v>
      </c>
      <c r="F7" s="38">
        <v>0</v>
      </c>
      <c r="G7" s="38">
        <v>0</v>
      </c>
      <c r="H7" s="38">
        <v>0</v>
      </c>
      <c r="I7" s="38">
        <v>0</v>
      </c>
      <c r="J7" s="38">
        <v>0</v>
      </c>
      <c r="K7" s="38">
        <v>0</v>
      </c>
      <c r="L7" s="38">
        <v>0</v>
      </c>
      <c r="M7" s="38">
        <v>0</v>
      </c>
      <c r="N7" s="38">
        <v>0</v>
      </c>
      <c r="O7" s="39">
        <f aca="true" t="shared" si="0" ref="O7:O28">SUM(C7:N7)</f>
        <v>0</v>
      </c>
      <c r="P7" s="39">
        <f aca="true" t="shared" si="1" ref="P7:P28">B7+O7</f>
        <v>-233964</v>
      </c>
      <c r="Q7" s="181">
        <v>0</v>
      </c>
    </row>
    <row r="8" spans="1:17" s="63" customFormat="1" ht="12.75">
      <c r="A8" s="88" t="s">
        <v>35</v>
      </c>
      <c r="B8" s="195">
        <v>0</v>
      </c>
      <c r="C8" s="38">
        <v>0</v>
      </c>
      <c r="D8" s="38">
        <v>0</v>
      </c>
      <c r="E8" s="38">
        <v>0</v>
      </c>
      <c r="F8" s="38">
        <v>0</v>
      </c>
      <c r="G8" s="38">
        <v>0</v>
      </c>
      <c r="H8" s="38">
        <v>0</v>
      </c>
      <c r="I8" s="38">
        <v>0</v>
      </c>
      <c r="J8" s="38">
        <v>0</v>
      </c>
      <c r="K8" s="38">
        <v>0</v>
      </c>
      <c r="L8" s="38">
        <v>0</v>
      </c>
      <c r="M8" s="38">
        <v>0</v>
      </c>
      <c r="N8" s="38">
        <v>0</v>
      </c>
      <c r="O8" s="39">
        <f t="shared" si="0"/>
        <v>0</v>
      </c>
      <c r="P8" s="39">
        <f t="shared" si="1"/>
        <v>0</v>
      </c>
      <c r="Q8" s="181">
        <v>0</v>
      </c>
    </row>
    <row r="9" spans="1:17" s="63" customFormat="1" ht="12.75">
      <c r="A9" s="88" t="s">
        <v>135</v>
      </c>
      <c r="B9" s="195">
        <v>0</v>
      </c>
      <c r="C9" s="38">
        <v>0</v>
      </c>
      <c r="D9" s="38">
        <v>0</v>
      </c>
      <c r="E9" s="38">
        <v>0</v>
      </c>
      <c r="F9" s="38">
        <v>0</v>
      </c>
      <c r="G9" s="38">
        <v>0</v>
      </c>
      <c r="H9" s="38">
        <v>0</v>
      </c>
      <c r="I9" s="38">
        <v>0</v>
      </c>
      <c r="J9" s="38">
        <v>0</v>
      </c>
      <c r="K9" s="38">
        <v>0</v>
      </c>
      <c r="L9" s="38">
        <v>0</v>
      </c>
      <c r="M9" s="38">
        <v>0</v>
      </c>
      <c r="N9" s="38">
        <v>0</v>
      </c>
      <c r="O9" s="39">
        <f t="shared" si="0"/>
        <v>0</v>
      </c>
      <c r="P9" s="39">
        <f t="shared" si="1"/>
        <v>0</v>
      </c>
      <c r="Q9" s="181">
        <v>0</v>
      </c>
    </row>
    <row r="10" spans="1:17" s="63" customFormat="1" ht="12.75">
      <c r="A10" s="88" t="s">
        <v>41</v>
      </c>
      <c r="B10" s="195">
        <v>-116838</v>
      </c>
      <c r="C10" s="38">
        <v>0</v>
      </c>
      <c r="D10" s="38">
        <v>0</v>
      </c>
      <c r="E10" s="38">
        <v>0</v>
      </c>
      <c r="F10" s="38">
        <v>0</v>
      </c>
      <c r="G10" s="38">
        <v>0</v>
      </c>
      <c r="H10" s="38">
        <v>0</v>
      </c>
      <c r="I10" s="38">
        <v>0</v>
      </c>
      <c r="J10" s="38">
        <v>0</v>
      </c>
      <c r="K10" s="38">
        <v>0</v>
      </c>
      <c r="L10" s="38">
        <v>0</v>
      </c>
      <c r="M10" s="38">
        <v>0</v>
      </c>
      <c r="N10" s="38">
        <v>0</v>
      </c>
      <c r="O10" s="39">
        <f t="shared" si="0"/>
        <v>0</v>
      </c>
      <c r="P10" s="39">
        <f t="shared" si="1"/>
        <v>-116838</v>
      </c>
      <c r="Q10" s="181">
        <v>0</v>
      </c>
    </row>
    <row r="11" spans="1:18" s="63" customFormat="1" ht="12.75">
      <c r="A11" s="88" t="s">
        <v>17</v>
      </c>
      <c r="B11" s="195">
        <v>109426</v>
      </c>
      <c r="C11" s="52">
        <v>-51</v>
      </c>
      <c r="D11" s="52">
        <v>402</v>
      </c>
      <c r="E11" s="38">
        <v>0</v>
      </c>
      <c r="F11" s="38">
        <v>0</v>
      </c>
      <c r="G11" s="38">
        <v>0</v>
      </c>
      <c r="H11" s="38">
        <v>0</v>
      </c>
      <c r="I11" s="38">
        <v>0</v>
      </c>
      <c r="J11" s="38">
        <v>0</v>
      </c>
      <c r="K11" s="38">
        <v>0</v>
      </c>
      <c r="L11" s="38">
        <v>0</v>
      </c>
      <c r="M11" s="38">
        <v>0</v>
      </c>
      <c r="N11" s="38">
        <v>0</v>
      </c>
      <c r="O11" s="39">
        <f t="shared" si="0"/>
        <v>351</v>
      </c>
      <c r="P11" s="39">
        <f t="shared" si="1"/>
        <v>109777</v>
      </c>
      <c r="Q11" s="182">
        <f>9172+45000</f>
        <v>54172</v>
      </c>
      <c r="R11" s="183"/>
    </row>
    <row r="12" spans="1:17" s="63" customFormat="1" ht="12.75">
      <c r="A12" s="88" t="s">
        <v>136</v>
      </c>
      <c r="B12" s="195">
        <v>0</v>
      </c>
      <c r="C12" s="38">
        <v>0</v>
      </c>
      <c r="D12" s="38">
        <v>0</v>
      </c>
      <c r="E12" s="38">
        <v>0</v>
      </c>
      <c r="F12" s="38">
        <v>0</v>
      </c>
      <c r="G12" s="38">
        <v>0</v>
      </c>
      <c r="H12" s="38">
        <v>0</v>
      </c>
      <c r="I12" s="38">
        <v>0</v>
      </c>
      <c r="J12" s="38">
        <v>0</v>
      </c>
      <c r="K12" s="38">
        <v>0</v>
      </c>
      <c r="L12" s="38">
        <v>0</v>
      </c>
      <c r="M12" s="38">
        <v>0</v>
      </c>
      <c r="N12" s="38">
        <v>0</v>
      </c>
      <c r="O12" s="39">
        <f t="shared" si="0"/>
        <v>0</v>
      </c>
      <c r="P12" s="39">
        <f t="shared" si="1"/>
        <v>0</v>
      </c>
      <c r="Q12" s="182">
        <v>0</v>
      </c>
    </row>
    <row r="13" spans="1:17" s="63" customFormat="1" ht="12.75">
      <c r="A13" s="89" t="s">
        <v>137</v>
      </c>
      <c r="B13" s="195">
        <v>1263946</v>
      </c>
      <c r="C13" s="38">
        <v>0</v>
      </c>
      <c r="D13" s="38">
        <v>0</v>
      </c>
      <c r="E13" s="38">
        <v>0</v>
      </c>
      <c r="F13" s="38">
        <v>825</v>
      </c>
      <c r="G13" s="38">
        <v>1762</v>
      </c>
      <c r="H13" s="38">
        <v>-830</v>
      </c>
      <c r="I13" s="38">
        <v>-1762</v>
      </c>
      <c r="J13" s="38">
        <v>0</v>
      </c>
      <c r="K13" s="38">
        <v>0</v>
      </c>
      <c r="L13" s="38">
        <v>0</v>
      </c>
      <c r="M13" s="38">
        <v>0</v>
      </c>
      <c r="N13" s="38">
        <v>0</v>
      </c>
      <c r="O13" s="39">
        <f t="shared" si="0"/>
        <v>-5</v>
      </c>
      <c r="P13" s="39">
        <f t="shared" si="1"/>
        <v>1263941</v>
      </c>
      <c r="Q13" s="182">
        <f>580917+789119+41785</f>
        <v>1411821</v>
      </c>
    </row>
    <row r="14" spans="1:17" s="63" customFormat="1" ht="12.75">
      <c r="A14" s="89" t="s">
        <v>12</v>
      </c>
      <c r="B14" s="195">
        <v>23959</v>
      </c>
      <c r="C14" s="38">
        <v>0</v>
      </c>
      <c r="D14" s="38">
        <v>2</v>
      </c>
      <c r="E14" s="38">
        <v>0</v>
      </c>
      <c r="F14" s="38">
        <v>0</v>
      </c>
      <c r="G14" s="38">
        <v>0</v>
      </c>
      <c r="H14" s="38">
        <v>0</v>
      </c>
      <c r="I14" s="38">
        <v>0</v>
      </c>
      <c r="J14" s="38">
        <v>16</v>
      </c>
      <c r="K14" s="38">
        <v>0</v>
      </c>
      <c r="L14" s="38">
        <v>0</v>
      </c>
      <c r="M14" s="38">
        <v>0</v>
      </c>
      <c r="N14" s="38">
        <v>2</v>
      </c>
      <c r="O14" s="39">
        <f t="shared" si="0"/>
        <v>20</v>
      </c>
      <c r="P14" s="39">
        <f t="shared" si="1"/>
        <v>23979</v>
      </c>
      <c r="Q14" s="182">
        <v>197500</v>
      </c>
    </row>
    <row r="15" spans="1:17" s="63" customFormat="1" ht="12.75">
      <c r="A15" s="88" t="s">
        <v>16</v>
      </c>
      <c r="B15" s="195">
        <v>10116</v>
      </c>
      <c r="C15" s="38">
        <v>0</v>
      </c>
      <c r="D15" s="38">
        <v>0</v>
      </c>
      <c r="E15" s="38">
        <v>171</v>
      </c>
      <c r="F15" s="38">
        <v>0</v>
      </c>
      <c r="G15" s="38">
        <v>419</v>
      </c>
      <c r="H15" s="38">
        <v>58</v>
      </c>
      <c r="I15" s="38">
        <v>19</v>
      </c>
      <c r="J15" s="38">
        <v>25</v>
      </c>
      <c r="K15" s="38">
        <v>-51</v>
      </c>
      <c r="L15" s="38">
        <v>0</v>
      </c>
      <c r="M15" s="38">
        <v>67</v>
      </c>
      <c r="N15" s="38">
        <v>5</v>
      </c>
      <c r="O15" s="39">
        <f t="shared" si="0"/>
        <v>713</v>
      </c>
      <c r="P15" s="39">
        <f t="shared" si="1"/>
        <v>10829</v>
      </c>
      <c r="Q15" s="182">
        <v>0</v>
      </c>
    </row>
    <row r="16" spans="1:17" s="63" customFormat="1" ht="12.75">
      <c r="A16" s="88" t="s">
        <v>138</v>
      </c>
      <c r="B16" s="195">
        <v>305022</v>
      </c>
      <c r="C16" s="38">
        <v>0</v>
      </c>
      <c r="D16" s="38">
        <f>18229+110</f>
        <v>18339</v>
      </c>
      <c r="E16" s="38">
        <v>0</v>
      </c>
      <c r="F16" s="38">
        <v>0</v>
      </c>
      <c r="G16" s="38">
        <v>-18339</v>
      </c>
      <c r="H16" s="38">
        <v>0</v>
      </c>
      <c r="I16" s="38">
        <v>0</v>
      </c>
      <c r="J16" s="38">
        <v>0</v>
      </c>
      <c r="K16" s="38">
        <v>0</v>
      </c>
      <c r="L16" s="38">
        <v>0</v>
      </c>
      <c r="M16" s="38">
        <v>0</v>
      </c>
      <c r="N16" s="38">
        <v>0</v>
      </c>
      <c r="O16" s="39">
        <f t="shared" si="0"/>
        <v>0</v>
      </c>
      <c r="P16" s="39">
        <f t="shared" si="1"/>
        <v>305022</v>
      </c>
      <c r="Q16" s="182">
        <f>388843+166279</f>
        <v>555122</v>
      </c>
    </row>
    <row r="17" spans="1:17" s="63" customFormat="1" ht="12.75">
      <c r="A17" s="88" t="s">
        <v>139</v>
      </c>
      <c r="B17" s="195">
        <v>3968315</v>
      </c>
      <c r="C17" s="38">
        <v>0</v>
      </c>
      <c r="D17" s="38">
        <f>24450+272750</f>
        <v>297200</v>
      </c>
      <c r="E17" s="38">
        <v>214950</v>
      </c>
      <c r="F17" s="38">
        <v>0</v>
      </c>
      <c r="G17" s="38">
        <v>0</v>
      </c>
      <c r="H17" s="38">
        <v>216655</v>
      </c>
      <c r="I17" s="38">
        <v>0</v>
      </c>
      <c r="J17" s="38">
        <v>0</v>
      </c>
      <c r="K17" s="38">
        <v>0</v>
      </c>
      <c r="L17" s="38">
        <v>0</v>
      </c>
      <c r="M17" s="38">
        <v>0</v>
      </c>
      <c r="N17" s="38">
        <v>1034190</v>
      </c>
      <c r="O17" s="39">
        <f t="shared" si="0"/>
        <v>1762995</v>
      </c>
      <c r="P17" s="39">
        <f t="shared" si="1"/>
        <v>5731310</v>
      </c>
      <c r="Q17" s="182">
        <v>8487565</v>
      </c>
    </row>
    <row r="18" spans="1:17" s="63" customFormat="1" ht="12.75">
      <c r="A18" s="88" t="s">
        <v>140</v>
      </c>
      <c r="B18" s="195">
        <v>-8748</v>
      </c>
      <c r="C18" s="38">
        <v>0</v>
      </c>
      <c r="D18" s="38">
        <v>16754</v>
      </c>
      <c r="E18" s="38">
        <v>-16754</v>
      </c>
      <c r="F18" s="38">
        <v>1520</v>
      </c>
      <c r="G18" s="38">
        <v>0</v>
      </c>
      <c r="H18" s="38">
        <v>0</v>
      </c>
      <c r="I18" s="38">
        <v>0</v>
      </c>
      <c r="J18" s="38">
        <v>0</v>
      </c>
      <c r="K18" s="38">
        <v>0</v>
      </c>
      <c r="L18" s="38">
        <v>0</v>
      </c>
      <c r="M18" s="38">
        <v>0</v>
      </c>
      <c r="N18" s="38">
        <v>32</v>
      </c>
      <c r="O18" s="39">
        <f t="shared" si="0"/>
        <v>1552</v>
      </c>
      <c r="P18" s="39">
        <f t="shared" si="1"/>
        <v>-7196</v>
      </c>
      <c r="Q18" s="182">
        <v>0</v>
      </c>
    </row>
    <row r="19" spans="1:17" s="63" customFormat="1" ht="12.75">
      <c r="A19" s="89" t="s">
        <v>141</v>
      </c>
      <c r="B19" s="195">
        <v>135</v>
      </c>
      <c r="C19" s="38">
        <v>0</v>
      </c>
      <c r="D19" s="38">
        <v>0</v>
      </c>
      <c r="E19" s="38">
        <v>0</v>
      </c>
      <c r="F19" s="38">
        <v>0</v>
      </c>
      <c r="G19" s="38">
        <v>0</v>
      </c>
      <c r="H19" s="38">
        <v>0</v>
      </c>
      <c r="I19" s="38">
        <v>0</v>
      </c>
      <c r="J19" s="38">
        <v>0</v>
      </c>
      <c r="K19" s="38">
        <v>0</v>
      </c>
      <c r="L19" s="38">
        <v>0</v>
      </c>
      <c r="M19" s="38">
        <v>0</v>
      </c>
      <c r="N19" s="38">
        <v>0</v>
      </c>
      <c r="O19" s="39">
        <f t="shared" si="0"/>
        <v>0</v>
      </c>
      <c r="P19" s="39">
        <f t="shared" si="1"/>
        <v>135</v>
      </c>
      <c r="Q19" s="182">
        <v>0</v>
      </c>
    </row>
    <row r="20" spans="1:17" s="63" customFormat="1" ht="12.75">
      <c r="A20" s="89" t="s">
        <v>142</v>
      </c>
      <c r="B20" s="195">
        <v>135</v>
      </c>
      <c r="C20" s="38">
        <v>0</v>
      </c>
      <c r="D20" s="38">
        <v>0</v>
      </c>
      <c r="E20" s="38">
        <v>0</v>
      </c>
      <c r="F20" s="38">
        <v>0</v>
      </c>
      <c r="G20" s="38">
        <v>0</v>
      </c>
      <c r="H20" s="38">
        <v>0</v>
      </c>
      <c r="I20" s="38">
        <v>0</v>
      </c>
      <c r="J20" s="38">
        <v>0</v>
      </c>
      <c r="K20" s="38">
        <v>0</v>
      </c>
      <c r="L20" s="38">
        <v>0</v>
      </c>
      <c r="M20" s="38">
        <v>0</v>
      </c>
      <c r="N20" s="38">
        <v>0</v>
      </c>
      <c r="O20" s="39">
        <f t="shared" si="0"/>
        <v>0</v>
      </c>
      <c r="P20" s="39">
        <f t="shared" si="1"/>
        <v>135</v>
      </c>
      <c r="Q20" s="182">
        <v>20950</v>
      </c>
    </row>
    <row r="21" spans="1:17" s="63" customFormat="1" ht="12.75">
      <c r="A21" s="89" t="s">
        <v>143</v>
      </c>
      <c r="B21" s="195">
        <v>13632</v>
      </c>
      <c r="C21" s="38">
        <v>0</v>
      </c>
      <c r="D21" s="38">
        <v>0</v>
      </c>
      <c r="E21" s="38">
        <v>0</v>
      </c>
      <c r="F21" s="38">
        <v>0</v>
      </c>
      <c r="G21" s="38">
        <v>0</v>
      </c>
      <c r="H21" s="38">
        <v>0</v>
      </c>
      <c r="I21" s="38">
        <v>0</v>
      </c>
      <c r="J21" s="38">
        <v>0</v>
      </c>
      <c r="K21" s="38">
        <v>0</v>
      </c>
      <c r="L21" s="38">
        <v>0</v>
      </c>
      <c r="M21" s="38">
        <v>0</v>
      </c>
      <c r="N21" s="38">
        <v>0</v>
      </c>
      <c r="O21" s="39">
        <f t="shared" si="0"/>
        <v>0</v>
      </c>
      <c r="P21" s="39">
        <f t="shared" si="1"/>
        <v>13632</v>
      </c>
      <c r="Q21" s="182">
        <v>0</v>
      </c>
    </row>
    <row r="22" spans="1:17" s="63" customFormat="1" ht="12.75">
      <c r="A22" s="88" t="s">
        <v>144</v>
      </c>
      <c r="B22" s="195">
        <v>989</v>
      </c>
      <c r="C22" s="38">
        <v>0</v>
      </c>
      <c r="D22" s="38">
        <v>0</v>
      </c>
      <c r="E22" s="38">
        <v>0</v>
      </c>
      <c r="F22" s="38">
        <v>0</v>
      </c>
      <c r="G22" s="38">
        <v>0</v>
      </c>
      <c r="H22" s="38">
        <v>0</v>
      </c>
      <c r="I22" s="38">
        <v>0</v>
      </c>
      <c r="J22" s="38">
        <v>0</v>
      </c>
      <c r="K22" s="38">
        <v>0</v>
      </c>
      <c r="L22" s="38">
        <v>0</v>
      </c>
      <c r="M22" s="38">
        <v>0</v>
      </c>
      <c r="N22" s="38">
        <v>0</v>
      </c>
      <c r="O22" s="39">
        <f t="shared" si="0"/>
        <v>0</v>
      </c>
      <c r="P22" s="39">
        <f t="shared" si="1"/>
        <v>989</v>
      </c>
      <c r="Q22" s="182">
        <v>0</v>
      </c>
    </row>
    <row r="23" spans="1:18" s="63" customFormat="1" ht="12.75">
      <c r="A23" s="88" t="s">
        <v>145</v>
      </c>
      <c r="B23" s="195">
        <v>2556225.58</v>
      </c>
      <c r="C23" s="38">
        <f>183544+9</f>
        <v>183553</v>
      </c>
      <c r="D23" s="38">
        <v>192822</v>
      </c>
      <c r="E23" s="38">
        <v>-23615</v>
      </c>
      <c r="F23" s="38">
        <v>-48287</v>
      </c>
      <c r="G23" s="38">
        <v>41287</v>
      </c>
      <c r="H23" s="38">
        <v>21238</v>
      </c>
      <c r="I23" s="38">
        <v>18872</v>
      </c>
      <c r="J23" s="38">
        <v>19612</v>
      </c>
      <c r="K23" s="38">
        <v>479570</v>
      </c>
      <c r="L23" s="38">
        <v>3479</v>
      </c>
      <c r="M23" s="38">
        <v>18910</v>
      </c>
      <c r="N23" s="38">
        <v>392684</v>
      </c>
      <c r="O23" s="39">
        <f t="shared" si="0"/>
        <v>1300125</v>
      </c>
      <c r="P23" s="39">
        <f t="shared" si="1"/>
        <v>3856350.58</v>
      </c>
      <c r="Q23" s="182">
        <f>7417916+350</f>
        <v>7418266</v>
      </c>
      <c r="R23" s="38"/>
    </row>
    <row r="24" spans="1:17" s="63" customFormat="1" ht="12.75">
      <c r="A24" s="88" t="s">
        <v>146</v>
      </c>
      <c r="B24" s="195">
        <v>317564</v>
      </c>
      <c r="C24" s="38">
        <v>0</v>
      </c>
      <c r="D24" s="38">
        <v>0</v>
      </c>
      <c r="E24" s="38">
        <v>0</v>
      </c>
      <c r="F24" s="38">
        <v>0</v>
      </c>
      <c r="G24" s="38">
        <v>0</v>
      </c>
      <c r="H24" s="38">
        <v>38</v>
      </c>
      <c r="I24" s="38">
        <v>12</v>
      </c>
      <c r="J24" s="38">
        <v>0</v>
      </c>
      <c r="K24" s="38">
        <v>0</v>
      </c>
      <c r="L24" s="38">
        <v>-12</v>
      </c>
      <c r="M24" s="38">
        <v>0</v>
      </c>
      <c r="N24" s="38">
        <v>0</v>
      </c>
      <c r="O24" s="39">
        <f t="shared" si="0"/>
        <v>38</v>
      </c>
      <c r="P24" s="39">
        <f t="shared" si="1"/>
        <v>317602</v>
      </c>
      <c r="Q24" s="182">
        <v>67242</v>
      </c>
    </row>
    <row r="25" spans="1:17" s="63" customFormat="1" ht="12.75">
      <c r="A25" s="88" t="s">
        <v>147</v>
      </c>
      <c r="B25" s="195">
        <v>-384841</v>
      </c>
      <c r="C25" s="38">
        <v>-8864</v>
      </c>
      <c r="D25" s="38">
        <v>-3636</v>
      </c>
      <c r="E25" s="38">
        <v>3731</v>
      </c>
      <c r="F25" s="38">
        <v>0</v>
      </c>
      <c r="G25" s="38">
        <v>-24</v>
      </c>
      <c r="H25" s="38">
        <v>0</v>
      </c>
      <c r="I25" s="38">
        <v>0</v>
      </c>
      <c r="J25" s="38">
        <v>0</v>
      </c>
      <c r="K25" s="38">
        <v>-38</v>
      </c>
      <c r="L25" s="38">
        <v>0</v>
      </c>
      <c r="M25" s="38">
        <v>0</v>
      </c>
      <c r="N25" s="38">
        <v>0</v>
      </c>
      <c r="O25" s="39">
        <f t="shared" si="0"/>
        <v>-8831</v>
      </c>
      <c r="P25" s="39">
        <f t="shared" si="1"/>
        <v>-393672</v>
      </c>
      <c r="Q25" s="182">
        <v>0</v>
      </c>
    </row>
    <row r="26" spans="1:17" s="63" customFormat="1" ht="12.75">
      <c r="A26" s="88" t="s">
        <v>61</v>
      </c>
      <c r="B26" s="195">
        <v>42580</v>
      </c>
      <c r="C26" s="38">
        <v>0</v>
      </c>
      <c r="D26" s="38">
        <v>0</v>
      </c>
      <c r="E26" s="38">
        <v>0</v>
      </c>
      <c r="F26" s="38">
        <v>0</v>
      </c>
      <c r="G26" s="38">
        <v>0</v>
      </c>
      <c r="H26" s="38">
        <v>0</v>
      </c>
      <c r="I26" s="38">
        <v>0</v>
      </c>
      <c r="J26" s="38">
        <v>0</v>
      </c>
      <c r="K26" s="38">
        <v>0</v>
      </c>
      <c r="L26" s="38">
        <v>0</v>
      </c>
      <c r="M26" s="38">
        <v>0</v>
      </c>
      <c r="N26" s="38">
        <v>0</v>
      </c>
      <c r="O26" s="39">
        <f t="shared" si="0"/>
        <v>0</v>
      </c>
      <c r="P26" s="39">
        <f t="shared" si="1"/>
        <v>42580</v>
      </c>
      <c r="Q26" s="182">
        <v>0</v>
      </c>
    </row>
    <row r="27" spans="1:17" s="63" customFormat="1" ht="12.75">
      <c r="A27" s="88" t="s">
        <v>148</v>
      </c>
      <c r="B27" s="195">
        <v>-54632</v>
      </c>
      <c r="C27" s="38">
        <v>0</v>
      </c>
      <c r="D27" s="38">
        <v>0</v>
      </c>
      <c r="E27" s="38">
        <v>0</v>
      </c>
      <c r="F27" s="38">
        <v>0</v>
      </c>
      <c r="G27" s="38">
        <v>0</v>
      </c>
      <c r="H27" s="38">
        <v>0</v>
      </c>
      <c r="I27" s="38">
        <v>0</v>
      </c>
      <c r="J27" s="38">
        <v>0</v>
      </c>
      <c r="K27" s="38">
        <v>0</v>
      </c>
      <c r="L27" s="38">
        <v>0</v>
      </c>
      <c r="M27" s="38">
        <v>0</v>
      </c>
      <c r="N27" s="38">
        <v>0</v>
      </c>
      <c r="O27" s="39">
        <f t="shared" si="0"/>
        <v>0</v>
      </c>
      <c r="P27" s="39">
        <f t="shared" si="1"/>
        <v>-54632</v>
      </c>
      <c r="Q27" s="182">
        <v>0</v>
      </c>
    </row>
    <row r="28" spans="1:18" s="63" customFormat="1" ht="12.75">
      <c r="A28" s="101" t="s">
        <v>55</v>
      </c>
      <c r="B28" s="39">
        <v>0</v>
      </c>
      <c r="C28" s="38">
        <v>0</v>
      </c>
      <c r="D28" s="38">
        <v>0</v>
      </c>
      <c r="E28" s="38">
        <v>0</v>
      </c>
      <c r="F28" s="38">
        <v>0</v>
      </c>
      <c r="G28" s="38">
        <v>0</v>
      </c>
      <c r="H28" s="38">
        <v>0</v>
      </c>
      <c r="I28" s="38">
        <v>0</v>
      </c>
      <c r="J28" s="38">
        <v>0</v>
      </c>
      <c r="K28" s="38">
        <v>0</v>
      </c>
      <c r="L28" s="38">
        <v>0</v>
      </c>
      <c r="M28" s="38">
        <v>0</v>
      </c>
      <c r="N28" s="38">
        <v>0</v>
      </c>
      <c r="O28" s="39">
        <f t="shared" si="0"/>
        <v>0</v>
      </c>
      <c r="P28" s="39">
        <f t="shared" si="1"/>
        <v>0</v>
      </c>
      <c r="Q28" s="182">
        <v>2590</v>
      </c>
      <c r="R28" s="183"/>
    </row>
    <row r="29" spans="1:17" s="63" customFormat="1" ht="12.75">
      <c r="A29" s="98" t="s">
        <v>38</v>
      </c>
      <c r="B29" s="194">
        <f aca="true" t="shared" si="2" ref="B29:Q29">SUM(B7:B28)</f>
        <v>7813021.58</v>
      </c>
      <c r="C29" s="82">
        <f t="shared" si="2"/>
        <v>174638</v>
      </c>
      <c r="D29" s="82">
        <f t="shared" si="2"/>
        <v>521883</v>
      </c>
      <c r="E29" s="82">
        <f t="shared" si="2"/>
        <v>178483</v>
      </c>
      <c r="F29" s="82">
        <f t="shared" si="2"/>
        <v>-45942</v>
      </c>
      <c r="G29" s="82">
        <f t="shared" si="2"/>
        <v>25105</v>
      </c>
      <c r="H29" s="82">
        <f t="shared" si="2"/>
        <v>237159</v>
      </c>
      <c r="I29" s="82">
        <f t="shared" si="2"/>
        <v>17141</v>
      </c>
      <c r="J29" s="82">
        <f t="shared" si="2"/>
        <v>19653</v>
      </c>
      <c r="K29" s="82">
        <f t="shared" si="2"/>
        <v>479481</v>
      </c>
      <c r="L29" s="82">
        <f t="shared" si="2"/>
        <v>3467</v>
      </c>
      <c r="M29" s="82">
        <f t="shared" si="2"/>
        <v>18977</v>
      </c>
      <c r="N29" s="82">
        <f t="shared" si="2"/>
        <v>1426913</v>
      </c>
      <c r="O29" s="36">
        <f t="shared" si="2"/>
        <v>3056958</v>
      </c>
      <c r="P29" s="36">
        <f t="shared" si="2"/>
        <v>10869979.58</v>
      </c>
      <c r="Q29" s="201">
        <f t="shared" si="2"/>
        <v>18215228</v>
      </c>
    </row>
    <row r="30" spans="1:17" s="63" customFormat="1" ht="12.75">
      <c r="A30" s="117"/>
      <c r="B30" s="192"/>
      <c r="C30" s="38"/>
      <c r="D30" s="38"/>
      <c r="E30" s="38"/>
      <c r="F30" s="38"/>
      <c r="G30" s="38"/>
      <c r="H30" s="38"/>
      <c r="I30" s="38"/>
      <c r="J30" s="38"/>
      <c r="K30" s="38"/>
      <c r="L30" s="38"/>
      <c r="M30" s="38"/>
      <c r="N30" s="38"/>
      <c r="O30" s="39"/>
      <c r="P30" s="39"/>
      <c r="Q30" s="182"/>
    </row>
    <row r="31" spans="1:17" s="63" customFormat="1" ht="25.5">
      <c r="A31" s="100" t="s">
        <v>149</v>
      </c>
      <c r="B31" s="191"/>
      <c r="C31" s="38"/>
      <c r="D31" s="38"/>
      <c r="E31" s="38"/>
      <c r="F31" s="38"/>
      <c r="G31" s="38"/>
      <c r="H31" s="38"/>
      <c r="I31" s="38"/>
      <c r="J31" s="38"/>
      <c r="K31" s="38"/>
      <c r="L31" s="38"/>
      <c r="M31" s="38"/>
      <c r="N31" s="38"/>
      <c r="O31" s="39"/>
      <c r="P31" s="39"/>
      <c r="Q31" s="182"/>
    </row>
    <row r="32" spans="1:17" s="63" customFormat="1" ht="12.75">
      <c r="A32" s="101" t="s">
        <v>54</v>
      </c>
      <c r="B32" s="39">
        <v>601616</v>
      </c>
      <c r="C32" s="118">
        <v>0</v>
      </c>
      <c r="D32" s="118">
        <v>0</v>
      </c>
      <c r="E32" s="118">
        <v>0</v>
      </c>
      <c r="F32" s="118">
        <v>0</v>
      </c>
      <c r="G32" s="118">
        <v>0</v>
      </c>
      <c r="H32" s="118">
        <v>0</v>
      </c>
      <c r="I32" s="118">
        <v>0</v>
      </c>
      <c r="J32" s="118">
        <v>0</v>
      </c>
      <c r="K32" s="118">
        <v>0</v>
      </c>
      <c r="L32" s="118">
        <v>0</v>
      </c>
      <c r="M32" s="118">
        <v>0</v>
      </c>
      <c r="N32" s="118">
        <v>0</v>
      </c>
      <c r="O32" s="39">
        <f>SUM(C32:N32)</f>
        <v>0</v>
      </c>
      <c r="P32" s="39">
        <f>B32+O32</f>
        <v>601616</v>
      </c>
      <c r="Q32" s="182">
        <v>75198</v>
      </c>
    </row>
    <row r="33" spans="1:17" s="63" customFormat="1" ht="12.75">
      <c r="A33" s="101" t="s">
        <v>150</v>
      </c>
      <c r="B33" s="39">
        <v>172995</v>
      </c>
      <c r="C33" s="118">
        <v>0</v>
      </c>
      <c r="D33" s="118">
        <v>0</v>
      </c>
      <c r="E33" s="118">
        <v>0</v>
      </c>
      <c r="F33" s="118">
        <v>0</v>
      </c>
      <c r="G33" s="118">
        <v>0</v>
      </c>
      <c r="H33" s="118">
        <v>0</v>
      </c>
      <c r="I33" s="118">
        <v>0</v>
      </c>
      <c r="J33" s="118">
        <v>0</v>
      </c>
      <c r="K33" s="118">
        <v>0</v>
      </c>
      <c r="L33" s="118">
        <v>0</v>
      </c>
      <c r="M33" s="118">
        <v>0</v>
      </c>
      <c r="N33" s="118">
        <v>0</v>
      </c>
      <c r="O33" s="39">
        <f>SUM(C33:N33)</f>
        <v>0</v>
      </c>
      <c r="P33" s="39">
        <f>B33+O33</f>
        <v>172995</v>
      </c>
      <c r="Q33" s="182">
        <f>150000+90+814</f>
        <v>150904</v>
      </c>
    </row>
    <row r="34" spans="1:17" s="63" customFormat="1" ht="12.75">
      <c r="A34" s="101" t="s">
        <v>33</v>
      </c>
      <c r="B34" s="39">
        <v>28930</v>
      </c>
      <c r="C34" s="118">
        <v>0</v>
      </c>
      <c r="D34" s="118">
        <v>0</v>
      </c>
      <c r="E34" s="118">
        <v>0</v>
      </c>
      <c r="F34" s="118">
        <v>0</v>
      </c>
      <c r="G34" s="118">
        <v>0</v>
      </c>
      <c r="H34" s="118">
        <v>0</v>
      </c>
      <c r="I34" s="118">
        <v>0</v>
      </c>
      <c r="J34" s="118">
        <v>0</v>
      </c>
      <c r="K34" s="118">
        <v>0</v>
      </c>
      <c r="L34" s="118">
        <v>0</v>
      </c>
      <c r="M34" s="118">
        <v>0</v>
      </c>
      <c r="N34" s="118">
        <v>0</v>
      </c>
      <c r="O34" s="39">
        <f>SUM(C34:N34)</f>
        <v>0</v>
      </c>
      <c r="P34" s="39">
        <f>B34+O34</f>
        <v>28930</v>
      </c>
      <c r="Q34" s="182">
        <v>0</v>
      </c>
    </row>
    <row r="35" spans="1:17" s="63" customFormat="1" ht="12.75">
      <c r="A35" s="98" t="s">
        <v>39</v>
      </c>
      <c r="B35" s="196">
        <f aca="true" t="shared" si="3" ref="B35:P35">SUM(B32:B34)</f>
        <v>803541</v>
      </c>
      <c r="C35" s="37">
        <f t="shared" si="3"/>
        <v>0</v>
      </c>
      <c r="D35" s="37">
        <f t="shared" si="3"/>
        <v>0</v>
      </c>
      <c r="E35" s="37">
        <f t="shared" si="3"/>
        <v>0</v>
      </c>
      <c r="F35" s="37">
        <f t="shared" si="3"/>
        <v>0</v>
      </c>
      <c r="G35" s="37">
        <f t="shared" si="3"/>
        <v>0</v>
      </c>
      <c r="H35" s="37">
        <f t="shared" si="3"/>
        <v>0</v>
      </c>
      <c r="I35" s="37">
        <f t="shared" si="3"/>
        <v>0</v>
      </c>
      <c r="J35" s="37">
        <f t="shared" si="3"/>
        <v>0</v>
      </c>
      <c r="K35" s="37">
        <f t="shared" si="3"/>
        <v>0</v>
      </c>
      <c r="L35" s="37">
        <f t="shared" si="3"/>
        <v>0</v>
      </c>
      <c r="M35" s="37">
        <f t="shared" si="3"/>
        <v>0</v>
      </c>
      <c r="N35" s="37">
        <f t="shared" si="3"/>
        <v>0</v>
      </c>
      <c r="O35" s="36">
        <f t="shared" si="3"/>
        <v>0</v>
      </c>
      <c r="P35" s="36">
        <f t="shared" si="3"/>
        <v>803541</v>
      </c>
      <c r="Q35" s="201">
        <f>SUM(Q32:Q33)</f>
        <v>226102</v>
      </c>
    </row>
    <row r="36" spans="1:17" s="63" customFormat="1" ht="12.75">
      <c r="A36" s="99"/>
      <c r="B36" s="193"/>
      <c r="C36" s="38"/>
      <c r="D36" s="52"/>
      <c r="E36" s="52"/>
      <c r="F36" s="52"/>
      <c r="G36" s="52"/>
      <c r="H36" s="52"/>
      <c r="I36" s="52"/>
      <c r="J36" s="52"/>
      <c r="K36" s="52"/>
      <c r="L36" s="52"/>
      <c r="M36" s="52"/>
      <c r="N36" s="38"/>
      <c r="O36" s="39"/>
      <c r="P36" s="39"/>
      <c r="Q36" s="182"/>
    </row>
    <row r="37" spans="1:17" s="63" customFormat="1" ht="12.75">
      <c r="A37" s="100" t="s">
        <v>151</v>
      </c>
      <c r="B37" s="191"/>
      <c r="C37" s="38"/>
      <c r="D37" s="52"/>
      <c r="E37" s="52"/>
      <c r="F37" s="52"/>
      <c r="G37" s="52"/>
      <c r="H37" s="52"/>
      <c r="I37" s="52"/>
      <c r="J37" s="52"/>
      <c r="K37" s="52"/>
      <c r="L37" s="52"/>
      <c r="M37" s="52"/>
      <c r="N37" s="38"/>
      <c r="O37" s="39"/>
      <c r="P37" s="39"/>
      <c r="Q37" s="182"/>
    </row>
    <row r="38" spans="1:17" s="63" customFormat="1" ht="12.75">
      <c r="A38" s="101" t="s">
        <v>152</v>
      </c>
      <c r="B38" s="197">
        <v>0</v>
      </c>
      <c r="C38" s="118">
        <v>0</v>
      </c>
      <c r="D38" s="118">
        <v>0</v>
      </c>
      <c r="E38" s="118">
        <v>0</v>
      </c>
      <c r="F38" s="118">
        <v>0</v>
      </c>
      <c r="G38" s="118">
        <v>0</v>
      </c>
      <c r="H38" s="118">
        <v>0</v>
      </c>
      <c r="I38" s="118">
        <v>0</v>
      </c>
      <c r="J38" s="118">
        <v>0</v>
      </c>
      <c r="K38" s="118">
        <v>0</v>
      </c>
      <c r="L38" s="118">
        <v>0</v>
      </c>
      <c r="M38" s="118">
        <v>0</v>
      </c>
      <c r="N38" s="118">
        <v>0</v>
      </c>
      <c r="O38" s="39">
        <f>SUM(C38:N38)</f>
        <v>0</v>
      </c>
      <c r="P38" s="39">
        <f>B38+O38</f>
        <v>0</v>
      </c>
      <c r="Q38" s="202">
        <v>-432350</v>
      </c>
    </row>
    <row r="39" spans="1:17" s="63" customFormat="1" ht="12.75">
      <c r="A39" s="101" t="s">
        <v>153</v>
      </c>
      <c r="B39" s="197">
        <v>-13044</v>
      </c>
      <c r="C39" s="118">
        <v>0</v>
      </c>
      <c r="D39" s="118">
        <v>0</v>
      </c>
      <c r="E39" s="118">
        <v>0</v>
      </c>
      <c r="F39" s="118">
        <v>0</v>
      </c>
      <c r="G39" s="118">
        <v>0</v>
      </c>
      <c r="H39" s="118">
        <v>0</v>
      </c>
      <c r="I39" s="118">
        <v>0</v>
      </c>
      <c r="J39" s="118">
        <v>0</v>
      </c>
      <c r="K39" s="118">
        <v>0</v>
      </c>
      <c r="L39" s="118">
        <v>0</v>
      </c>
      <c r="M39" s="118">
        <v>0</v>
      </c>
      <c r="N39" s="118">
        <v>0</v>
      </c>
      <c r="O39" s="39">
        <f>SUM(C39:N39)</f>
        <v>0</v>
      </c>
      <c r="P39" s="39">
        <f>B39+O39</f>
        <v>-13044</v>
      </c>
      <c r="Q39" s="182">
        <v>0</v>
      </c>
    </row>
    <row r="40" spans="1:18" s="63" customFormat="1" ht="12.75">
      <c r="A40" s="101" t="s">
        <v>154</v>
      </c>
      <c r="B40" s="197">
        <v>4810</v>
      </c>
      <c r="C40" s="118">
        <v>0</v>
      </c>
      <c r="D40" s="118">
        <v>0</v>
      </c>
      <c r="E40" s="118">
        <v>0</v>
      </c>
      <c r="F40" s="118">
        <v>0</v>
      </c>
      <c r="G40" s="118">
        <v>0</v>
      </c>
      <c r="H40" s="118">
        <v>0</v>
      </c>
      <c r="I40" s="118">
        <v>0</v>
      </c>
      <c r="J40" s="118">
        <v>0</v>
      </c>
      <c r="K40" s="118">
        <v>0</v>
      </c>
      <c r="L40" s="118">
        <v>0</v>
      </c>
      <c r="M40" s="118">
        <v>0</v>
      </c>
      <c r="N40" s="118">
        <v>0</v>
      </c>
      <c r="O40" s="39">
        <f>SUM(C40:N40)</f>
        <v>0</v>
      </c>
      <c r="P40" s="39">
        <f>B40+O40</f>
        <v>4810</v>
      </c>
      <c r="Q40" s="182">
        <v>4799</v>
      </c>
      <c r="R40" s="183"/>
    </row>
    <row r="41" spans="1:17" s="63" customFormat="1" ht="12.75">
      <c r="A41" s="101" t="s">
        <v>65</v>
      </c>
      <c r="B41" s="198">
        <v>8330</v>
      </c>
      <c r="C41" s="118">
        <v>0</v>
      </c>
      <c r="D41" s="118">
        <v>0</v>
      </c>
      <c r="E41" s="118">
        <v>0</v>
      </c>
      <c r="F41" s="118">
        <v>0</v>
      </c>
      <c r="G41" s="38">
        <v>0</v>
      </c>
      <c r="H41" s="38">
        <v>0</v>
      </c>
      <c r="I41" s="38">
        <v>0</v>
      </c>
      <c r="J41" s="38">
        <v>0</v>
      </c>
      <c r="K41" s="38">
        <v>0</v>
      </c>
      <c r="L41" s="38">
        <v>0</v>
      </c>
      <c r="M41" s="38">
        <v>0</v>
      </c>
      <c r="N41" s="38">
        <v>0</v>
      </c>
      <c r="O41" s="39">
        <f>SUM(C41:N41)</f>
        <v>0</v>
      </c>
      <c r="P41" s="39">
        <f>B41+O41</f>
        <v>8330</v>
      </c>
      <c r="Q41" s="182">
        <v>9550</v>
      </c>
    </row>
    <row r="42" spans="1:17" ht="12.75">
      <c r="A42" s="184" t="s">
        <v>155</v>
      </c>
      <c r="B42" s="36">
        <f aca="true" t="shared" si="4" ref="B42:Q42">SUM(B38:B41)</f>
        <v>96</v>
      </c>
      <c r="C42" s="37">
        <f t="shared" si="4"/>
        <v>0</v>
      </c>
      <c r="D42" s="37">
        <f t="shared" si="4"/>
        <v>0</v>
      </c>
      <c r="E42" s="37">
        <f t="shared" si="4"/>
        <v>0</v>
      </c>
      <c r="F42" s="37">
        <f t="shared" si="4"/>
        <v>0</v>
      </c>
      <c r="G42" s="37">
        <f t="shared" si="4"/>
        <v>0</v>
      </c>
      <c r="H42" s="37">
        <f t="shared" si="4"/>
        <v>0</v>
      </c>
      <c r="I42" s="37">
        <f t="shared" si="4"/>
        <v>0</v>
      </c>
      <c r="J42" s="37">
        <f t="shared" si="4"/>
        <v>0</v>
      </c>
      <c r="K42" s="37">
        <f t="shared" si="4"/>
        <v>0</v>
      </c>
      <c r="L42" s="37">
        <f t="shared" si="4"/>
        <v>0</v>
      </c>
      <c r="M42" s="37">
        <f t="shared" si="4"/>
        <v>0</v>
      </c>
      <c r="N42" s="37">
        <f t="shared" si="4"/>
        <v>0</v>
      </c>
      <c r="O42" s="36">
        <f t="shared" si="4"/>
        <v>0</v>
      </c>
      <c r="P42" s="36">
        <f t="shared" si="4"/>
        <v>96</v>
      </c>
      <c r="Q42" s="203">
        <f t="shared" si="4"/>
        <v>-418001</v>
      </c>
    </row>
    <row r="43" spans="1:17" ht="12.75">
      <c r="A43" s="99"/>
      <c r="B43" s="193"/>
      <c r="C43" s="38"/>
      <c r="D43" s="38"/>
      <c r="E43" s="38"/>
      <c r="F43" s="38"/>
      <c r="G43" s="38"/>
      <c r="H43" s="38"/>
      <c r="I43" s="38"/>
      <c r="J43" s="38"/>
      <c r="K43" s="38"/>
      <c r="L43" s="38"/>
      <c r="M43" s="38"/>
      <c r="N43" s="38"/>
      <c r="O43" s="96"/>
      <c r="P43" s="39"/>
      <c r="Q43" s="182"/>
    </row>
    <row r="44" spans="1:17" ht="12.75">
      <c r="A44" s="100" t="s">
        <v>156</v>
      </c>
      <c r="B44" s="191"/>
      <c r="C44" s="38"/>
      <c r="D44" s="38"/>
      <c r="E44" s="38"/>
      <c r="F44" s="38"/>
      <c r="G44" s="38"/>
      <c r="H44" s="38"/>
      <c r="I44" s="38"/>
      <c r="J44" s="38"/>
      <c r="K44" s="38"/>
      <c r="L44" s="38"/>
      <c r="M44" s="38"/>
      <c r="N44" s="38"/>
      <c r="O44" s="39"/>
      <c r="P44" s="39"/>
      <c r="Q44" s="182"/>
    </row>
    <row r="45" spans="1:17" ht="12.75">
      <c r="A45" s="102" t="s">
        <v>12</v>
      </c>
      <c r="B45" s="199">
        <v>0</v>
      </c>
      <c r="C45" s="38">
        <v>0</v>
      </c>
      <c r="D45" s="38">
        <v>2</v>
      </c>
      <c r="E45" s="38">
        <v>0</v>
      </c>
      <c r="F45" s="38">
        <v>0</v>
      </c>
      <c r="G45" s="38">
        <v>0</v>
      </c>
      <c r="H45" s="38">
        <v>0</v>
      </c>
      <c r="I45" s="38">
        <v>0</v>
      </c>
      <c r="J45" s="38">
        <v>0</v>
      </c>
      <c r="K45" s="38">
        <v>0</v>
      </c>
      <c r="L45" s="38">
        <v>0</v>
      </c>
      <c r="M45" s="38">
        <v>0</v>
      </c>
      <c r="N45" s="38">
        <v>0</v>
      </c>
      <c r="O45" s="39">
        <f>SUM(C45:N45)</f>
        <v>2</v>
      </c>
      <c r="P45" s="39">
        <f>B45+O45</f>
        <v>2</v>
      </c>
      <c r="Q45" s="182">
        <v>664</v>
      </c>
    </row>
    <row r="46" spans="1:17" ht="12.75">
      <c r="A46" s="184" t="s">
        <v>157</v>
      </c>
      <c r="B46" s="199">
        <f>SUM(B45)</f>
        <v>0</v>
      </c>
      <c r="C46" s="37">
        <f aca="true" t="shared" si="5" ref="C46:O46">SUM(C45:C45)</f>
        <v>0</v>
      </c>
      <c r="D46" s="37">
        <f t="shared" si="5"/>
        <v>2</v>
      </c>
      <c r="E46" s="37">
        <f t="shared" si="5"/>
        <v>0</v>
      </c>
      <c r="F46" s="37">
        <f t="shared" si="5"/>
        <v>0</v>
      </c>
      <c r="G46" s="37">
        <f t="shared" si="5"/>
        <v>0</v>
      </c>
      <c r="H46" s="37">
        <f t="shared" si="5"/>
        <v>0</v>
      </c>
      <c r="I46" s="37">
        <f t="shared" si="5"/>
        <v>0</v>
      </c>
      <c r="J46" s="37">
        <f t="shared" si="5"/>
        <v>0</v>
      </c>
      <c r="K46" s="37">
        <f t="shared" si="5"/>
        <v>0</v>
      </c>
      <c r="L46" s="37">
        <f t="shared" si="5"/>
        <v>0</v>
      </c>
      <c r="M46" s="37">
        <f t="shared" si="5"/>
        <v>0</v>
      </c>
      <c r="N46" s="37">
        <f t="shared" si="5"/>
        <v>0</v>
      </c>
      <c r="O46" s="36">
        <f t="shared" si="5"/>
        <v>2</v>
      </c>
      <c r="P46" s="36">
        <f>SUM(P45)</f>
        <v>2</v>
      </c>
      <c r="Q46" s="201">
        <f>SUM(Q45:Q45)</f>
        <v>664</v>
      </c>
    </row>
    <row r="47" spans="1:17" ht="15" customHeight="1" thickBot="1">
      <c r="A47" s="103" t="s">
        <v>34</v>
      </c>
      <c r="B47" s="199">
        <f>B29+B35+B42+B46</f>
        <v>8616658.58</v>
      </c>
      <c r="C47" s="40">
        <f aca="true" t="shared" si="6" ref="C47:N47">+C29+C35+C42+C46</f>
        <v>174638</v>
      </c>
      <c r="D47" s="40">
        <f t="shared" si="6"/>
        <v>521885</v>
      </c>
      <c r="E47" s="40">
        <f t="shared" si="6"/>
        <v>178483</v>
      </c>
      <c r="F47" s="40">
        <f t="shared" si="6"/>
        <v>-45942</v>
      </c>
      <c r="G47" s="40">
        <f t="shared" si="6"/>
        <v>25105</v>
      </c>
      <c r="H47" s="40">
        <f t="shared" si="6"/>
        <v>237159</v>
      </c>
      <c r="I47" s="40">
        <f t="shared" si="6"/>
        <v>17141</v>
      </c>
      <c r="J47" s="40">
        <f t="shared" si="6"/>
        <v>19653</v>
      </c>
      <c r="K47" s="40">
        <f t="shared" si="6"/>
        <v>479481</v>
      </c>
      <c r="L47" s="40">
        <f t="shared" si="6"/>
        <v>3467</v>
      </c>
      <c r="M47" s="40">
        <f t="shared" si="6"/>
        <v>18977</v>
      </c>
      <c r="N47" s="40">
        <f t="shared" si="6"/>
        <v>1426913</v>
      </c>
      <c r="O47" s="53">
        <f>O29+O35+O42+O46</f>
        <v>3056960</v>
      </c>
      <c r="P47" s="53">
        <f>P29+P35+P42+P46</f>
        <v>11673618.58</v>
      </c>
      <c r="Q47" s="204">
        <f>Q29+Q35+Q42+Q46</f>
        <v>18023993</v>
      </c>
    </row>
    <row r="48" spans="1:18" ht="10.5" customHeight="1" thickBot="1" thickTop="1">
      <c r="A48" s="216"/>
      <c r="B48" s="219"/>
      <c r="C48" s="9"/>
      <c r="D48" s="9"/>
      <c r="E48" s="9"/>
      <c r="F48" s="9"/>
      <c r="G48" s="9"/>
      <c r="H48" s="9"/>
      <c r="I48" s="9"/>
      <c r="J48" s="9"/>
      <c r="K48" s="9"/>
      <c r="L48" s="9"/>
      <c r="M48" s="9"/>
      <c r="N48" s="9"/>
      <c r="O48" s="9"/>
      <c r="P48" s="9"/>
      <c r="Q48" s="185"/>
      <c r="R48" s="186"/>
    </row>
    <row r="49" ht="12.75">
      <c r="R49" s="186"/>
    </row>
    <row r="50" spans="1:17" s="63" customFormat="1" ht="12.75">
      <c r="A50" s="63" t="s">
        <v>158</v>
      </c>
      <c r="O50" s="121"/>
      <c r="P50" s="121"/>
      <c r="Q50" s="121"/>
    </row>
    <row r="51" spans="1:17" s="63" customFormat="1" ht="12.75">
      <c r="A51" s="63" t="s">
        <v>159</v>
      </c>
      <c r="N51" s="121"/>
      <c r="O51" s="121"/>
      <c r="P51" s="121"/>
      <c r="Q51" s="187"/>
    </row>
    <row r="52" spans="1:17" s="63" customFormat="1" ht="12.75">
      <c r="A52" s="122"/>
      <c r="B52" s="122"/>
      <c r="O52" s="63" t="s">
        <v>14</v>
      </c>
      <c r="Q52" s="187"/>
    </row>
    <row r="53" spans="1:17" s="63" customFormat="1" ht="12.75">
      <c r="A53" s="60"/>
      <c r="B53" s="60"/>
      <c r="E53" s="123"/>
      <c r="Q53" s="187"/>
    </row>
    <row r="54" spans="1:17" ht="12.75">
      <c r="A54" s="60"/>
      <c r="B54" s="60"/>
      <c r="C54" s="63"/>
      <c r="D54" s="63"/>
      <c r="E54" s="63"/>
      <c r="F54" s="63"/>
      <c r="G54" s="63"/>
      <c r="H54" s="63"/>
      <c r="I54" s="63"/>
      <c r="J54" s="63"/>
      <c r="K54" s="63"/>
      <c r="N54" s="66"/>
      <c r="Q54" s="188"/>
    </row>
    <row r="55" spans="1:17" ht="12.75">
      <c r="A55" s="60"/>
      <c r="B55" s="60"/>
      <c r="C55" s="63"/>
      <c r="D55" s="63"/>
      <c r="E55" s="33"/>
      <c r="F55" s="104"/>
      <c r="G55" s="66"/>
      <c r="Q55" s="188"/>
    </row>
    <row r="56" spans="5:17" ht="12.75">
      <c r="E56" s="33"/>
      <c r="F56" s="104"/>
      <c r="G56" s="66"/>
      <c r="Q56" s="188"/>
    </row>
    <row r="57" spans="5:17" ht="12.75">
      <c r="E57" s="33"/>
      <c r="F57" s="104"/>
      <c r="G57" s="66"/>
      <c r="Q57" s="188"/>
    </row>
    <row r="58" spans="5:17" ht="12.75">
      <c r="E58" s="33"/>
      <c r="F58" s="104"/>
      <c r="G58" s="66"/>
      <c r="Q58" s="188"/>
    </row>
    <row r="59" spans="5:17" ht="12.75">
      <c r="E59" s="1"/>
      <c r="F59" s="105"/>
      <c r="Q59" s="188"/>
    </row>
    <row r="60" spans="5:17" ht="12.75">
      <c r="E60" s="91"/>
      <c r="F60" s="104"/>
      <c r="G60" s="66"/>
      <c r="Q60" s="188"/>
    </row>
    <row r="61" spans="5:17" ht="12.75">
      <c r="E61" s="91"/>
      <c r="F61" s="104"/>
      <c r="G61" s="66"/>
      <c r="Q61" s="188"/>
    </row>
    <row r="62" spans="5:17" ht="12.75">
      <c r="E62" s="91"/>
      <c r="F62" s="104"/>
      <c r="G62" s="66"/>
      <c r="Q62" s="188"/>
    </row>
    <row r="63" spans="5:7" ht="12.75">
      <c r="E63" s="91"/>
      <c r="F63" s="104"/>
      <c r="G63" s="66"/>
    </row>
    <row r="64" spans="5:7" ht="12.75">
      <c r="E64" s="91"/>
      <c r="F64" s="104"/>
      <c r="G64" s="66"/>
    </row>
    <row r="65" spans="5:7" ht="12.75">
      <c r="E65" s="1"/>
      <c r="F65" s="90"/>
      <c r="G65" s="66"/>
    </row>
  </sheetData>
  <printOptions horizontalCentered="1"/>
  <pageMargins left="0.5" right="0.5" top="1" bottom="1" header="0.5" footer="0.5"/>
  <pageSetup fitToHeight="1" fitToWidth="1" horizontalDpi="600" verticalDpi="600" orientation="landscape" scale="51" r:id="rId2"/>
  <headerFooter alignWithMargins="0">
    <oddHeader>&amp;C&amp;"Arial,Bold"Table I-2B
SCE Demand Response Programs and Activities
Incremental Cost
Carryover Funding (1)
2010
&amp;"Arial,Regular"
</oddHeader>
    <oddFooter>&amp;L&amp;F&amp;R&amp;D</oddFooter>
  </headerFooter>
  <drawing r:id="rId1"/>
</worksheet>
</file>

<file path=xl/worksheets/sheet7.xml><?xml version="1.0" encoding="utf-8"?>
<worksheet xmlns="http://schemas.openxmlformats.org/spreadsheetml/2006/main" xmlns:r="http://schemas.openxmlformats.org/officeDocument/2006/relationships">
  <dimension ref="A1:G114"/>
  <sheetViews>
    <sheetView zoomScale="75" zoomScaleNormal="75" zoomScaleSheetLayoutView="75" workbookViewId="0" topLeftCell="A1">
      <selection activeCell="A2" sqref="A2"/>
    </sheetView>
  </sheetViews>
  <sheetFormatPr defaultColWidth="9.140625" defaultRowHeight="12.75"/>
  <cols>
    <col min="1" max="1" width="49.7109375" style="0" customWidth="1"/>
    <col min="2" max="2" width="12.421875" style="301" customWidth="1"/>
    <col min="3" max="3" width="17.57421875" style="171" customWidth="1"/>
    <col min="4" max="4" width="37.421875" style="0" bestFit="1" customWidth="1"/>
    <col min="5" max="5" width="17.28125" style="0" customWidth="1"/>
    <col min="6" max="6" width="22.00390625" style="0" bestFit="1" customWidth="1"/>
    <col min="7" max="7" width="16.00390625" style="0" customWidth="1"/>
  </cols>
  <sheetData>
    <row r="1" ht="12.75">
      <c r="A1" s="170" t="s">
        <v>127</v>
      </c>
    </row>
    <row r="2" ht="12.75">
      <c r="A2" s="170"/>
    </row>
    <row r="3" spans="1:7" ht="38.25">
      <c r="A3" s="173" t="s">
        <v>124</v>
      </c>
      <c r="B3" s="47" t="s">
        <v>48</v>
      </c>
      <c r="C3" s="172" t="s">
        <v>22</v>
      </c>
      <c r="D3" s="31" t="s">
        <v>30</v>
      </c>
      <c r="E3" s="31" t="s">
        <v>31</v>
      </c>
      <c r="F3" s="31" t="s">
        <v>27</v>
      </c>
      <c r="G3" s="31" t="s">
        <v>29</v>
      </c>
    </row>
    <row r="4" spans="1:7" ht="12.75">
      <c r="A4" s="174" t="s">
        <v>68</v>
      </c>
      <c r="B4" s="50"/>
      <c r="C4" s="303"/>
      <c r="D4" s="48"/>
      <c r="E4" s="49"/>
      <c r="F4" s="49"/>
      <c r="G4" s="49"/>
    </row>
    <row r="5" spans="1:7" ht="12.75">
      <c r="A5" s="306" t="s">
        <v>201</v>
      </c>
      <c r="B5" s="291">
        <v>1</v>
      </c>
      <c r="C5" s="303">
        <v>40373</v>
      </c>
      <c r="D5" s="291" t="s">
        <v>303</v>
      </c>
      <c r="E5" s="62">
        <v>8962</v>
      </c>
      <c r="F5" s="125" t="s">
        <v>216</v>
      </c>
      <c r="G5" s="50"/>
    </row>
    <row r="6" spans="1:7" ht="12.75">
      <c r="A6" s="306" t="s">
        <v>202</v>
      </c>
      <c r="B6" s="291">
        <v>2</v>
      </c>
      <c r="C6" s="303">
        <v>40373</v>
      </c>
      <c r="D6" s="291" t="s">
        <v>303</v>
      </c>
      <c r="E6" s="62">
        <v>24970</v>
      </c>
      <c r="F6" s="125" t="s">
        <v>217</v>
      </c>
      <c r="G6" s="50"/>
    </row>
    <row r="7" spans="1:7" ht="12.75">
      <c r="A7" s="306" t="s">
        <v>201</v>
      </c>
      <c r="B7" s="291">
        <v>3</v>
      </c>
      <c r="C7" s="303">
        <v>40374</v>
      </c>
      <c r="D7" s="291" t="s">
        <v>303</v>
      </c>
      <c r="E7" s="62">
        <v>8962</v>
      </c>
      <c r="F7" s="125" t="s">
        <v>218</v>
      </c>
      <c r="G7" s="50"/>
    </row>
    <row r="8" spans="1:7" ht="12.75">
      <c r="A8" s="306" t="s">
        <v>203</v>
      </c>
      <c r="B8" s="291">
        <v>4</v>
      </c>
      <c r="C8" s="303">
        <v>40374</v>
      </c>
      <c r="D8" s="291" t="s">
        <v>303</v>
      </c>
      <c r="E8" s="62">
        <v>24970</v>
      </c>
      <c r="F8" s="125" t="s">
        <v>218</v>
      </c>
      <c r="G8" s="50"/>
    </row>
    <row r="9" spans="1:7" ht="12.75">
      <c r="A9" s="306" t="s">
        <v>16</v>
      </c>
      <c r="B9" s="50">
        <v>5</v>
      </c>
      <c r="C9" s="303">
        <v>40388</v>
      </c>
      <c r="D9" s="50" t="s">
        <v>204</v>
      </c>
      <c r="E9" s="304">
        <v>36762</v>
      </c>
      <c r="F9" s="125" t="s">
        <v>221</v>
      </c>
      <c r="G9" s="50"/>
    </row>
    <row r="10" spans="1:7" ht="12.75">
      <c r="A10" s="306" t="s">
        <v>203</v>
      </c>
      <c r="B10" s="291">
        <v>6</v>
      </c>
      <c r="C10" s="303">
        <v>40388</v>
      </c>
      <c r="D10" s="50" t="s">
        <v>204</v>
      </c>
      <c r="E10" s="62">
        <v>589933</v>
      </c>
      <c r="F10" s="125" t="s">
        <v>222</v>
      </c>
      <c r="G10" s="50"/>
    </row>
    <row r="11" spans="1:7" ht="12.75">
      <c r="A11" s="306" t="s">
        <v>201</v>
      </c>
      <c r="B11" s="50">
        <v>7</v>
      </c>
      <c r="C11" s="303">
        <v>40388</v>
      </c>
      <c r="D11" s="50" t="s">
        <v>204</v>
      </c>
      <c r="E11" s="177">
        <v>147913</v>
      </c>
      <c r="F11" s="125" t="s">
        <v>222</v>
      </c>
      <c r="G11" s="50"/>
    </row>
    <row r="12" spans="1:7" ht="12.75">
      <c r="A12" s="306" t="s">
        <v>201</v>
      </c>
      <c r="B12" s="306">
        <v>8</v>
      </c>
      <c r="C12" s="313">
        <v>40414</v>
      </c>
      <c r="D12" s="291" t="s">
        <v>303</v>
      </c>
      <c r="E12" s="314">
        <v>8426</v>
      </c>
      <c r="F12" s="316" t="s">
        <v>237</v>
      </c>
      <c r="G12" s="306"/>
    </row>
    <row r="13" spans="1:7" ht="12.75">
      <c r="A13" s="306" t="s">
        <v>203</v>
      </c>
      <c r="B13" s="306">
        <v>9</v>
      </c>
      <c r="C13" s="313">
        <v>40414</v>
      </c>
      <c r="D13" s="291" t="s">
        <v>303</v>
      </c>
      <c r="E13" s="314">
        <v>24677</v>
      </c>
      <c r="F13" s="316" t="s">
        <v>238</v>
      </c>
      <c r="G13" s="306"/>
    </row>
    <row r="14" spans="1:7" ht="12.75">
      <c r="A14" s="306" t="s">
        <v>201</v>
      </c>
      <c r="B14" s="306">
        <v>10</v>
      </c>
      <c r="C14" s="313">
        <v>40415</v>
      </c>
      <c r="D14" s="291" t="s">
        <v>303</v>
      </c>
      <c r="E14" s="314">
        <v>8426</v>
      </c>
      <c r="F14" s="316" t="s">
        <v>239</v>
      </c>
      <c r="G14" s="306"/>
    </row>
    <row r="15" spans="1:7" ht="12.75">
      <c r="A15" s="306" t="s">
        <v>203</v>
      </c>
      <c r="B15" s="306">
        <v>11</v>
      </c>
      <c r="C15" s="313">
        <v>40415</v>
      </c>
      <c r="D15" s="291" t="s">
        <v>303</v>
      </c>
      <c r="E15" s="314">
        <v>24677</v>
      </c>
      <c r="F15" s="316" t="s">
        <v>240</v>
      </c>
      <c r="G15" s="306"/>
    </row>
    <row r="16" spans="1:7" ht="12.75">
      <c r="A16" s="306" t="s">
        <v>16</v>
      </c>
      <c r="B16" s="306">
        <v>12</v>
      </c>
      <c r="C16" s="313">
        <v>40448</v>
      </c>
      <c r="D16" s="306" t="s">
        <v>204</v>
      </c>
      <c r="E16" s="314">
        <v>29276</v>
      </c>
      <c r="F16" s="316" t="s">
        <v>292</v>
      </c>
      <c r="G16" s="306"/>
    </row>
    <row r="17" spans="1:7" ht="12.75">
      <c r="A17" s="306" t="s">
        <v>201</v>
      </c>
      <c r="B17" s="306">
        <v>13</v>
      </c>
      <c r="C17" s="313">
        <v>40448</v>
      </c>
      <c r="D17" s="306" t="s">
        <v>204</v>
      </c>
      <c r="E17" s="314">
        <v>146902</v>
      </c>
      <c r="F17" s="316" t="s">
        <v>292</v>
      </c>
      <c r="G17" s="306"/>
    </row>
    <row r="18" spans="1:7" ht="12.75">
      <c r="A18" s="306" t="s">
        <v>203</v>
      </c>
      <c r="B18" s="306">
        <v>14</v>
      </c>
      <c r="C18" s="313">
        <v>40448</v>
      </c>
      <c r="D18" s="306" t="s">
        <v>204</v>
      </c>
      <c r="E18" s="314">
        <v>589927</v>
      </c>
      <c r="F18" s="316" t="s">
        <v>298</v>
      </c>
      <c r="G18" s="306"/>
    </row>
    <row r="19" spans="1:7" ht="12.75">
      <c r="A19" s="306"/>
      <c r="B19" s="50"/>
      <c r="C19" s="303"/>
      <c r="D19" s="50"/>
      <c r="E19" s="177"/>
      <c r="F19" s="125"/>
      <c r="G19" s="50"/>
    </row>
    <row r="20" spans="1:7" ht="12.75">
      <c r="A20" s="176"/>
      <c r="B20" s="50"/>
      <c r="C20" s="303"/>
      <c r="D20" s="48"/>
      <c r="E20" s="177"/>
      <c r="F20" s="50"/>
      <c r="G20" s="50"/>
    </row>
    <row r="21" spans="1:7" ht="12.75">
      <c r="A21" s="174" t="s">
        <v>69</v>
      </c>
      <c r="B21" s="291"/>
      <c r="C21" s="303"/>
      <c r="D21" s="48"/>
      <c r="E21" s="62"/>
      <c r="F21" s="125"/>
      <c r="G21" s="50"/>
    </row>
    <row r="22" spans="1:7" ht="12.75">
      <c r="A22" s="291" t="s">
        <v>168</v>
      </c>
      <c r="B22" s="291">
        <v>1</v>
      </c>
      <c r="C22" s="303">
        <v>40359</v>
      </c>
      <c r="D22" s="291" t="s">
        <v>191</v>
      </c>
      <c r="E22" s="304">
        <v>118790</v>
      </c>
      <c r="F22" s="305" t="s">
        <v>223</v>
      </c>
      <c r="G22" s="291"/>
    </row>
    <row r="23" spans="1:7" ht="12.75">
      <c r="A23" s="306" t="s">
        <v>197</v>
      </c>
      <c r="B23" s="291">
        <v>2</v>
      </c>
      <c r="C23" s="303">
        <v>40373</v>
      </c>
      <c r="D23" s="50" t="s">
        <v>198</v>
      </c>
      <c r="E23" s="62">
        <v>4133</v>
      </c>
      <c r="F23" s="125" t="s">
        <v>224</v>
      </c>
      <c r="G23" s="50"/>
    </row>
    <row r="24" spans="1:7" ht="12.75">
      <c r="A24" s="306" t="s">
        <v>197</v>
      </c>
      <c r="B24" s="291">
        <v>3</v>
      </c>
      <c r="C24" s="303">
        <v>40374</v>
      </c>
      <c r="D24" s="50" t="s">
        <v>198</v>
      </c>
      <c r="E24" s="62">
        <v>1979</v>
      </c>
      <c r="F24" s="50" t="s">
        <v>223</v>
      </c>
      <c r="G24" s="50"/>
    </row>
    <row r="25" spans="1:7" ht="12.75">
      <c r="A25" s="306" t="s">
        <v>197</v>
      </c>
      <c r="B25" s="291">
        <v>4</v>
      </c>
      <c r="C25" s="303">
        <v>40375</v>
      </c>
      <c r="D25" s="50" t="s">
        <v>198</v>
      </c>
      <c r="E25" s="62">
        <v>8549</v>
      </c>
      <c r="F25" s="50" t="s">
        <v>225</v>
      </c>
      <c r="G25" s="50"/>
    </row>
    <row r="26" spans="1:7" ht="12.75">
      <c r="A26" s="306" t="s">
        <v>199</v>
      </c>
      <c r="B26" s="291">
        <v>5</v>
      </c>
      <c r="C26" s="303">
        <v>40375</v>
      </c>
      <c r="D26" s="50" t="s">
        <v>198</v>
      </c>
      <c r="E26" s="62">
        <v>366</v>
      </c>
      <c r="F26" s="50" t="s">
        <v>223</v>
      </c>
      <c r="G26" s="50"/>
    </row>
    <row r="27" spans="1:7" ht="12.75">
      <c r="A27" s="306" t="s">
        <v>17</v>
      </c>
      <c r="B27" s="291">
        <v>6</v>
      </c>
      <c r="C27" s="303">
        <v>40375</v>
      </c>
      <c r="D27" s="50" t="s">
        <v>198</v>
      </c>
      <c r="E27" s="62">
        <v>59520</v>
      </c>
      <c r="F27" s="125" t="s">
        <v>226</v>
      </c>
      <c r="G27" s="50"/>
    </row>
    <row r="28" spans="1:7" ht="12.75">
      <c r="A28" s="291" t="s">
        <v>168</v>
      </c>
      <c r="B28" s="291">
        <v>7</v>
      </c>
      <c r="C28" s="303">
        <v>40375</v>
      </c>
      <c r="D28" s="50" t="s">
        <v>198</v>
      </c>
      <c r="E28" s="62">
        <v>123020</v>
      </c>
      <c r="F28" s="50" t="s">
        <v>223</v>
      </c>
      <c r="G28" s="50"/>
    </row>
    <row r="29" spans="1:7" ht="12.75">
      <c r="A29" s="306" t="s">
        <v>199</v>
      </c>
      <c r="B29" s="291">
        <v>8</v>
      </c>
      <c r="C29" s="303">
        <v>40378</v>
      </c>
      <c r="D29" s="50" t="s">
        <v>198</v>
      </c>
      <c r="E29" s="62">
        <v>716</v>
      </c>
      <c r="F29" s="125" t="s">
        <v>224</v>
      </c>
      <c r="G29" s="50"/>
    </row>
    <row r="30" spans="1:7" ht="12.75">
      <c r="A30" s="306" t="s">
        <v>168</v>
      </c>
      <c r="B30" s="306">
        <v>9</v>
      </c>
      <c r="C30" s="313">
        <v>40396</v>
      </c>
      <c r="D30" s="306" t="s">
        <v>191</v>
      </c>
      <c r="E30" s="317">
        <v>182590</v>
      </c>
      <c r="F30" s="306" t="s">
        <v>223</v>
      </c>
      <c r="G30" s="306"/>
    </row>
    <row r="31" spans="1:7" ht="12.75">
      <c r="A31" s="306" t="s">
        <v>168</v>
      </c>
      <c r="B31" s="306">
        <v>10</v>
      </c>
      <c r="C31" s="313">
        <v>40402</v>
      </c>
      <c r="D31" s="50" t="s">
        <v>198</v>
      </c>
      <c r="E31" s="317">
        <v>141940</v>
      </c>
      <c r="F31" s="306" t="s">
        <v>223</v>
      </c>
      <c r="G31" s="306"/>
    </row>
    <row r="32" spans="1:7" ht="12.75">
      <c r="A32" s="306" t="s">
        <v>241</v>
      </c>
      <c r="B32" s="306">
        <v>11</v>
      </c>
      <c r="C32" s="313">
        <v>40406</v>
      </c>
      <c r="D32" s="306" t="s">
        <v>198</v>
      </c>
      <c r="E32" s="317">
        <v>846</v>
      </c>
      <c r="F32" s="306" t="s">
        <v>242</v>
      </c>
      <c r="G32" s="306"/>
    </row>
    <row r="33" spans="1:7" ht="12.75">
      <c r="A33" s="306" t="s">
        <v>168</v>
      </c>
      <c r="B33" s="306">
        <v>12</v>
      </c>
      <c r="C33" s="313">
        <v>40406</v>
      </c>
      <c r="D33" s="50" t="s">
        <v>198</v>
      </c>
      <c r="E33" s="317">
        <v>71780</v>
      </c>
      <c r="F33" s="318" t="s">
        <v>223</v>
      </c>
      <c r="G33" s="306"/>
    </row>
    <row r="34" spans="1:7" ht="12.75">
      <c r="A34" s="306" t="s">
        <v>241</v>
      </c>
      <c r="B34" s="306">
        <v>13</v>
      </c>
      <c r="C34" s="313">
        <v>40407</v>
      </c>
      <c r="D34" s="306" t="s">
        <v>198</v>
      </c>
      <c r="E34" s="317">
        <v>648</v>
      </c>
      <c r="F34" s="316" t="s">
        <v>224</v>
      </c>
      <c r="G34" s="306"/>
    </row>
    <row r="35" spans="1:7" ht="12.75">
      <c r="A35" s="306" t="s">
        <v>168</v>
      </c>
      <c r="B35" s="306">
        <v>14</v>
      </c>
      <c r="C35" s="313">
        <v>40408</v>
      </c>
      <c r="D35" s="50" t="s">
        <v>198</v>
      </c>
      <c r="E35" s="317">
        <v>48880</v>
      </c>
      <c r="F35" s="318" t="s">
        <v>223</v>
      </c>
      <c r="G35" s="306"/>
    </row>
    <row r="36" spans="1:7" ht="12.75">
      <c r="A36" s="306" t="s">
        <v>241</v>
      </c>
      <c r="B36" s="306">
        <v>15</v>
      </c>
      <c r="C36" s="313">
        <v>40413</v>
      </c>
      <c r="D36" s="306" t="s">
        <v>198</v>
      </c>
      <c r="E36" s="317">
        <v>622</v>
      </c>
      <c r="F36" s="316" t="s">
        <v>224</v>
      </c>
      <c r="G36" s="306"/>
    </row>
    <row r="37" spans="1:7" ht="12.75">
      <c r="A37" s="306" t="s">
        <v>168</v>
      </c>
      <c r="B37" s="306">
        <v>16</v>
      </c>
      <c r="C37" s="313">
        <v>40413</v>
      </c>
      <c r="D37" s="50" t="s">
        <v>198</v>
      </c>
      <c r="E37" s="317">
        <v>75530</v>
      </c>
      <c r="F37" s="318" t="s">
        <v>223</v>
      </c>
      <c r="G37" s="306"/>
    </row>
    <row r="38" spans="1:7" ht="12.75">
      <c r="A38" s="306" t="s">
        <v>241</v>
      </c>
      <c r="B38" s="306">
        <v>17</v>
      </c>
      <c r="C38" s="313">
        <v>40414</v>
      </c>
      <c r="D38" s="306" t="s">
        <v>198</v>
      </c>
      <c r="E38" s="317">
        <v>55</v>
      </c>
      <c r="F38" s="316" t="s">
        <v>243</v>
      </c>
      <c r="G38" s="306"/>
    </row>
    <row r="39" spans="1:7" ht="12.75">
      <c r="A39" s="306" t="s">
        <v>168</v>
      </c>
      <c r="B39" s="306">
        <v>18</v>
      </c>
      <c r="C39" s="313">
        <v>40414</v>
      </c>
      <c r="D39" s="50" t="s">
        <v>198</v>
      </c>
      <c r="E39" s="317">
        <v>39590</v>
      </c>
      <c r="F39" s="318" t="s">
        <v>223</v>
      </c>
      <c r="G39" s="306"/>
    </row>
    <row r="40" spans="1:7" ht="12.75">
      <c r="A40" s="306" t="s">
        <v>17</v>
      </c>
      <c r="B40" s="306">
        <v>19</v>
      </c>
      <c r="C40" s="313">
        <v>40414</v>
      </c>
      <c r="D40" s="306" t="s">
        <v>198</v>
      </c>
      <c r="E40" s="317">
        <v>59430</v>
      </c>
      <c r="F40" s="318" t="s">
        <v>226</v>
      </c>
      <c r="G40" s="306"/>
    </row>
    <row r="41" spans="1:7" ht="12.75">
      <c r="A41" s="306" t="s">
        <v>197</v>
      </c>
      <c r="B41" s="306">
        <v>20</v>
      </c>
      <c r="C41" s="313">
        <v>40414</v>
      </c>
      <c r="D41" s="306" t="s">
        <v>198</v>
      </c>
      <c r="E41" s="317">
        <v>13125</v>
      </c>
      <c r="F41" s="316" t="s">
        <v>244</v>
      </c>
      <c r="G41" s="306"/>
    </row>
    <row r="42" spans="1:7" ht="12.75">
      <c r="A42" s="306" t="s">
        <v>168</v>
      </c>
      <c r="B42" s="306">
        <v>21</v>
      </c>
      <c r="C42" s="313">
        <v>40415</v>
      </c>
      <c r="D42" s="50" t="s">
        <v>198</v>
      </c>
      <c r="E42" s="317">
        <v>44930</v>
      </c>
      <c r="F42" s="318" t="s">
        <v>223</v>
      </c>
      <c r="G42" s="306"/>
    </row>
    <row r="43" spans="1:7" ht="12.75">
      <c r="A43" s="306" t="s">
        <v>241</v>
      </c>
      <c r="B43" s="306">
        <v>22</v>
      </c>
      <c r="C43" s="313">
        <v>40415</v>
      </c>
      <c r="D43" s="306" t="s">
        <v>198</v>
      </c>
      <c r="E43" s="317">
        <v>370</v>
      </c>
      <c r="F43" s="316" t="s">
        <v>243</v>
      </c>
      <c r="G43" s="306"/>
    </row>
    <row r="44" spans="1:7" ht="12.75">
      <c r="A44" s="306" t="s">
        <v>17</v>
      </c>
      <c r="B44" s="306">
        <v>23</v>
      </c>
      <c r="C44" s="313">
        <v>40415</v>
      </c>
      <c r="D44" s="306" t="s">
        <v>198</v>
      </c>
      <c r="E44" s="317">
        <v>43120</v>
      </c>
      <c r="F44" s="318" t="s">
        <v>226</v>
      </c>
      <c r="G44" s="306"/>
    </row>
    <row r="45" spans="1:7" ht="12.75">
      <c r="A45" s="306" t="s">
        <v>197</v>
      </c>
      <c r="B45" s="306">
        <v>24</v>
      </c>
      <c r="C45" s="313">
        <v>40415</v>
      </c>
      <c r="D45" s="306" t="s">
        <v>198</v>
      </c>
      <c r="E45" s="317">
        <v>12428</v>
      </c>
      <c r="F45" s="318" t="s">
        <v>245</v>
      </c>
      <c r="G45" s="306"/>
    </row>
    <row r="46" spans="1:7" ht="12.75">
      <c r="A46" s="306" t="s">
        <v>241</v>
      </c>
      <c r="B46" s="306">
        <v>25</v>
      </c>
      <c r="C46" s="313">
        <v>40416</v>
      </c>
      <c r="D46" s="306" t="s">
        <v>198</v>
      </c>
      <c r="E46" s="317">
        <v>450</v>
      </c>
      <c r="F46" s="318" t="s">
        <v>223</v>
      </c>
      <c r="G46" s="306"/>
    </row>
    <row r="47" spans="1:7" ht="12.75">
      <c r="A47" s="306" t="s">
        <v>17</v>
      </c>
      <c r="B47" s="306">
        <v>26</v>
      </c>
      <c r="C47" s="313">
        <v>40416</v>
      </c>
      <c r="D47" s="306" t="s">
        <v>198</v>
      </c>
      <c r="E47" s="317">
        <v>64770</v>
      </c>
      <c r="F47" s="318" t="s">
        <v>226</v>
      </c>
      <c r="G47" s="306"/>
    </row>
    <row r="48" spans="1:7" ht="12.75">
      <c r="A48" s="306" t="s">
        <v>197</v>
      </c>
      <c r="B48" s="306">
        <v>27</v>
      </c>
      <c r="C48" s="313">
        <v>40416</v>
      </c>
      <c r="D48" s="306" t="s">
        <v>198</v>
      </c>
      <c r="E48" s="317">
        <v>13907</v>
      </c>
      <c r="F48" s="306" t="s">
        <v>225</v>
      </c>
      <c r="G48" s="306"/>
    </row>
    <row r="49" spans="1:7" ht="12.75">
      <c r="A49" s="306" t="s">
        <v>241</v>
      </c>
      <c r="B49" s="306">
        <v>28</v>
      </c>
      <c r="C49" s="313">
        <v>40417</v>
      </c>
      <c r="D49" s="306" t="s">
        <v>198</v>
      </c>
      <c r="E49" s="317">
        <v>1340</v>
      </c>
      <c r="F49" s="316" t="s">
        <v>224</v>
      </c>
      <c r="G49" s="306"/>
    </row>
    <row r="50" spans="1:7" ht="12.75">
      <c r="A50" s="306" t="s">
        <v>241</v>
      </c>
      <c r="B50" s="306">
        <v>29</v>
      </c>
      <c r="C50" s="313">
        <v>40422</v>
      </c>
      <c r="D50" s="306" t="s">
        <v>198</v>
      </c>
      <c r="E50" s="317">
        <v>1110</v>
      </c>
      <c r="F50" s="316" t="s">
        <v>224</v>
      </c>
      <c r="G50" s="306"/>
    </row>
    <row r="51" spans="1:7" ht="12.75">
      <c r="A51" s="306" t="s">
        <v>241</v>
      </c>
      <c r="B51" s="306">
        <v>30</v>
      </c>
      <c r="C51" s="313">
        <v>40423</v>
      </c>
      <c r="D51" s="306" t="s">
        <v>198</v>
      </c>
      <c r="E51" s="317">
        <v>895</v>
      </c>
      <c r="F51" s="316" t="s">
        <v>224</v>
      </c>
      <c r="G51" s="306"/>
    </row>
    <row r="52" spans="1:7" ht="12.75">
      <c r="A52" s="306" t="s">
        <v>168</v>
      </c>
      <c r="B52" s="306">
        <v>31</v>
      </c>
      <c r="C52" s="313">
        <v>40423</v>
      </c>
      <c r="D52" s="50" t="s">
        <v>198</v>
      </c>
      <c r="E52" s="317">
        <v>132330</v>
      </c>
      <c r="F52" s="318" t="s">
        <v>223</v>
      </c>
      <c r="G52" s="306"/>
    </row>
    <row r="53" spans="1:7" ht="12.75">
      <c r="A53" s="306" t="s">
        <v>17</v>
      </c>
      <c r="B53" s="306">
        <v>32</v>
      </c>
      <c r="C53" s="313">
        <v>40423</v>
      </c>
      <c r="D53" s="50" t="s">
        <v>198</v>
      </c>
      <c r="E53" s="317">
        <v>57430</v>
      </c>
      <c r="F53" s="318" t="s">
        <v>226</v>
      </c>
      <c r="G53" s="306"/>
    </row>
    <row r="54" spans="1:7" ht="12.75">
      <c r="A54" s="306" t="s">
        <v>241</v>
      </c>
      <c r="B54" s="306">
        <v>33</v>
      </c>
      <c r="C54" s="313">
        <v>40424</v>
      </c>
      <c r="D54" s="306" t="s">
        <v>198</v>
      </c>
      <c r="E54" s="317">
        <v>1089</v>
      </c>
      <c r="F54" s="316" t="s">
        <v>224</v>
      </c>
      <c r="G54" s="306"/>
    </row>
    <row r="55" spans="1:7" ht="12.75">
      <c r="A55" s="306" t="s">
        <v>168</v>
      </c>
      <c r="B55" s="301">
        <v>34</v>
      </c>
      <c r="C55" s="313">
        <v>40441</v>
      </c>
      <c r="D55" s="306" t="s">
        <v>191</v>
      </c>
      <c r="E55" s="317">
        <v>140920</v>
      </c>
      <c r="F55" s="318" t="s">
        <v>223</v>
      </c>
      <c r="G55" s="306"/>
    </row>
    <row r="56" spans="1:7" ht="12.75">
      <c r="A56" s="306" t="s">
        <v>300</v>
      </c>
      <c r="B56" s="306">
        <v>35</v>
      </c>
      <c r="C56" s="313">
        <v>40445</v>
      </c>
      <c r="D56" s="306" t="s">
        <v>198</v>
      </c>
      <c r="E56" s="317">
        <v>4608</v>
      </c>
      <c r="F56" s="316" t="s">
        <v>301</v>
      </c>
      <c r="G56" s="306"/>
    </row>
    <row r="57" spans="1:7" ht="12.75">
      <c r="A57" s="306" t="s">
        <v>241</v>
      </c>
      <c r="B57" s="306">
        <v>36</v>
      </c>
      <c r="C57" s="313">
        <v>40448</v>
      </c>
      <c r="D57" s="306" t="s">
        <v>198</v>
      </c>
      <c r="E57" s="317">
        <v>75</v>
      </c>
      <c r="F57" s="316" t="s">
        <v>223</v>
      </c>
      <c r="G57" s="306"/>
    </row>
    <row r="58" spans="1:7" ht="12.75">
      <c r="A58" s="306" t="s">
        <v>300</v>
      </c>
      <c r="B58" s="306">
        <v>37</v>
      </c>
      <c r="C58" s="313">
        <v>40448</v>
      </c>
      <c r="D58" s="306" t="s">
        <v>198</v>
      </c>
      <c r="E58" s="317">
        <v>7659</v>
      </c>
      <c r="F58" s="316" t="s">
        <v>245</v>
      </c>
      <c r="G58" s="306"/>
    </row>
    <row r="59" spans="1:7" ht="12.75">
      <c r="A59" s="306" t="s">
        <v>168</v>
      </c>
      <c r="B59" s="306">
        <v>38</v>
      </c>
      <c r="C59" s="313">
        <v>40448</v>
      </c>
      <c r="D59" s="306" t="s">
        <v>198</v>
      </c>
      <c r="E59" s="418">
        <v>-37450</v>
      </c>
      <c r="F59" s="318" t="s">
        <v>223</v>
      </c>
      <c r="G59" s="306"/>
    </row>
    <row r="60" spans="1:7" ht="12.75">
      <c r="A60" s="306" t="s">
        <v>17</v>
      </c>
      <c r="B60" s="306">
        <v>39</v>
      </c>
      <c r="C60" s="313">
        <v>40448</v>
      </c>
      <c r="D60" s="306" t="s">
        <v>198</v>
      </c>
      <c r="E60" s="317">
        <v>16720</v>
      </c>
      <c r="F60" s="318" t="s">
        <v>226</v>
      </c>
      <c r="G60" s="306"/>
    </row>
    <row r="61" spans="1:7" ht="12.75">
      <c r="A61" s="306" t="s">
        <v>241</v>
      </c>
      <c r="B61" s="306">
        <v>40</v>
      </c>
      <c r="C61" s="313">
        <v>40449</v>
      </c>
      <c r="D61" s="306" t="s">
        <v>198</v>
      </c>
      <c r="E61" s="317">
        <v>79</v>
      </c>
      <c r="F61" s="316" t="s">
        <v>242</v>
      </c>
      <c r="G61" s="306"/>
    </row>
    <row r="62" spans="1:7" ht="12.75">
      <c r="A62" s="306" t="s">
        <v>300</v>
      </c>
      <c r="B62" s="306">
        <v>41</v>
      </c>
      <c r="C62" s="313">
        <v>40449</v>
      </c>
      <c r="D62" s="306" t="s">
        <v>198</v>
      </c>
      <c r="E62" s="317">
        <v>10717</v>
      </c>
      <c r="F62" s="316" t="s">
        <v>243</v>
      </c>
      <c r="G62" s="306"/>
    </row>
    <row r="63" spans="1:7" ht="12.75">
      <c r="A63" s="306" t="s">
        <v>17</v>
      </c>
      <c r="B63" s="306">
        <v>42</v>
      </c>
      <c r="C63" s="313">
        <v>40449</v>
      </c>
      <c r="D63" s="306" t="s">
        <v>198</v>
      </c>
      <c r="E63" s="317">
        <v>26000</v>
      </c>
      <c r="F63" s="318" t="s">
        <v>226</v>
      </c>
      <c r="G63" s="306"/>
    </row>
    <row r="64" spans="1:7" ht="12.75">
      <c r="A64" s="306" t="s">
        <v>241</v>
      </c>
      <c r="B64" s="306">
        <v>43</v>
      </c>
      <c r="C64" s="313">
        <v>40450</v>
      </c>
      <c r="D64" s="306" t="s">
        <v>198</v>
      </c>
      <c r="E64" s="317">
        <v>237</v>
      </c>
      <c r="F64" s="316" t="s">
        <v>224</v>
      </c>
      <c r="G64" s="306"/>
    </row>
    <row r="65" spans="1:7" ht="12.75">
      <c r="A65" s="306" t="s">
        <v>241</v>
      </c>
      <c r="B65" s="306">
        <v>44</v>
      </c>
      <c r="C65" s="313">
        <v>40451</v>
      </c>
      <c r="D65" s="306" t="s">
        <v>198</v>
      </c>
      <c r="E65" s="317">
        <v>422</v>
      </c>
      <c r="F65" s="316" t="s">
        <v>224</v>
      </c>
      <c r="G65" s="306"/>
    </row>
    <row r="66" spans="1:7" ht="12.75">
      <c r="A66" s="306" t="s">
        <v>17</v>
      </c>
      <c r="B66" s="306">
        <v>45</v>
      </c>
      <c r="C66" s="313">
        <v>40451</v>
      </c>
      <c r="D66" s="306" t="s">
        <v>198</v>
      </c>
      <c r="E66" s="317">
        <v>23740</v>
      </c>
      <c r="F66" s="318" t="s">
        <v>226</v>
      </c>
      <c r="G66" s="306"/>
    </row>
    <row r="67" spans="1:7" s="63" customFormat="1" ht="12.75">
      <c r="A67" s="306" t="s">
        <v>241</v>
      </c>
      <c r="B67" s="306">
        <v>46</v>
      </c>
      <c r="C67" s="313">
        <v>40452</v>
      </c>
      <c r="D67" s="306" t="s">
        <v>198</v>
      </c>
      <c r="E67" s="317">
        <v>1045</v>
      </c>
      <c r="F67" s="316" t="s">
        <v>224</v>
      </c>
      <c r="G67" s="306"/>
    </row>
    <row r="68" spans="1:7" s="63" customFormat="1" ht="12.75">
      <c r="A68" s="306" t="s">
        <v>17</v>
      </c>
      <c r="B68" s="306">
        <v>47</v>
      </c>
      <c r="C68" s="313">
        <v>40452</v>
      </c>
      <c r="D68" s="306" t="s">
        <v>198</v>
      </c>
      <c r="E68" s="317">
        <v>63450</v>
      </c>
      <c r="F68" s="318" t="s">
        <v>226</v>
      </c>
      <c r="G68" s="306"/>
    </row>
    <row r="69" spans="1:7" s="63" customFormat="1" ht="12.75">
      <c r="A69" s="306" t="s">
        <v>241</v>
      </c>
      <c r="B69" s="306">
        <v>48</v>
      </c>
      <c r="C69" s="313">
        <v>40465</v>
      </c>
      <c r="D69" s="306" t="s">
        <v>198</v>
      </c>
      <c r="E69" s="317">
        <v>912</v>
      </c>
      <c r="F69" s="316" t="s">
        <v>307</v>
      </c>
      <c r="G69" s="306"/>
    </row>
    <row r="70" spans="1:7" s="63" customFormat="1" ht="12.75">
      <c r="A70" s="306"/>
      <c r="B70" s="291"/>
      <c r="C70" s="423"/>
      <c r="D70" s="92"/>
      <c r="E70" s="304"/>
      <c r="F70" s="424"/>
      <c r="G70" s="291"/>
    </row>
    <row r="71" spans="1:7" ht="12.75">
      <c r="A71" s="306"/>
      <c r="B71" s="291"/>
      <c r="C71" s="303"/>
      <c r="D71" s="48"/>
      <c r="E71" s="62"/>
      <c r="F71" s="50"/>
      <c r="G71" s="50"/>
    </row>
    <row r="72" spans="1:7" ht="12.75">
      <c r="A72" s="174" t="s">
        <v>73</v>
      </c>
      <c r="B72" s="291"/>
      <c r="C72" s="303"/>
      <c r="D72" s="48"/>
      <c r="E72" s="62"/>
      <c r="F72" s="84"/>
      <c r="G72" s="50"/>
    </row>
    <row r="73" spans="1:7" ht="12.75">
      <c r="A73" s="174"/>
      <c r="B73" s="291"/>
      <c r="C73" s="303"/>
      <c r="D73" s="48"/>
      <c r="E73" s="62"/>
      <c r="F73" s="84"/>
      <c r="G73" s="50"/>
    </row>
    <row r="74" spans="1:7" ht="12.75">
      <c r="A74" s="306" t="s">
        <v>312</v>
      </c>
      <c r="B74" s="291">
        <v>1</v>
      </c>
      <c r="C74" s="303">
        <v>40387</v>
      </c>
      <c r="D74" s="50" t="s">
        <v>200</v>
      </c>
      <c r="E74" s="304">
        <v>103863</v>
      </c>
      <c r="F74" s="50" t="s">
        <v>227</v>
      </c>
      <c r="G74" s="49"/>
    </row>
    <row r="75" spans="1:7" ht="12.75">
      <c r="A75" s="306" t="s">
        <v>312</v>
      </c>
      <c r="B75" s="306">
        <v>2</v>
      </c>
      <c r="C75" s="319">
        <v>40415</v>
      </c>
      <c r="D75" s="320" t="s">
        <v>200</v>
      </c>
      <c r="E75" s="317">
        <v>141700</v>
      </c>
      <c r="F75" s="320" t="s">
        <v>242</v>
      </c>
      <c r="G75" s="321"/>
    </row>
    <row r="76" spans="1:7" ht="12.75">
      <c r="A76" s="142"/>
      <c r="B76" s="291"/>
      <c r="C76" s="303"/>
      <c r="D76" s="48"/>
      <c r="E76" s="62"/>
      <c r="F76" s="84"/>
      <c r="G76" s="50"/>
    </row>
    <row r="77" spans="1:7" ht="12.75">
      <c r="A77" s="175"/>
      <c r="B77" s="291"/>
      <c r="C77" s="303"/>
      <c r="D77" s="48"/>
      <c r="E77" s="62"/>
      <c r="F77" s="125"/>
      <c r="G77" s="50"/>
    </row>
    <row r="78" spans="1:7" ht="25.5">
      <c r="A78" s="174" t="s">
        <v>78</v>
      </c>
      <c r="B78" s="50"/>
      <c r="C78" s="303"/>
      <c r="D78" s="48"/>
      <c r="E78" s="48"/>
      <c r="F78" s="48"/>
      <c r="G78" s="48"/>
    </row>
    <row r="79" spans="1:7" ht="12.75">
      <c r="A79" s="175"/>
      <c r="B79" s="50"/>
      <c r="C79" s="303"/>
      <c r="D79" s="48"/>
      <c r="E79" s="48"/>
      <c r="F79" s="48"/>
      <c r="G79" s="48"/>
    </row>
    <row r="80" spans="1:7" ht="12.75">
      <c r="A80" s="306" t="s">
        <v>203</v>
      </c>
      <c r="B80" s="291">
        <v>1</v>
      </c>
      <c r="C80" s="303">
        <v>40387</v>
      </c>
      <c r="D80" s="50" t="s">
        <v>297</v>
      </c>
      <c r="E80" s="62">
        <v>2168</v>
      </c>
      <c r="F80" s="125" t="s">
        <v>219</v>
      </c>
      <c r="G80" s="50"/>
    </row>
    <row r="81" spans="1:7" ht="12.75">
      <c r="A81" s="306" t="s">
        <v>203</v>
      </c>
      <c r="B81" s="291">
        <v>2</v>
      </c>
      <c r="C81" s="303">
        <v>40388</v>
      </c>
      <c r="D81" s="50" t="s">
        <v>297</v>
      </c>
      <c r="E81" s="62">
        <v>2054</v>
      </c>
      <c r="F81" s="125" t="s">
        <v>220</v>
      </c>
      <c r="G81" s="50"/>
    </row>
    <row r="82" spans="1:7" ht="12.75">
      <c r="A82" s="306" t="s">
        <v>203</v>
      </c>
      <c r="B82" s="306">
        <v>3</v>
      </c>
      <c r="C82" s="313">
        <v>40394</v>
      </c>
      <c r="D82" s="50" t="s">
        <v>297</v>
      </c>
      <c r="E82" s="314">
        <v>6919</v>
      </c>
      <c r="F82" s="315" t="s">
        <v>229</v>
      </c>
      <c r="G82" s="306"/>
    </row>
    <row r="83" spans="1:7" ht="12.75">
      <c r="A83" s="306" t="s">
        <v>203</v>
      </c>
      <c r="B83" s="306">
        <v>4</v>
      </c>
      <c r="C83" s="313">
        <v>40400</v>
      </c>
      <c r="D83" s="50" t="s">
        <v>297</v>
      </c>
      <c r="E83" s="314">
        <v>6919</v>
      </c>
      <c r="F83" s="316" t="s">
        <v>230</v>
      </c>
      <c r="G83" s="306"/>
    </row>
    <row r="84" spans="1:7" ht="12.75">
      <c r="A84" s="306" t="s">
        <v>203</v>
      </c>
      <c r="B84" s="306">
        <v>5</v>
      </c>
      <c r="C84" s="313">
        <v>40402</v>
      </c>
      <c r="D84" s="50" t="s">
        <v>297</v>
      </c>
      <c r="E84" s="314">
        <v>3938</v>
      </c>
      <c r="F84" s="316" t="s">
        <v>231</v>
      </c>
      <c r="G84" s="306"/>
    </row>
    <row r="85" spans="1:7" ht="12.75">
      <c r="A85" s="306" t="s">
        <v>203</v>
      </c>
      <c r="B85" s="306">
        <v>6</v>
      </c>
      <c r="C85" s="313">
        <v>40406</v>
      </c>
      <c r="D85" s="50" t="s">
        <v>297</v>
      </c>
      <c r="E85" s="314">
        <v>3847</v>
      </c>
      <c r="F85" s="316" t="s">
        <v>232</v>
      </c>
      <c r="G85" s="306"/>
    </row>
    <row r="86" spans="1:7" ht="12.75">
      <c r="A86" s="306" t="s">
        <v>203</v>
      </c>
      <c r="B86" s="306">
        <v>7</v>
      </c>
      <c r="C86" s="313">
        <v>40407</v>
      </c>
      <c r="D86" s="50" t="s">
        <v>297</v>
      </c>
      <c r="E86" s="314">
        <v>3143</v>
      </c>
      <c r="F86" s="316" t="s">
        <v>233</v>
      </c>
      <c r="G86" s="306"/>
    </row>
    <row r="87" spans="1:7" ht="12.75">
      <c r="A87" s="306" t="s">
        <v>203</v>
      </c>
      <c r="B87" s="306">
        <v>8</v>
      </c>
      <c r="C87" s="313">
        <v>40408</v>
      </c>
      <c r="D87" s="50" t="s">
        <v>297</v>
      </c>
      <c r="E87" s="314">
        <v>2572</v>
      </c>
      <c r="F87" s="316" t="s">
        <v>234</v>
      </c>
      <c r="G87" s="306"/>
    </row>
    <row r="88" spans="1:7" ht="12.75">
      <c r="A88" s="306" t="s">
        <v>203</v>
      </c>
      <c r="B88" s="306">
        <v>9</v>
      </c>
      <c r="C88" s="313">
        <v>40410</v>
      </c>
      <c r="D88" s="50" t="s">
        <v>297</v>
      </c>
      <c r="E88" s="314">
        <v>3063</v>
      </c>
      <c r="F88" s="316" t="s">
        <v>235</v>
      </c>
      <c r="G88" s="306"/>
    </row>
    <row r="89" spans="1:7" ht="12.75">
      <c r="A89" s="306" t="s">
        <v>203</v>
      </c>
      <c r="B89" s="306">
        <v>10</v>
      </c>
      <c r="C89" s="313">
        <v>40413</v>
      </c>
      <c r="D89" s="50" t="s">
        <v>297</v>
      </c>
      <c r="E89" s="314">
        <v>4178</v>
      </c>
      <c r="F89" s="316" t="s">
        <v>236</v>
      </c>
      <c r="G89" s="306"/>
    </row>
    <row r="90" spans="1:7" ht="12.75">
      <c r="A90" s="306" t="s">
        <v>203</v>
      </c>
      <c r="B90" s="306">
        <v>11</v>
      </c>
      <c r="C90" s="313">
        <v>40421</v>
      </c>
      <c r="D90" s="50" t="s">
        <v>297</v>
      </c>
      <c r="E90" s="314">
        <v>8153</v>
      </c>
      <c r="F90" s="316" t="s">
        <v>220</v>
      </c>
      <c r="G90" s="306"/>
    </row>
    <row r="91" spans="1:7" ht="12.75">
      <c r="A91" s="306" t="s">
        <v>203</v>
      </c>
      <c r="B91" s="306">
        <v>12</v>
      </c>
      <c r="C91" s="313">
        <v>40423</v>
      </c>
      <c r="D91" s="50" t="s">
        <v>297</v>
      </c>
      <c r="E91" s="314">
        <v>8286</v>
      </c>
      <c r="F91" s="316" t="s">
        <v>293</v>
      </c>
      <c r="G91" s="306"/>
    </row>
    <row r="92" spans="1:7" ht="12.75">
      <c r="A92" s="306" t="s">
        <v>203</v>
      </c>
      <c r="B92" s="306">
        <v>13</v>
      </c>
      <c r="C92" s="313">
        <v>40437</v>
      </c>
      <c r="D92" s="50" t="s">
        <v>297</v>
      </c>
      <c r="E92" s="314">
        <v>9562</v>
      </c>
      <c r="F92" s="316" t="s">
        <v>294</v>
      </c>
      <c r="G92" s="306"/>
    </row>
    <row r="93" spans="1:7" ht="12.75">
      <c r="A93" s="306" t="s">
        <v>203</v>
      </c>
      <c r="B93" s="306">
        <v>14</v>
      </c>
      <c r="C93" s="313">
        <v>40438</v>
      </c>
      <c r="D93" s="50" t="s">
        <v>297</v>
      </c>
      <c r="E93" s="314">
        <v>8100</v>
      </c>
      <c r="F93" s="316" t="s">
        <v>295</v>
      </c>
      <c r="G93" s="306"/>
    </row>
    <row r="94" spans="1:7" ht="12.75">
      <c r="A94" s="306" t="s">
        <v>203</v>
      </c>
      <c r="B94" s="306">
        <v>15</v>
      </c>
      <c r="C94" s="313">
        <v>40445</v>
      </c>
      <c r="D94" s="50" t="s">
        <v>297</v>
      </c>
      <c r="E94" s="314">
        <v>18684</v>
      </c>
      <c r="F94" s="316" t="s">
        <v>296</v>
      </c>
      <c r="G94" s="306"/>
    </row>
    <row r="95" spans="1:7" ht="12.75">
      <c r="A95" s="306" t="s">
        <v>203</v>
      </c>
      <c r="B95" s="306">
        <v>16</v>
      </c>
      <c r="C95" s="313">
        <v>40449</v>
      </c>
      <c r="D95" s="50" t="s">
        <v>297</v>
      </c>
      <c r="E95" s="314">
        <v>6511</v>
      </c>
      <c r="F95" s="316" t="s">
        <v>296</v>
      </c>
      <c r="G95" s="306"/>
    </row>
    <row r="96" spans="1:7" ht="12.75">
      <c r="A96" s="306" t="s">
        <v>203</v>
      </c>
      <c r="B96" s="306">
        <v>17</v>
      </c>
      <c r="C96" s="313">
        <v>40450</v>
      </c>
      <c r="D96" s="50" t="s">
        <v>297</v>
      </c>
      <c r="E96" s="314">
        <v>17718</v>
      </c>
      <c r="F96" s="316" t="s">
        <v>299</v>
      </c>
      <c r="G96" s="306"/>
    </row>
    <row r="97" spans="1:7" ht="12.75">
      <c r="A97" s="306"/>
      <c r="B97" s="306"/>
      <c r="C97" s="313"/>
      <c r="D97" s="50"/>
      <c r="E97" s="314"/>
      <c r="F97" s="316"/>
      <c r="G97" s="306"/>
    </row>
    <row r="98" spans="1:7" ht="12.75">
      <c r="A98" s="175"/>
      <c r="B98" s="50"/>
      <c r="C98" s="303"/>
      <c r="D98" s="48"/>
      <c r="E98" s="48"/>
      <c r="F98" s="48"/>
      <c r="G98" s="48"/>
    </row>
    <row r="100" spans="1:3" ht="12.75">
      <c r="A100" t="s">
        <v>28</v>
      </c>
      <c r="C100"/>
    </row>
    <row r="101" spans="1:7" ht="27.75" customHeight="1">
      <c r="A101" s="469" t="s">
        <v>162</v>
      </c>
      <c r="B101" s="469"/>
      <c r="C101" s="469"/>
      <c r="D101" s="469"/>
      <c r="E101" s="469"/>
      <c r="F101" s="469"/>
      <c r="G101" s="469"/>
    </row>
    <row r="102" spans="1:3" ht="12.75">
      <c r="A102" t="s">
        <v>228</v>
      </c>
      <c r="C102"/>
    </row>
    <row r="103" spans="1:3" ht="12.75">
      <c r="A103" t="s">
        <v>163</v>
      </c>
      <c r="C103"/>
    </row>
    <row r="104" spans="1:7" ht="30" customHeight="1">
      <c r="A104" s="470" t="s">
        <v>193</v>
      </c>
      <c r="B104" s="470"/>
      <c r="C104" s="470"/>
      <c r="D104" s="470"/>
      <c r="E104" s="470"/>
      <c r="F104" s="470"/>
      <c r="G104" s="470"/>
    </row>
    <row r="105" spans="1:7" ht="12.75" customHeight="1">
      <c r="A105" s="470" t="s">
        <v>194</v>
      </c>
      <c r="B105" s="470"/>
      <c r="C105" s="470"/>
      <c r="D105" s="470"/>
      <c r="E105" s="470"/>
      <c r="F105" s="470"/>
      <c r="G105" s="470"/>
    </row>
    <row r="106" spans="1:3" ht="12.75">
      <c r="A106" s="208" t="s">
        <v>164</v>
      </c>
      <c r="C106"/>
    </row>
    <row r="107" spans="1:7" ht="30" customHeight="1">
      <c r="A107" s="470" t="s">
        <v>195</v>
      </c>
      <c r="B107" s="470"/>
      <c r="C107" s="470"/>
      <c r="D107" s="470"/>
      <c r="E107" s="470"/>
      <c r="F107" s="470"/>
      <c r="G107" s="470"/>
    </row>
    <row r="108" spans="1:7" ht="30" customHeight="1">
      <c r="A108" s="469" t="s">
        <v>196</v>
      </c>
      <c r="B108" s="469"/>
      <c r="C108" s="469"/>
      <c r="D108" s="469"/>
      <c r="E108" s="469"/>
      <c r="F108" s="469"/>
      <c r="G108" s="469"/>
    </row>
    <row r="109" spans="1:7" ht="12.75" customHeight="1">
      <c r="A109" s="470" t="s">
        <v>289</v>
      </c>
      <c r="B109" s="470"/>
      <c r="C109" s="470"/>
      <c r="D109" s="470"/>
      <c r="E109" s="470"/>
      <c r="F109" s="470"/>
      <c r="G109" s="470"/>
    </row>
    <row r="110" spans="1:7" ht="29.25" customHeight="1">
      <c r="A110" s="469" t="s">
        <v>308</v>
      </c>
      <c r="B110" s="469"/>
      <c r="C110" s="469"/>
      <c r="D110" s="469"/>
      <c r="E110" s="469"/>
      <c r="F110" s="469"/>
      <c r="G110" s="469"/>
    </row>
    <row r="111" spans="1:7" ht="12.75" customHeight="1">
      <c r="A111" s="469" t="s">
        <v>192</v>
      </c>
      <c r="B111" s="469"/>
      <c r="C111" s="469"/>
      <c r="D111" s="469"/>
      <c r="E111" s="469"/>
      <c r="F111" s="207"/>
      <c r="G111" s="207"/>
    </row>
    <row r="112" spans="1:7" ht="12.75">
      <c r="A112" s="207"/>
      <c r="B112" s="207"/>
      <c r="C112" s="207"/>
      <c r="D112" s="207"/>
      <c r="E112" s="207"/>
      <c r="F112" s="207"/>
      <c r="G112" s="207"/>
    </row>
    <row r="113" spans="1:7" ht="12.75" customHeight="1">
      <c r="A113" s="469" t="s">
        <v>165</v>
      </c>
      <c r="B113" s="469"/>
      <c r="C113" s="469"/>
      <c r="D113" s="469"/>
      <c r="E113" s="469"/>
      <c r="F113" s="469"/>
      <c r="G113" s="469"/>
    </row>
    <row r="114" spans="1:7" ht="12.75">
      <c r="A114" s="208" t="s">
        <v>166</v>
      </c>
      <c r="B114" s="302"/>
      <c r="C114" s="209"/>
      <c r="D114" s="209"/>
      <c r="E114" s="209"/>
      <c r="F114" s="209"/>
      <c r="G114" s="209"/>
    </row>
    <row r="115" ht="27.75" customHeight="1"/>
    <row r="116" ht="27" customHeight="1"/>
    <row r="124" ht="29.25" customHeight="1"/>
    <row r="140" ht="12.75" customHeight="1"/>
    <row r="143" ht="12.75" customHeight="1"/>
    <row r="145" ht="12.75" customHeight="1"/>
    <row r="147" ht="12.75" customHeight="1"/>
    <row r="148" ht="12.75" customHeight="1"/>
    <row r="150" ht="12.75" customHeight="1"/>
    <row r="193" ht="24.75" customHeight="1"/>
    <row r="196" ht="12.75" customHeight="1"/>
    <row r="199" ht="12.75" customHeight="1"/>
    <row r="201" ht="12.75" customHeight="1"/>
    <row r="203" ht="12.75" customHeight="1"/>
    <row r="204" ht="12.75" customHeight="1"/>
    <row r="206" ht="12.75" customHeight="1"/>
    <row r="222" ht="12.75" customHeight="1"/>
    <row r="223" ht="12.75" customHeight="1"/>
    <row r="224" ht="12.75" customHeight="1"/>
    <row r="225" ht="12.75" customHeight="1"/>
    <row r="226" ht="12.75" customHeight="1"/>
    <row r="228" ht="12.75" customHeight="1"/>
    <row r="230" ht="12.75" customHeight="1"/>
    <row r="232" ht="12.75" customHeight="1"/>
    <row r="234" ht="12.75" customHeight="1"/>
    <row r="236" ht="12.75" customHeight="1"/>
    <row r="238"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9" ht="24.75" customHeight="1"/>
    <row r="262" ht="12.75" customHeight="1"/>
    <row r="265" ht="12.75" customHeight="1"/>
    <row r="267" ht="12.75" customHeight="1"/>
    <row r="269" ht="12.75" customHeight="1"/>
    <row r="270" ht="12.75" customHeight="1"/>
    <row r="272" ht="12.75" customHeight="1"/>
  </sheetData>
  <sheetProtection/>
  <autoFilter ref="A1:J272"/>
  <mergeCells count="9">
    <mergeCell ref="A108:G108"/>
    <mergeCell ref="A111:E111"/>
    <mergeCell ref="A113:G113"/>
    <mergeCell ref="A101:G101"/>
    <mergeCell ref="A104:G104"/>
    <mergeCell ref="A105:G105"/>
    <mergeCell ref="A107:G107"/>
    <mergeCell ref="A109:G109"/>
    <mergeCell ref="A110:G110"/>
  </mergeCells>
  <printOptions/>
  <pageMargins left="0.75" right="0.75" top="1" bottom="0.5" header="0.5" footer="0.5"/>
  <pageSetup fitToHeight="0" fitToWidth="0" horizontalDpi="600" verticalDpi="600" orientation="landscape" scale="62" r:id="rId1"/>
  <headerFooter alignWithMargins="0">
    <oddHeader>&amp;C&amp;"Arial,Bold"Table I-3
SCE Interruptible and Price Responsive Programs
 2010 Event Summary</oddHeader>
    <oddFooter>&amp;L&amp;F&amp;R&amp;D</oddFooter>
  </headerFooter>
  <rowBreaks count="1" manualBreakCount="1">
    <brk id="60" max="6" man="1"/>
  </rowBreaks>
</worksheet>
</file>

<file path=xl/worksheets/sheet8.xml><?xml version="1.0" encoding="utf-8"?>
<worksheet xmlns="http://schemas.openxmlformats.org/spreadsheetml/2006/main" xmlns:r="http://schemas.openxmlformats.org/officeDocument/2006/relationships">
  <sheetPr>
    <pageSetUpPr fitToPage="1"/>
  </sheetPr>
  <dimension ref="A3:R32"/>
  <sheetViews>
    <sheetView showGridLines="0" zoomScale="75" zoomScaleNormal="75" zoomScaleSheetLayoutView="75" workbookViewId="0" topLeftCell="A1">
      <selection activeCell="A1" sqref="A1"/>
    </sheetView>
  </sheetViews>
  <sheetFormatPr defaultColWidth="9.140625" defaultRowHeight="12.75"/>
  <cols>
    <col min="1" max="1" width="35.57421875" style="0" customWidth="1"/>
    <col min="2" max="2" width="12.421875" style="0" bestFit="1" customWidth="1"/>
    <col min="3" max="6" width="12.28125" style="0" bestFit="1" customWidth="1"/>
    <col min="7" max="7" width="11.7109375" style="0" customWidth="1"/>
    <col min="8" max="9" width="11.7109375" style="0" bestFit="1" customWidth="1"/>
    <col min="10" max="10" width="12.421875" style="0" bestFit="1" customWidth="1"/>
    <col min="11" max="11" width="12.28125" style="0" customWidth="1"/>
    <col min="12" max="12" width="12.00390625" style="0" bestFit="1" customWidth="1"/>
    <col min="13" max="13" width="11.8515625" style="0" bestFit="1" customWidth="1"/>
    <col min="14" max="14" width="15.7109375" style="0" bestFit="1" customWidth="1"/>
    <col min="15" max="15" width="11.7109375" style="0" bestFit="1" customWidth="1"/>
  </cols>
  <sheetData>
    <row r="2" ht="13.5" thickBot="1"/>
    <row r="3" spans="1:14" ht="12.75">
      <c r="A3" s="24" t="s">
        <v>20</v>
      </c>
      <c r="B3" s="25"/>
      <c r="C3" s="25"/>
      <c r="D3" s="25"/>
      <c r="E3" s="25"/>
      <c r="F3" s="25"/>
      <c r="G3" s="25"/>
      <c r="H3" s="25"/>
      <c r="I3" s="25"/>
      <c r="J3" s="25"/>
      <c r="K3" s="25"/>
      <c r="L3" s="25"/>
      <c r="M3" s="25"/>
      <c r="N3" s="26"/>
    </row>
    <row r="4" spans="1:14" ht="12.75">
      <c r="A4" s="27"/>
      <c r="B4" s="28"/>
      <c r="C4" s="28"/>
      <c r="D4" s="28"/>
      <c r="E4" s="28"/>
      <c r="F4" s="28"/>
      <c r="G4" s="28"/>
      <c r="H4" s="28"/>
      <c r="I4" s="28"/>
      <c r="J4" s="28"/>
      <c r="K4" s="28"/>
      <c r="L4" s="28"/>
      <c r="M4" s="28"/>
      <c r="N4" s="29"/>
    </row>
    <row r="5" spans="1:14" ht="31.5" customHeight="1">
      <c r="A5" s="21" t="s">
        <v>21</v>
      </c>
      <c r="B5" s="18" t="s">
        <v>0</v>
      </c>
      <c r="C5" s="18" t="s">
        <v>1</v>
      </c>
      <c r="D5" s="18" t="s">
        <v>2</v>
      </c>
      <c r="E5" s="18" t="s">
        <v>3</v>
      </c>
      <c r="F5" s="18" t="s">
        <v>4</v>
      </c>
      <c r="G5" s="18" t="s">
        <v>5</v>
      </c>
      <c r="H5" s="18" t="s">
        <v>6</v>
      </c>
      <c r="I5" s="18" t="s">
        <v>7</v>
      </c>
      <c r="J5" s="18" t="s">
        <v>8</v>
      </c>
      <c r="K5" s="18" t="s">
        <v>9</v>
      </c>
      <c r="L5" s="18" t="s">
        <v>10</v>
      </c>
      <c r="M5" s="22" t="s">
        <v>11</v>
      </c>
      <c r="N5" s="23" t="s">
        <v>19</v>
      </c>
    </row>
    <row r="6" spans="1:14" ht="14.25">
      <c r="A6" s="5" t="s">
        <v>36</v>
      </c>
      <c r="B6" s="51"/>
      <c r="C6" s="51"/>
      <c r="D6" s="51"/>
      <c r="E6" s="51"/>
      <c r="F6" s="51"/>
      <c r="G6" s="51"/>
      <c r="H6" s="51"/>
      <c r="I6" s="51"/>
      <c r="J6" s="51"/>
      <c r="K6" s="51"/>
      <c r="L6" s="51"/>
      <c r="M6" s="76"/>
      <c r="N6" s="2"/>
    </row>
    <row r="7" spans="1:14" ht="12.75">
      <c r="A7" s="6"/>
      <c r="B7" s="52"/>
      <c r="C7" s="51"/>
      <c r="D7" s="51"/>
      <c r="E7" s="52"/>
      <c r="F7" s="51"/>
      <c r="G7" s="51"/>
      <c r="H7" s="51"/>
      <c r="I7" s="51"/>
      <c r="J7" s="52"/>
      <c r="K7" s="51"/>
      <c r="L7" s="51"/>
      <c r="M7" s="51"/>
      <c r="N7" s="69"/>
    </row>
    <row r="8" spans="1:15" ht="12.75">
      <c r="A8" s="6" t="s">
        <v>12</v>
      </c>
      <c r="B8" s="52">
        <v>1380844</v>
      </c>
      <c r="C8" s="51">
        <v>648578</v>
      </c>
      <c r="D8" s="51">
        <v>740634</v>
      </c>
      <c r="E8" s="51">
        <v>727573</v>
      </c>
      <c r="F8" s="51">
        <v>890906</v>
      </c>
      <c r="G8" s="51">
        <v>4501050</v>
      </c>
      <c r="H8" s="51">
        <v>15606973</v>
      </c>
      <c r="I8" s="51">
        <v>17051813</v>
      </c>
      <c r="J8" s="51">
        <v>13923683</v>
      </c>
      <c r="K8" s="51">
        <v>13080297.78</v>
      </c>
      <c r="L8" s="51">
        <v>984467.33</v>
      </c>
      <c r="M8" s="51">
        <v>781409</v>
      </c>
      <c r="N8" s="69">
        <f aca="true" t="shared" si="0" ref="N8:N14">SUM(B8:M8)</f>
        <v>70318228.11</v>
      </c>
      <c r="O8" s="65"/>
    </row>
    <row r="9" spans="1:15" ht="12.75">
      <c r="A9" s="6" t="s">
        <v>50</v>
      </c>
      <c r="B9" s="51">
        <v>3925</v>
      </c>
      <c r="C9" s="51">
        <v>4210</v>
      </c>
      <c r="D9" s="51">
        <v>4005</v>
      </c>
      <c r="E9" s="51">
        <v>3783</v>
      </c>
      <c r="F9" s="51">
        <v>2693</v>
      </c>
      <c r="G9" s="51">
        <v>883711</v>
      </c>
      <c r="H9" s="51">
        <v>1795588</v>
      </c>
      <c r="I9" s="51">
        <v>1822090</v>
      </c>
      <c r="J9" s="51">
        <v>1772754</v>
      </c>
      <c r="K9" s="51">
        <v>861307.78</v>
      </c>
      <c r="L9" s="51">
        <v>6443</v>
      </c>
      <c r="M9" s="51">
        <v>3734</v>
      </c>
      <c r="N9" s="69">
        <f t="shared" si="0"/>
        <v>7164243.78</v>
      </c>
      <c r="O9" s="66"/>
    </row>
    <row r="10" spans="1:16" ht="12.75">
      <c r="A10" s="6" t="s">
        <v>51</v>
      </c>
      <c r="B10" s="51">
        <v>34529</v>
      </c>
      <c r="C10" s="51">
        <v>25688</v>
      </c>
      <c r="D10" s="51">
        <v>28736</v>
      </c>
      <c r="E10" s="51">
        <v>20055</v>
      </c>
      <c r="F10" s="51">
        <v>10993</v>
      </c>
      <c r="G10" s="51">
        <v>6344403</v>
      </c>
      <c r="H10" s="51">
        <v>13352315</v>
      </c>
      <c r="I10" s="51">
        <v>13832441</v>
      </c>
      <c r="J10" s="51">
        <v>13754589</v>
      </c>
      <c r="K10" s="51">
        <v>6737170.72</v>
      </c>
      <c r="L10" s="51">
        <v>153292</v>
      </c>
      <c r="M10" s="51">
        <v>73837</v>
      </c>
      <c r="N10" s="69">
        <f t="shared" si="0"/>
        <v>54368048.72</v>
      </c>
      <c r="O10" s="66"/>
      <c r="P10" s="66"/>
    </row>
    <row r="11" spans="1:14" ht="12.75">
      <c r="A11" s="6" t="s">
        <v>16</v>
      </c>
      <c r="B11" s="51">
        <v>28119</v>
      </c>
      <c r="C11" s="51">
        <v>25754</v>
      </c>
      <c r="D11" s="51">
        <v>34628</v>
      </c>
      <c r="E11" s="51">
        <v>50403</v>
      </c>
      <c r="F11" s="51">
        <v>45469</v>
      </c>
      <c r="G11" s="51">
        <v>380716</v>
      </c>
      <c r="H11" s="51">
        <v>889703</v>
      </c>
      <c r="I11" s="51">
        <v>897372</v>
      </c>
      <c r="J11" s="51">
        <v>826438</v>
      </c>
      <c r="K11" s="51">
        <v>452124.31</v>
      </c>
      <c r="L11" s="51">
        <v>41028.02</v>
      </c>
      <c r="M11" s="51">
        <v>35388</v>
      </c>
      <c r="N11" s="69">
        <f t="shared" si="0"/>
        <v>3707142.33</v>
      </c>
    </row>
    <row r="12" spans="1:14" ht="12.75">
      <c r="A12" s="12" t="s">
        <v>17</v>
      </c>
      <c r="B12" s="51">
        <v>0</v>
      </c>
      <c r="C12" s="51">
        <v>0</v>
      </c>
      <c r="D12" s="51">
        <v>0</v>
      </c>
      <c r="E12" s="51">
        <v>140</v>
      </c>
      <c r="F12" s="51">
        <v>28482</v>
      </c>
      <c r="G12" s="51">
        <v>484</v>
      </c>
      <c r="H12" s="51">
        <v>34018</v>
      </c>
      <c r="I12" s="51">
        <v>512567</v>
      </c>
      <c r="J12" s="51">
        <v>557490</v>
      </c>
      <c r="K12" s="51">
        <v>981023.76</v>
      </c>
      <c r="L12" s="51">
        <v>250227.54</v>
      </c>
      <c r="M12" s="51">
        <v>4687</v>
      </c>
      <c r="N12" s="69">
        <f t="shared" si="0"/>
        <v>2369119.3</v>
      </c>
    </row>
    <row r="13" spans="1:18" s="63" customFormat="1" ht="12.75">
      <c r="A13" s="140" t="s">
        <v>41</v>
      </c>
      <c r="B13" s="52">
        <v>0</v>
      </c>
      <c r="C13" s="52">
        <v>0</v>
      </c>
      <c r="D13" s="52">
        <v>0</v>
      </c>
      <c r="E13" s="52">
        <v>0</v>
      </c>
      <c r="F13" s="52">
        <v>0</v>
      </c>
      <c r="G13" s="52">
        <v>72356</v>
      </c>
      <c r="H13" s="52">
        <v>123843</v>
      </c>
      <c r="I13" s="52">
        <v>20183</v>
      </c>
      <c r="J13" s="52">
        <v>168789</v>
      </c>
      <c r="K13" s="52">
        <v>13884</v>
      </c>
      <c r="L13" s="52">
        <v>44299.2</v>
      </c>
      <c r="M13" s="52">
        <v>0</v>
      </c>
      <c r="N13" s="421">
        <f t="shared" si="0"/>
        <v>443354.2</v>
      </c>
      <c r="O13" s="422"/>
      <c r="P13" s="38"/>
      <c r="Q13" s="38"/>
      <c r="R13" s="85"/>
    </row>
    <row r="14" spans="1:18" ht="12.75">
      <c r="A14" s="86" t="s">
        <v>43</v>
      </c>
      <c r="B14" s="52">
        <v>68342</v>
      </c>
      <c r="C14" s="51">
        <v>228865</v>
      </c>
      <c r="D14" s="51">
        <v>250461</v>
      </c>
      <c r="E14" s="51">
        <v>335561</v>
      </c>
      <c r="F14" s="52">
        <v>358080</v>
      </c>
      <c r="G14" s="51">
        <v>1357492</v>
      </c>
      <c r="H14" s="51">
        <v>2751625</v>
      </c>
      <c r="I14" s="51">
        <v>0</v>
      </c>
      <c r="J14" s="51">
        <v>-7801</v>
      </c>
      <c r="K14" s="51">
        <v>103002</v>
      </c>
      <c r="L14" s="51">
        <v>116609</v>
      </c>
      <c r="M14" s="51">
        <v>6004655</v>
      </c>
      <c r="N14" s="69">
        <f t="shared" si="0"/>
        <v>11566891</v>
      </c>
      <c r="O14" s="34"/>
      <c r="P14" s="34"/>
      <c r="Q14" s="38"/>
      <c r="R14" s="85"/>
    </row>
    <row r="15" spans="1:14" ht="12.75">
      <c r="A15" s="11" t="s">
        <v>13</v>
      </c>
      <c r="B15" s="35">
        <f aca="true" t="shared" si="1" ref="B15:N15">SUM(B7:B14)</f>
        <v>1515759</v>
      </c>
      <c r="C15" s="35">
        <f t="shared" si="1"/>
        <v>933095</v>
      </c>
      <c r="D15" s="35">
        <f t="shared" si="1"/>
        <v>1058464</v>
      </c>
      <c r="E15" s="35">
        <f t="shared" si="1"/>
        <v>1137515</v>
      </c>
      <c r="F15" s="35">
        <f t="shared" si="1"/>
        <v>1336623</v>
      </c>
      <c r="G15" s="35">
        <f t="shared" si="1"/>
        <v>13540212</v>
      </c>
      <c r="H15" s="35">
        <f t="shared" si="1"/>
        <v>34554065</v>
      </c>
      <c r="I15" s="35">
        <f t="shared" si="1"/>
        <v>34136466</v>
      </c>
      <c r="J15" s="35">
        <f t="shared" si="1"/>
        <v>30995942</v>
      </c>
      <c r="K15" s="35">
        <f t="shared" si="1"/>
        <v>22228810.349999998</v>
      </c>
      <c r="L15" s="35">
        <f t="shared" si="1"/>
        <v>1596366.09</v>
      </c>
      <c r="M15" s="68">
        <f t="shared" si="1"/>
        <v>6903710</v>
      </c>
      <c r="N15" s="67">
        <f t="shared" si="1"/>
        <v>149937027.44</v>
      </c>
    </row>
    <row r="16" spans="1:14" ht="12.75">
      <c r="A16" s="6"/>
      <c r="B16" s="3"/>
      <c r="C16" s="3"/>
      <c r="D16" s="3"/>
      <c r="E16" s="3"/>
      <c r="F16" s="3"/>
      <c r="G16" s="3"/>
      <c r="H16" s="3"/>
      <c r="I16" s="3"/>
      <c r="J16" s="3"/>
      <c r="K16" s="3"/>
      <c r="L16" s="3"/>
      <c r="M16" s="97"/>
      <c r="N16" s="4"/>
    </row>
    <row r="17" spans="1:14" ht="13.5" thickBot="1">
      <c r="A17" s="32"/>
      <c r="B17" s="9"/>
      <c r="C17" s="9"/>
      <c r="D17" s="9"/>
      <c r="E17" s="9"/>
      <c r="F17" s="9"/>
      <c r="G17" s="61"/>
      <c r="H17" s="9"/>
      <c r="I17" s="9"/>
      <c r="J17" s="9"/>
      <c r="K17" s="9"/>
      <c r="L17" s="9"/>
      <c r="M17" s="9"/>
      <c r="N17" s="10"/>
    </row>
    <row r="18" spans="1:14" ht="9" customHeight="1" thickBot="1">
      <c r="A18" s="8"/>
      <c r="B18" s="3"/>
      <c r="C18" s="3"/>
      <c r="D18" s="3"/>
      <c r="E18" s="3"/>
      <c r="F18" s="3"/>
      <c r="G18" s="13"/>
      <c r="H18" s="3"/>
      <c r="I18" s="3"/>
      <c r="J18" s="3"/>
      <c r="K18" s="3"/>
      <c r="L18" s="3"/>
      <c r="M18" s="3"/>
      <c r="N18" s="3"/>
    </row>
    <row r="19" spans="1:14" ht="25.5" customHeight="1" thickBot="1">
      <c r="A19" s="59" t="s">
        <v>37</v>
      </c>
      <c r="B19" s="70">
        <v>0</v>
      </c>
      <c r="C19" s="71">
        <v>0</v>
      </c>
      <c r="D19" s="71">
        <v>0</v>
      </c>
      <c r="E19" s="71">
        <v>0</v>
      </c>
      <c r="F19" s="71">
        <v>0</v>
      </c>
      <c r="G19" s="72">
        <v>0</v>
      </c>
      <c r="H19" s="73">
        <v>0</v>
      </c>
      <c r="I19" s="73">
        <v>0</v>
      </c>
      <c r="J19" s="73">
        <v>0</v>
      </c>
      <c r="K19" s="73">
        <v>0</v>
      </c>
      <c r="L19" s="73">
        <v>0</v>
      </c>
      <c r="M19" s="74">
        <v>0</v>
      </c>
      <c r="N19" s="75">
        <f>SUM(B19:M19)</f>
        <v>0</v>
      </c>
    </row>
    <row r="20" spans="1:14" ht="15" customHeight="1">
      <c r="A20" s="7"/>
      <c r="B20" s="3"/>
      <c r="C20" s="3"/>
      <c r="D20" s="3"/>
      <c r="E20" s="3"/>
      <c r="F20" s="3"/>
      <c r="G20" s="3"/>
      <c r="H20" s="3"/>
      <c r="I20" s="3"/>
      <c r="J20" s="3"/>
      <c r="K20" s="3"/>
      <c r="L20" s="3"/>
      <c r="M20" s="3"/>
      <c r="N20" s="3"/>
    </row>
    <row r="21" spans="1:14" ht="15" customHeight="1">
      <c r="A21" s="81" t="s">
        <v>58</v>
      </c>
      <c r="B21" s="77"/>
      <c r="C21" s="77"/>
      <c r="D21" s="77"/>
      <c r="E21" s="77"/>
      <c r="F21" s="77"/>
      <c r="G21" s="3"/>
      <c r="H21" s="3"/>
      <c r="I21" s="3"/>
      <c r="J21" s="3"/>
      <c r="K21" s="3"/>
      <c r="L21" s="3"/>
      <c r="M21" s="3"/>
      <c r="N21" s="3"/>
    </row>
    <row r="22" spans="1:11" ht="12.75">
      <c r="A22" s="78" t="s">
        <v>42</v>
      </c>
      <c r="B22" s="79"/>
      <c r="C22" s="80"/>
      <c r="D22" s="79"/>
      <c r="E22" s="79"/>
      <c r="F22" s="79"/>
      <c r="G22" s="63"/>
      <c r="H22" s="63"/>
      <c r="I22" s="63"/>
      <c r="J22" s="63"/>
      <c r="K22" s="63"/>
    </row>
    <row r="23" spans="1:6" ht="12.75">
      <c r="A23" s="80" t="s">
        <v>59</v>
      </c>
      <c r="B23" s="80"/>
      <c r="C23" s="80"/>
      <c r="D23" s="80"/>
      <c r="E23" s="80"/>
      <c r="F23" s="80"/>
    </row>
    <row r="24" ht="12.75">
      <c r="A24" s="95" t="s">
        <v>167</v>
      </c>
    </row>
    <row r="25" spans="2:5" ht="12.75">
      <c r="B25" s="66"/>
      <c r="C25" s="66"/>
      <c r="D25" s="66"/>
      <c r="E25" s="66"/>
    </row>
    <row r="26" ht="12.75">
      <c r="A26" s="41"/>
    </row>
    <row r="27" spans="7:11" ht="12.75">
      <c r="G27" s="143"/>
      <c r="K27" t="s">
        <v>14</v>
      </c>
    </row>
    <row r="28" ht="12.75">
      <c r="G28" s="143"/>
    </row>
    <row r="29" ht="12.75">
      <c r="G29" s="143"/>
    </row>
    <row r="30" ht="12.75">
      <c r="G30" s="143"/>
    </row>
    <row r="31" ht="12.75">
      <c r="G31" s="143"/>
    </row>
    <row r="32" ht="12.75">
      <c r="G32" s="87"/>
    </row>
  </sheetData>
  <printOptions horizontalCentered="1"/>
  <pageMargins left="0.75" right="0.75" top="1" bottom="1" header="0.5" footer="0.5"/>
  <pageSetup fitToHeight="1" fitToWidth="1" horizontalDpi="600" verticalDpi="600" orientation="landscape" scale="62" r:id="rId1"/>
  <headerFooter alignWithMargins="0">
    <oddHeader>&amp;C&amp;"Arial,Bold"Table I-4
SCE Demand Response Programs 
Total Embedded Cost and Revenues &amp;X(1)&amp;X
2010&amp;"Arial,Regular"
</oddHeader>
    <oddFooter>&amp;L&amp;F&amp;R&amp;D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Edison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 Configuration</dc:creator>
  <cp:keywords/>
  <dc:description/>
  <cp:lastModifiedBy>CPUC1</cp:lastModifiedBy>
  <cp:lastPrinted>2011-01-18T20:03:52Z</cp:lastPrinted>
  <dcterms:created xsi:type="dcterms:W3CDTF">2001-06-12T23:12:10Z</dcterms:created>
  <dcterms:modified xsi:type="dcterms:W3CDTF">2011-03-01T23:44:12Z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