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887" activeTab="0"/>
  </bookViews>
  <sheets>
    <sheet name="Program MW " sheetId="1" r:id="rId1"/>
    <sheet name="Ex ante LI &amp; Eligibility Stats" sheetId="2" r:id="rId2"/>
    <sheet name="Ex post LI &amp; Eligibility Stats" sheetId="3" r:id="rId3"/>
    <sheet name="TA-TI Distribution" sheetId="4" r:id="rId4"/>
    <sheet name="DRP Expenditures" sheetId="5" r:id="rId5"/>
    <sheet name="Fund Shift Log" sheetId="6" r:id="rId6"/>
    <sheet name="Event Summary" sheetId="7" r:id="rId7"/>
    <sheet name="SDGE Costs - AMDRMA Balance" sheetId="8" r:id="rId8"/>
    <sheet name="SDGE Costs -GRC" sheetId="9" r:id="rId9"/>
  </sheets>
  <externalReferences>
    <externalReference r:id="rId12"/>
  </externalReferences>
  <definedNames>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Achieve_GRC" localSheetId="1">#REF!</definedName>
    <definedName name="Achieve_GRC" localSheetId="2">#REF!</definedName>
    <definedName name="Achieve_GRC" localSheetId="0">#REF!</definedName>
    <definedName name="Achieve_GRC" localSheetId="3">#REF!</definedName>
    <definedName name="Achieve_GRC">#REF!</definedName>
    <definedName name="Achieve_Service_Excellenc" localSheetId="1">#REF!</definedName>
    <definedName name="Achieve_Service_Excellenc" localSheetId="2">#REF!</definedName>
    <definedName name="Achieve_Service_Excellenc" localSheetId="0">#REF!</definedName>
    <definedName name="Achieve_Service_Excellenc" localSheetId="3">#REF!</definedName>
    <definedName name="Achieve_Service_Excellenc">#REF!</definedName>
    <definedName name="Achieve_Service_Excellence" localSheetId="1">#REF!</definedName>
    <definedName name="Achieve_Service_Excellence" localSheetId="2">#REF!</definedName>
    <definedName name="Achieve_Service_Excellence" localSheetId="0">#REF!</definedName>
    <definedName name="Achieve_Service_Excellence" localSheetId="3">#REF!</definedName>
    <definedName name="Achieve_Service_Excellence">#REF!</definedName>
    <definedName name="Collect_Revenue" localSheetId="1">#REF!</definedName>
    <definedName name="Collect_Revenue" localSheetId="2">#REF!</definedName>
    <definedName name="Collect_Revenue" localSheetId="0">#REF!</definedName>
    <definedName name="Collect_Revenue" localSheetId="3">#REF!</definedName>
    <definedName name="Collect_Revenue">#REF!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3">#REF!</definedName>
    <definedName name="DATA4">#REF!</definedName>
    <definedName name="DATA5">#REF!</definedName>
    <definedName name="data5000">'[1]ACTMA Detail'!$N$2:$N$102</definedName>
    <definedName name="DATA6">#REF!</definedName>
    <definedName name="DATA7">#REF!</definedName>
    <definedName name="DATA8">#REF!</definedName>
    <definedName name="DATA9">#REF!</definedName>
    <definedName name="Enhance_Delivery_Channels" localSheetId="1">#REF!</definedName>
    <definedName name="Enhance_Delivery_Channels" localSheetId="2">#REF!</definedName>
    <definedName name="Enhance_Delivery_Channels" localSheetId="0">#REF!</definedName>
    <definedName name="Enhance_Delivery_Channels" localSheetId="3">#REF!</definedName>
    <definedName name="Enhance_Delivery_Channels">#REF!</definedName>
    <definedName name="Ethics_and_Compliance" localSheetId="1">#REF!</definedName>
    <definedName name="Ethics_and_Compliance" localSheetId="2">#REF!</definedName>
    <definedName name="Ethics_and_Compliance" localSheetId="0">#REF!</definedName>
    <definedName name="Ethics_and_Compliance" localSheetId="3">#REF!</definedName>
    <definedName name="Ethics_and_Compliance">#REF!</definedName>
    <definedName name="Launch_Refine_Market" localSheetId="1">#REF!</definedName>
    <definedName name="Launch_Refine_Market" localSheetId="2">#REF!</definedName>
    <definedName name="Launch_Refine_Market" localSheetId="0">#REF!</definedName>
    <definedName name="Launch_Refine_Market" localSheetId="3">#REF!</definedName>
    <definedName name="Launch_Refine_Market">#REF!</definedName>
    <definedName name="Manage_AMI" localSheetId="1">#REF!</definedName>
    <definedName name="Manage_AMI" localSheetId="2">#REF!</definedName>
    <definedName name="Manage_AMI" localSheetId="0">#REF!</definedName>
    <definedName name="Manage_AMI" localSheetId="3">#REF!</definedName>
    <definedName name="Manage_AMI">#REF!</definedName>
    <definedName name="Meet_Financial_Targets" localSheetId="1">#REF!</definedName>
    <definedName name="Meet_Financial_Targets" localSheetId="2">#REF!</definedName>
    <definedName name="Meet_Financial_Targets" localSheetId="0">#REF!</definedName>
    <definedName name="Meet_Financial_Targets" localSheetId="3">#REF!</definedName>
    <definedName name="Meet_Financial_Targets">#REF!</definedName>
    <definedName name="nnnnnn">'[1]ACTMA Detail'!$P$2:$P$102</definedName>
    <definedName name="_xlnm.Print_Area" localSheetId="1">'Ex ante LI &amp; Eligibility Stats'!$A$1:$P$29</definedName>
    <definedName name="_xlnm.Print_Area" localSheetId="2">'Ex post LI &amp; Eligibility Stats'!$A$1:$O$25</definedName>
    <definedName name="_xlnm.Print_Area" localSheetId="0">'Program MW '!$A$1:$T$60</definedName>
    <definedName name="_xlnm.Print_Area" localSheetId="7">'SDGE Costs - AMDRMA Balance'!$A$1:$R$59</definedName>
    <definedName name="_xlnm.Print_Area" localSheetId="8">'SDGE Costs -GRC'!$A$1:$Q$37</definedName>
    <definedName name="Reliability_Expectations" localSheetId="1">#REF!</definedName>
    <definedName name="Reliability_Expectations" localSheetId="2">#REF!</definedName>
    <definedName name="Reliability_Expectations" localSheetId="0">#REF!</definedName>
    <definedName name="Reliability_Expectations" localSheetId="3">#REF!</definedName>
    <definedName name="Reliability_Expectations">#REF!</definedName>
    <definedName name="Stabilization_Customer_Base" localSheetId="1">#REF!</definedName>
    <definedName name="Stabilization_Customer_Base" localSheetId="2">#REF!</definedName>
    <definedName name="Stabilization_Customer_Base" localSheetId="0">#REF!</definedName>
    <definedName name="Stabilization_Customer_Base" localSheetId="3">#REF!</definedName>
    <definedName name="Stabilization_Customer_Base">#REF!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Valued_Service_Provider" localSheetId="1">#REF!</definedName>
    <definedName name="Valued_Service_Provider" localSheetId="2">#REF!</definedName>
    <definedName name="Valued_Service_Provider" localSheetId="0">#REF!</definedName>
    <definedName name="Valued_Service_Provider" localSheetId="3">#REF!</definedName>
    <definedName name="Valued_Service_Provider">#REF!</definedName>
    <definedName name="Voice_of_Customer" localSheetId="1">#REF!</definedName>
    <definedName name="Voice_of_Customer" localSheetId="2">#REF!</definedName>
    <definedName name="Voice_of_Customer" localSheetId="0">#REF!</definedName>
    <definedName name="Voice_of_Customer" localSheetId="3">#REF!</definedName>
    <definedName name="Voice_of_Customer">#REF!</definedName>
    <definedName name="Z_E5DF83AA_DC53_4EBF_A523_33DA0FE284E8_.wvu.PrintArea" localSheetId="2" hidden="1">'Ex post LI &amp; Eligibility Stats'!$A$1:$O$26</definedName>
    <definedName name="Z_E5DF83AA_DC53_4EBF_A523_33DA0FE284E8_.wvu.PrintArea" localSheetId="0" hidden="1">'Program MW '!$A$1:$Z$59</definedName>
    <definedName name="Z_E5DF83AA_DC53_4EBF_A523_33DA0FE284E8_.wvu.PrintArea" localSheetId="3" hidden="1">'TA-TI Distribution'!#REF!</definedName>
  </definedNames>
  <calcPr fullCalcOnLoad="1"/>
</workbook>
</file>

<file path=xl/sharedStrings.xml><?xml version="1.0" encoding="utf-8"?>
<sst xmlns="http://schemas.openxmlformats.org/spreadsheetml/2006/main" count="835" uniqueCount="228">
  <si>
    <t>January</t>
  </si>
  <si>
    <t>February</t>
  </si>
  <si>
    <t>March</t>
  </si>
  <si>
    <t>April</t>
  </si>
  <si>
    <t>May</t>
  </si>
  <si>
    <t>June</t>
  </si>
  <si>
    <t>July</t>
  </si>
  <si>
    <t>August</t>
  </si>
  <si>
    <t>September</t>
  </si>
  <si>
    <t>October</t>
  </si>
  <si>
    <t>November</t>
  </si>
  <si>
    <t>December</t>
  </si>
  <si>
    <t>BIP</t>
  </si>
  <si>
    <t xml:space="preserve"> </t>
  </si>
  <si>
    <t>OBMC</t>
  </si>
  <si>
    <t>Service Accounts</t>
  </si>
  <si>
    <t>Year-to-Date Total Cost</t>
  </si>
  <si>
    <t>Annual Total Cost</t>
  </si>
  <si>
    <t>Cost Item</t>
  </si>
  <si>
    <t>Date</t>
  </si>
  <si>
    <t xml:space="preserve">  Sub-Total Interruptible</t>
  </si>
  <si>
    <t>Programs</t>
  </si>
  <si>
    <t>Interruptible/Reliability</t>
  </si>
  <si>
    <t>Total All Programs</t>
  </si>
  <si>
    <t>Event Beginning:End</t>
  </si>
  <si>
    <t>Notes:</t>
  </si>
  <si>
    <t>Event Trigger(1)</t>
  </si>
  <si>
    <t>Total Incremental Cost</t>
  </si>
  <si>
    <t>SLRP</t>
  </si>
  <si>
    <t xml:space="preserve"> Budget Category 1 Total</t>
  </si>
  <si>
    <t xml:space="preserve"> Budget Category 2 Total</t>
  </si>
  <si>
    <t>Capacity Bidding Program</t>
  </si>
  <si>
    <t>DR Contracts</t>
  </si>
  <si>
    <t>Event No.</t>
  </si>
  <si>
    <t xml:space="preserve">  Sub-Total Price Response</t>
  </si>
  <si>
    <t>Participating Load Pilot</t>
  </si>
  <si>
    <t>Category 1:  Emergency Programs</t>
  </si>
  <si>
    <t>Category 2:  Price Responsive Programs</t>
  </si>
  <si>
    <t>Category 3:  DR Aggregator Managed Programs</t>
  </si>
  <si>
    <t xml:space="preserve"> Budget Category 3 Total</t>
  </si>
  <si>
    <t>Category 4:  DR Enabled Programs</t>
  </si>
  <si>
    <t xml:space="preserve"> Budget Category 4 Total</t>
  </si>
  <si>
    <t>Category 5:  Pilots &amp; SmartConnect Enabled Programs</t>
  </si>
  <si>
    <t xml:space="preserve"> Budget Category 5 Total</t>
  </si>
  <si>
    <t>Category 6:  Statewide Marketing Program</t>
  </si>
  <si>
    <t xml:space="preserve"> Budget Category 6 Total</t>
  </si>
  <si>
    <t xml:space="preserve"> Budget Category 7 Total</t>
  </si>
  <si>
    <t>Category 8:  System Support Activities</t>
  </si>
  <si>
    <t xml:space="preserve"> Budget Category 8 Total</t>
  </si>
  <si>
    <t>Category 9:  Marketing Education &amp; Outreach</t>
  </si>
  <si>
    <t>Category 10:  Integrated Programs</t>
  </si>
  <si>
    <t xml:space="preserve"> Budget Category 9 Total</t>
  </si>
  <si>
    <t xml:space="preserve"> Budget Category 10 Total</t>
  </si>
  <si>
    <t>Price Responsive</t>
  </si>
  <si>
    <t>Program</t>
  </si>
  <si>
    <t xml:space="preserve">August </t>
  </si>
  <si>
    <t xml:space="preserve">September </t>
  </si>
  <si>
    <t xml:space="preserve">November </t>
  </si>
  <si>
    <t>2009 Expenditures</t>
  </si>
  <si>
    <t>Percent Funding</t>
  </si>
  <si>
    <t>3-Year Funding</t>
  </si>
  <si>
    <t>Eligible Accounts as of Jan 1, 2010</t>
  </si>
  <si>
    <t>Year-to Date 2010 Expenditures</t>
  </si>
  <si>
    <t>FUND SHIFTING DOCUMENTATION PER DECISION 09-08-027 ORDERING PARAGRAPH 35</t>
  </si>
  <si>
    <t>OP 35:</t>
  </si>
  <si>
    <t>The utilities may shift up to 50% of a program funds to another program's funds to another program within the same budget category.</t>
  </si>
  <si>
    <t>The utilities shall document the amount of and reason for each shift in their monthly demand response reports.</t>
  </si>
  <si>
    <t>Fund Shift</t>
  </si>
  <si>
    <t>Rationale for Fundshift</t>
  </si>
  <si>
    <t>Programs Impacted</t>
  </si>
  <si>
    <t>Program Category</t>
  </si>
  <si>
    <t>Total</t>
  </si>
  <si>
    <t>Provide concise rationale for the fund shift in colum "Rationale for Fund Shift"</t>
  </si>
  <si>
    <t>Fundshift Adjustments (a)</t>
  </si>
  <si>
    <t>(a) See "Fund Shift Log" for explanations.</t>
  </si>
  <si>
    <t>Year-to-Date Program Expenditures</t>
  </si>
  <si>
    <t>Year-to-Date Event Summary</t>
  </si>
  <si>
    <t>General Program</t>
  </si>
  <si>
    <t>CPP-E</t>
  </si>
  <si>
    <t>PLP</t>
  </si>
  <si>
    <t>BIP - 3 hour option</t>
  </si>
  <si>
    <t>BIP - 30 minute option</t>
  </si>
  <si>
    <t>CPP-D</t>
  </si>
  <si>
    <t>Summer Saver Residential</t>
  </si>
  <si>
    <t>Summer Saver Commercial</t>
  </si>
  <si>
    <t xml:space="preserve">CBP - Day-Ahead </t>
  </si>
  <si>
    <t xml:space="preserve">CBP - Day-Of </t>
  </si>
  <si>
    <t>All C &amp; I customers &gt; 100kW</t>
  </si>
  <si>
    <t>All non-residential customers with interval meter</t>
  </si>
  <si>
    <t>n/a</t>
  </si>
  <si>
    <t>All C&amp;I customers</t>
  </si>
  <si>
    <t>Residential customers with AC</t>
  </si>
  <si>
    <t>Commercial Customers &lt; 100kw</t>
  </si>
  <si>
    <t xml:space="preserve"> Non-residential customers &gt; 20kw</t>
  </si>
  <si>
    <t>Programs in General Rate Case</t>
  </si>
  <si>
    <t>Administrative (O&amp;M)</t>
  </si>
  <si>
    <t xml:space="preserve">AL-TOU-CP </t>
  </si>
  <si>
    <t>Peak Generation (RBRP)</t>
  </si>
  <si>
    <t xml:space="preserve">  Total Administrative (O&amp;M)</t>
  </si>
  <si>
    <t>Capital</t>
  </si>
  <si>
    <t>Peak Generation (RBRP) (1)</t>
  </si>
  <si>
    <t xml:space="preserve">  Total Capital</t>
  </si>
  <si>
    <t>Measurement and Evaluation</t>
  </si>
  <si>
    <t xml:space="preserve">Peak Generation (RBRP) </t>
  </si>
  <si>
    <t>Total M&amp;E</t>
  </si>
  <si>
    <t>Customer Incentives</t>
  </si>
  <si>
    <t>AL-TOU-CP (2)</t>
  </si>
  <si>
    <t>Total Customer Incentives</t>
  </si>
  <si>
    <t xml:space="preserve">Revenue from Penalties </t>
  </si>
  <si>
    <t>Total GRC Program Costs</t>
  </si>
  <si>
    <t>(1) Capital costs for meters provided free to customers and charged to the programs.</t>
  </si>
  <si>
    <t>Year-to-Date Cost</t>
  </si>
  <si>
    <t>% of Budget</t>
  </si>
  <si>
    <t>Demand Bidding Program</t>
  </si>
  <si>
    <t>Peak Day Credit (20/20) Program</t>
  </si>
  <si>
    <t>Base Interruptible Program</t>
  </si>
  <si>
    <t>CPP-Emergency</t>
  </si>
  <si>
    <t>Technology Incentives</t>
  </si>
  <si>
    <t>Technology Assistance</t>
  </si>
  <si>
    <t>Flex Alert Network</t>
  </si>
  <si>
    <t>Customer Education, Awareness &amp; Outreach</t>
  </si>
  <si>
    <t>kWickview</t>
  </si>
  <si>
    <t>Emerging Markets/Technologies</t>
  </si>
  <si>
    <t>Community Outreach</t>
  </si>
  <si>
    <t>Celerity **</t>
  </si>
  <si>
    <t>Summer Saver **</t>
  </si>
  <si>
    <t>Permanent Load Shifting</t>
  </si>
  <si>
    <t>RACT</t>
  </si>
  <si>
    <t>Information Technology</t>
  </si>
  <si>
    <t xml:space="preserve">  Total Administrative (O&amp;M) </t>
  </si>
  <si>
    <t xml:space="preserve">Capital </t>
  </si>
  <si>
    <t>C&amp;I Peak Day Credit (20/20 )</t>
  </si>
  <si>
    <t>Emerging Markets</t>
  </si>
  <si>
    <t xml:space="preserve">  Total Capital </t>
  </si>
  <si>
    <t xml:space="preserve">Measurement and Evaluation </t>
  </si>
  <si>
    <t xml:space="preserve">Summer Saver </t>
  </si>
  <si>
    <t>General Administration</t>
  </si>
  <si>
    <t xml:space="preserve">Total M&amp;E </t>
  </si>
  <si>
    <t xml:space="preserve">Base Interruptible Program </t>
  </si>
  <si>
    <t xml:space="preserve">Celerity </t>
  </si>
  <si>
    <t xml:space="preserve">Total </t>
  </si>
  <si>
    <t>AMDRMA Account End of Month Balance for WG2</t>
  </si>
  <si>
    <t>** Budgeted under a different proceeding</t>
  </si>
  <si>
    <t>Program-to-Date Total Expenditures 2009-2010</t>
  </si>
  <si>
    <t>Base Interruptible Program (BIP)</t>
  </si>
  <si>
    <t>Emergency Critical Peak Pricing (CPP-E)</t>
  </si>
  <si>
    <t>Summer Saver Program</t>
  </si>
  <si>
    <t>Optional Binding Mandatory Curtailment (OBMC)</t>
  </si>
  <si>
    <t>Scheduled Load Reduction Program (SLRP)</t>
  </si>
  <si>
    <t>Default Critical Peak Pricing (CPP-D)</t>
  </si>
  <si>
    <t>Capacity Bidding Program (CBP)</t>
  </si>
  <si>
    <t>Peak Day Credit</t>
  </si>
  <si>
    <t>Technical Assistance (TA)</t>
  </si>
  <si>
    <t>Technical Incentives (TI)</t>
  </si>
  <si>
    <t>Emerging Technologies (ET)</t>
  </si>
  <si>
    <t>Residential Automated Controls Technology Program</t>
  </si>
  <si>
    <t>Flex Alert Network (FAN)</t>
  </si>
  <si>
    <t>Category 7:  Measurement &amp; Evaluation</t>
  </si>
  <si>
    <t>Measurement &amp; Evaluation (M&amp;E)</t>
  </si>
  <si>
    <t>Other Costs</t>
  </si>
  <si>
    <t xml:space="preserve"> Other Costs Total</t>
  </si>
  <si>
    <t>2010    Budget</t>
  </si>
  <si>
    <t>Ex Ante Estimated MW</t>
  </si>
  <si>
    <t>Ex Post Estimated MW</t>
  </si>
  <si>
    <t>Price Response</t>
  </si>
  <si>
    <t>Average Ex Ante Load Impact kW / Customer</t>
  </si>
  <si>
    <t>Eligible Accounts as of
Jan 1, 2010</t>
  </si>
  <si>
    <t>Eligibility Criteria (Refer to tariff for specifics)</t>
  </si>
  <si>
    <t xml:space="preserve">Estimated Average Ex Ante Load Impact kW/Customer = Average kW / Customer, under 1-in-2 weather conditions, of an event that would occur from 2 - 6 pm on the system peak day of the month, as reported in the load impact reports filed in April 2009. </t>
  </si>
  <si>
    <t>Average Ex Post Load Impact kW / Customer</t>
  </si>
  <si>
    <t>Detailed Breakdown of MWs To Date in TA/Auto DR/TI Programs</t>
  </si>
  <si>
    <t>TA Identified MWs</t>
  </si>
  <si>
    <t>Auto DR Verified MWs</t>
  </si>
  <si>
    <t>TI Verified MWs</t>
  </si>
  <si>
    <t>Total Technology MWs</t>
  </si>
  <si>
    <t>CBP</t>
  </si>
  <si>
    <t>-</t>
  </si>
  <si>
    <t xml:space="preserve">  </t>
  </si>
  <si>
    <t>TA (may also be enrolled in TI and AutoDR)</t>
  </si>
  <si>
    <t>Total TA MWs</t>
  </si>
  <si>
    <t>N/A</t>
  </si>
  <si>
    <t>AMP</t>
  </si>
  <si>
    <t>DBP</t>
  </si>
  <si>
    <t>Peak Choice - Best Effort</t>
  </si>
  <si>
    <t>Peak Choice - Committed</t>
  </si>
  <si>
    <t>2009-2011 Portfolio to date results</t>
  </si>
  <si>
    <t xml:space="preserve">MW Impacts reported on the TA-TI Distribution worksheet are not calculated using the DR Load Impact Protocols i.e. either ex post or ex ante data. Customer counts reported on this worksheet are included in the Program MW worksheet. </t>
  </si>
  <si>
    <t>Represents "Identified MW" from TA Program participants' service accounts from completed TA audits.</t>
  </si>
  <si>
    <t>AutoDR Verified MWs</t>
  </si>
  <si>
    <t>Represents verified i.e.tested MW for service accounts that participate in Auto DR.</t>
  </si>
  <si>
    <t>Represents verified MW for service accounts that participated in Technology Incentives (TI). Customer service accounts must be enrolled in a DR program however not in AutoDR. MW reported in this column are not necessarily the amount enrolled in a DR Program.</t>
  </si>
  <si>
    <t>Represents the sum of verified MWs associated with the service accounts that participated in TI plus Auto DR programs.</t>
  </si>
  <si>
    <t>General Program category</t>
  </si>
  <si>
    <t xml:space="preserve">Represents MW of participants in the TA stage i.e."Identified MW". </t>
  </si>
  <si>
    <t xml:space="preserve">Estimated Average Ex Post Load Impact kW / Customer = Average kW / Customer service account over all actual event hours for the preceeding year when or if events occurred. </t>
  </si>
  <si>
    <t>Bi-Lateral Agreement</t>
  </si>
  <si>
    <t>None</t>
  </si>
  <si>
    <t>January-10</t>
  </si>
  <si>
    <t>February-10</t>
  </si>
  <si>
    <t>March-10</t>
  </si>
  <si>
    <t>April-10</t>
  </si>
  <si>
    <t>May-10</t>
  </si>
  <si>
    <t>June-10</t>
  </si>
  <si>
    <t>Capaciby Bidding Program - DAY OF</t>
  </si>
  <si>
    <t>Met Price Triggers</t>
  </si>
  <si>
    <t>1pm-5pm</t>
  </si>
  <si>
    <t>DemandSMART</t>
  </si>
  <si>
    <t>At discretion of Utility</t>
  </si>
  <si>
    <t>Summer SAVER</t>
  </si>
  <si>
    <t>1pm-6pm</t>
  </si>
  <si>
    <t>Capaciby Bidding Program - DAY AHEAD</t>
  </si>
  <si>
    <t xml:space="preserve">Load Reduction     kW </t>
  </si>
  <si>
    <t>Program Tolled Hours (Annual)</t>
  </si>
  <si>
    <t>Capacity Bidding Program - DAY AHEAD</t>
  </si>
  <si>
    <t>2pm-4pm</t>
  </si>
  <si>
    <t>Critical Peak - Default DAY AHEAD</t>
  </si>
  <si>
    <t>11am-6pm</t>
  </si>
  <si>
    <t>1pm-7pm</t>
  </si>
  <si>
    <t>Base Interruptible (Option A)</t>
  </si>
  <si>
    <t>Base Interruptible (Option B)</t>
  </si>
  <si>
    <t>2pm-6pm</t>
  </si>
  <si>
    <t>3pm-6pm</t>
  </si>
  <si>
    <t>3pm-7pm</t>
  </si>
  <si>
    <t>WMP</t>
  </si>
  <si>
    <t>Wholesale Market Pilot</t>
  </si>
  <si>
    <t>October-10</t>
  </si>
  <si>
    <t>November-10</t>
  </si>
  <si>
    <t>December-10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</si>
</sst>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s>
  <fonts count="38">
    <font>
      <sz val="10"/>
      <name val="Arial"/>
      <family val="0"/>
    </font>
    <font>
      <sz val="11"/>
      <color indexed="8"/>
      <name val="Calibri"/>
      <family val="2"/>
    </font>
    <font>
      <b/>
      <sz val="10"/>
      <name val="Arial"/>
      <family val="2"/>
    </font>
    <font>
      <sz val="10"/>
      <color indexed="8"/>
      <name val="Arial"/>
      <family val="2"/>
    </font>
    <font>
      <b/>
      <i/>
      <sz val="10"/>
      <name val="Arial"/>
      <family val="2"/>
    </font>
    <font>
      <sz val="10"/>
      <color indexed="9"/>
      <name val="Arial"/>
      <family val="2"/>
    </font>
    <font>
      <sz val="11"/>
      <color indexed="9"/>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sz val="10"/>
      <color indexed="12"/>
      <name val="Arial"/>
      <family val="2"/>
    </font>
    <font>
      <sz val="11"/>
      <name val="Arial"/>
      <family val="2"/>
    </font>
    <font>
      <b/>
      <strike/>
      <sz val="10"/>
      <color indexed="8"/>
      <name val="Arial"/>
      <family val="2"/>
    </font>
    <font>
      <strike/>
      <sz val="10"/>
      <color indexed="8"/>
      <name val="Arial"/>
      <family val="2"/>
    </font>
    <font>
      <sz val="9"/>
      <name val="Tahoma"/>
      <family val="2"/>
    </font>
    <font>
      <b/>
      <sz val="11"/>
      <color indexed="8"/>
      <name val="Arial"/>
      <family val="0"/>
    </font>
  </fonts>
  <fills count="46">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65"/>
        <bgColor indexed="64"/>
      </patternFill>
    </fill>
    <fill>
      <patternFill patternType="solid">
        <fgColor indexed="27"/>
        <bgColor indexed="64"/>
      </patternFill>
    </fill>
    <fill>
      <patternFill patternType="solid">
        <fgColor indexed="42"/>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2"/>
      </bottom>
    </border>
    <border>
      <left/>
      <right/>
      <top/>
      <bottom style="medium">
        <color indexed="24"/>
      </bottom>
    </border>
    <border>
      <left/>
      <right/>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right/>
      <top style="thin">
        <color indexed="48"/>
      </top>
      <bottom style="double">
        <color indexed="48"/>
      </bottom>
    </border>
    <border>
      <left/>
      <right style="medium"/>
      <top/>
      <bottom/>
    </border>
    <border>
      <left style="medium"/>
      <right style="thin"/>
      <top/>
      <bottom/>
    </border>
    <border>
      <left/>
      <right/>
      <top/>
      <bottom style="medium"/>
    </border>
    <border>
      <left style="thin"/>
      <right style="thin"/>
      <top/>
      <bottom/>
    </border>
    <border>
      <left/>
      <right/>
      <top style="thin"/>
      <bottom style="thin"/>
    </border>
    <border>
      <left/>
      <right/>
      <top style="thin"/>
      <bottom style="double"/>
    </border>
    <border>
      <left style="thin"/>
      <right style="thin"/>
      <top style="thin"/>
      <bottom style="double"/>
    </border>
    <border>
      <left/>
      <right style="medium"/>
      <top/>
      <bottom style="thin"/>
    </border>
    <border>
      <left style="medium"/>
      <right/>
      <top/>
      <bottom/>
    </border>
    <border>
      <left style="thin"/>
      <right style="thin"/>
      <top style="thin"/>
      <bottom/>
    </border>
    <border>
      <left style="medium"/>
      <right style="medium"/>
      <top style="thin"/>
      <bottom style="thin"/>
    </border>
    <border>
      <left style="medium"/>
      <right style="medium"/>
      <top/>
      <bottom/>
    </border>
    <border>
      <left style="medium"/>
      <right style="medium"/>
      <top/>
      <bottom style="medium"/>
    </border>
    <border>
      <left style="medium"/>
      <right style="thin"/>
      <top style="medium"/>
      <bottom style="thin"/>
    </border>
    <border>
      <left/>
      <right/>
      <top style="medium"/>
      <bottom style="thin"/>
    </border>
    <border>
      <left/>
      <right/>
      <top style="medium"/>
      <bottom/>
    </border>
    <border>
      <left style="medium"/>
      <right style="thin"/>
      <top/>
      <bottom style="thin"/>
    </border>
    <border>
      <left/>
      <right/>
      <top/>
      <bottom style="thin"/>
    </border>
    <border>
      <left/>
      <right style="thin"/>
      <top/>
      <bottom/>
    </border>
    <border>
      <left style="medium"/>
      <right style="medium"/>
      <top style="thin"/>
      <bottom/>
    </border>
    <border>
      <left/>
      <right style="thin"/>
      <top style="medium"/>
      <bottom/>
    </border>
    <border>
      <left/>
      <right style="thin"/>
      <top style="thin"/>
      <bottom style="thin"/>
    </border>
    <border>
      <left style="medium"/>
      <right style="medium"/>
      <top style="medium"/>
      <bottom style="medium"/>
    </border>
    <border>
      <left/>
      <right style="medium"/>
      <top style="medium"/>
      <bottom style="thin"/>
    </border>
    <border>
      <left style="medium"/>
      <right/>
      <top style="thin"/>
      <bottom style="thin"/>
    </border>
    <border>
      <left style="medium"/>
      <right style="medium"/>
      <top style="thin"/>
      <bottom style="double"/>
    </border>
    <border>
      <left style="thin"/>
      <right style="medium"/>
      <top style="medium"/>
      <bottom style="thin"/>
    </border>
    <border>
      <left style="thin"/>
      <right style="medium"/>
      <top/>
      <bottom/>
    </border>
    <border>
      <left style="medium"/>
      <right style="thin"/>
      <top style="thin"/>
      <bottom style="thin"/>
    </border>
    <border>
      <left style="thin"/>
      <right style="medium"/>
      <top style="thin"/>
      <bottom style="thin"/>
    </border>
    <border>
      <left/>
      <right/>
      <top style="thin"/>
      <bottom/>
    </border>
    <border>
      <left style="medium"/>
      <right style="thin"/>
      <top style="thin"/>
      <bottom/>
    </border>
    <border>
      <left style="thin"/>
      <right style="medium"/>
      <top style="thin"/>
      <bottom/>
    </border>
    <border>
      <left style="medium"/>
      <right style="thin"/>
      <top style="thin"/>
      <bottom style="medium"/>
    </border>
    <border>
      <left/>
      <right/>
      <top style="thin"/>
      <bottom style="medium"/>
    </border>
    <border>
      <left style="thin"/>
      <right style="medium"/>
      <top style="thin"/>
      <bottom style="medium"/>
    </border>
    <border>
      <left style="thin"/>
      <right/>
      <top style="thin"/>
      <bottom style="thin"/>
    </border>
    <border>
      <left style="thin"/>
      <right/>
      <top/>
      <bottom/>
    </border>
    <border>
      <left style="thin"/>
      <right/>
      <top style="thin"/>
      <bottom style="medium"/>
    </border>
    <border>
      <left style="thin"/>
      <right style="thin"/>
      <top style="thin"/>
      <bottom style="medium"/>
    </border>
    <border>
      <left/>
      <right style="thin"/>
      <top/>
      <bottom style="thin"/>
    </border>
    <border>
      <left style="thin"/>
      <right/>
      <top/>
      <bottom style="thin"/>
    </border>
    <border>
      <left style="thin"/>
      <right/>
      <top style="thin"/>
      <bottom/>
    </border>
    <border>
      <left style="thin"/>
      <right style="thin"/>
      <top/>
      <bottom style="thin"/>
    </border>
    <border>
      <left/>
      <right style="thin"/>
      <top style="thin"/>
      <bottom style="double"/>
    </border>
    <border>
      <left/>
      <right/>
      <top style="double"/>
      <bottom style="thin"/>
    </border>
    <border>
      <left style="thin"/>
      <right style="thin"/>
      <top/>
      <bottom style="double"/>
    </border>
    <border>
      <left/>
      <right/>
      <top/>
      <bottom style="double"/>
    </border>
    <border>
      <left/>
      <right/>
      <top style="double"/>
      <bottom style="double"/>
    </border>
    <border>
      <left style="thin"/>
      <right/>
      <top/>
      <bottom style="double"/>
    </border>
    <border>
      <left/>
      <right style="thin"/>
      <top/>
      <bottom style="double"/>
    </border>
    <border>
      <left style="thin"/>
      <right/>
      <top style="thin"/>
      <bottom style="double"/>
    </border>
    <border>
      <left/>
      <right style="medium"/>
      <top style="medium"/>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6" fillId="14" borderId="0" applyNumberFormat="0" applyBorder="0" applyAlignment="0" applyProtection="0"/>
    <xf numFmtId="0" fontId="6"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6" fillId="27" borderId="0" applyNumberFormat="0" applyBorder="0" applyAlignment="0" applyProtection="0"/>
    <xf numFmtId="0" fontId="7" fillId="18" borderId="0" applyNumberFormat="0" applyBorder="0" applyAlignment="0" applyProtection="0"/>
    <xf numFmtId="0" fontId="8" fillId="28" borderId="1" applyNumberFormat="0" applyAlignment="0" applyProtection="0"/>
    <xf numFmtId="0" fontId="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1" fillId="0" borderId="0" applyNumberFormat="0" applyFill="0" applyBorder="0" applyAlignment="0" applyProtection="0"/>
    <xf numFmtId="0" fontId="12" fillId="32"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27" borderId="1" applyNumberFormat="0" applyAlignment="0" applyProtection="0"/>
    <xf numFmtId="0" fontId="17" fillId="0" borderId="6" applyNumberFormat="0" applyFill="0" applyAlignment="0" applyProtection="0"/>
    <xf numFmtId="0" fontId="18" fillId="27" borderId="0" applyNumberFormat="0" applyBorder="0" applyAlignment="0" applyProtection="0"/>
    <xf numFmtId="0" fontId="3" fillId="0" borderId="0">
      <alignment/>
      <protection/>
    </xf>
    <xf numFmtId="0" fontId="0" fillId="26" borderId="7" applyNumberFormat="0" applyFont="0" applyAlignment="0" applyProtection="0"/>
    <xf numFmtId="0" fontId="19"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4" fontId="20" fillId="33" borderId="9" applyNumberFormat="0" applyProtection="0">
      <alignment vertical="center"/>
    </xf>
    <xf numFmtId="4" fontId="21" fillId="33" borderId="9" applyNumberFormat="0" applyProtection="0">
      <alignment vertical="center"/>
    </xf>
    <xf numFmtId="4" fontId="20" fillId="33" borderId="9" applyNumberFormat="0" applyProtection="0">
      <alignment horizontal="left" vertical="center" indent="1"/>
    </xf>
    <xf numFmtId="0" fontId="20" fillId="33" borderId="9" applyNumberFormat="0" applyProtection="0">
      <alignment horizontal="left" vertical="top" indent="1"/>
    </xf>
    <xf numFmtId="4" fontId="20" fillId="2" borderId="0" applyNumberFormat="0" applyProtection="0">
      <alignment horizontal="left" vertical="center" indent="1"/>
    </xf>
    <xf numFmtId="4" fontId="3" fillId="7" borderId="9" applyNumberFormat="0" applyProtection="0">
      <alignment horizontal="right" vertical="center"/>
    </xf>
    <xf numFmtId="4" fontId="3" fillId="3" borderId="9" applyNumberFormat="0" applyProtection="0">
      <alignment horizontal="right" vertical="center"/>
    </xf>
    <xf numFmtId="4" fontId="3" fillId="34" borderId="9" applyNumberFormat="0" applyProtection="0">
      <alignment horizontal="right" vertical="center"/>
    </xf>
    <xf numFmtId="4" fontId="3" fillId="35" borderId="9" applyNumberFormat="0" applyProtection="0">
      <alignment horizontal="right" vertical="center"/>
    </xf>
    <xf numFmtId="4" fontId="3" fillId="36" borderId="9" applyNumberFormat="0" applyProtection="0">
      <alignment horizontal="right" vertical="center"/>
    </xf>
    <xf numFmtId="4" fontId="3" fillId="37" borderId="9" applyNumberFormat="0" applyProtection="0">
      <alignment horizontal="right" vertical="center"/>
    </xf>
    <xf numFmtId="4" fontId="3" fillId="9" borderId="9" applyNumberFormat="0" applyProtection="0">
      <alignment horizontal="right" vertical="center"/>
    </xf>
    <xf numFmtId="4" fontId="3" fillId="38" borderId="9" applyNumberFormat="0" applyProtection="0">
      <alignment horizontal="right" vertical="center"/>
    </xf>
    <xf numFmtId="4" fontId="3" fillId="39" borderId="9" applyNumberFormat="0" applyProtection="0">
      <alignment horizontal="right" vertical="center"/>
    </xf>
    <xf numFmtId="4" fontId="20" fillId="40" borderId="10" applyNumberFormat="0" applyProtection="0">
      <alignment horizontal="left" vertical="center" indent="1"/>
    </xf>
    <xf numFmtId="4" fontId="3" fillId="41" borderId="0" applyNumberFormat="0" applyProtection="0">
      <alignment horizontal="left" vertical="center" indent="1"/>
    </xf>
    <xf numFmtId="4" fontId="22" fillId="8" borderId="0" applyNumberFormat="0" applyProtection="0">
      <alignment horizontal="left" vertical="center" indent="1"/>
    </xf>
    <xf numFmtId="4" fontId="3" fillId="2" borderId="9" applyNumberFormat="0" applyProtection="0">
      <alignment horizontal="right" vertical="center"/>
    </xf>
    <xf numFmtId="4" fontId="3" fillId="41" borderId="0" applyNumberFormat="0" applyProtection="0">
      <alignment horizontal="left" vertical="center" indent="1"/>
    </xf>
    <xf numFmtId="4" fontId="3" fillId="2" borderId="0"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 borderId="9" applyNumberFormat="0" applyProtection="0">
      <alignment horizontal="left" vertical="center" indent="1"/>
    </xf>
    <xf numFmtId="0" fontId="0" fillId="2" borderId="9" applyNumberFormat="0" applyProtection="0">
      <alignment horizontal="left" vertical="top" indent="1"/>
    </xf>
    <xf numFmtId="0" fontId="0" fillId="6" borderId="9" applyNumberFormat="0" applyProtection="0">
      <alignment horizontal="left" vertical="center" indent="1"/>
    </xf>
    <xf numFmtId="0" fontId="0" fillId="6" borderId="9" applyNumberFormat="0" applyProtection="0">
      <alignment horizontal="left" vertical="top" indent="1"/>
    </xf>
    <xf numFmtId="0" fontId="0" fillId="41" borderId="9" applyNumberFormat="0" applyProtection="0">
      <alignment horizontal="left" vertical="center" indent="1"/>
    </xf>
    <xf numFmtId="0" fontId="0" fillId="41" borderId="9" applyNumberFormat="0" applyProtection="0">
      <alignment horizontal="left" vertical="top" indent="1"/>
    </xf>
    <xf numFmtId="0" fontId="0" fillId="5" borderId="11" applyNumberFormat="0">
      <alignment/>
      <protection locked="0"/>
    </xf>
    <xf numFmtId="4" fontId="3" fillId="4" borderId="9" applyNumberFormat="0" applyProtection="0">
      <alignment vertical="center"/>
    </xf>
    <xf numFmtId="4" fontId="23" fillId="4" borderId="9" applyNumberFormat="0" applyProtection="0">
      <alignment vertical="center"/>
    </xf>
    <xf numFmtId="4" fontId="3" fillId="4" borderId="9" applyNumberFormat="0" applyProtection="0">
      <alignment horizontal="left" vertical="center" indent="1"/>
    </xf>
    <xf numFmtId="0" fontId="3" fillId="4" borderId="9" applyNumberFormat="0" applyProtection="0">
      <alignment horizontal="left" vertical="top" indent="1"/>
    </xf>
    <xf numFmtId="4" fontId="3" fillId="41" borderId="9" applyNumberFormat="0" applyProtection="0">
      <alignment horizontal="right" vertical="center"/>
    </xf>
    <xf numFmtId="4" fontId="23" fillId="41" borderId="9" applyNumberFormat="0" applyProtection="0">
      <alignment horizontal="right" vertical="center"/>
    </xf>
    <xf numFmtId="4" fontId="3" fillId="2" borderId="9" applyNumberFormat="0" applyProtection="0">
      <alignment horizontal="left" vertical="center" indent="1"/>
    </xf>
    <xf numFmtId="0" fontId="3" fillId="2" borderId="9" applyNumberFormat="0" applyProtection="0">
      <alignment horizontal="left" vertical="top" indent="1"/>
    </xf>
    <xf numFmtId="4" fontId="24" fillId="42" borderId="0" applyNumberFormat="0" applyProtection="0">
      <alignment horizontal="left" vertical="center" indent="1"/>
    </xf>
    <xf numFmtId="4" fontId="25" fillId="41" borderId="9" applyNumberFormat="0" applyProtection="0">
      <alignment horizontal="right" vertical="center"/>
    </xf>
    <xf numFmtId="0" fontId="26" fillId="0" borderId="0" applyNumberFormat="0" applyFill="0" applyBorder="0" applyAlignment="0" applyProtection="0"/>
    <xf numFmtId="0" fontId="26" fillId="0" borderId="0" applyNumberFormat="0" applyFill="0" applyBorder="0" applyAlignment="0" applyProtection="0"/>
    <xf numFmtId="0" fontId="10" fillId="0" borderId="12" applyNumberFormat="0" applyFill="0" applyAlignment="0" applyProtection="0"/>
    <xf numFmtId="0" fontId="27" fillId="0" borderId="0" applyNumberFormat="0" applyFill="0" applyBorder="0" applyAlignment="0" applyProtection="0"/>
  </cellStyleXfs>
  <cellXfs count="429">
    <xf numFmtId="0" fontId="0" fillId="0" borderId="0" xfId="0" applyAlignment="1">
      <alignment/>
    </xf>
    <xf numFmtId="0" fontId="0" fillId="0" borderId="0" xfId="0" applyBorder="1" applyAlignment="1">
      <alignment/>
    </xf>
    <xf numFmtId="0" fontId="0" fillId="0" borderId="13" xfId="0" applyBorder="1" applyAlignment="1">
      <alignment/>
    </xf>
    <xf numFmtId="164" fontId="0" fillId="0" borderId="0" xfId="0" applyNumberFormat="1" applyBorder="1" applyAlignment="1">
      <alignment/>
    </xf>
    <xf numFmtId="0" fontId="0" fillId="0" borderId="14" xfId="0" applyBorder="1" applyAlignment="1">
      <alignment/>
    </xf>
    <xf numFmtId="164" fontId="0" fillId="0" borderId="15" xfId="0" applyNumberFormat="1" applyBorder="1" applyAlignment="1">
      <alignment/>
    </xf>
    <xf numFmtId="0" fontId="0" fillId="0" borderId="14" xfId="0" applyFill="1" applyBorder="1" applyAlignment="1">
      <alignment/>
    </xf>
    <xf numFmtId="0" fontId="0" fillId="0" borderId="16" xfId="0" applyBorder="1" applyAlignment="1">
      <alignment/>
    </xf>
    <xf numFmtId="0" fontId="0" fillId="0" borderId="15" xfId="0" applyBorder="1" applyAlignment="1">
      <alignment/>
    </xf>
    <xf numFmtId="6" fontId="0" fillId="0" borderId="0" xfId="0" applyNumberFormat="1" applyBorder="1" applyAlignment="1">
      <alignment horizontal="right"/>
    </xf>
    <xf numFmtId="6" fontId="0" fillId="0" borderId="11" xfId="0" applyNumberFormat="1" applyFill="1" applyBorder="1" applyAlignment="1">
      <alignment/>
    </xf>
    <xf numFmtId="6" fontId="0" fillId="0" borderId="17" xfId="0" applyNumberFormat="1" applyFill="1" applyBorder="1" applyAlignment="1">
      <alignment/>
    </xf>
    <xf numFmtId="6" fontId="0" fillId="0" borderId="0" xfId="0" applyNumberFormat="1" applyFill="1" applyBorder="1" applyAlignment="1">
      <alignment/>
    </xf>
    <xf numFmtId="6" fontId="0" fillId="0" borderId="16" xfId="0" applyNumberFormat="1" applyFill="1" applyBorder="1" applyAlignment="1">
      <alignment/>
    </xf>
    <xf numFmtId="6" fontId="0" fillId="0" borderId="18" xfId="0" applyNumberFormat="1" applyFill="1" applyBorder="1" applyAlignment="1">
      <alignment/>
    </xf>
    <xf numFmtId="0" fontId="2" fillId="0" borderId="0" xfId="0" applyFont="1" applyFill="1" applyBorder="1" applyAlignment="1">
      <alignment/>
    </xf>
    <xf numFmtId="6" fontId="0" fillId="0" borderId="19" xfId="0" applyNumberFormat="1" applyFill="1" applyBorder="1" applyAlignment="1">
      <alignment/>
    </xf>
    <xf numFmtId="0" fontId="2" fillId="0" borderId="11" xfId="0" applyFont="1" applyFill="1" applyBorder="1" applyAlignment="1">
      <alignment horizontal="center" wrapText="1"/>
    </xf>
    <xf numFmtId="0" fontId="2" fillId="0" borderId="20" xfId="0" applyFont="1" applyFill="1" applyBorder="1" applyAlignment="1">
      <alignment horizontal="center" wrapText="1"/>
    </xf>
    <xf numFmtId="0" fontId="0" fillId="0" borderId="16" xfId="0" applyFill="1" applyBorder="1" applyAlignment="1">
      <alignment/>
    </xf>
    <xf numFmtId="6" fontId="0" fillId="0" borderId="16" xfId="0" applyNumberFormat="1" applyFill="1" applyBorder="1" applyAlignment="1">
      <alignment horizontal="right"/>
    </xf>
    <xf numFmtId="0" fontId="0" fillId="0" borderId="0" xfId="0" applyFill="1" applyBorder="1" applyAlignment="1">
      <alignment/>
    </xf>
    <xf numFmtId="0" fontId="0" fillId="0" borderId="0" xfId="0" applyFill="1" applyAlignment="1">
      <alignment/>
    </xf>
    <xf numFmtId="164" fontId="0" fillId="0" borderId="0" xfId="0" applyNumberFormat="1" applyAlignment="1">
      <alignment/>
    </xf>
    <xf numFmtId="6" fontId="0" fillId="0" borderId="0" xfId="0" applyNumberFormat="1" applyAlignment="1">
      <alignment/>
    </xf>
    <xf numFmtId="6" fontId="0" fillId="0" borderId="17" xfId="0" applyNumberFormat="1" applyFont="1" applyFill="1" applyBorder="1" applyAlignment="1">
      <alignment/>
    </xf>
    <xf numFmtId="0" fontId="0" fillId="0" borderId="21" xfId="0" applyFill="1" applyBorder="1" applyAlignment="1">
      <alignment horizontal="left" indent="1"/>
    </xf>
    <xf numFmtId="0" fontId="0" fillId="0" borderId="21" xfId="0" applyFont="1" applyFill="1" applyBorder="1" applyAlignment="1">
      <alignment horizontal="left" indent="1"/>
    </xf>
    <xf numFmtId="168" fontId="0" fillId="0" borderId="0" xfId="0" applyNumberFormat="1" applyAlignment="1">
      <alignment/>
    </xf>
    <xf numFmtId="6" fontId="0" fillId="0" borderId="0" xfId="0" applyNumberFormat="1" applyFont="1" applyBorder="1" applyAlignment="1">
      <alignment/>
    </xf>
    <xf numFmtId="6" fontId="0" fillId="0" borderId="22" xfId="0" applyNumberFormat="1" applyFill="1" applyBorder="1" applyAlignment="1">
      <alignment/>
    </xf>
    <xf numFmtId="0" fontId="2" fillId="0" borderId="23" xfId="0" applyFont="1" applyFill="1" applyBorder="1" applyAlignment="1">
      <alignment/>
    </xf>
    <xf numFmtId="0" fontId="2" fillId="0" borderId="24" xfId="0" applyFont="1" applyFill="1" applyBorder="1" applyAlignment="1">
      <alignment horizontal="left" indent="1"/>
    </xf>
    <xf numFmtId="0" fontId="4" fillId="0" borderId="24" xfId="0" applyFont="1" applyFill="1" applyBorder="1" applyAlignment="1">
      <alignment wrapText="1"/>
    </xf>
    <xf numFmtId="0" fontId="0" fillId="0" borderId="24" xfId="0" applyFill="1" applyBorder="1" applyAlignment="1">
      <alignment horizontal="left" indent="1"/>
    </xf>
    <xf numFmtId="0" fontId="2" fillId="0" borderId="23" xfId="0" applyFont="1" applyFill="1" applyBorder="1" applyAlignment="1">
      <alignment wrapText="1"/>
    </xf>
    <xf numFmtId="0" fontId="2" fillId="0" borderId="25" xfId="0" applyFont="1" applyBorder="1" applyAlignment="1">
      <alignment/>
    </xf>
    <xf numFmtId="0" fontId="2" fillId="0" borderId="26" xfId="0" applyFont="1" applyFill="1" applyBorder="1" applyAlignment="1">
      <alignment/>
    </xf>
    <xf numFmtId="0" fontId="0" fillId="0" borderId="27" xfId="0" applyFill="1" applyBorder="1" applyAlignment="1">
      <alignment/>
    </xf>
    <xf numFmtId="0" fontId="0" fillId="0" borderId="28" xfId="0" applyFill="1" applyBorder="1" applyAlignment="1">
      <alignment/>
    </xf>
    <xf numFmtId="0" fontId="2" fillId="0" borderId="29" xfId="0" applyFont="1" applyFill="1" applyBorder="1" applyAlignment="1">
      <alignment/>
    </xf>
    <xf numFmtId="0" fontId="0" fillId="0" borderId="30" xfId="0" applyFill="1" applyBorder="1" applyAlignment="1">
      <alignment/>
    </xf>
    <xf numFmtId="0" fontId="0" fillId="0" borderId="17" xfId="0" applyFill="1" applyBorder="1" applyAlignment="1">
      <alignment/>
    </xf>
    <xf numFmtId="0" fontId="2" fillId="0" borderId="23" xfId="0" applyFont="1" applyFill="1" applyBorder="1" applyAlignment="1">
      <alignment horizontal="center"/>
    </xf>
    <xf numFmtId="0" fontId="2" fillId="0" borderId="30" xfId="0" applyFont="1" applyFill="1" applyBorder="1" applyAlignment="1">
      <alignment horizontal="center"/>
    </xf>
    <xf numFmtId="0" fontId="2" fillId="0" borderId="16" xfId="0" applyFont="1" applyFill="1" applyBorder="1" applyAlignment="1">
      <alignment horizontal="center" wrapText="1"/>
    </xf>
    <xf numFmtId="6" fontId="0" fillId="0" borderId="31" xfId="0" applyNumberFormat="1" applyFill="1" applyBorder="1" applyAlignment="1">
      <alignment/>
    </xf>
    <xf numFmtId="0" fontId="2" fillId="0" borderId="32" xfId="0" applyFont="1" applyFill="1" applyBorder="1" applyAlignment="1">
      <alignment/>
    </xf>
    <xf numFmtId="6" fontId="0" fillId="0" borderId="0" xfId="0" applyNumberFormat="1" applyFill="1" applyBorder="1" applyAlignment="1">
      <alignment horizontal="right"/>
    </xf>
    <xf numFmtId="0" fontId="0" fillId="0" borderId="33" xfId="0" applyFill="1" applyBorder="1" applyAlignment="1">
      <alignment/>
    </xf>
    <xf numFmtId="0" fontId="0" fillId="0" borderId="34" xfId="0" applyFill="1" applyBorder="1" applyAlignment="1">
      <alignment/>
    </xf>
    <xf numFmtId="6" fontId="0" fillId="0" borderId="0" xfId="0" applyNumberFormat="1" applyFill="1" applyAlignment="1">
      <alignment/>
    </xf>
    <xf numFmtId="0" fontId="0" fillId="0" borderId="0" xfId="0" applyNumberFormat="1" applyFill="1" applyAlignment="1">
      <alignment horizontal="left"/>
    </xf>
    <xf numFmtId="6" fontId="0" fillId="0" borderId="0" xfId="0" applyNumberFormat="1" applyFont="1" applyFill="1" applyBorder="1" applyAlignment="1">
      <alignment/>
    </xf>
    <xf numFmtId="0" fontId="2" fillId="0" borderId="24" xfId="0" applyFont="1" applyFill="1" applyBorder="1" applyAlignment="1">
      <alignment wrapText="1"/>
    </xf>
    <xf numFmtId="0" fontId="0" fillId="0" borderId="35" xfId="0" applyNumberFormat="1" applyFont="1" applyFill="1" applyBorder="1" applyAlignment="1">
      <alignment horizontal="left" wrapText="1"/>
    </xf>
    <xf numFmtId="6" fontId="2" fillId="0" borderId="35" xfId="0" applyNumberFormat="1" applyFont="1" applyFill="1" applyBorder="1" applyAlignment="1">
      <alignment/>
    </xf>
    <xf numFmtId="0" fontId="2" fillId="0" borderId="24" xfId="0" applyFont="1" applyFill="1" applyBorder="1" applyAlignment="1">
      <alignment/>
    </xf>
    <xf numFmtId="0" fontId="0" fillId="0" borderId="22" xfId="0" applyBorder="1" applyAlignment="1">
      <alignment/>
    </xf>
    <xf numFmtId="0" fontId="0" fillId="0" borderId="15" xfId="0" applyFill="1" applyBorder="1" applyAlignment="1">
      <alignment/>
    </xf>
    <xf numFmtId="0" fontId="0" fillId="0" borderId="32" xfId="0" applyBorder="1" applyAlignment="1">
      <alignment/>
    </xf>
    <xf numFmtId="0" fontId="0" fillId="0" borderId="22" xfId="0" applyFill="1" applyBorder="1" applyAlignment="1">
      <alignment/>
    </xf>
    <xf numFmtId="0" fontId="0" fillId="0" borderId="0" xfId="0" applyFont="1" applyFill="1" applyBorder="1" applyAlignment="1">
      <alignment/>
    </xf>
    <xf numFmtId="0" fontId="2" fillId="0" borderId="36" xfId="0" applyFont="1" applyFill="1" applyBorder="1" applyAlignment="1">
      <alignment/>
    </xf>
    <xf numFmtId="0" fontId="2" fillId="0" borderId="20" xfId="0" applyFont="1" applyFill="1" applyBorder="1" applyAlignment="1">
      <alignment/>
    </xf>
    <xf numFmtId="0" fontId="4" fillId="0" borderId="13" xfId="0" applyFont="1" applyFill="1" applyBorder="1" applyAlignment="1">
      <alignment wrapText="1"/>
    </xf>
    <xf numFmtId="0" fontId="0" fillId="0" borderId="13" xfId="0" applyFill="1" applyBorder="1" applyAlignment="1">
      <alignment horizontal="left" indent="1"/>
    </xf>
    <xf numFmtId="0" fontId="2" fillId="0" borderId="13" xfId="0" applyFont="1" applyFill="1" applyBorder="1" applyAlignment="1">
      <alignment/>
    </xf>
    <xf numFmtId="0" fontId="2" fillId="0" borderId="0" xfId="0" applyFont="1" applyFill="1" applyBorder="1" applyAlignment="1">
      <alignment wrapText="1"/>
    </xf>
    <xf numFmtId="0" fontId="2" fillId="0" borderId="15" xfId="0" applyFont="1" applyBorder="1" applyAlignment="1">
      <alignment/>
    </xf>
    <xf numFmtId="0" fontId="2" fillId="0" borderId="13" xfId="0" applyFont="1" applyFill="1" applyBorder="1" applyAlignment="1">
      <alignment horizontal="left" indent="1"/>
    </xf>
    <xf numFmtId="0" fontId="2" fillId="0" borderId="37" xfId="0" applyFont="1" applyFill="1" applyBorder="1" applyAlignment="1">
      <alignment/>
    </xf>
    <xf numFmtId="6" fontId="0" fillId="0" borderId="24" xfId="0" applyNumberFormat="1" applyFill="1" applyBorder="1" applyAlignment="1">
      <alignment/>
    </xf>
    <xf numFmtId="6" fontId="0" fillId="0" borderId="23" xfId="0" applyNumberFormat="1" applyFill="1" applyBorder="1" applyAlignment="1">
      <alignment/>
    </xf>
    <xf numFmtId="6" fontId="0" fillId="0" borderId="38" xfId="0" applyNumberFormat="1" applyFont="1" applyFill="1" applyBorder="1" applyAlignment="1">
      <alignment wrapText="1"/>
    </xf>
    <xf numFmtId="167" fontId="0" fillId="0" borderId="11" xfId="0" applyNumberFormat="1" applyFill="1" applyBorder="1" applyAlignment="1">
      <alignment/>
    </xf>
    <xf numFmtId="167" fontId="0" fillId="0" borderId="16" xfId="0" applyNumberFormat="1" applyFill="1" applyBorder="1" applyAlignment="1">
      <alignment/>
    </xf>
    <xf numFmtId="167" fontId="0" fillId="0" borderId="19" xfId="0" applyNumberFormat="1" applyFill="1" applyBorder="1" applyAlignment="1">
      <alignment/>
    </xf>
    <xf numFmtId="6" fontId="0" fillId="0" borderId="16" xfId="0" applyNumberFormat="1" applyFill="1" applyBorder="1" applyAlignment="1">
      <alignment horizontal="right" vertical="center"/>
    </xf>
    <xf numFmtId="0" fontId="3" fillId="0" borderId="0" xfId="78">
      <alignment/>
      <protection/>
    </xf>
    <xf numFmtId="0" fontId="3" fillId="0" borderId="0" xfId="78" applyFont="1">
      <alignment/>
      <protection/>
    </xf>
    <xf numFmtId="0" fontId="20" fillId="0" borderId="0" xfId="78" applyFont="1">
      <alignment/>
      <protection/>
    </xf>
    <xf numFmtId="0" fontId="20" fillId="0" borderId="0" xfId="78" applyFont="1" applyAlignment="1">
      <alignment horizontal="center"/>
      <protection/>
    </xf>
    <xf numFmtId="0" fontId="20" fillId="0" borderId="11" xfId="78" applyFont="1" applyBorder="1" applyAlignment="1">
      <alignment horizontal="center"/>
      <protection/>
    </xf>
    <xf numFmtId="0" fontId="3" fillId="0" borderId="11" xfId="78" applyFont="1" applyBorder="1">
      <alignment/>
      <protection/>
    </xf>
    <xf numFmtId="6" fontId="3" fillId="0" borderId="11" xfId="78" applyNumberFormat="1" applyFont="1" applyBorder="1">
      <alignment/>
      <protection/>
    </xf>
    <xf numFmtId="14" fontId="3" fillId="0" borderId="11" xfId="78" applyNumberFormat="1" applyBorder="1">
      <alignment/>
      <protection/>
    </xf>
    <xf numFmtId="0" fontId="3" fillId="0" borderId="11" xfId="78" applyBorder="1">
      <alignment/>
      <protection/>
    </xf>
    <xf numFmtId="6" fontId="3" fillId="0" borderId="11" xfId="78" applyNumberFormat="1" applyBorder="1">
      <alignment/>
      <protection/>
    </xf>
    <xf numFmtId="0" fontId="20" fillId="0" borderId="11" xfId="78" applyFont="1" applyBorder="1">
      <alignment/>
      <protection/>
    </xf>
    <xf numFmtId="6" fontId="20" fillId="0" borderId="11" xfId="78" applyNumberFormat="1" applyFont="1" applyBorder="1">
      <alignment/>
      <protection/>
    </xf>
    <xf numFmtId="0" fontId="2" fillId="0" borderId="0" xfId="0" applyFont="1" applyFill="1" applyAlignment="1">
      <alignment/>
    </xf>
    <xf numFmtId="0" fontId="2" fillId="0" borderId="11" xfId="0" applyFont="1" applyFill="1" applyBorder="1" applyAlignment="1">
      <alignment horizontal="center"/>
    </xf>
    <xf numFmtId="0" fontId="29" fillId="0" borderId="0" xfId="0" applyFont="1" applyFill="1" applyBorder="1" applyAlignment="1">
      <alignment/>
    </xf>
    <xf numFmtId="38" fontId="0" fillId="0" borderId="0" xfId="0" applyNumberFormat="1" applyFont="1" applyFill="1" applyBorder="1" applyAlignment="1">
      <alignment/>
    </xf>
    <xf numFmtId="165" fontId="0" fillId="0" borderId="0" xfId="0" applyNumberFormat="1" applyFont="1" applyFill="1" applyBorder="1" applyAlignment="1">
      <alignment/>
    </xf>
    <xf numFmtId="166" fontId="0" fillId="0" borderId="0" xfId="0" applyNumberFormat="1" applyFont="1" applyFill="1" applyBorder="1" applyAlignment="1">
      <alignment/>
    </xf>
    <xf numFmtId="0" fontId="29" fillId="0" borderId="0" xfId="0" applyFont="1" applyAlignment="1">
      <alignment/>
    </xf>
    <xf numFmtId="0" fontId="2" fillId="43" borderId="26" xfId="0" applyFont="1" applyFill="1" applyBorder="1" applyAlignment="1">
      <alignment horizontal="center"/>
    </xf>
    <xf numFmtId="0" fontId="2" fillId="0" borderId="27" xfId="0" applyFont="1" applyBorder="1" applyAlignment="1">
      <alignment horizontal="center"/>
    </xf>
    <xf numFmtId="0" fontId="2" fillId="0" borderId="39" xfId="0" applyFont="1" applyBorder="1" applyAlignment="1">
      <alignment horizontal="center" wrapText="1"/>
    </xf>
    <xf numFmtId="0" fontId="30" fillId="0" borderId="14" xfId="0" applyFont="1" applyBorder="1" applyAlignment="1">
      <alignment horizontal="center"/>
    </xf>
    <xf numFmtId="0" fontId="0" fillId="0" borderId="0" xfId="0" applyBorder="1" applyAlignment="1">
      <alignment/>
    </xf>
    <xf numFmtId="0" fontId="0" fillId="0" borderId="40" xfId="0" applyBorder="1" applyAlignment="1">
      <alignment/>
    </xf>
    <xf numFmtId="0" fontId="2" fillId="0" borderId="14" xfId="0" applyFont="1" applyBorder="1" applyAlignment="1">
      <alignment horizontal="center"/>
    </xf>
    <xf numFmtId="164" fontId="0" fillId="0" borderId="0" xfId="0" applyNumberFormat="1" applyBorder="1" applyAlignment="1">
      <alignment/>
    </xf>
    <xf numFmtId="164" fontId="0" fillId="0" borderId="0" xfId="0" applyNumberFormat="1" applyFill="1" applyBorder="1" applyAlignment="1">
      <alignment/>
    </xf>
    <xf numFmtId="164" fontId="0" fillId="0" borderId="0" xfId="0" applyNumberFormat="1" applyBorder="1" applyAlignment="1">
      <alignment horizontal="right"/>
    </xf>
    <xf numFmtId="164" fontId="0" fillId="0" borderId="40" xfId="0" applyNumberFormat="1" applyBorder="1" applyAlignment="1">
      <alignment/>
    </xf>
    <xf numFmtId="0" fontId="2" fillId="0" borderId="41" xfId="0" applyFont="1" applyFill="1" applyBorder="1" applyAlignment="1">
      <alignment/>
    </xf>
    <xf numFmtId="164" fontId="0" fillId="0" borderId="17" xfId="0" applyNumberFormat="1" applyFill="1" applyBorder="1" applyAlignment="1">
      <alignment/>
    </xf>
    <xf numFmtId="164" fontId="0" fillId="0" borderId="42" xfId="0" applyNumberFormat="1" applyFill="1" applyBorder="1" applyAlignment="1">
      <alignment/>
    </xf>
    <xf numFmtId="0" fontId="2" fillId="0" borderId="14" xfId="0" applyFont="1" applyFill="1" applyBorder="1" applyAlignment="1">
      <alignment/>
    </xf>
    <xf numFmtId="164" fontId="0" fillId="0" borderId="40" xfId="0" applyNumberFormat="1" applyFill="1" applyBorder="1" applyAlignment="1">
      <alignment/>
    </xf>
    <xf numFmtId="164" fontId="0" fillId="0" borderId="0" xfId="0" applyNumberFormat="1" applyFill="1" applyBorder="1" applyAlignment="1">
      <alignment horizontal="right"/>
    </xf>
    <xf numFmtId="0" fontId="2" fillId="0" borderId="41" xfId="0" applyFont="1" applyFill="1" applyBorder="1" applyAlignment="1">
      <alignment horizontal="left" wrapText="1" indent="1"/>
    </xf>
    <xf numFmtId="0" fontId="2" fillId="0" borderId="14" xfId="0" applyFont="1" applyFill="1" applyBorder="1" applyAlignment="1">
      <alignment horizontal="left" indent="1"/>
    </xf>
    <xf numFmtId="164" fontId="0" fillId="0" borderId="43" xfId="0" applyNumberFormat="1" applyFill="1" applyBorder="1" applyAlignment="1">
      <alignment/>
    </xf>
    <xf numFmtId="0" fontId="2" fillId="0" borderId="14" xfId="0" applyFont="1" applyFill="1" applyBorder="1" applyAlignment="1">
      <alignment horizontal="center" wrapText="1"/>
    </xf>
    <xf numFmtId="164" fontId="0" fillId="0" borderId="30" xfId="0" applyNumberFormat="1" applyFill="1" applyBorder="1" applyAlignment="1">
      <alignment horizontal="right"/>
    </xf>
    <xf numFmtId="0" fontId="2" fillId="0" borderId="41" xfId="0" applyFont="1" applyFill="1" applyBorder="1" applyAlignment="1">
      <alignment horizontal="left" indent="1"/>
    </xf>
    <xf numFmtId="0" fontId="2" fillId="0" borderId="44" xfId="0" applyFont="1" applyFill="1" applyBorder="1" applyAlignment="1">
      <alignment horizontal="left" indent="1"/>
    </xf>
    <xf numFmtId="164" fontId="0" fillId="0" borderId="45" xfId="0" applyNumberFormat="1" applyFill="1" applyBorder="1" applyAlignment="1">
      <alignment/>
    </xf>
    <xf numFmtId="0" fontId="2" fillId="0" borderId="11" xfId="0" applyFont="1" applyFill="1" applyBorder="1" applyAlignment="1">
      <alignment/>
    </xf>
    <xf numFmtId="164" fontId="0" fillId="43" borderId="17" xfId="0" applyNumberFormat="1" applyFill="1" applyBorder="1" applyAlignment="1">
      <alignment/>
    </xf>
    <xf numFmtId="164" fontId="0" fillId="43" borderId="17" xfId="0" applyNumberFormat="1" applyFill="1" applyBorder="1" applyAlignment="1" quotePrefix="1">
      <alignment/>
    </xf>
    <xf numFmtId="49" fontId="0" fillId="0" borderId="0" xfId="0" applyNumberFormat="1" applyAlignment="1">
      <alignment/>
    </xf>
    <xf numFmtId="164" fontId="0" fillId="43" borderId="17" xfId="0" applyNumberFormat="1" applyFill="1" applyBorder="1" applyAlignment="1">
      <alignment horizontal="right"/>
    </xf>
    <xf numFmtId="164" fontId="0" fillId="43" borderId="34" xfId="0" applyNumberFormat="1" applyFill="1" applyBorder="1" applyAlignment="1">
      <alignment horizontal="right"/>
    </xf>
    <xf numFmtId="164" fontId="0" fillId="43" borderId="42" xfId="0" applyNumberFormat="1" applyFill="1" applyBorder="1" applyAlignment="1">
      <alignment horizontal="right"/>
    </xf>
    <xf numFmtId="164" fontId="0" fillId="43" borderId="0" xfId="0" applyNumberFormat="1" applyFill="1" applyBorder="1" applyAlignment="1">
      <alignment/>
    </xf>
    <xf numFmtId="0" fontId="2" fillId="0" borderId="46" xfId="0" applyFont="1" applyFill="1" applyBorder="1" applyAlignment="1">
      <alignment wrapText="1"/>
    </xf>
    <xf numFmtId="164" fontId="2" fillId="0" borderId="47" xfId="0" applyNumberFormat="1" applyFont="1" applyFill="1" applyBorder="1" applyAlignment="1">
      <alignment/>
    </xf>
    <xf numFmtId="164" fontId="2" fillId="0" borderId="48" xfId="0" applyNumberFormat="1" applyFont="1" applyFill="1" applyBorder="1" applyAlignment="1">
      <alignment/>
    </xf>
    <xf numFmtId="0" fontId="2" fillId="0" borderId="28" xfId="0" applyFont="1" applyFill="1" applyBorder="1" applyAlignment="1">
      <alignment wrapText="1"/>
    </xf>
    <xf numFmtId="164" fontId="2" fillId="0" borderId="28" xfId="0" applyNumberFormat="1" applyFont="1" applyFill="1" applyBorder="1" applyAlignment="1">
      <alignment/>
    </xf>
    <xf numFmtId="0" fontId="2" fillId="0" borderId="0" xfId="0" applyFont="1" applyBorder="1" applyAlignment="1">
      <alignment wrapText="1"/>
    </xf>
    <xf numFmtId="0" fontId="2" fillId="43" borderId="26" xfId="0" applyFont="1" applyFill="1" applyBorder="1" applyAlignment="1">
      <alignment/>
    </xf>
    <xf numFmtId="0" fontId="2" fillId="43" borderId="41" xfId="0" applyFont="1" applyFill="1" applyBorder="1" applyAlignment="1">
      <alignment horizontal="center"/>
    </xf>
    <xf numFmtId="0" fontId="2" fillId="5" borderId="17" xfId="0" applyFont="1" applyFill="1" applyBorder="1" applyAlignment="1">
      <alignment horizontal="center"/>
    </xf>
    <xf numFmtId="0" fontId="2" fillId="5" borderId="49" xfId="0" applyFont="1" applyFill="1" applyBorder="1" applyAlignment="1">
      <alignment horizontal="center" wrapText="1"/>
    </xf>
    <xf numFmtId="0" fontId="2" fillId="5" borderId="11" xfId="0" applyFont="1" applyFill="1" applyBorder="1" applyAlignment="1">
      <alignment horizontal="center" wrapText="1"/>
    </xf>
    <xf numFmtId="0" fontId="2" fillId="5" borderId="42" xfId="0" applyFont="1" applyFill="1" applyBorder="1" applyAlignment="1">
      <alignment horizontal="center" wrapText="1"/>
    </xf>
    <xf numFmtId="0" fontId="2" fillId="43" borderId="14" xfId="0" applyFont="1" applyFill="1" applyBorder="1" applyAlignment="1">
      <alignment horizontal="center"/>
    </xf>
    <xf numFmtId="0" fontId="2" fillId="5" borderId="0" xfId="0" applyFont="1" applyFill="1" applyBorder="1" applyAlignment="1">
      <alignment horizontal="center"/>
    </xf>
    <xf numFmtId="0" fontId="2" fillId="5" borderId="50" xfId="0" applyFont="1" applyFill="1" applyBorder="1" applyAlignment="1">
      <alignment horizontal="center" wrapText="1"/>
    </xf>
    <xf numFmtId="0" fontId="2" fillId="5" borderId="16" xfId="0" applyFont="1" applyFill="1" applyBorder="1" applyAlignment="1">
      <alignment horizontal="center" wrapText="1"/>
    </xf>
    <xf numFmtId="0" fontId="2" fillId="5" borderId="40" xfId="0" applyFont="1" applyFill="1" applyBorder="1" applyAlignment="1">
      <alignment horizontal="center" wrapText="1"/>
    </xf>
    <xf numFmtId="0" fontId="2" fillId="0" borderId="14" xfId="0" applyFont="1" applyFill="1" applyBorder="1" applyAlignment="1">
      <alignment horizontal="center"/>
    </xf>
    <xf numFmtId="0" fontId="2" fillId="0" borderId="50" xfId="0" applyFont="1" applyFill="1" applyBorder="1" applyAlignment="1">
      <alignment horizontal="center" wrapText="1"/>
    </xf>
    <xf numFmtId="164" fontId="2" fillId="5" borderId="17" xfId="0" applyNumberFormat="1" applyFont="1" applyFill="1" applyBorder="1" applyAlignment="1">
      <alignment horizontal="right"/>
    </xf>
    <xf numFmtId="164" fontId="2" fillId="0" borderId="11" xfId="0" applyNumberFormat="1" applyFont="1" applyFill="1" applyBorder="1" applyAlignment="1">
      <alignment horizontal="right"/>
    </xf>
    <xf numFmtId="164" fontId="2" fillId="5" borderId="17" xfId="0" applyNumberFormat="1" applyFont="1" applyFill="1" applyBorder="1" applyAlignment="1">
      <alignment/>
    </xf>
    <xf numFmtId="164" fontId="2" fillId="0" borderId="49" xfId="0" applyNumberFormat="1" applyFont="1" applyFill="1" applyBorder="1" applyAlignment="1">
      <alignment/>
    </xf>
    <xf numFmtId="164" fontId="2" fillId="5" borderId="11" xfId="0" applyNumberFormat="1" applyFont="1" applyFill="1" applyBorder="1" applyAlignment="1">
      <alignment/>
    </xf>
    <xf numFmtId="49" fontId="2" fillId="5" borderId="0" xfId="0" applyNumberFormat="1" applyFont="1" applyFill="1" applyBorder="1" applyAlignment="1">
      <alignment horizontal="center"/>
    </xf>
    <xf numFmtId="164" fontId="2" fillId="0" borderId="11" xfId="0" applyNumberFormat="1" applyFont="1" applyFill="1" applyBorder="1" applyAlignment="1">
      <alignment/>
    </xf>
    <xf numFmtId="164" fontId="2" fillId="5" borderId="49" xfId="0" applyNumberFormat="1" applyFont="1" applyFill="1" applyBorder="1" applyAlignment="1">
      <alignment/>
    </xf>
    <xf numFmtId="164" fontId="2" fillId="5" borderId="34" xfId="0" applyNumberFormat="1" applyFont="1" applyFill="1" applyBorder="1" applyAlignment="1">
      <alignment/>
    </xf>
    <xf numFmtId="164" fontId="2" fillId="0" borderId="17" xfId="0" applyNumberFormat="1" applyFont="1" applyFill="1" applyBorder="1" applyAlignment="1">
      <alignment/>
    </xf>
    <xf numFmtId="0" fontId="2" fillId="0" borderId="41" xfId="0" applyFont="1" applyFill="1" applyBorder="1" applyAlignment="1">
      <alignment wrapText="1"/>
    </xf>
    <xf numFmtId="0" fontId="2" fillId="0" borderId="43" xfId="0" applyFont="1" applyFill="1" applyBorder="1" applyAlignment="1">
      <alignment/>
    </xf>
    <xf numFmtId="164" fontId="2" fillId="5" borderId="43" xfId="0" applyNumberFormat="1" applyFont="1" applyFill="1" applyBorder="1" applyAlignment="1">
      <alignment/>
    </xf>
    <xf numFmtId="164" fontId="2" fillId="5" borderId="0" xfId="0" applyNumberFormat="1" applyFont="1" applyFill="1" applyBorder="1" applyAlignment="1">
      <alignment/>
    </xf>
    <xf numFmtId="0" fontId="2" fillId="0" borderId="46" xfId="0" applyFont="1" applyFill="1" applyBorder="1" applyAlignment="1">
      <alignment wrapText="1"/>
    </xf>
    <xf numFmtId="164" fontId="2" fillId="5" borderId="51" xfId="0" applyNumberFormat="1" applyFont="1" applyFill="1" applyBorder="1" applyAlignment="1">
      <alignment/>
    </xf>
    <xf numFmtId="41" fontId="2" fillId="5" borderId="47" xfId="0" applyNumberFormat="1" applyFont="1" applyFill="1" applyBorder="1" applyAlignment="1">
      <alignment/>
    </xf>
    <xf numFmtId="164" fontId="2" fillId="0" borderId="51" xfId="0" applyNumberFormat="1" applyFont="1" applyFill="1" applyBorder="1" applyAlignment="1">
      <alignment horizontal="center"/>
    </xf>
    <xf numFmtId="164" fontId="2" fillId="5" borderId="52" xfId="0" applyNumberFormat="1" applyFont="1" applyFill="1" applyBorder="1" applyAlignment="1">
      <alignment horizontal="center"/>
    </xf>
    <xf numFmtId="164" fontId="2" fillId="5" borderId="48" xfId="0" applyNumberFormat="1" applyFont="1" applyFill="1" applyBorder="1" applyAlignment="1">
      <alignment horizontal="center"/>
    </xf>
    <xf numFmtId="6" fontId="0" fillId="0" borderId="50" xfId="0" applyNumberFormat="1" applyFill="1" applyBorder="1" applyAlignment="1">
      <alignment/>
    </xf>
    <xf numFmtId="6" fontId="0" fillId="0" borderId="13" xfId="0" applyNumberFormat="1" applyFill="1" applyBorder="1" applyAlignment="1">
      <alignment/>
    </xf>
    <xf numFmtId="164" fontId="2" fillId="5" borderId="15" xfId="0" applyNumberFormat="1" applyFont="1" applyFill="1" applyBorder="1" applyAlignment="1">
      <alignment/>
    </xf>
    <xf numFmtId="0" fontId="0" fillId="0" borderId="0" xfId="0" applyFont="1" applyAlignment="1" applyProtection="1">
      <alignment/>
      <protection/>
    </xf>
    <xf numFmtId="0" fontId="0" fillId="0" borderId="53" xfId="0" applyFont="1" applyBorder="1" applyAlignment="1" applyProtection="1">
      <alignment/>
      <protection/>
    </xf>
    <xf numFmtId="0" fontId="2" fillId="0" borderId="50" xfId="0" applyFont="1" applyBorder="1" applyAlignment="1" applyProtection="1">
      <alignment/>
      <protection/>
    </xf>
    <xf numFmtId="0" fontId="2" fillId="0" borderId="11" xfId="0" applyFont="1" applyBorder="1" applyAlignment="1" applyProtection="1">
      <alignment/>
      <protection/>
    </xf>
    <xf numFmtId="0" fontId="2" fillId="0" borderId="17"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0" borderId="34" xfId="0" applyFont="1" applyBorder="1" applyAlignment="1" applyProtection="1">
      <alignment horizontal="center" wrapText="1"/>
      <protection/>
    </xf>
    <xf numFmtId="0" fontId="2" fillId="0" borderId="49" xfId="0" applyFont="1" applyBorder="1" applyAlignment="1" applyProtection="1">
      <alignment horizontal="center" wrapText="1"/>
      <protection/>
    </xf>
    <xf numFmtId="0" fontId="2" fillId="0" borderId="54" xfId="0" applyFont="1" applyBorder="1" applyAlignment="1" applyProtection="1">
      <alignment horizontal="center" wrapText="1"/>
      <protection/>
    </xf>
    <xf numFmtId="0" fontId="2" fillId="0" borderId="11" xfId="0" applyFont="1" applyFill="1" applyBorder="1" applyAlignment="1" applyProtection="1">
      <alignment horizontal="left"/>
      <protection/>
    </xf>
    <xf numFmtId="0" fontId="2" fillId="0" borderId="17" xfId="0" applyFont="1" applyBorder="1" applyAlignment="1" applyProtection="1">
      <alignment horizontal="center"/>
      <protection/>
    </xf>
    <xf numFmtId="0" fontId="2" fillId="0" borderId="34" xfId="0" applyFont="1" applyBorder="1" applyAlignment="1" applyProtection="1">
      <alignment horizontal="center"/>
      <protection/>
    </xf>
    <xf numFmtId="38" fontId="31" fillId="0" borderId="55" xfId="0" applyNumberFormat="1" applyFont="1" applyFill="1" applyBorder="1" applyAlignment="1" applyProtection="1">
      <alignment horizontal="center"/>
      <protection locked="0"/>
    </xf>
    <xf numFmtId="3" fontId="31" fillId="0" borderId="50" xfId="0" applyNumberFormat="1" applyFont="1" applyFill="1" applyBorder="1" applyAlignment="1" applyProtection="1">
      <alignment horizontal="center"/>
      <protection locked="0"/>
    </xf>
    <xf numFmtId="3" fontId="0" fillId="0" borderId="22" xfId="0" applyNumberFormat="1" applyFont="1" applyBorder="1" applyAlignment="1" applyProtection="1">
      <alignment wrapText="1"/>
      <protection/>
    </xf>
    <xf numFmtId="38" fontId="31" fillId="0" borderId="50" xfId="0" applyNumberFormat="1" applyFont="1" applyFill="1" applyBorder="1" applyAlignment="1" applyProtection="1">
      <alignment horizontal="center"/>
      <protection locked="0"/>
    </xf>
    <xf numFmtId="3" fontId="0" fillId="0" borderId="16" xfId="0" applyNumberFormat="1" applyFont="1" applyBorder="1" applyAlignment="1" applyProtection="1">
      <alignment wrapText="1"/>
      <protection/>
    </xf>
    <xf numFmtId="38" fontId="31" fillId="0" borderId="54" xfId="0" applyNumberFormat="1" applyFont="1" applyFill="1" applyBorder="1" applyAlignment="1" applyProtection="1">
      <alignment horizontal="center"/>
      <protection locked="0"/>
    </xf>
    <xf numFmtId="3" fontId="0" fillId="0" borderId="56" xfId="0" applyNumberFormat="1" applyFont="1" applyBorder="1" applyAlignment="1" applyProtection="1">
      <alignment/>
      <protection/>
    </xf>
    <xf numFmtId="0" fontId="2" fillId="0" borderId="19" xfId="0" applyFont="1" applyFill="1" applyBorder="1" applyAlignment="1" applyProtection="1">
      <alignment/>
      <protection/>
    </xf>
    <xf numFmtId="3" fontId="0"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horizontal="center"/>
      <protection/>
    </xf>
    <xf numFmtId="165" fontId="0" fillId="0" borderId="57" xfId="0" applyNumberFormat="1" applyFont="1" applyFill="1" applyBorder="1" applyAlignment="1" applyProtection="1">
      <alignment horizontal="center"/>
      <protection/>
    </xf>
    <xf numFmtId="165" fontId="0" fillId="0" borderId="18" xfId="0" applyNumberFormat="1" applyFont="1" applyFill="1" applyBorder="1" applyAlignment="1" applyProtection="1">
      <alignment horizontal="center"/>
      <protection/>
    </xf>
    <xf numFmtId="3" fontId="2" fillId="0" borderId="17" xfId="0" applyNumberFormat="1" applyFont="1" applyFill="1" applyBorder="1" applyAlignment="1" applyProtection="1">
      <alignment horizontal="center" wrapText="1"/>
      <protection/>
    </xf>
    <xf numFmtId="0" fontId="2" fillId="0" borderId="58" xfId="0" applyFont="1" applyFill="1" applyBorder="1" applyAlignment="1" applyProtection="1">
      <alignment horizontal="center"/>
      <protection/>
    </xf>
    <xf numFmtId="3" fontId="2" fillId="0" borderId="49" xfId="0" applyNumberFormat="1" applyFont="1" applyFill="1" applyBorder="1" applyAlignment="1" applyProtection="1">
      <alignment horizontal="center" wrapText="1"/>
      <protection/>
    </xf>
    <xf numFmtId="2" fontId="2" fillId="0" borderId="17" xfId="0" applyNumberFormat="1" applyFont="1" applyFill="1" applyBorder="1" applyAlignment="1" applyProtection="1">
      <alignment horizontal="center" wrapText="1"/>
      <protection/>
    </xf>
    <xf numFmtId="0" fontId="2" fillId="0" borderId="34" xfId="0" applyFont="1" applyFill="1" applyBorder="1" applyAlignment="1" applyProtection="1">
      <alignment horizontal="center"/>
      <protection/>
    </xf>
    <xf numFmtId="165" fontId="0" fillId="0" borderId="0" xfId="0" applyNumberFormat="1" applyFont="1" applyBorder="1" applyAlignment="1" applyProtection="1">
      <alignment/>
      <protection/>
    </xf>
    <xf numFmtId="3" fontId="31" fillId="0" borderId="43" xfId="0" applyNumberFormat="1" applyFont="1" applyFill="1" applyBorder="1" applyAlignment="1" applyProtection="1">
      <alignment horizontal="center"/>
      <protection locked="0"/>
    </xf>
    <xf numFmtId="3" fontId="31" fillId="0" borderId="0" xfId="0" applyNumberFormat="1" applyFont="1" applyFill="1" applyBorder="1" applyAlignment="1" applyProtection="1">
      <alignment horizontal="center"/>
      <protection locked="0"/>
    </xf>
    <xf numFmtId="38" fontId="31" fillId="0" borderId="0" xfId="0" applyNumberFormat="1" applyFont="1" applyFill="1" applyBorder="1" applyAlignment="1" applyProtection="1">
      <alignment horizontal="center"/>
      <protection locked="0"/>
    </xf>
    <xf numFmtId="172" fontId="0" fillId="0" borderId="18" xfId="0" applyNumberFormat="1" applyFont="1" applyFill="1" applyBorder="1" applyAlignment="1" applyProtection="1">
      <alignment horizontal="center"/>
      <protection/>
    </xf>
    <xf numFmtId="165" fontId="0" fillId="0" borderId="18" xfId="0" applyNumberFormat="1" applyFont="1" applyBorder="1" applyAlignment="1" applyProtection="1">
      <alignment horizontal="center"/>
      <protection/>
    </xf>
    <xf numFmtId="165" fontId="0" fillId="0" borderId="0" xfId="0" applyNumberFormat="1" applyFont="1" applyFill="1" applyBorder="1" applyAlignment="1" applyProtection="1">
      <alignment/>
      <protection/>
    </xf>
    <xf numFmtId="0" fontId="2" fillId="0" borderId="59" xfId="0" applyFont="1" applyFill="1" applyBorder="1" applyAlignment="1" applyProtection="1">
      <alignment/>
      <protection/>
    </xf>
    <xf numFmtId="3" fontId="0" fillId="0" borderId="60" xfId="0" applyNumberFormat="1" applyFont="1" applyBorder="1" applyAlignment="1" applyProtection="1">
      <alignment horizontal="center"/>
      <protection/>
    </xf>
    <xf numFmtId="166" fontId="0" fillId="0" borderId="60" xfId="0" applyNumberFormat="1" applyFont="1" applyBorder="1" applyAlignment="1" applyProtection="1">
      <alignment horizontal="center"/>
      <protection/>
    </xf>
    <xf numFmtId="173" fontId="0" fillId="0" borderId="61" xfId="0" applyNumberFormat="1" applyFont="1" applyFill="1" applyBorder="1" applyAlignment="1" applyProtection="1">
      <alignment horizontal="center"/>
      <protection/>
    </xf>
    <xf numFmtId="3" fontId="0" fillId="0" borderId="62" xfId="0" applyNumberFormat="1" applyFont="1" applyBorder="1" applyAlignment="1" applyProtection="1">
      <alignment horizontal="center"/>
      <protection/>
    </xf>
    <xf numFmtId="2" fontId="0" fillId="0" borderId="60" xfId="0" applyNumberFormat="1" applyFont="1" applyBorder="1" applyAlignment="1" applyProtection="1">
      <alignment horizontal="center"/>
      <protection/>
    </xf>
    <xf numFmtId="165" fontId="0" fillId="0" borderId="60" xfId="0" applyNumberFormat="1" applyFont="1" applyBorder="1" applyAlignment="1" applyProtection="1">
      <alignment horizontal="center"/>
      <protection/>
    </xf>
    <xf numFmtId="165" fontId="0" fillId="0" borderId="63" xfId="0" applyNumberFormat="1" applyFont="1" applyBorder="1" applyAlignment="1" applyProtection="1">
      <alignment horizontal="center"/>
      <protection/>
    </xf>
    <xf numFmtId="165" fontId="0" fillId="0" borderId="63" xfId="0" applyNumberFormat="1" applyFont="1" applyFill="1" applyBorder="1" applyAlignment="1" applyProtection="1">
      <alignment horizontal="center"/>
      <protection/>
    </xf>
    <xf numFmtId="0" fontId="2" fillId="0" borderId="0" xfId="0" applyFont="1" applyFill="1" applyBorder="1" applyAlignment="1" applyProtection="1">
      <alignment/>
      <protection/>
    </xf>
    <xf numFmtId="3" fontId="0" fillId="0" borderId="0" xfId="0" applyNumberFormat="1" applyFont="1" applyBorder="1" applyAlignment="1" applyProtection="1">
      <alignment horizontal="center"/>
      <protection/>
    </xf>
    <xf numFmtId="166" fontId="0" fillId="0" borderId="0" xfId="0" applyNumberFormat="1" applyFont="1" applyBorder="1" applyAlignment="1" applyProtection="1">
      <alignment horizontal="center"/>
      <protection/>
    </xf>
    <xf numFmtId="173" fontId="0" fillId="0" borderId="0" xfId="0" applyNumberFormat="1" applyFont="1" applyFill="1" applyBorder="1" applyAlignment="1" applyProtection="1">
      <alignment horizontal="center"/>
      <protection/>
    </xf>
    <xf numFmtId="165" fontId="0" fillId="0" borderId="0" xfId="0" applyNumberFormat="1" applyFont="1" applyBorder="1" applyAlignment="1" applyProtection="1">
      <alignment horizontal="center"/>
      <protection/>
    </xf>
    <xf numFmtId="165" fontId="0" fillId="0" borderId="0" xfId="0" applyNumberFormat="1" applyFont="1" applyFill="1" applyBorder="1" applyAlignment="1" applyProtection="1">
      <alignment horizontal="center"/>
      <protection/>
    </xf>
    <xf numFmtId="3" fontId="0" fillId="0" borderId="0" xfId="0" applyNumberFormat="1" applyFont="1" applyFill="1" applyBorder="1" applyAlignment="1" applyProtection="1">
      <alignment horizontal="center"/>
      <protection/>
    </xf>
    <xf numFmtId="166" fontId="0" fillId="0" borderId="0" xfId="0" applyNumberFormat="1" applyFont="1" applyFill="1" applyBorder="1" applyAlignment="1" applyProtection="1">
      <alignment horizontal="center"/>
      <protection/>
    </xf>
    <xf numFmtId="0" fontId="0" fillId="0" borderId="0" xfId="0" applyFont="1" applyFill="1" applyAlignment="1" applyProtection="1">
      <alignment/>
      <protection/>
    </xf>
    <xf numFmtId="0" fontId="0" fillId="0" borderId="53" xfId="0" applyFont="1" applyFill="1" applyBorder="1" applyAlignment="1" applyProtection="1">
      <alignment/>
      <protection/>
    </xf>
    <xf numFmtId="0" fontId="2" fillId="0" borderId="0" xfId="0" applyFont="1" applyFill="1" applyBorder="1" applyAlignment="1" applyProtection="1">
      <alignment/>
      <protection/>
    </xf>
    <xf numFmtId="0" fontId="2" fillId="0" borderId="49" xfId="0" applyFont="1" applyFill="1" applyBorder="1" applyAlignment="1" applyProtection="1">
      <alignment horizontal="center" wrapText="1"/>
      <protection/>
    </xf>
    <xf numFmtId="0" fontId="2" fillId="0" borderId="11" xfId="0" applyFont="1" applyFill="1" applyBorder="1" applyAlignment="1" applyProtection="1">
      <alignment horizontal="center" wrapText="1"/>
      <protection/>
    </xf>
    <xf numFmtId="0" fontId="2" fillId="0" borderId="34" xfId="0" applyFont="1" applyFill="1" applyBorder="1" applyAlignment="1" applyProtection="1">
      <alignment horizontal="center" wrapText="1"/>
      <protection/>
    </xf>
    <xf numFmtId="0" fontId="0" fillId="0" borderId="0" xfId="0" applyFont="1" applyFill="1" applyBorder="1" applyAlignment="1" applyProtection="1">
      <alignment/>
      <protection/>
    </xf>
    <xf numFmtId="0" fontId="2" fillId="0" borderId="17" xfId="0" applyFont="1" applyFill="1" applyBorder="1" applyAlignment="1" applyProtection="1">
      <alignment horizontal="center" wrapText="1"/>
      <protection/>
    </xf>
    <xf numFmtId="3" fontId="0" fillId="0" borderId="22" xfId="0" applyNumberFormat="1" applyFont="1" applyFill="1" applyBorder="1" applyAlignment="1" applyProtection="1">
      <alignment wrapText="1"/>
      <protection/>
    </xf>
    <xf numFmtId="3" fontId="0" fillId="0" borderId="16" xfId="0" applyNumberFormat="1" applyFont="1" applyFill="1" applyBorder="1" applyAlignment="1" applyProtection="1">
      <alignment wrapText="1"/>
      <protection/>
    </xf>
    <xf numFmtId="3" fontId="0" fillId="0" borderId="56" xfId="0" applyNumberFormat="1" applyFont="1" applyFill="1" applyBorder="1" applyAlignment="1" applyProtection="1">
      <alignment/>
      <protection/>
    </xf>
    <xf numFmtId="3" fontId="0" fillId="0" borderId="64" xfId="0" applyNumberFormat="1" applyFont="1" applyFill="1" applyBorder="1" applyAlignment="1" applyProtection="1">
      <alignment horizontal="center"/>
      <protection/>
    </xf>
    <xf numFmtId="165" fontId="0" fillId="0" borderId="61" xfId="0" applyNumberFormat="1" applyFont="1" applyBorder="1" applyAlignment="1" applyProtection="1">
      <alignment horizontal="center"/>
      <protection/>
    </xf>
    <xf numFmtId="3" fontId="0" fillId="0" borderId="62" xfId="0" applyNumberFormat="1" applyFont="1" applyFill="1" applyBorder="1" applyAlignment="1" applyProtection="1">
      <alignment horizontal="center"/>
      <protection/>
    </xf>
    <xf numFmtId="0" fontId="0" fillId="0" borderId="0" xfId="0" applyFont="1" applyBorder="1" applyAlignment="1" applyProtection="1">
      <alignment/>
      <protection/>
    </xf>
    <xf numFmtId="3" fontId="0"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0" fontId="29" fillId="0" borderId="0" xfId="0" applyFont="1" applyAlignment="1" applyProtection="1">
      <alignment/>
      <protection/>
    </xf>
    <xf numFmtId="0" fontId="25" fillId="0" borderId="0" xfId="0" applyFont="1" applyAlignment="1" applyProtection="1">
      <alignment/>
      <protection/>
    </xf>
    <xf numFmtId="0" fontId="2" fillId="0" borderId="0" xfId="0" applyFont="1" applyAlignment="1" applyProtection="1">
      <alignment wrapText="1"/>
      <protection/>
    </xf>
    <xf numFmtId="0" fontId="2" fillId="0" borderId="0" xfId="0" applyFont="1" applyAlignment="1" applyProtection="1">
      <alignment/>
      <protection/>
    </xf>
    <xf numFmtId="0" fontId="2" fillId="0" borderId="0" xfId="0" applyFont="1" applyFill="1" applyAlignment="1" applyProtection="1">
      <alignment/>
      <protection/>
    </xf>
    <xf numFmtId="0" fontId="32" fillId="0" borderId="0" xfId="0" applyFont="1" applyAlignment="1">
      <alignment/>
    </xf>
    <xf numFmtId="43" fontId="0" fillId="0" borderId="0" xfId="60" applyFont="1" applyFill="1" applyBorder="1" applyAlignment="1">
      <alignment horizontal="left"/>
    </xf>
    <xf numFmtId="0" fontId="2" fillId="0" borderId="56" xfId="0" applyFont="1" applyFill="1" applyBorder="1" applyAlignment="1">
      <alignment horizontal="center"/>
    </xf>
    <xf numFmtId="0" fontId="2" fillId="0" borderId="56" xfId="0" applyFont="1" applyFill="1" applyBorder="1" applyAlignment="1">
      <alignment/>
    </xf>
    <xf numFmtId="172" fontId="33" fillId="7" borderId="11" xfId="0" applyNumberFormat="1" applyFont="1" applyFill="1" applyBorder="1" applyAlignment="1">
      <alignment vertical="top"/>
    </xf>
    <xf numFmtId="172" fontId="0" fillId="7" borderId="11" xfId="0" applyNumberFormat="1" applyFill="1" applyBorder="1" applyAlignment="1">
      <alignment horizontal="right" vertical="top"/>
    </xf>
    <xf numFmtId="1" fontId="0" fillId="7" borderId="11" xfId="0" applyNumberFormat="1" applyFill="1" applyBorder="1" applyAlignment="1">
      <alignment horizontal="right" vertical="top"/>
    </xf>
    <xf numFmtId="3" fontId="33" fillId="44" borderId="11" xfId="0" applyNumberFormat="1" applyFont="1" applyFill="1" applyBorder="1" applyAlignment="1">
      <alignment vertical="top" wrapText="1"/>
    </xf>
    <xf numFmtId="172" fontId="33" fillId="7" borderId="0" xfId="0" applyNumberFormat="1" applyFont="1" applyFill="1" applyBorder="1" applyAlignment="1">
      <alignment vertical="top"/>
    </xf>
    <xf numFmtId="3" fontId="33" fillId="44" borderId="11" xfId="0" applyNumberFormat="1" applyFont="1" applyFill="1" applyBorder="1" applyAlignment="1">
      <alignment vertical="top"/>
    </xf>
    <xf numFmtId="172" fontId="33" fillId="7" borderId="11" xfId="0" applyNumberFormat="1" applyFont="1" applyFill="1" applyBorder="1" applyAlignment="1">
      <alignment horizontal="right" vertical="top"/>
    </xf>
    <xf numFmtId="0" fontId="0" fillId="7" borderId="0" xfId="0" applyFill="1" applyAlignment="1">
      <alignment horizontal="right"/>
    </xf>
    <xf numFmtId="2" fontId="0" fillId="0" borderId="0" xfId="0" applyNumberFormat="1" applyFont="1" applyAlignment="1">
      <alignment/>
    </xf>
    <xf numFmtId="3" fontId="0" fillId="41" borderId="11" xfId="0" applyNumberFormat="1" applyFill="1" applyBorder="1" applyAlignment="1">
      <alignment/>
    </xf>
    <xf numFmtId="2" fontId="33" fillId="7" borderId="11" xfId="0" applyNumberFormat="1" applyFont="1" applyFill="1" applyBorder="1" applyAlignment="1">
      <alignment vertical="top"/>
    </xf>
    <xf numFmtId="2" fontId="33" fillId="7" borderId="11" xfId="0" applyNumberFormat="1" applyFont="1" applyFill="1" applyBorder="1" applyAlignment="1">
      <alignment vertical="top"/>
    </xf>
    <xf numFmtId="0" fontId="20" fillId="0" borderId="0" xfId="0" applyFont="1" applyFill="1" applyAlignment="1">
      <alignment/>
    </xf>
    <xf numFmtId="0" fontId="3" fillId="0" borderId="0" xfId="0" applyFont="1" applyFill="1" applyAlignment="1">
      <alignment/>
    </xf>
    <xf numFmtId="0" fontId="20" fillId="0" borderId="53" xfId="0" applyFont="1" applyFill="1" applyBorder="1" applyAlignment="1">
      <alignment horizontal="center"/>
    </xf>
    <xf numFmtId="0" fontId="20" fillId="0" borderId="11" xfId="0" applyFont="1" applyFill="1" applyBorder="1" applyAlignment="1">
      <alignment horizontal="center"/>
    </xf>
    <xf numFmtId="0" fontId="20" fillId="0" borderId="11" xfId="0" applyFont="1" applyFill="1" applyBorder="1" applyAlignment="1">
      <alignment horizontal="center" wrapText="1"/>
    </xf>
    <xf numFmtId="0" fontId="3" fillId="0" borderId="11" xfId="0" applyFont="1" applyFill="1" applyBorder="1" applyAlignment="1">
      <alignment/>
    </xf>
    <xf numFmtId="172" fontId="3" fillId="0" borderId="11" xfId="0" applyNumberFormat="1" applyFont="1" applyFill="1" applyBorder="1" applyAlignment="1">
      <alignment/>
    </xf>
    <xf numFmtId="172" fontId="3" fillId="0" borderId="11" xfId="60" applyNumberFormat="1" applyFont="1" applyFill="1" applyBorder="1" applyAlignment="1">
      <alignment horizontal="right"/>
    </xf>
    <xf numFmtId="172" fontId="20" fillId="0" borderId="11" xfId="60" applyNumberFormat="1" applyFont="1" applyFill="1" applyBorder="1" applyAlignment="1">
      <alignment horizontal="right" wrapText="1"/>
    </xf>
    <xf numFmtId="166" fontId="3" fillId="0" borderId="11" xfId="60" applyNumberFormat="1" applyFont="1" applyFill="1" applyBorder="1" applyAlignment="1">
      <alignment horizontal="right"/>
    </xf>
    <xf numFmtId="166" fontId="20" fillId="0" borderId="11" xfId="0" applyNumberFormat="1" applyFont="1" applyFill="1" applyBorder="1" applyAlignment="1">
      <alignment/>
    </xf>
    <xf numFmtId="166" fontId="3" fillId="0" borderId="11" xfId="0" applyNumberFormat="1" applyFont="1" applyFill="1" applyBorder="1" applyAlignment="1">
      <alignment/>
    </xf>
    <xf numFmtId="172" fontId="3" fillId="0" borderId="11" xfId="0" applyNumberFormat="1" applyFont="1" applyFill="1" applyBorder="1" applyAlignment="1" quotePrefix="1">
      <alignment horizontal="center"/>
    </xf>
    <xf numFmtId="166" fontId="3" fillId="0" borderId="11" xfId="60" applyNumberFormat="1" applyFont="1" applyFill="1" applyBorder="1" applyAlignment="1">
      <alignment horizontal="right" wrapText="1"/>
    </xf>
    <xf numFmtId="0" fontId="20" fillId="0" borderId="49" xfId="0" applyFont="1" applyFill="1" applyBorder="1" applyAlignment="1">
      <alignment/>
    </xf>
    <xf numFmtId="172" fontId="20" fillId="0" borderId="49" xfId="0" applyNumberFormat="1" applyFont="1" applyFill="1" applyBorder="1" applyAlignment="1" quotePrefix="1">
      <alignment horizontal="center"/>
    </xf>
    <xf numFmtId="172" fontId="20" fillId="0" borderId="49" xfId="0" applyNumberFormat="1" applyFont="1" applyFill="1" applyBorder="1" applyAlignment="1">
      <alignment/>
    </xf>
    <xf numFmtId="166" fontId="20" fillId="0" borderId="49" xfId="0" applyNumberFormat="1" applyFont="1" applyFill="1" applyBorder="1" applyAlignment="1">
      <alignment/>
    </xf>
    <xf numFmtId="38" fontId="3" fillId="0" borderId="11" xfId="0" applyNumberFormat="1" applyFont="1" applyFill="1" applyBorder="1" applyAlignment="1">
      <alignment/>
    </xf>
    <xf numFmtId="165" fontId="20" fillId="0" borderId="11" xfId="0" applyNumberFormat="1" applyFont="1" applyFill="1" applyBorder="1" applyAlignment="1">
      <alignment/>
    </xf>
    <xf numFmtId="166" fontId="3" fillId="0" borderId="11" xfId="0" applyNumberFormat="1" applyFont="1" applyFill="1" applyBorder="1" applyAlignment="1">
      <alignment/>
    </xf>
    <xf numFmtId="0" fontId="20" fillId="0" borderId="49" xfId="0" applyFont="1" applyFill="1" applyBorder="1" applyAlignment="1">
      <alignment horizontal="center"/>
    </xf>
    <xf numFmtId="166" fontId="20" fillId="0" borderId="11" xfId="0" applyNumberFormat="1" applyFont="1" applyFill="1" applyBorder="1" applyAlignment="1">
      <alignment horizontal="center" wrapText="1"/>
    </xf>
    <xf numFmtId="166" fontId="20" fillId="0" borderId="11" xfId="0" applyNumberFormat="1" applyFont="1" applyFill="1" applyBorder="1" applyAlignment="1">
      <alignment horizontal="center"/>
    </xf>
    <xf numFmtId="166" fontId="20" fillId="0" borderId="49" xfId="0" applyNumberFormat="1" applyFont="1" applyFill="1" applyBorder="1" applyAlignment="1">
      <alignment horizontal="center"/>
    </xf>
    <xf numFmtId="172" fontId="20" fillId="0" borderId="11" xfId="60" applyNumberFormat="1" applyFont="1" applyFill="1" applyBorder="1" applyAlignment="1">
      <alignment horizontal="right"/>
    </xf>
    <xf numFmtId="166" fontId="20" fillId="0" borderId="11" xfId="0" applyNumberFormat="1" applyFont="1" applyFill="1" applyBorder="1" applyAlignment="1">
      <alignment/>
    </xf>
    <xf numFmtId="0" fontId="20" fillId="0" borderId="55" xfId="0" applyFont="1" applyFill="1" applyBorder="1" applyAlignment="1">
      <alignment/>
    </xf>
    <xf numFmtId="0" fontId="20" fillId="0" borderId="43" xfId="0" applyFont="1" applyFill="1" applyBorder="1" applyAlignment="1">
      <alignment/>
    </xf>
    <xf numFmtId="38" fontId="3" fillId="0" borderId="43" xfId="0" applyNumberFormat="1" applyFont="1" applyFill="1" applyBorder="1" applyAlignment="1">
      <alignment/>
    </xf>
    <xf numFmtId="165" fontId="20" fillId="0" borderId="43" xfId="0" applyNumberFormat="1" applyFont="1" applyFill="1" applyBorder="1" applyAlignment="1">
      <alignment/>
    </xf>
    <xf numFmtId="166" fontId="3" fillId="0" borderId="43" xfId="0" applyNumberFormat="1" applyFont="1" applyFill="1" applyBorder="1" applyAlignment="1">
      <alignment/>
    </xf>
    <xf numFmtId="166" fontId="3" fillId="0" borderId="43" xfId="0" applyNumberFormat="1" applyFont="1" applyFill="1" applyBorder="1" applyAlignment="1">
      <alignment/>
    </xf>
    <xf numFmtId="166" fontId="20" fillId="0" borderId="43" xfId="0" applyNumberFormat="1" applyFont="1" applyFill="1" applyBorder="1" applyAlignment="1">
      <alignment/>
    </xf>
    <xf numFmtId="0" fontId="3" fillId="0" borderId="49" xfId="0" applyFont="1" applyFill="1" applyBorder="1" applyAlignment="1">
      <alignment/>
    </xf>
    <xf numFmtId="170" fontId="3" fillId="0" borderId="17" xfId="60" applyNumberFormat="1" applyFont="1" applyFill="1" applyBorder="1" applyAlignment="1">
      <alignment horizontal="right"/>
    </xf>
    <xf numFmtId="169" fontId="20" fillId="0" borderId="17" xfId="60" applyNumberFormat="1" applyFont="1" applyFill="1" applyBorder="1" applyAlignment="1">
      <alignment horizontal="right"/>
    </xf>
    <xf numFmtId="0" fontId="3" fillId="0" borderId="17" xfId="0" applyFont="1" applyFill="1" applyBorder="1" applyAlignment="1">
      <alignment/>
    </xf>
    <xf numFmtId="166" fontId="3" fillId="0" borderId="17" xfId="60" applyNumberFormat="1" applyFont="1" applyFill="1" applyBorder="1" applyAlignment="1">
      <alignment horizontal="right"/>
    </xf>
    <xf numFmtId="166" fontId="3" fillId="0" borderId="17" xfId="0" applyNumberFormat="1" applyFont="1" applyFill="1" applyBorder="1" applyAlignment="1">
      <alignment/>
    </xf>
    <xf numFmtId="166" fontId="3" fillId="0" borderId="34" xfId="0" applyNumberFormat="1" applyFont="1" applyFill="1" applyBorder="1" applyAlignment="1">
      <alignment/>
    </xf>
    <xf numFmtId="0" fontId="3" fillId="0" borderId="11" xfId="0" applyFont="1" applyFill="1" applyBorder="1" applyAlignment="1">
      <alignment wrapText="1" shrinkToFit="1"/>
    </xf>
    <xf numFmtId="170" fontId="3" fillId="0" borderId="11" xfId="60" applyNumberFormat="1" applyFont="1" applyFill="1" applyBorder="1" applyAlignment="1">
      <alignment horizontal="right"/>
    </xf>
    <xf numFmtId="169" fontId="20" fillId="0" borderId="11" xfId="60" applyNumberFormat="1" applyFont="1" applyFill="1" applyBorder="1" applyAlignment="1">
      <alignment horizontal="right"/>
    </xf>
    <xf numFmtId="0" fontId="20" fillId="0" borderId="11" xfId="0" applyFont="1" applyFill="1" applyBorder="1" applyAlignment="1">
      <alignment/>
    </xf>
    <xf numFmtId="172" fontId="20" fillId="0" borderId="11" xfId="0" applyNumberFormat="1" applyFont="1" applyFill="1" applyBorder="1" applyAlignment="1">
      <alignment/>
    </xf>
    <xf numFmtId="166" fontId="20" fillId="0" borderId="11" xfId="60" applyNumberFormat="1" applyFont="1" applyFill="1" applyBorder="1" applyAlignment="1">
      <alignment horizontal="right"/>
    </xf>
    <xf numFmtId="172" fontId="20" fillId="0" borderId="49" xfId="0" applyNumberFormat="1" applyFont="1" applyFill="1" applyBorder="1" applyAlignment="1">
      <alignment horizontal="right"/>
    </xf>
    <xf numFmtId="172" fontId="20" fillId="0" borderId="49" xfId="0" applyNumberFormat="1" applyFont="1" applyFill="1" applyBorder="1" applyAlignment="1">
      <alignment horizontal="center"/>
    </xf>
    <xf numFmtId="0" fontId="20" fillId="0" borderId="0" xfId="0" applyFont="1" applyFill="1" applyBorder="1" applyAlignment="1">
      <alignment/>
    </xf>
    <xf numFmtId="38" fontId="3" fillId="0" borderId="0" xfId="0" applyNumberFormat="1" applyFont="1" applyFill="1" applyBorder="1" applyAlignment="1">
      <alignment/>
    </xf>
    <xf numFmtId="165" fontId="3" fillId="0" borderId="0" xfId="0" applyNumberFormat="1" applyFont="1" applyFill="1" applyBorder="1" applyAlignment="1">
      <alignment/>
    </xf>
    <xf numFmtId="0" fontId="3" fillId="0" borderId="53" xfId="0" applyFont="1" applyFill="1" applyBorder="1" applyAlignment="1">
      <alignment/>
    </xf>
    <xf numFmtId="166" fontId="3" fillId="0" borderId="11" xfId="0" applyNumberFormat="1" applyFont="1" applyFill="1" applyBorder="1" applyAlignment="1" quotePrefix="1">
      <alignment horizontal="center"/>
    </xf>
    <xf numFmtId="166" fontId="20" fillId="0" borderId="11" xfId="60" applyNumberFormat="1" applyFont="1" applyFill="1" applyBorder="1" applyAlignment="1">
      <alignment horizontal="right" wrapText="1"/>
    </xf>
    <xf numFmtId="166" fontId="3" fillId="0" borderId="11" xfId="60" applyNumberFormat="1" applyFont="1" applyFill="1" applyBorder="1" applyAlignment="1">
      <alignment horizontal="center"/>
    </xf>
    <xf numFmtId="166" fontId="20" fillId="0" borderId="49" xfId="0" applyNumberFormat="1" applyFont="1" applyFill="1" applyBorder="1" applyAlignment="1" quotePrefix="1">
      <alignment horizontal="center"/>
    </xf>
    <xf numFmtId="166" fontId="20" fillId="0" borderId="43" xfId="0" applyNumberFormat="1" applyFont="1" applyFill="1" applyBorder="1" applyAlignment="1">
      <alignment/>
    </xf>
    <xf numFmtId="166" fontId="3" fillId="0" borderId="49" xfId="0" applyNumberFormat="1" applyFont="1" applyFill="1" applyBorder="1" applyAlignment="1">
      <alignment/>
    </xf>
    <xf numFmtId="166" fontId="20" fillId="0" borderId="17" xfId="60" applyNumberFormat="1" applyFont="1" applyFill="1" applyBorder="1" applyAlignment="1">
      <alignment horizontal="right"/>
    </xf>
    <xf numFmtId="166" fontId="20" fillId="0" borderId="49" xfId="0" applyNumberFormat="1" applyFont="1" applyFill="1" applyBorder="1" applyAlignment="1">
      <alignment horizontal="right"/>
    </xf>
    <xf numFmtId="0" fontId="34" fillId="0" borderId="0" xfId="0" applyFont="1" applyFill="1" applyAlignment="1">
      <alignment/>
    </xf>
    <xf numFmtId="172" fontId="20" fillId="0" borderId="0" xfId="0" applyNumberFormat="1" applyFont="1" applyFill="1" applyBorder="1" applyAlignment="1">
      <alignment horizontal="right"/>
    </xf>
    <xf numFmtId="172" fontId="20" fillId="0" borderId="0" xfId="0" applyNumberFormat="1" applyFont="1" applyFill="1" applyBorder="1" applyAlignment="1">
      <alignment horizontal="center"/>
    </xf>
    <xf numFmtId="0" fontId="34" fillId="0" borderId="0" xfId="0" applyFont="1" applyFill="1" applyBorder="1" applyAlignment="1">
      <alignment/>
    </xf>
    <xf numFmtId="38" fontId="35" fillId="0" borderId="0" xfId="0" applyNumberFormat="1" applyFont="1" applyFill="1" applyBorder="1" applyAlignment="1">
      <alignment/>
    </xf>
    <xf numFmtId="165" fontId="35" fillId="0" borderId="0" xfId="0" applyNumberFormat="1" applyFont="1" applyFill="1" applyBorder="1" applyAlignment="1">
      <alignment/>
    </xf>
    <xf numFmtId="0" fontId="35"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left" indent="1"/>
    </xf>
    <xf numFmtId="3" fontId="25" fillId="0" borderId="0" xfId="0" applyNumberFormat="1" applyFont="1" applyAlignment="1" applyProtection="1">
      <alignment/>
      <protection/>
    </xf>
    <xf numFmtId="1" fontId="0" fillId="0" borderId="0" xfId="0" applyNumberFormat="1" applyFont="1" applyBorder="1" applyAlignment="1" applyProtection="1">
      <alignment/>
      <protection/>
    </xf>
    <xf numFmtId="1" fontId="25" fillId="0" borderId="0" xfId="0" applyNumberFormat="1" applyFont="1" applyAlignment="1" applyProtection="1">
      <alignment/>
      <protection/>
    </xf>
    <xf numFmtId="3" fontId="28" fillId="45" borderId="11" xfId="0" applyNumberFormat="1" applyFont="1" applyFill="1" applyBorder="1" applyAlignment="1">
      <alignment horizontal="center"/>
    </xf>
    <xf numFmtId="3" fontId="31" fillId="45" borderId="50" xfId="0" applyNumberFormat="1" applyFont="1" applyFill="1" applyBorder="1" applyAlignment="1" applyProtection="1">
      <alignment horizontal="center"/>
      <protection locked="0"/>
    </xf>
    <xf numFmtId="165" fontId="0" fillId="45" borderId="18" xfId="0" applyNumberFormat="1" applyFont="1" applyFill="1" applyBorder="1" applyAlignment="1" applyProtection="1">
      <alignment horizontal="center"/>
      <protection/>
    </xf>
    <xf numFmtId="165" fontId="0" fillId="45" borderId="57" xfId="0" applyNumberFormat="1" applyFont="1" applyFill="1" applyBorder="1" applyAlignment="1" applyProtection="1">
      <alignment horizontal="center"/>
      <protection/>
    </xf>
    <xf numFmtId="3" fontId="2" fillId="45" borderId="17" xfId="0" applyNumberFormat="1" applyFont="1" applyFill="1" applyBorder="1" applyAlignment="1" applyProtection="1">
      <alignment horizontal="center" wrapText="1"/>
      <protection/>
    </xf>
    <xf numFmtId="0" fontId="2" fillId="45" borderId="58" xfId="0" applyFont="1" applyFill="1" applyBorder="1" applyAlignment="1" applyProtection="1">
      <alignment horizontal="center"/>
      <protection/>
    </xf>
    <xf numFmtId="3" fontId="0" fillId="0" borderId="0" xfId="0" applyNumberFormat="1" applyFont="1" applyAlignment="1" applyProtection="1">
      <alignment/>
      <protection/>
    </xf>
    <xf numFmtId="43" fontId="36" fillId="45" borderId="0" xfId="60" applyFont="1" applyFill="1" applyBorder="1" applyAlignment="1" quotePrefix="1">
      <alignment horizontal="left"/>
    </xf>
    <xf numFmtId="43" fontId="36" fillId="45" borderId="0" xfId="60" applyFont="1" applyFill="1" applyBorder="1" applyAlignment="1">
      <alignment horizontal="left"/>
    </xf>
    <xf numFmtId="0" fontId="0" fillId="0" borderId="11" xfId="0" applyNumberFormat="1" applyFont="1" applyBorder="1" applyAlignment="1">
      <alignment horizontal="center"/>
    </xf>
    <xf numFmtId="0" fontId="2" fillId="0" borderId="0" xfId="0" applyFont="1" applyFill="1" applyAlignment="1">
      <alignment horizontal="center"/>
    </xf>
    <xf numFmtId="0" fontId="0" fillId="0" borderId="0" xfId="0" applyFont="1" applyAlignment="1">
      <alignment horizontal="center"/>
    </xf>
    <xf numFmtId="171" fontId="0" fillId="0" borderId="0" xfId="0" applyNumberFormat="1" applyFont="1" applyAlignment="1">
      <alignment horizontal="center"/>
    </xf>
    <xf numFmtId="0" fontId="0" fillId="0" borderId="0" xfId="0" applyFont="1" applyAlignment="1">
      <alignment/>
    </xf>
    <xf numFmtId="0" fontId="2" fillId="0" borderId="11" xfId="0" applyFont="1" applyBorder="1" applyAlignment="1">
      <alignment horizontal="center"/>
    </xf>
    <xf numFmtId="171" fontId="2" fillId="0" borderId="11" xfId="0" applyNumberFormat="1" applyFont="1" applyBorder="1" applyAlignment="1">
      <alignment horizontal="center"/>
    </xf>
    <xf numFmtId="0" fontId="2" fillId="0" borderId="11" xfId="0" applyFont="1" applyBorder="1" applyAlignment="1">
      <alignment horizontal="center" wrapText="1"/>
    </xf>
    <xf numFmtId="0" fontId="0" fillId="0" borderId="11" xfId="0" applyFont="1" applyFill="1" applyBorder="1" applyAlignment="1">
      <alignment horizontal="center"/>
    </xf>
    <xf numFmtId="0" fontId="0" fillId="0" borderId="11" xfId="0" applyFont="1" applyBorder="1" applyAlignment="1">
      <alignment horizontal="center"/>
    </xf>
    <xf numFmtId="49" fontId="0" fillId="0" borderId="11" xfId="0" applyNumberFormat="1" applyFont="1" applyBorder="1" applyAlignment="1">
      <alignment horizontal="center"/>
    </xf>
    <xf numFmtId="0" fontId="0" fillId="0" borderId="11" xfId="0" applyFont="1" applyBorder="1" applyAlignment="1">
      <alignment horizontal="center" wrapText="1"/>
    </xf>
    <xf numFmtId="171" fontId="0" fillId="0" borderId="11" xfId="0" applyNumberFormat="1" applyFont="1" applyFill="1" applyBorder="1" applyAlignment="1">
      <alignment horizontal="center"/>
    </xf>
    <xf numFmtId="3" fontId="0" fillId="0" borderId="11" xfId="0" applyNumberFormat="1" applyFont="1" applyFill="1" applyBorder="1" applyAlignment="1" quotePrefix="1">
      <alignment horizontal="center"/>
    </xf>
    <xf numFmtId="171" fontId="0" fillId="0" borderId="11" xfId="0" applyNumberFormat="1" applyFont="1" applyBorder="1" applyAlignment="1">
      <alignment horizontal="center"/>
    </xf>
    <xf numFmtId="3" fontId="0" fillId="0" borderId="11" xfId="0" applyNumberFormat="1" applyFont="1" applyBorder="1" applyAlignment="1">
      <alignment horizontal="center"/>
    </xf>
    <xf numFmtId="16" fontId="0" fillId="0" borderId="11" xfId="0" applyNumberFormat="1" applyFont="1" applyBorder="1" applyAlignment="1">
      <alignment horizontal="center"/>
    </xf>
    <xf numFmtId="0" fontId="4" fillId="0" borderId="11" xfId="0" applyFont="1" applyFill="1" applyBorder="1" applyAlignment="1">
      <alignment horizontal="center" wrapText="1"/>
    </xf>
    <xf numFmtId="3" fontId="0" fillId="0" borderId="11" xfId="0" applyNumberFormat="1" applyFont="1" applyFill="1" applyBorder="1" applyAlignment="1">
      <alignment horizontal="center"/>
    </xf>
    <xf numFmtId="0" fontId="0" fillId="33" borderId="11" xfId="0" applyFont="1" applyFill="1" applyBorder="1" applyAlignment="1">
      <alignment horizontal="center"/>
    </xf>
    <xf numFmtId="0" fontId="2" fillId="33" borderId="11" xfId="0" applyFont="1" applyFill="1" applyBorder="1" applyAlignment="1">
      <alignment horizontal="center"/>
    </xf>
    <xf numFmtId="171" fontId="0" fillId="33" borderId="11" xfId="0" applyNumberFormat="1" applyFont="1" applyFill="1" applyBorder="1" applyAlignment="1">
      <alignment horizontal="center"/>
    </xf>
    <xf numFmtId="3" fontId="0" fillId="33" borderId="11" xfId="0" applyNumberFormat="1" applyFont="1" applyFill="1" applyBorder="1" applyAlignment="1" quotePrefix="1">
      <alignment horizontal="center"/>
    </xf>
    <xf numFmtId="3" fontId="0" fillId="33" borderId="11" xfId="0" applyNumberFormat="1" applyFont="1" applyFill="1" applyBorder="1" applyAlignment="1">
      <alignment horizontal="center"/>
    </xf>
    <xf numFmtId="16" fontId="0" fillId="33" borderId="11" xfId="0" applyNumberFormat="1" applyFont="1" applyFill="1" applyBorder="1" applyAlignment="1">
      <alignment horizontal="center"/>
    </xf>
    <xf numFmtId="0" fontId="0" fillId="45" borderId="11" xfId="0" applyFont="1" applyFill="1" applyBorder="1" applyAlignment="1">
      <alignment horizontal="center"/>
    </xf>
    <xf numFmtId="0" fontId="2" fillId="45" borderId="11" xfId="0" applyFont="1" applyFill="1" applyBorder="1" applyAlignment="1">
      <alignment horizontal="center"/>
    </xf>
    <xf numFmtId="171" fontId="0" fillId="45" borderId="11" xfId="0" applyNumberFormat="1" applyFont="1" applyFill="1" applyBorder="1" applyAlignment="1">
      <alignment horizontal="center"/>
    </xf>
    <xf numFmtId="3" fontId="0" fillId="45" borderId="11" xfId="0" applyNumberFormat="1" applyFont="1" applyFill="1" applyBorder="1" applyAlignment="1" quotePrefix="1">
      <alignment horizontal="center"/>
    </xf>
    <xf numFmtId="3" fontId="0" fillId="45" borderId="11" xfId="0" applyNumberFormat="1" applyFont="1" applyFill="1" applyBorder="1" applyAlignment="1">
      <alignment horizontal="center"/>
    </xf>
    <xf numFmtId="16" fontId="0" fillId="45" borderId="11" xfId="0" applyNumberFormat="1" applyFont="1" applyFill="1" applyBorder="1" applyAlignment="1">
      <alignment horizontal="center"/>
    </xf>
    <xf numFmtId="16" fontId="0" fillId="0" borderId="11" xfId="0" applyNumberFormat="1" applyFont="1" applyFill="1" applyBorder="1" applyAlignment="1">
      <alignment horizontal="center"/>
    </xf>
    <xf numFmtId="0" fontId="0" fillId="0" borderId="0" xfId="0" applyFont="1" applyFill="1" applyAlignment="1">
      <alignment/>
    </xf>
    <xf numFmtId="6" fontId="0" fillId="0" borderId="16" xfId="0" applyNumberFormat="1" applyFont="1" applyFill="1" applyBorder="1" applyAlignment="1">
      <alignment horizontal="right"/>
    </xf>
    <xf numFmtId="167" fontId="0" fillId="0" borderId="16" xfId="0" applyNumberFormat="1" applyFont="1" applyFill="1" applyBorder="1" applyAlignment="1">
      <alignment horizontal="right"/>
    </xf>
    <xf numFmtId="167" fontId="0" fillId="0" borderId="11" xfId="0" applyNumberFormat="1" applyFont="1" applyFill="1" applyBorder="1" applyAlignment="1">
      <alignment horizontal="right"/>
    </xf>
    <xf numFmtId="167" fontId="0" fillId="0" borderId="16" xfId="82" applyNumberFormat="1" applyFill="1" applyBorder="1" applyAlignment="1">
      <alignment horizontal="right" vertical="center"/>
    </xf>
    <xf numFmtId="6" fontId="0" fillId="0" borderId="22" xfId="0" applyNumberFormat="1" applyFont="1" applyFill="1" applyBorder="1" applyAlignment="1">
      <alignment horizontal="right"/>
    </xf>
    <xf numFmtId="6" fontId="0" fillId="0" borderId="16" xfId="0" applyNumberFormat="1" applyFont="1" applyFill="1" applyBorder="1" applyAlignment="1">
      <alignment/>
    </xf>
    <xf numFmtId="167" fontId="0" fillId="0" borderId="16" xfId="0" applyNumberFormat="1" applyFont="1" applyFill="1" applyBorder="1" applyAlignment="1">
      <alignment/>
    </xf>
    <xf numFmtId="6" fontId="0" fillId="0" borderId="0" xfId="0" applyNumberFormat="1" applyFont="1" applyFill="1" applyBorder="1" applyAlignment="1">
      <alignment/>
    </xf>
    <xf numFmtId="6" fontId="0" fillId="0" borderId="17" xfId="0" applyNumberFormat="1" applyFont="1" applyFill="1" applyBorder="1" applyAlignment="1">
      <alignment/>
    </xf>
    <xf numFmtId="6" fontId="0" fillId="0" borderId="11" xfId="0" applyNumberFormat="1" applyFont="1" applyFill="1" applyBorder="1" applyAlignment="1">
      <alignment/>
    </xf>
    <xf numFmtId="44" fontId="0" fillId="0" borderId="0" xfId="65" applyFill="1" applyAlignment="1">
      <alignment/>
    </xf>
    <xf numFmtId="168" fontId="0" fillId="0" borderId="0" xfId="65" applyNumberFormat="1" applyAlignment="1">
      <alignment/>
    </xf>
    <xf numFmtId="168" fontId="0" fillId="0" borderId="0" xfId="65" applyNumberFormat="1" applyFont="1" applyAlignment="1">
      <alignment/>
    </xf>
    <xf numFmtId="0" fontId="0" fillId="5" borderId="0" xfId="0" applyFont="1" applyFill="1" applyBorder="1" applyAlignment="1">
      <alignment/>
    </xf>
    <xf numFmtId="44" fontId="0" fillId="5" borderId="0" xfId="65" applyFont="1" applyFill="1" applyBorder="1" applyAlignment="1">
      <alignment/>
    </xf>
    <xf numFmtId="0" fontId="0" fillId="5" borderId="28" xfId="0" applyFont="1" applyFill="1" applyBorder="1" applyAlignment="1">
      <alignment/>
    </xf>
    <xf numFmtId="44" fontId="0" fillId="5" borderId="28" xfId="65" applyFont="1" applyFill="1" applyBorder="1" applyAlignment="1">
      <alignment/>
    </xf>
    <xf numFmtId="0" fontId="0" fillId="5" borderId="65" xfId="0" applyFont="1" applyFill="1" applyBorder="1" applyAlignment="1">
      <alignment/>
    </xf>
    <xf numFmtId="44" fontId="2" fillId="5" borderId="17" xfId="65" applyFont="1" applyFill="1" applyBorder="1" applyAlignment="1">
      <alignment horizontal="center"/>
    </xf>
    <xf numFmtId="44" fontId="2" fillId="5" borderId="0" xfId="65" applyFont="1" applyFill="1" applyBorder="1" applyAlignment="1">
      <alignment horizontal="center"/>
    </xf>
    <xf numFmtId="164" fontId="0" fillId="5" borderId="0" xfId="0" applyNumberFormat="1" applyFont="1" applyFill="1" applyBorder="1" applyAlignment="1">
      <alignment/>
    </xf>
    <xf numFmtId="164" fontId="0" fillId="0" borderId="50" xfId="0" applyNumberFormat="1" applyFont="1" applyFill="1" applyBorder="1" applyAlignment="1">
      <alignment/>
    </xf>
    <xf numFmtId="164" fontId="0" fillId="5" borderId="16" xfId="0" applyNumberFormat="1" applyFont="1" applyFill="1" applyBorder="1" applyAlignment="1">
      <alignment/>
    </xf>
    <xf numFmtId="167" fontId="0" fillId="5" borderId="40" xfId="82" applyNumberFormat="1" applyFont="1" applyFill="1" applyBorder="1" applyAlignment="1">
      <alignment horizontal="center"/>
    </xf>
    <xf numFmtId="164" fontId="0" fillId="5" borderId="16" xfId="0" applyNumberFormat="1" applyFont="1" applyFill="1" applyBorder="1" applyAlignment="1">
      <alignment horizontal="right"/>
    </xf>
    <xf numFmtId="0" fontId="0" fillId="0" borderId="0" xfId="0" applyFont="1" applyFill="1" applyBorder="1" applyAlignment="1">
      <alignment/>
    </xf>
    <xf numFmtId="164" fontId="0" fillId="0" borderId="16" xfId="0" applyNumberFormat="1" applyFont="1" applyFill="1" applyBorder="1" applyAlignment="1">
      <alignment/>
    </xf>
    <xf numFmtId="167" fontId="2" fillId="5" borderId="42" xfId="82" applyNumberFormat="1" applyFont="1" applyFill="1" applyBorder="1" applyAlignment="1">
      <alignment horizontal="center"/>
    </xf>
    <xf numFmtId="0" fontId="0" fillId="0" borderId="14" xfId="0" applyFont="1" applyFill="1" applyBorder="1" applyAlignment="1">
      <alignment/>
    </xf>
    <xf numFmtId="164" fontId="0" fillId="5" borderId="40" xfId="0" applyNumberFormat="1" applyFont="1" applyFill="1" applyBorder="1" applyAlignment="1">
      <alignment/>
    </xf>
    <xf numFmtId="8" fontId="0" fillId="5" borderId="0" xfId="0" applyNumberFormat="1" applyFont="1" applyFill="1" applyBorder="1" applyAlignment="1">
      <alignment/>
    </xf>
    <xf numFmtId="164" fontId="0" fillId="5" borderId="50" xfId="0" applyNumberFormat="1" applyFont="1" applyFill="1" applyBorder="1" applyAlignment="1">
      <alignment/>
    </xf>
    <xf numFmtId="44" fontId="2" fillId="5" borderId="0" xfId="65" applyFont="1" applyFill="1" applyBorder="1" applyAlignment="1">
      <alignment/>
    </xf>
    <xf numFmtId="170" fontId="2" fillId="5" borderId="47" xfId="62" applyNumberFormat="1" applyFont="1" applyFill="1" applyBorder="1" applyAlignment="1">
      <alignment/>
    </xf>
    <xf numFmtId="43" fontId="0" fillId="5" borderId="0" xfId="0" applyNumberFormat="1" applyFont="1" applyFill="1" applyBorder="1" applyAlignment="1">
      <alignment/>
    </xf>
    <xf numFmtId="0" fontId="0" fillId="0" borderId="0" xfId="0" applyFont="1" applyAlignment="1">
      <alignment horizontal="left"/>
    </xf>
    <xf numFmtId="164" fontId="0" fillId="0" borderId="0" xfId="0" applyNumberFormat="1" applyFont="1" applyFill="1" applyBorder="1" applyAlignment="1">
      <alignment/>
    </xf>
    <xf numFmtId="49" fontId="0" fillId="0" borderId="11" xfId="0" applyNumberFormat="1" applyFont="1" applyBorder="1" applyAlignment="1">
      <alignment horizontal="center"/>
    </xf>
    <xf numFmtId="0" fontId="2" fillId="0" borderId="0" xfId="0" applyFont="1" applyAlignment="1" applyProtection="1">
      <alignment vertical="top" wrapText="1"/>
      <protection/>
    </xf>
    <xf numFmtId="0" fontId="0" fillId="0" borderId="0" xfId="0" applyAlignment="1">
      <alignment/>
    </xf>
    <xf numFmtId="0" fontId="2" fillId="0" borderId="0" xfId="0" applyNumberFormat="1" applyFont="1" applyAlignment="1" applyProtection="1">
      <alignment vertical="top" wrapText="1"/>
      <protection/>
    </xf>
    <xf numFmtId="0" fontId="0" fillId="0" borderId="0" xfId="0" applyAlignment="1">
      <alignment vertical="top" wrapText="1"/>
    </xf>
    <xf numFmtId="0" fontId="2" fillId="0" borderId="0" xfId="0" applyFont="1" applyFill="1" applyAlignment="1" applyProtection="1">
      <alignment wrapText="1"/>
      <protection/>
    </xf>
    <xf numFmtId="0" fontId="2" fillId="0" borderId="11" xfId="0" applyFont="1" applyFill="1" applyBorder="1" applyAlignment="1">
      <alignment horizontal="center"/>
    </xf>
    <xf numFmtId="0" fontId="2" fillId="0" borderId="22" xfId="0" applyFont="1" applyFill="1" applyBorder="1" applyAlignment="1">
      <alignment horizontal="center" wrapText="1"/>
    </xf>
    <xf numFmtId="0" fontId="2" fillId="0" borderId="56" xfId="0" applyFont="1" applyFill="1" applyBorder="1" applyAlignment="1">
      <alignment horizontal="center" wrapText="1"/>
    </xf>
    <xf numFmtId="0" fontId="2" fillId="0" borderId="0" xfId="0" applyFont="1" applyFill="1" applyBorder="1" applyAlignment="1">
      <alignment vertical="top" wrapText="1"/>
    </xf>
    <xf numFmtId="0" fontId="0" fillId="0" borderId="0" xfId="0" applyFill="1" applyAlignment="1">
      <alignment vertical="top" wrapText="1"/>
    </xf>
    <xf numFmtId="0" fontId="20" fillId="0" borderId="11" xfId="0" applyFont="1" applyFill="1" applyBorder="1" applyAlignment="1">
      <alignment horizontal="center"/>
    </xf>
    <xf numFmtId="0" fontId="0" fillId="0" borderId="0" xfId="0" applyAlignment="1">
      <alignment wrapText="1"/>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omma 2" xfId="62"/>
    <cellStyle name="Currency" xfId="63"/>
    <cellStyle name="Currency [0]" xfId="64"/>
    <cellStyle name="Currency 2" xfId="65"/>
    <cellStyle name="Emphasis 1" xfId="66"/>
    <cellStyle name="Emphasis 2" xfId="67"/>
    <cellStyle name="Emphasis 3" xfId="68"/>
    <cellStyle name="Explanatory Text" xfId="69"/>
    <cellStyle name="Good" xfId="70"/>
    <cellStyle name="Heading 1" xfId="71"/>
    <cellStyle name="Heading 2" xfId="72"/>
    <cellStyle name="Heading 3" xfId="73"/>
    <cellStyle name="Heading 4" xfId="74"/>
    <cellStyle name="Input" xfId="75"/>
    <cellStyle name="Linked Cell" xfId="76"/>
    <cellStyle name="Neutral" xfId="77"/>
    <cellStyle name="Normal_Funding Shift Table Sample" xfId="78"/>
    <cellStyle name="Note" xfId="79"/>
    <cellStyle name="Output" xfId="80"/>
    <cellStyle name="Percent" xfId="81"/>
    <cellStyle name="Percent 2" xfId="82"/>
    <cellStyle name="SAPBEXaggData" xfId="83"/>
    <cellStyle name="SAPBEXaggDataEmph" xfId="84"/>
    <cellStyle name="SAPBEXaggItem" xfId="85"/>
    <cellStyle name="SAPBEXaggItemX" xfId="86"/>
    <cellStyle name="SAPBEXchaText" xfId="87"/>
    <cellStyle name="SAPBEXexcBad7" xfId="88"/>
    <cellStyle name="SAPBEXexcBad8" xfId="89"/>
    <cellStyle name="SAPBEXexcBad9" xfId="90"/>
    <cellStyle name="SAPBEXexcCritical4" xfId="91"/>
    <cellStyle name="SAPBEXexcCritical5" xfId="92"/>
    <cellStyle name="SAPBEXexcCritical6" xfId="93"/>
    <cellStyle name="SAPBEXexcGood1" xfId="94"/>
    <cellStyle name="SAPBEXexcGood2" xfId="95"/>
    <cellStyle name="SAPBEXexcGood3" xfId="96"/>
    <cellStyle name="SAPBEXfilterDrill" xfId="97"/>
    <cellStyle name="SAPBEXfilterItem" xfId="98"/>
    <cellStyle name="SAPBEXfilterText" xfId="99"/>
    <cellStyle name="SAPBEXformats" xfId="100"/>
    <cellStyle name="SAPBEXheaderItem" xfId="101"/>
    <cellStyle name="SAPBEXheaderText" xfId="102"/>
    <cellStyle name="SAPBEXHLevel0" xfId="103"/>
    <cellStyle name="SAPBEXHLevel0X" xfId="104"/>
    <cellStyle name="SAPBEXHLevel1" xfId="105"/>
    <cellStyle name="SAPBEXHLevel1X" xfId="106"/>
    <cellStyle name="SAPBEXHLevel2" xfId="107"/>
    <cellStyle name="SAPBEXHLevel2X" xfId="108"/>
    <cellStyle name="SAPBEXHLevel3" xfId="109"/>
    <cellStyle name="SAPBEXHLevel3X" xfId="110"/>
    <cellStyle name="SAPBEXinputData" xfId="111"/>
    <cellStyle name="SAPBEXresData" xfId="112"/>
    <cellStyle name="SAPBEXresDataEmph" xfId="113"/>
    <cellStyle name="SAPBEXresItem" xfId="114"/>
    <cellStyle name="SAPBEXresItemX" xfId="115"/>
    <cellStyle name="SAPBEXstdData" xfId="116"/>
    <cellStyle name="SAPBEXstdDataEmph" xfId="117"/>
    <cellStyle name="SAPBEXstdItem" xfId="118"/>
    <cellStyle name="SAPBEXstdItemX" xfId="119"/>
    <cellStyle name="SAPBEXtitle" xfId="120"/>
    <cellStyle name="SAPBEXundefined" xfId="121"/>
    <cellStyle name="Sheet Title" xfId="122"/>
    <cellStyle name="Title" xfId="123"/>
    <cellStyle name="Total" xfId="124"/>
    <cellStyle name="Warning Text"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14</xdr:col>
      <xdr:colOff>0</xdr:colOff>
      <xdr:row>4</xdr:row>
      <xdr:rowOff>381000</xdr:rowOff>
    </xdr:to>
    <xdr:sp>
      <xdr:nvSpPr>
        <xdr:cNvPr id="1" name="Text Box 1"/>
        <xdr:cNvSpPr txBox="1">
          <a:spLocks noChangeArrowheads="1"/>
        </xdr:cNvSpPr>
      </xdr:nvSpPr>
      <xdr:spPr>
        <a:xfrm>
          <a:off x="4914900" y="600075"/>
          <a:ext cx="9182100" cy="371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2010  Expenditures
</a:t>
          </a:r>
          <a:r>
            <a:rPr lang="en-US" cap="none" sz="1100" b="1"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MA Pivot"/>
      <sheetName val="ACTMA Detail"/>
    </sheetNames>
    <sheetDataSet>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t="str">
            <v/>
          </cell>
          <cell r="P33">
            <v>0</v>
          </cell>
        </row>
        <row r="34">
          <cell r="N34" t="str">
            <v/>
          </cell>
          <cell r="P34">
            <v>0</v>
          </cell>
        </row>
        <row r="35">
          <cell r="N35" t="str">
            <v/>
          </cell>
          <cell r="P35">
            <v>0</v>
          </cell>
        </row>
        <row r="36">
          <cell r="N36" t="str">
            <v/>
          </cell>
          <cell r="P36">
            <v>0</v>
          </cell>
        </row>
        <row r="37">
          <cell r="N37" t="str">
            <v/>
          </cell>
          <cell r="P37">
            <v>0</v>
          </cell>
        </row>
        <row r="38">
          <cell r="N38" t="str">
            <v/>
          </cell>
          <cell r="P38">
            <v>0</v>
          </cell>
        </row>
        <row r="39">
          <cell r="N39" t="str">
            <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t="str">
            <v/>
          </cell>
          <cell r="P46">
            <v>0</v>
          </cell>
        </row>
        <row r="47">
          <cell r="N47" t="str">
            <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t="str">
            <v/>
          </cell>
          <cell r="P79">
            <v>0</v>
          </cell>
        </row>
        <row r="80">
          <cell r="N80" t="str">
            <v>TRANSCONTINENTAL DIRECT USA IN</v>
          </cell>
          <cell r="P80">
            <v>165430</v>
          </cell>
        </row>
        <row r="81">
          <cell r="N81" t="str">
            <v>US POSTMASTER</v>
          </cell>
          <cell r="P81">
            <v>0</v>
          </cell>
        </row>
        <row r="82">
          <cell r="N82" t="str">
            <v/>
          </cell>
          <cell r="P82">
            <v>0</v>
          </cell>
        </row>
        <row r="83">
          <cell r="N83" t="str">
            <v/>
          </cell>
          <cell r="P83">
            <v>0</v>
          </cell>
        </row>
        <row r="84">
          <cell r="N84" t="str">
            <v/>
          </cell>
          <cell r="P84">
            <v>8</v>
          </cell>
        </row>
        <row r="85">
          <cell r="N85" t="str">
            <v/>
          </cell>
          <cell r="P85">
            <v>0</v>
          </cell>
        </row>
        <row r="86">
          <cell r="N86" t="str">
            <v/>
          </cell>
          <cell r="P86">
            <v>0</v>
          </cell>
        </row>
        <row r="87">
          <cell r="N87" t="str">
            <v/>
          </cell>
          <cell r="P87">
            <v>0</v>
          </cell>
        </row>
        <row r="88">
          <cell r="N88" t="str">
            <v/>
          </cell>
          <cell r="P88">
            <v>0</v>
          </cell>
        </row>
        <row r="89">
          <cell r="N89" t="str">
            <v/>
          </cell>
          <cell r="P89">
            <v>1</v>
          </cell>
        </row>
        <row r="90">
          <cell r="N90" t="str">
            <v/>
          </cell>
          <cell r="P90">
            <v>1</v>
          </cell>
        </row>
        <row r="91">
          <cell r="N91" t="str">
            <v/>
          </cell>
          <cell r="P91">
            <v>1</v>
          </cell>
        </row>
        <row r="92">
          <cell r="N92" t="str">
            <v/>
          </cell>
          <cell r="P92">
            <v>1</v>
          </cell>
        </row>
        <row r="93">
          <cell r="N93" t="str">
            <v/>
          </cell>
          <cell r="P93">
            <v>1</v>
          </cell>
        </row>
        <row r="94">
          <cell r="N94" t="str">
            <v/>
          </cell>
          <cell r="P94">
            <v>1</v>
          </cell>
        </row>
        <row r="95">
          <cell r="N95" t="str">
            <v/>
          </cell>
          <cell r="P95">
            <v>1</v>
          </cell>
        </row>
        <row r="96">
          <cell r="N96" t="str">
            <v/>
          </cell>
          <cell r="P96">
            <v>1</v>
          </cell>
        </row>
        <row r="97">
          <cell r="N97" t="str">
            <v/>
          </cell>
          <cell r="P97">
            <v>2</v>
          </cell>
        </row>
        <row r="98">
          <cell r="N98" t="str">
            <v/>
          </cell>
          <cell r="P98">
            <v>1</v>
          </cell>
        </row>
        <row r="99">
          <cell r="N99" t="str">
            <v/>
          </cell>
          <cell r="P99">
            <v>1</v>
          </cell>
        </row>
        <row r="100">
          <cell r="N100" t="str">
            <v/>
          </cell>
          <cell r="P100">
            <v>1</v>
          </cell>
        </row>
        <row r="101">
          <cell r="N101" t="str">
            <v/>
          </cell>
          <cell r="P101">
            <v>1</v>
          </cell>
        </row>
        <row r="102">
          <cell r="N102" t="str">
            <v/>
          </cell>
          <cell r="P102">
            <v>2442.12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63"/>
  <sheetViews>
    <sheetView showGridLines="0" tabSelected="1" zoomScale="75" zoomScaleNormal="75" zoomScaleSheetLayoutView="50" zoomScalePageLayoutView="0" workbookViewId="0" topLeftCell="A1">
      <selection activeCell="A1" sqref="A1"/>
    </sheetView>
  </sheetViews>
  <sheetFormatPr defaultColWidth="9.140625" defaultRowHeight="12.75"/>
  <cols>
    <col min="1" max="1" width="31.57421875" style="173" customWidth="1"/>
    <col min="2" max="2" width="7.421875" style="173" bestFit="1" customWidth="1"/>
    <col min="3" max="3" width="8.421875" style="173" bestFit="1" customWidth="1"/>
    <col min="4" max="4" width="7.421875" style="173" bestFit="1" customWidth="1"/>
    <col min="5" max="5" width="7.57421875" style="173" bestFit="1" customWidth="1"/>
    <col min="6" max="6" width="9.28125" style="173" bestFit="1" customWidth="1"/>
    <col min="7" max="7" width="7.421875" style="173" bestFit="1" customWidth="1"/>
    <col min="8" max="8" width="7.57421875" style="173" bestFit="1" customWidth="1"/>
    <col min="9" max="9" width="11.7109375" style="173" bestFit="1" customWidth="1"/>
    <col min="10" max="10" width="7.421875" style="173" bestFit="1" customWidth="1"/>
    <col min="11" max="12" width="0.85546875" style="173" customWidth="1"/>
    <col min="13" max="13" width="11.28125" style="173" customWidth="1"/>
    <col min="14" max="15" width="10.7109375" style="173" customWidth="1"/>
    <col min="16" max="16" width="11.28125" style="173" customWidth="1"/>
    <col min="17" max="17" width="10.7109375" style="173" customWidth="1"/>
    <col min="18" max="18" width="12.8515625" style="173" customWidth="1"/>
    <col min="19" max="19" width="11.28125" style="173" customWidth="1"/>
    <col min="20" max="20" width="14.140625" style="173" customWidth="1"/>
    <col min="21" max="21" width="9.7109375" style="173" customWidth="1"/>
    <col min="22" max="22" width="11.421875" style="173" customWidth="1"/>
    <col min="23" max="23" width="11.00390625" style="173" customWidth="1"/>
    <col min="24" max="25" width="9.7109375" style="173" customWidth="1"/>
    <col min="26" max="26" width="12.8515625" style="173" customWidth="1"/>
    <col min="27" max="27" width="8.8515625" style="173" bestFit="1" customWidth="1"/>
    <col min="28" max="28" width="10.57421875" style="173" customWidth="1"/>
    <col min="29" max="29" width="9.8515625" style="173" bestFit="1" customWidth="1"/>
    <col min="30" max="30" width="11.140625" style="173" customWidth="1"/>
    <col min="31" max="31" width="9.8515625" style="173" bestFit="1" customWidth="1"/>
    <col min="32" max="32" width="10.8515625" style="173" customWidth="1"/>
    <col min="33" max="33" width="12.140625" style="173" bestFit="1" customWidth="1"/>
    <col min="34" max="34" width="12.140625" style="173" customWidth="1"/>
    <col min="35" max="35" width="9.57421875" style="173" bestFit="1" customWidth="1"/>
    <col min="36" max="36" width="11.140625" style="173" customWidth="1"/>
    <col min="37" max="37" width="11.7109375" style="173" bestFit="1" customWidth="1"/>
    <col min="38" max="38" width="11.7109375" style="173" customWidth="1"/>
    <col min="39" max="16384" width="9.140625" style="173" customWidth="1"/>
  </cols>
  <sheetData>
    <row r="1" ht="12.75">
      <c r="E1" s="249"/>
    </row>
    <row r="3" ht="14.25" customHeight="1"/>
    <row r="4" ht="14.25" customHeight="1"/>
    <row r="5" spans="3:19" ht="12.75" hidden="1">
      <c r="C5" s="173">
        <v>2</v>
      </c>
      <c r="D5" s="173">
        <f>C5</f>
        <v>2</v>
      </c>
      <c r="F5" s="173">
        <f>C5+1</f>
        <v>3</v>
      </c>
      <c r="G5" s="173">
        <f>F5</f>
        <v>3</v>
      </c>
      <c r="I5" s="173">
        <f>F5+1</f>
        <v>4</v>
      </c>
      <c r="J5" s="173">
        <f>I5</f>
        <v>4</v>
      </c>
      <c r="L5" s="173">
        <f>I5+1</f>
        <v>5</v>
      </c>
      <c r="M5" s="173">
        <f>L5</f>
        <v>5</v>
      </c>
      <c r="O5" s="173">
        <f>L5+1</f>
        <v>6</v>
      </c>
      <c r="P5" s="173">
        <f>O5</f>
        <v>6</v>
      </c>
      <c r="R5" s="173">
        <f>O5+1</f>
        <v>7</v>
      </c>
      <c r="S5" s="173">
        <f>R5</f>
        <v>7</v>
      </c>
    </row>
    <row r="6" ht="12.75">
      <c r="C6" s="44"/>
    </row>
    <row r="7" spans="1:20" ht="15" customHeight="1">
      <c r="A7" s="174"/>
      <c r="B7" s="92"/>
      <c r="C7" s="250" t="s">
        <v>0</v>
      </c>
      <c r="D7" s="92"/>
      <c r="E7" s="92"/>
      <c r="F7" s="92" t="s">
        <v>1</v>
      </c>
      <c r="G7" s="92"/>
      <c r="H7" s="92"/>
      <c r="I7" s="92" t="s">
        <v>2</v>
      </c>
      <c r="J7" s="92"/>
      <c r="K7" s="92"/>
      <c r="L7" s="92" t="s">
        <v>3</v>
      </c>
      <c r="M7" s="92"/>
      <c r="N7" s="92"/>
      <c r="O7" s="92" t="s">
        <v>4</v>
      </c>
      <c r="P7" s="92"/>
      <c r="Q7" s="92"/>
      <c r="R7" s="92" t="s">
        <v>5</v>
      </c>
      <c r="S7" s="92"/>
      <c r="T7" s="175"/>
    </row>
    <row r="8" spans="1:20" ht="41.25" customHeight="1">
      <c r="A8" s="176" t="s">
        <v>21</v>
      </c>
      <c r="B8" s="177" t="s">
        <v>15</v>
      </c>
      <c r="C8" s="178" t="s">
        <v>162</v>
      </c>
      <c r="D8" s="179" t="s">
        <v>163</v>
      </c>
      <c r="E8" s="177" t="s">
        <v>15</v>
      </c>
      <c r="F8" s="178" t="s">
        <v>162</v>
      </c>
      <c r="G8" s="179" t="s">
        <v>163</v>
      </c>
      <c r="H8" s="180" t="s">
        <v>15</v>
      </c>
      <c r="I8" s="178" t="s">
        <v>162</v>
      </c>
      <c r="J8" s="179" t="s">
        <v>163</v>
      </c>
      <c r="K8" s="181" t="s">
        <v>15</v>
      </c>
      <c r="L8" s="178" t="s">
        <v>162</v>
      </c>
      <c r="M8" s="179" t="s">
        <v>163</v>
      </c>
      <c r="N8" s="181" t="s">
        <v>15</v>
      </c>
      <c r="O8" s="178" t="s">
        <v>162</v>
      </c>
      <c r="P8" s="179" t="s">
        <v>163</v>
      </c>
      <c r="Q8" s="180" t="s">
        <v>15</v>
      </c>
      <c r="R8" s="178" t="s">
        <v>162</v>
      </c>
      <c r="S8" s="179" t="s">
        <v>163</v>
      </c>
      <c r="T8" s="179" t="s">
        <v>61</v>
      </c>
    </row>
    <row r="9" spans="1:20" ht="12.75" customHeight="1">
      <c r="A9" s="182" t="s">
        <v>22</v>
      </c>
      <c r="B9" s="177"/>
      <c r="C9" s="177"/>
      <c r="D9" s="183"/>
      <c r="E9" s="180"/>
      <c r="F9" s="177"/>
      <c r="G9" s="183"/>
      <c r="H9" s="180"/>
      <c r="I9" s="177"/>
      <c r="J9" s="177"/>
      <c r="K9" s="180"/>
      <c r="L9" s="177"/>
      <c r="M9" s="184"/>
      <c r="N9" s="180"/>
      <c r="O9" s="177"/>
      <c r="P9" s="184"/>
      <c r="Q9" s="180"/>
      <c r="R9" s="177"/>
      <c r="S9" s="184"/>
      <c r="T9" s="184"/>
    </row>
    <row r="10" spans="1:23" ht="12.75">
      <c r="A10" s="7" t="s">
        <v>80</v>
      </c>
      <c r="B10" s="185">
        <v>1</v>
      </c>
      <c r="C10" s="344">
        <f>B10*(INDEX('Ex ante LI &amp; Eligibility Stats'!$A$5:$M$17,MATCH('Program MW '!$A10,'Ex ante LI &amp; Eligibility Stats'!$A$5:$A$17,0),MATCH('Program MW '!C$7,'Ex ante LI &amp; Eligibility Stats'!$A$5:$M$5,0))/1000)</f>
        <v>0.32571242224999997</v>
      </c>
      <c r="D10" s="344">
        <f>B10*(INDEX('Ex post LI &amp; Eligibility Stats'!$A$6:$N$18,MATCH($A10,'Ex post LI &amp; Eligibility Stats'!$A$6:$A$18,0),MATCH('Program MW '!C$7,'Ex post LI &amp; Eligibility Stats'!$A$6:$N$6,0))/1000)</f>
        <v>0.571</v>
      </c>
      <c r="E10" s="186">
        <v>1</v>
      </c>
      <c r="F10" s="344">
        <f>E10*(INDEX('Ex ante LI &amp; Eligibility Stats'!$A$5:$M$17,MATCH('Program MW '!$A10,'Ex ante LI &amp; Eligibility Stats'!$A$5:$A$17,0),MATCH('Program MW '!F$7,'Ex ante LI &amp; Eligibility Stats'!$A$5:$M$5,0))/1000)</f>
        <v>0.311123674</v>
      </c>
      <c r="G10" s="344">
        <f>E10*(INDEX('Ex post LI &amp; Eligibility Stats'!$A$6:$N$18,MATCH($A10,'Ex post LI &amp; Eligibility Stats'!$A$6:$A$18,0),MATCH('Program MW '!F$7,'Ex post LI &amp; Eligibility Stats'!$A$6:$N$6,0))/1000)</f>
        <v>0.571</v>
      </c>
      <c r="H10" s="186">
        <v>1</v>
      </c>
      <c r="I10" s="344">
        <f>H10*(INDEX('Ex ante LI &amp; Eligibility Stats'!$A$5:$M$17,MATCH('Program MW '!$A10,'Ex ante LI &amp; Eligibility Stats'!$A$5:$A$17,0),MATCH('Program MW '!I$7,'Ex ante LI &amp; Eligibility Stats'!$A$5:$M$5,0))/1000)</f>
        <v>0.319461224</v>
      </c>
      <c r="J10" s="344">
        <f>H10*(INDEX('Ex post LI &amp; Eligibility Stats'!$A$6:$N$18,MATCH($A10,'Ex post LI &amp; Eligibility Stats'!$A$6:$A$18,0),MATCH('Program MW '!I$7,'Ex post LI &amp; Eligibility Stats'!$A$6:$N$6,0))/1000)</f>
        <v>0.571</v>
      </c>
      <c r="K10" s="186">
        <v>1</v>
      </c>
      <c r="L10" s="344">
        <f>K10*(INDEX('Ex ante LI &amp; Eligibility Stats'!$A$5:$M$17,MATCH('Program MW '!$A10,'Ex ante LI &amp; Eligibility Stats'!$A$5:$A$17,0),MATCH('Program MW '!L$7,'Ex ante LI &amp; Eligibility Stats'!$A$5:$M$5,0))/1000)</f>
        <v>0.32552134899999996</v>
      </c>
      <c r="M10" s="344">
        <f>K10*(INDEX('Ex post LI &amp; Eligibility Stats'!$A$6:$N$18,MATCH($A10,'Ex post LI &amp; Eligibility Stats'!$A$6:$A$18,0),MATCH('Program MW '!L$7,'Ex post LI &amp; Eligibility Stats'!$A$6:$N$6,0))/1000)</f>
        <v>0.571</v>
      </c>
      <c r="N10" s="186">
        <v>1</v>
      </c>
      <c r="O10" s="344">
        <f>N10*(INDEX('Ex ante LI &amp; Eligibility Stats'!$A$5:$M$17,MATCH('Program MW '!$A10,'Ex ante LI &amp; Eligibility Stats'!$A$5:$A$17,0),MATCH('Program MW '!O$7,'Ex ante LI &amp; Eligibility Stats'!$A$5:$M$5,0))/1000)</f>
        <v>0.320065224</v>
      </c>
      <c r="P10" s="344">
        <f>N10*(INDEX('Ex post LI &amp; Eligibility Stats'!$A$6:$N$18,MATCH($A10,'Ex post LI &amp; Eligibility Stats'!$A$6:$A$18,0),MATCH('Program MW '!O$7,'Ex post LI &amp; Eligibility Stats'!$A$6:$N$6,0))/1000)</f>
        <v>0.571</v>
      </c>
      <c r="Q10" s="186">
        <v>1</v>
      </c>
      <c r="R10" s="344">
        <f>Q10*(INDEX('Ex ante LI &amp; Eligibility Stats'!$A$5:$M$17,MATCH('Program MW '!$A10,'Ex ante LI &amp; Eligibility Stats'!$A$5:$A$17,0),MATCH('Program MW '!R$7,'Ex ante LI &amp; Eligibility Stats'!$A$5:$M$5,0))/1000)</f>
        <v>0.324080899</v>
      </c>
      <c r="S10" s="344">
        <f>Q10*(INDEX('Ex post LI &amp; Eligibility Stats'!$A$6:$N$18,MATCH($A10,'Ex post LI &amp; Eligibility Stats'!$A$6:$A$18,0),MATCH('Program MW '!R$7,'Ex post LI &amp; Eligibility Stats'!$A$6:$N$6,0))/1000)</f>
        <v>0.571</v>
      </c>
      <c r="T10" s="187">
        <v>4610</v>
      </c>
      <c r="V10" s="338">
        <v>37157.9098099326</v>
      </c>
      <c r="W10" s="186">
        <v>30725</v>
      </c>
    </row>
    <row r="11" spans="1:23" ht="12.75">
      <c r="A11" s="7" t="s">
        <v>81</v>
      </c>
      <c r="B11" s="188">
        <v>18</v>
      </c>
      <c r="C11" s="344">
        <f>B11*(INDEX('Ex ante LI &amp; Eligibility Stats'!$A$5:$M$17,MATCH('Program MW '!$A11,'Ex ante LI &amp; Eligibility Stats'!$A$5:$A$17,0),MATCH('Program MW '!C$7,'Ex ante LI &amp; Eligibility Stats'!$A$5:$M$5,0))/1000)</f>
        <v>5.8628236005</v>
      </c>
      <c r="D11" s="344">
        <f>B11*(INDEX('Ex post LI &amp; Eligibility Stats'!$A$6:$N$18,MATCH($A11,'Ex post LI &amp; Eligibility Stats'!$A$6:$A$18,0),MATCH('Program MW '!C$7,'Ex post LI &amp; Eligibility Stats'!$A$6:$N$6,0))/1000)</f>
        <v>10.277999999999999</v>
      </c>
      <c r="E11" s="186">
        <v>18</v>
      </c>
      <c r="F11" s="344">
        <f>E11*(INDEX('Ex ante LI &amp; Eligibility Stats'!$A$5:$M$17,MATCH('Program MW '!$A11,'Ex ante LI &amp; Eligibility Stats'!$A$5:$A$17,0),MATCH('Program MW '!F$7,'Ex ante LI &amp; Eligibility Stats'!$A$5:$M$5,0))/1000)</f>
        <v>5.600226132</v>
      </c>
      <c r="G11" s="344">
        <f>E11*(INDEX('Ex post LI &amp; Eligibility Stats'!$A$6:$N$18,MATCH($A11,'Ex post LI &amp; Eligibility Stats'!$A$6:$A$18,0),MATCH('Program MW '!F$7,'Ex post LI &amp; Eligibility Stats'!$A$6:$N$6,0))/1000)</f>
        <v>10.277999999999999</v>
      </c>
      <c r="H11" s="186">
        <v>18</v>
      </c>
      <c r="I11" s="344">
        <f>H11*(INDEX('Ex ante LI &amp; Eligibility Stats'!$A$5:$M$17,MATCH('Program MW '!$A11,'Ex ante LI &amp; Eligibility Stats'!$A$5:$A$17,0),MATCH('Program MW '!I$7,'Ex ante LI &amp; Eligibility Stats'!$A$5:$M$5,0))/1000)</f>
        <v>5.750302032</v>
      </c>
      <c r="J11" s="344">
        <f>H11*(INDEX('Ex post LI &amp; Eligibility Stats'!$A$6:$N$18,MATCH($A11,'Ex post LI &amp; Eligibility Stats'!$A$6:$A$18,0),MATCH('Program MW '!I$7,'Ex post LI &amp; Eligibility Stats'!$A$6:$N$6,0))/1000)</f>
        <v>10.277999999999999</v>
      </c>
      <c r="K11" s="186">
        <v>18</v>
      </c>
      <c r="L11" s="344">
        <f>K11*(INDEX('Ex ante LI &amp; Eligibility Stats'!$A$5:$M$17,MATCH('Program MW '!$A11,'Ex ante LI &amp; Eligibility Stats'!$A$5:$A$17,0),MATCH('Program MW '!L$7,'Ex ante LI &amp; Eligibility Stats'!$A$5:$M$5,0))/1000)</f>
        <v>5.76</v>
      </c>
      <c r="M11" s="344">
        <f>K11*(INDEX('Ex post LI &amp; Eligibility Stats'!$A$6:$N$18,MATCH($A11,'Ex post LI &amp; Eligibility Stats'!$A$6:$A$18,0),MATCH('Program MW '!L$7,'Ex post LI &amp; Eligibility Stats'!$A$6:$N$6,0))/1000)</f>
        <v>10.277999999999999</v>
      </c>
      <c r="N11" s="186">
        <v>18</v>
      </c>
      <c r="O11" s="344">
        <f>N11*(INDEX('Ex ante LI &amp; Eligibility Stats'!$A$5:$M$17,MATCH('Program MW '!$A11,'Ex ante LI &amp; Eligibility Stats'!$A$5:$A$17,0),MATCH('Program MW '!O$7,'Ex ante LI &amp; Eligibility Stats'!$A$5:$M$5,0))/1000)</f>
        <v>5.761174032</v>
      </c>
      <c r="P11" s="344">
        <f>N11*(INDEX('Ex post LI &amp; Eligibility Stats'!$A$6:$N$18,MATCH($A11,'Ex post LI &amp; Eligibility Stats'!$A$6:$A$18,0),MATCH('Program MW '!O$7,'Ex post LI &amp; Eligibility Stats'!$A$6:$N$6,0))/1000)</f>
        <v>10.277999999999999</v>
      </c>
      <c r="Q11" s="186">
        <v>18</v>
      </c>
      <c r="R11" s="344">
        <f>Q11*(INDEX('Ex ante LI &amp; Eligibility Stats'!$A$5:$M$17,MATCH('Program MW '!$A11,'Ex ante LI &amp; Eligibility Stats'!$A$5:$A$17,0),MATCH('Program MW '!R$7,'Ex ante LI &amp; Eligibility Stats'!$A$5:$M$5,0))/1000)</f>
        <v>5.833456182</v>
      </c>
      <c r="S11" s="344">
        <f>Q11*(INDEX('Ex post LI &amp; Eligibility Stats'!$A$6:$N$18,MATCH($A11,'Ex post LI &amp; Eligibility Stats'!$A$6:$A$18,0),MATCH('Program MW '!R$7,'Ex post LI &amp; Eligibility Stats'!$A$6:$N$6,0))/1000)</f>
        <v>10.277999999999999</v>
      </c>
      <c r="T11" s="189">
        <v>4610</v>
      </c>
      <c r="V11" s="338">
        <v>5978.0901900674</v>
      </c>
      <c r="W11" s="186">
        <v>13406</v>
      </c>
    </row>
    <row r="12" spans="1:23" ht="12.75">
      <c r="A12" s="7" t="s">
        <v>78</v>
      </c>
      <c r="B12" s="188">
        <v>10</v>
      </c>
      <c r="C12" s="344">
        <f>B12*(INDEX('Ex ante LI &amp; Eligibility Stats'!$A$5:$M$17,MATCH('Program MW '!$A12,'Ex ante LI &amp; Eligibility Stats'!$A$5:$A$17,0),MATCH('Program MW '!C$7,'Ex ante LI &amp; Eligibility Stats'!$A$5:$M$5,0))/1000)</f>
        <v>2.3000000000000003</v>
      </c>
      <c r="D12" s="344">
        <f>B12*(INDEX('Ex post LI &amp; Eligibility Stats'!$A$6:$N$18,MATCH($A12,'Ex post LI &amp; Eligibility Stats'!$A$6:$A$18,0),MATCH('Program MW '!C$7,'Ex post LI &amp; Eligibility Stats'!$A$6:$N$6,0))/1000)</f>
        <v>2.3000000000000003</v>
      </c>
      <c r="E12" s="186">
        <v>10</v>
      </c>
      <c r="F12" s="344">
        <f>E12*(INDEX('Ex ante LI &amp; Eligibility Stats'!$A$5:$M$17,MATCH('Program MW '!$A12,'Ex ante LI &amp; Eligibility Stats'!$A$5:$A$17,0),MATCH('Program MW '!F$7,'Ex ante LI &amp; Eligibility Stats'!$A$5:$M$5,0))/1000)</f>
        <v>2.3000000000000003</v>
      </c>
      <c r="G12" s="344">
        <f>E12*(INDEX('Ex post LI &amp; Eligibility Stats'!$A$6:$N$18,MATCH($A12,'Ex post LI &amp; Eligibility Stats'!$A$6:$A$18,0),MATCH('Program MW '!F$7,'Ex post LI &amp; Eligibility Stats'!$A$6:$N$6,0))/1000)</f>
        <v>2.3000000000000003</v>
      </c>
      <c r="H12" s="186">
        <v>10</v>
      </c>
      <c r="I12" s="344">
        <f>H12*(INDEX('Ex ante LI &amp; Eligibility Stats'!$A$5:$M$17,MATCH('Program MW '!$A12,'Ex ante LI &amp; Eligibility Stats'!$A$5:$A$17,0),MATCH('Program MW '!I$7,'Ex ante LI &amp; Eligibility Stats'!$A$5:$M$5,0))/1000)</f>
        <v>2.3000000000000003</v>
      </c>
      <c r="J12" s="344">
        <f>H12*(INDEX('Ex post LI &amp; Eligibility Stats'!$A$6:$N$18,MATCH($A12,'Ex post LI &amp; Eligibility Stats'!$A$6:$A$18,0),MATCH('Program MW '!I$7,'Ex post LI &amp; Eligibility Stats'!$A$6:$N$6,0))/1000)</f>
        <v>2.3000000000000003</v>
      </c>
      <c r="K12" s="186">
        <v>8</v>
      </c>
      <c r="L12" s="344">
        <f>K12*(INDEX('Ex ante LI &amp; Eligibility Stats'!$A$5:$M$17,MATCH('Program MW '!$A12,'Ex ante LI &amp; Eligibility Stats'!$A$5:$A$17,0),MATCH('Program MW '!L$7,'Ex ante LI &amp; Eligibility Stats'!$A$5:$M$5,0))/1000)</f>
        <v>1.84</v>
      </c>
      <c r="M12" s="344">
        <f>K12*(INDEX('Ex post LI &amp; Eligibility Stats'!$A$6:$N$18,MATCH($A12,'Ex post LI &amp; Eligibility Stats'!$A$6:$A$18,0),MATCH('Program MW '!L$7,'Ex post LI &amp; Eligibility Stats'!$A$6:$N$6,0))/1000)</f>
        <v>1.84</v>
      </c>
      <c r="N12" s="186">
        <v>8</v>
      </c>
      <c r="O12" s="344">
        <f>N12*(INDEX('Ex ante LI &amp; Eligibility Stats'!$A$5:$M$17,MATCH('Program MW '!$A12,'Ex ante LI &amp; Eligibility Stats'!$A$5:$A$17,0),MATCH('Program MW '!O$7,'Ex ante LI &amp; Eligibility Stats'!$A$5:$M$5,0))/1000)</f>
        <v>1.84</v>
      </c>
      <c r="P12" s="344">
        <f>N12*(INDEX('Ex post LI &amp; Eligibility Stats'!$A$6:$N$18,MATCH($A12,'Ex post LI &amp; Eligibility Stats'!$A$6:$A$18,0),MATCH('Program MW '!O$7,'Ex post LI &amp; Eligibility Stats'!$A$6:$N$6,0))/1000)</f>
        <v>1.84</v>
      </c>
      <c r="Q12" s="186">
        <v>10</v>
      </c>
      <c r="R12" s="344">
        <f>Q12*(INDEX('Ex ante LI &amp; Eligibility Stats'!$A$5:$M$17,MATCH('Program MW '!$A12,'Ex ante LI &amp; Eligibility Stats'!$A$5:$A$17,0),MATCH('Program MW '!R$7,'Ex ante LI &amp; Eligibility Stats'!$A$5:$M$5,0))/1000)</f>
        <v>2.3000000000000003</v>
      </c>
      <c r="S12" s="344">
        <f>Q12*(INDEX('Ex post LI &amp; Eligibility Stats'!$A$6:$N$18,MATCH($A12,'Ex post LI &amp; Eligibility Stats'!$A$6:$A$18,0),MATCH('Program MW '!R$7,'Ex post LI &amp; Eligibility Stats'!$A$6:$N$6,0))/1000)</f>
        <v>2.3000000000000003</v>
      </c>
      <c r="T12" s="189">
        <v>4610</v>
      </c>
      <c r="V12" s="343">
        <f>SUM(V10:V11)</f>
        <v>43136</v>
      </c>
      <c r="W12" s="343">
        <f>SUM(W10:W11)</f>
        <v>44131</v>
      </c>
    </row>
    <row r="13" spans="1:20" ht="12.75">
      <c r="A13" s="7" t="s">
        <v>14</v>
      </c>
      <c r="B13" s="188">
        <v>0</v>
      </c>
      <c r="C13" s="344">
        <f>B13*(INDEX('Ex ante LI &amp; Eligibility Stats'!$A$5:$M$17,MATCH('Program MW '!$A13,'Ex ante LI &amp; Eligibility Stats'!$A$5:$A$17,0),MATCH('Program MW '!C$7,'Ex ante LI &amp; Eligibility Stats'!$A$5:$M$5,0))/1000)</f>
        <v>0</v>
      </c>
      <c r="D13" s="344">
        <f>B13*(INDEX('Ex post LI &amp; Eligibility Stats'!$A$6:$N$18,MATCH($A13,'Ex post LI &amp; Eligibility Stats'!$A$6:$A$18,0),MATCH('Program MW '!C$7,'Ex post LI &amp; Eligibility Stats'!$A$6:$N$6,0))/1000)</f>
        <v>0</v>
      </c>
      <c r="E13" s="186">
        <v>0</v>
      </c>
      <c r="F13" s="344">
        <f>E13*(INDEX('Ex ante LI &amp; Eligibility Stats'!$A$5:$M$17,MATCH('Program MW '!$A13,'Ex ante LI &amp; Eligibility Stats'!$A$5:$A$17,0),MATCH('Program MW '!F$7,'Ex ante LI &amp; Eligibility Stats'!$A$5:$M$5,0))/1000)</f>
        <v>0</v>
      </c>
      <c r="G13" s="344">
        <f>E13*(INDEX('Ex post LI &amp; Eligibility Stats'!$A$6:$N$18,MATCH($A13,'Ex post LI &amp; Eligibility Stats'!$A$6:$A$18,0),MATCH('Program MW '!F$7,'Ex post LI &amp; Eligibility Stats'!$A$6:$N$6,0))/1000)</f>
        <v>0</v>
      </c>
      <c r="H13" s="186">
        <v>0</v>
      </c>
      <c r="I13" s="344">
        <f>H13*(INDEX('Ex ante LI &amp; Eligibility Stats'!$A$5:$M$17,MATCH('Program MW '!$A13,'Ex ante LI &amp; Eligibility Stats'!$A$5:$A$17,0),MATCH('Program MW '!I$7,'Ex ante LI &amp; Eligibility Stats'!$A$5:$M$5,0))/1000)</f>
        <v>0</v>
      </c>
      <c r="J13" s="344">
        <f>H13*(INDEX('Ex post LI &amp; Eligibility Stats'!$A$6:$N$18,MATCH($A13,'Ex post LI &amp; Eligibility Stats'!$A$6:$A$18,0),MATCH('Program MW '!I$7,'Ex post LI &amp; Eligibility Stats'!$A$6:$N$6,0))/1000)</f>
        <v>0</v>
      </c>
      <c r="K13" s="186">
        <v>0</v>
      </c>
      <c r="L13" s="344">
        <f>K13*(INDEX('Ex ante LI &amp; Eligibility Stats'!$A$5:$M$17,MATCH('Program MW '!$A13,'Ex ante LI &amp; Eligibility Stats'!$A$5:$A$17,0),MATCH('Program MW '!L$7,'Ex ante LI &amp; Eligibility Stats'!$A$5:$M$5,0))/1000)</f>
        <v>0</v>
      </c>
      <c r="M13" s="345" t="s">
        <v>13</v>
      </c>
      <c r="N13" s="186">
        <v>0</v>
      </c>
      <c r="O13" s="344">
        <f>N13*(INDEX('Ex ante LI &amp; Eligibility Stats'!$A$5:$M$17,MATCH('Program MW '!$A13,'Ex ante LI &amp; Eligibility Stats'!$A$5:$A$17,0),MATCH('Program MW '!O$7,'Ex ante LI &amp; Eligibility Stats'!$A$5:$M$5,0))/1000)</f>
        <v>0</v>
      </c>
      <c r="P13" s="345" t="s">
        <v>13</v>
      </c>
      <c r="Q13" s="186">
        <v>0</v>
      </c>
      <c r="R13" s="344">
        <f>Q13*(INDEX('Ex ante LI &amp; Eligibility Stats'!$A$5:$M$17,MATCH('Program MW '!$A13,'Ex ante LI &amp; Eligibility Stats'!$A$5:$A$17,0),MATCH('Program MW '!R$7,'Ex ante LI &amp; Eligibility Stats'!$A$5:$M$5,0))/1000)</f>
        <v>0</v>
      </c>
      <c r="S13" s="345" t="s">
        <v>13</v>
      </c>
      <c r="T13" s="189">
        <v>4610</v>
      </c>
    </row>
    <row r="14" spans="1:22" ht="12.75">
      <c r="A14" s="7" t="s">
        <v>28</v>
      </c>
      <c r="B14" s="190">
        <v>0</v>
      </c>
      <c r="C14" s="344">
        <f>B14*(INDEX('Ex ante LI &amp; Eligibility Stats'!$A$5:$M$17,MATCH('Program MW '!$A14,'Ex ante LI &amp; Eligibility Stats'!$A$5:$A$17,0),MATCH('Program MW '!C$7,'Ex ante LI &amp; Eligibility Stats'!$A$5:$M$5,0))/1000)</f>
        <v>0</v>
      </c>
      <c r="D14" s="344">
        <f>B14*(INDEX('Ex post LI &amp; Eligibility Stats'!$A$6:$N$18,MATCH($A14,'Ex post LI &amp; Eligibility Stats'!$A$6:$A$18,0),MATCH('Program MW '!C$7,'Ex post LI &amp; Eligibility Stats'!$A$6:$N$6,0))/1000)</f>
        <v>0</v>
      </c>
      <c r="E14" s="186">
        <v>0</v>
      </c>
      <c r="F14" s="344">
        <f>E14*(INDEX('Ex ante LI &amp; Eligibility Stats'!$A$5:$M$17,MATCH('Program MW '!$A14,'Ex ante LI &amp; Eligibility Stats'!$A$5:$A$17,0),MATCH('Program MW '!F$7,'Ex ante LI &amp; Eligibility Stats'!$A$5:$M$5,0))/1000)</f>
        <v>0</v>
      </c>
      <c r="G14" s="344">
        <f>E14*(INDEX('Ex post LI &amp; Eligibility Stats'!$A$6:$N$18,MATCH($A14,'Ex post LI &amp; Eligibility Stats'!$A$6:$A$18,0),MATCH('Program MW '!F$7,'Ex post LI &amp; Eligibility Stats'!$A$6:$N$6,0))/1000)</f>
        <v>0</v>
      </c>
      <c r="H14" s="186">
        <v>0</v>
      </c>
      <c r="I14" s="344">
        <f>H14*(INDEX('Ex ante LI &amp; Eligibility Stats'!$A$5:$M$17,MATCH('Program MW '!$A14,'Ex ante LI &amp; Eligibility Stats'!$A$5:$A$17,0),MATCH('Program MW '!I$7,'Ex ante LI &amp; Eligibility Stats'!$A$5:$M$5,0))/1000)</f>
        <v>0</v>
      </c>
      <c r="J14" s="344">
        <f>H14*(INDEX('Ex post LI &amp; Eligibility Stats'!$A$6:$N$18,MATCH($A14,'Ex post LI &amp; Eligibility Stats'!$A$6:$A$18,0),MATCH('Program MW '!I$7,'Ex post LI &amp; Eligibility Stats'!$A$6:$N$6,0))/1000)</f>
        <v>0</v>
      </c>
      <c r="K14" s="186">
        <v>0</v>
      </c>
      <c r="L14" s="344">
        <f>K14*(INDEX('Ex ante LI &amp; Eligibility Stats'!$A$5:$M$17,MATCH('Program MW '!$A14,'Ex ante LI &amp; Eligibility Stats'!$A$5:$A$17,0),MATCH('Program MW '!L$7,'Ex ante LI &amp; Eligibility Stats'!$A$5:$M$5,0))/1000)</f>
        <v>0</v>
      </c>
      <c r="M14" s="345" t="s">
        <v>13</v>
      </c>
      <c r="N14" s="186">
        <v>0</v>
      </c>
      <c r="O14" s="344">
        <f>N14*(INDEX('Ex ante LI &amp; Eligibility Stats'!$A$5:$M$17,MATCH('Program MW '!$A14,'Ex ante LI &amp; Eligibility Stats'!$A$5:$A$17,0),MATCH('Program MW '!O$7,'Ex ante LI &amp; Eligibility Stats'!$A$5:$M$5,0))/1000)</f>
        <v>0</v>
      </c>
      <c r="P14" s="345" t="s">
        <v>13</v>
      </c>
      <c r="Q14" s="186">
        <v>0</v>
      </c>
      <c r="R14" s="344">
        <f>Q14*(INDEX('Ex ante LI &amp; Eligibility Stats'!$A$5:$M$17,MATCH('Program MW '!$A14,'Ex ante LI &amp; Eligibility Stats'!$A$5:$A$17,0),MATCH('Program MW '!R$7,'Ex ante LI &amp; Eligibility Stats'!$A$5:$M$5,0))/1000)</f>
        <v>0</v>
      </c>
      <c r="S14" s="345" t="s">
        <v>13</v>
      </c>
      <c r="T14" s="191">
        <v>1638289</v>
      </c>
      <c r="V14" s="343">
        <f>W10*V12/W12</f>
        <v>30032.258503093064</v>
      </c>
    </row>
    <row r="15" spans="1:22" ht="14.25" customHeight="1" thickBot="1">
      <c r="A15" s="192" t="s">
        <v>20</v>
      </c>
      <c r="B15" s="193">
        <v>29</v>
      </c>
      <c r="C15" s="194">
        <f>SUM(C10:C14)</f>
        <v>8.488536022749999</v>
      </c>
      <c r="D15" s="194">
        <f>SUM(D10:D14)</f>
        <v>13.149</v>
      </c>
      <c r="E15" s="193">
        <v>29</v>
      </c>
      <c r="F15" s="194">
        <f>SUM(F10:F14)</f>
        <v>8.211349806000001</v>
      </c>
      <c r="G15" s="195">
        <f>SUM(G10:G14)</f>
        <v>13.149</v>
      </c>
      <c r="H15" s="193">
        <v>29</v>
      </c>
      <c r="I15" s="196">
        <f aca="true" t="shared" si="0" ref="I15:S15">SUM(I10:I14)</f>
        <v>8.369763256</v>
      </c>
      <c r="J15" s="195">
        <f t="shared" si="0"/>
        <v>13.149</v>
      </c>
      <c r="K15" s="193">
        <f>SUM(K10:K14)</f>
        <v>27</v>
      </c>
      <c r="L15" s="196">
        <f t="shared" si="0"/>
        <v>7.925521348999999</v>
      </c>
      <c r="M15" s="195">
        <f t="shared" si="0"/>
        <v>12.688999999999998</v>
      </c>
      <c r="N15" s="193">
        <f t="shared" si="0"/>
        <v>27</v>
      </c>
      <c r="O15" s="339">
        <f t="shared" si="0"/>
        <v>7.921239256</v>
      </c>
      <c r="P15" s="340">
        <f t="shared" si="0"/>
        <v>12.688999999999998</v>
      </c>
      <c r="Q15" s="193">
        <f t="shared" si="0"/>
        <v>29</v>
      </c>
      <c r="R15" s="196">
        <f t="shared" si="0"/>
        <v>8.457537081</v>
      </c>
      <c r="S15" s="195">
        <f t="shared" si="0"/>
        <v>13.149</v>
      </c>
      <c r="T15" s="195"/>
      <c r="V15" s="343">
        <f>W11*V12/W12</f>
        <v>13103.741496906936</v>
      </c>
    </row>
    <row r="16" spans="1:31" ht="16.5" customHeight="1" thickTop="1">
      <c r="A16" s="182" t="s">
        <v>164</v>
      </c>
      <c r="B16" s="197"/>
      <c r="C16" s="197"/>
      <c r="D16" s="198"/>
      <c r="E16" s="199"/>
      <c r="F16" s="200"/>
      <c r="G16" s="198"/>
      <c r="H16" s="199"/>
      <c r="I16" s="197"/>
      <c r="J16" s="198"/>
      <c r="K16" s="199"/>
      <c r="L16" s="197"/>
      <c r="M16" s="198"/>
      <c r="N16" s="199"/>
      <c r="O16" s="341"/>
      <c r="P16" s="342"/>
      <c r="Q16" s="199"/>
      <c r="R16" s="197"/>
      <c r="S16" s="198"/>
      <c r="T16" s="201"/>
      <c r="U16" s="202"/>
      <c r="V16" s="202">
        <f>SUM(V14:V15)</f>
        <v>43136</v>
      </c>
      <c r="W16" s="202"/>
      <c r="X16" s="202"/>
      <c r="Y16" s="202"/>
      <c r="Z16" s="202"/>
      <c r="AA16" s="202"/>
      <c r="AB16" s="202"/>
      <c r="AC16" s="202"/>
      <c r="AD16" s="202"/>
      <c r="AE16" s="202"/>
    </row>
    <row r="17" spans="1:31" ht="12.75">
      <c r="A17" s="7" t="s">
        <v>82</v>
      </c>
      <c r="B17" s="203">
        <v>1577</v>
      </c>
      <c r="C17" s="344">
        <f>B17*(INDEX('Ex ante LI &amp; Eligibility Stats'!$A$5:$M$17,MATCH($A17,'Ex ante LI &amp; Eligibility Stats'!$A$5:$A$17,0),MATCH('Program MW '!C$7,'Ex ante LI &amp; Eligibility Stats'!$A$5:$M$5,0))/1000)</f>
        <v>15.77</v>
      </c>
      <c r="D17" s="344">
        <f>B17*(INDEX('Ex post LI &amp; Eligibility Stats'!$A$6:$N$18,MATCH($A17,'Ex post LI &amp; Eligibility Stats'!$A$6:$A$18,0),MATCH('Program MW '!C$7,'Ex post LI &amp; Eligibility Stats'!$A$6:$N$6,0))/1000)</f>
        <v>22.078</v>
      </c>
      <c r="E17" s="186">
        <v>1582</v>
      </c>
      <c r="F17" s="344">
        <f>E17*(INDEX('Ex ante LI &amp; Eligibility Stats'!$A$5:$M$17,MATCH($A17,'Ex ante LI &amp; Eligibility Stats'!$A$5:$A$17,0),MATCH('Program MW '!F$7,'Ex ante LI &amp; Eligibility Stats'!$A$5:$M$5,0))/1000)</f>
        <v>15.82</v>
      </c>
      <c r="G17" s="344">
        <f>E17*(INDEX('Ex post LI &amp; Eligibility Stats'!$A$6:$N$18,MATCH($A17,'Ex post LI &amp; Eligibility Stats'!$A$6:$A$18,0),MATCH('Program MW '!F$7,'Ex post LI &amp; Eligibility Stats'!$A$6:$N$6,0))/1000)</f>
        <v>22.148</v>
      </c>
      <c r="H17" s="186">
        <v>1582</v>
      </c>
      <c r="I17" s="344">
        <f>H17*(INDEX('Ex ante LI &amp; Eligibility Stats'!$A$5:$M$17,MATCH($A17,'Ex ante LI &amp; Eligibility Stats'!$A$5:$A$17,0),MATCH('Program MW '!I$7,'Ex ante LI &amp; Eligibility Stats'!$A$5:$M$5,0))/1000)</f>
        <v>15.82</v>
      </c>
      <c r="J17" s="344">
        <f>H17*(INDEX('Ex post LI &amp; Eligibility Stats'!$A$6:$N$18,MATCH($A17,'Ex post LI &amp; Eligibility Stats'!$A$6:$A$18,0),MATCH('Program MW '!I$7,'Ex post LI &amp; Eligibility Stats'!$A$6:$N$6,0))/1000)</f>
        <v>22.148</v>
      </c>
      <c r="K17" s="337">
        <v>1535</v>
      </c>
      <c r="L17" s="344">
        <f>K17*(INDEX('Ex ante LI &amp; Eligibility Stats'!$A$5:$M$17,MATCH($A17,'Ex ante LI &amp; Eligibility Stats'!$A$5:$A$17,0),MATCH('Program MW '!L$7,'Ex ante LI &amp; Eligibility Stats'!$A$5:$M$5,0))/1000)</f>
        <v>18.42</v>
      </c>
      <c r="M17" s="344">
        <f>K17*(INDEX('Ex post LI &amp; Eligibility Stats'!$A$6:$N$18,MATCH($A17,'Ex post LI &amp; Eligibility Stats'!$A$6:$A$18,0),MATCH('Program MW '!L$7,'Ex post LI &amp; Eligibility Stats'!$A$6:$N$6,0))/1000)</f>
        <v>21.490000000000002</v>
      </c>
      <c r="N17" s="186">
        <v>1542</v>
      </c>
      <c r="O17" s="344">
        <f>N17*(INDEX('Ex ante LI &amp; Eligibility Stats'!$A$5:$M$17,MATCH($A17,'Ex ante LI &amp; Eligibility Stats'!$A$5:$A$17,0),MATCH('Program MW '!O$7,'Ex ante LI &amp; Eligibility Stats'!$A$5:$M$5,0))/1000)</f>
        <v>20.2518520329277</v>
      </c>
      <c r="P17" s="344">
        <f>N17*(INDEX('Ex post LI &amp; Eligibility Stats'!$A$6:$N$18,MATCH($A17,'Ex post LI &amp; Eligibility Stats'!$A$6:$A$18,0),MATCH('Program MW '!O$7,'Ex post LI &amp; Eligibility Stats'!$A$6:$N$6,0))/1000)</f>
        <v>21.588</v>
      </c>
      <c r="Q17" s="186">
        <v>1476</v>
      </c>
      <c r="R17" s="344">
        <f>Q17*(INDEX('Ex ante LI &amp; Eligibility Stats'!$A$5:$M$17,MATCH($A17,'Ex ante LI &amp; Eligibility Stats'!$A$5:$A$17,0),MATCH('Program MW '!R$7,'Ex ante LI &amp; Eligibility Stats'!$A$5:$M$5,0))/1000)</f>
        <v>17.996732993492408</v>
      </c>
      <c r="S17" s="344">
        <f>Q17*(INDEX('Ex post LI &amp; Eligibility Stats'!$A$6:$N$18,MATCH($A17,'Ex post LI &amp; Eligibility Stats'!$A$6:$A$18,0),MATCH('Program MW '!R$7,'Ex post LI &amp; Eligibility Stats'!$A$6:$N$6,0))/1000)</f>
        <v>20.664</v>
      </c>
      <c r="T17" s="187">
        <v>4610</v>
      </c>
      <c r="U17" s="202"/>
      <c r="V17" s="202"/>
      <c r="W17" s="202"/>
      <c r="X17" s="202"/>
      <c r="Y17" s="202"/>
      <c r="Z17" s="202"/>
      <c r="AA17" s="202"/>
      <c r="AB17" s="202"/>
      <c r="AC17" s="202"/>
      <c r="AD17" s="202"/>
      <c r="AE17" s="202"/>
    </row>
    <row r="18" spans="1:31" ht="12.75">
      <c r="A18" s="7" t="s">
        <v>83</v>
      </c>
      <c r="B18" s="204">
        <v>30032.258503093064</v>
      </c>
      <c r="C18" s="344">
        <f>B18*(INDEX('Ex ante LI &amp; Eligibility Stats'!$A$5:$M$17,MATCH($A18,'Ex ante LI &amp; Eligibility Stats'!$A$5:$A$17,0),MATCH('Program MW '!C$7,'Ex ante LI &amp; Eligibility Stats'!$A$5:$M$5,0))/1000)</f>
        <v>0</v>
      </c>
      <c r="D18" s="344">
        <f>B18*(INDEX('Ex post LI &amp; Eligibility Stats'!$A$6:$N$18,MATCH($A18,'Ex post LI &amp; Eligibility Stats'!$A$6:$A$18,0),MATCH('Program MW '!C$7,'Ex post LI &amp; Eligibility Stats'!$A$6:$N$6,0))/1000)</f>
        <v>18.019355101855837</v>
      </c>
      <c r="E18" s="186">
        <v>30032.258503093064</v>
      </c>
      <c r="F18" s="344">
        <f>E18*(INDEX('Ex ante LI &amp; Eligibility Stats'!$A$5:$M$17,MATCH($A18,'Ex ante LI &amp; Eligibility Stats'!$A$5:$A$17,0),MATCH('Program MW '!F$7,'Ex ante LI &amp; Eligibility Stats'!$A$5:$M$5,0))/1000)</f>
        <v>0</v>
      </c>
      <c r="G18" s="344">
        <f>E18*(INDEX('Ex post LI &amp; Eligibility Stats'!$A$6:$N$18,MATCH($A18,'Ex post LI &amp; Eligibility Stats'!$A$6:$A$18,0),MATCH('Program MW '!F$7,'Ex post LI &amp; Eligibility Stats'!$A$6:$N$6,0))/1000)</f>
        <v>18.019355101855837</v>
      </c>
      <c r="H18" s="186">
        <v>30032.258503093064</v>
      </c>
      <c r="I18" s="344">
        <f>H18*(INDEX('Ex ante LI &amp; Eligibility Stats'!$A$5:$M$17,MATCH($A18,'Ex ante LI &amp; Eligibility Stats'!$A$5:$A$17,0),MATCH('Program MW '!I$7,'Ex ante LI &amp; Eligibility Stats'!$A$5:$M$5,0))/1000)</f>
        <v>0</v>
      </c>
      <c r="J18" s="344">
        <f>H18*(INDEX('Ex post LI &amp; Eligibility Stats'!$A$6:$N$18,MATCH($A18,'Ex post LI &amp; Eligibility Stats'!$A$6:$A$18,0),MATCH('Program MW '!I$7,'Ex post LI &amp; Eligibility Stats'!$A$6:$N$6,0))/1000)</f>
        <v>18.019355101855837</v>
      </c>
      <c r="K18" s="186">
        <v>30032.258503093064</v>
      </c>
      <c r="L18" s="344">
        <f>K18*(INDEX('Ex ante LI &amp; Eligibility Stats'!$A$5:$M$17,MATCH($A18,'Ex ante LI &amp; Eligibility Stats'!$A$5:$A$17,0),MATCH('Program MW '!L$7,'Ex ante LI &amp; Eligibility Stats'!$A$5:$M$5,0))/1000)</f>
        <v>0</v>
      </c>
      <c r="M18" s="344">
        <f>K18*(INDEX('Ex post LI &amp; Eligibility Stats'!$A$6:$N$18,MATCH($A18,'Ex post LI &amp; Eligibility Stats'!$A$6:$A$18,0),MATCH('Program MW '!L$7,'Ex post LI &amp; Eligibility Stats'!$A$6:$N$6,0))/1000)</f>
        <v>18.019355101855837</v>
      </c>
      <c r="N18" s="186">
        <v>30032.258503093064</v>
      </c>
      <c r="O18" s="344">
        <f>N18*(INDEX('Ex ante LI &amp; Eligibility Stats'!$A$5:$M$17,MATCH($A18,'Ex ante LI &amp; Eligibility Stats'!$A$5:$A$17,0),MATCH('Program MW '!O$7,'Ex ante LI &amp; Eligibility Stats'!$A$5:$M$5,0))/1000)</f>
        <v>12.210043404922617</v>
      </c>
      <c r="P18" s="344">
        <f>N18*(INDEX('Ex post LI &amp; Eligibility Stats'!$A$6:$N$18,MATCH($A18,'Ex post LI &amp; Eligibility Stats'!$A$6:$A$18,0),MATCH('Program MW '!O$7,'Ex post LI &amp; Eligibility Stats'!$A$6:$N$6,0))/1000)</f>
        <v>18.019355101855837</v>
      </c>
      <c r="Q18" s="186">
        <v>30725</v>
      </c>
      <c r="R18" s="344">
        <f>Q18*(INDEX('Ex ante LI &amp; Eligibility Stats'!$A$5:$M$17,MATCH($A18,'Ex ante LI &amp; Eligibility Stats'!$A$5:$A$17,0),MATCH('Program MW '!R$7,'Ex ante LI &amp; Eligibility Stats'!$A$5:$M$5,0))/1000)</f>
        <v>3.85984656</v>
      </c>
      <c r="S18" s="344">
        <f>Q18*(INDEX('Ex post LI &amp; Eligibility Stats'!$A$6:$N$18,MATCH($A18,'Ex post LI &amp; Eligibility Stats'!$A$6:$A$18,0),MATCH('Program MW '!R$7,'Ex post LI &amp; Eligibility Stats'!$A$6:$N$6,0))/1000)</f>
        <v>18.435</v>
      </c>
      <c r="T18" s="189">
        <v>4610</v>
      </c>
      <c r="U18" s="202"/>
      <c r="V18" s="202"/>
      <c r="W18" s="202"/>
      <c r="X18" s="202"/>
      <c r="Y18" s="202"/>
      <c r="Z18" s="202"/>
      <c r="AA18" s="202"/>
      <c r="AB18" s="202"/>
      <c r="AC18" s="202"/>
      <c r="AD18" s="202"/>
      <c r="AE18" s="202"/>
    </row>
    <row r="19" spans="1:31" ht="12.75">
      <c r="A19" s="7" t="s">
        <v>84</v>
      </c>
      <c r="B19" s="204">
        <v>13103.741496906936</v>
      </c>
      <c r="C19" s="344">
        <f>B19*(INDEX('Ex ante LI &amp; Eligibility Stats'!$A$5:$M$17,MATCH($A19,'Ex ante LI &amp; Eligibility Stats'!$A$5:$A$17,0),MATCH('Program MW '!C$7,'Ex ante LI &amp; Eligibility Stats'!$A$5:$M$5,0))/1000)</f>
        <v>0</v>
      </c>
      <c r="D19" s="344">
        <f>B19*(INDEX('Ex post LI &amp; Eligibility Stats'!$A$6:$N$18,MATCH($A19,'Ex post LI &amp; Eligibility Stats'!$A$6:$A$18,0),MATCH('Program MW '!C$7,'Ex post LI &amp; Eligibility Stats'!$A$6:$N$6,0))/1000)</f>
        <v>6.551870748453468</v>
      </c>
      <c r="E19" s="186">
        <v>13103.741496906936</v>
      </c>
      <c r="F19" s="344">
        <f>E19*(INDEX('Ex ante LI &amp; Eligibility Stats'!$A$5:$M$17,MATCH($A19,'Ex ante LI &amp; Eligibility Stats'!$A$5:$A$17,0),MATCH('Program MW '!F$7,'Ex ante LI &amp; Eligibility Stats'!$A$5:$M$5,0))/1000)</f>
        <v>0</v>
      </c>
      <c r="G19" s="344">
        <f>E19*(INDEX('Ex post LI &amp; Eligibility Stats'!$A$6:$N$18,MATCH($A19,'Ex post LI &amp; Eligibility Stats'!$A$6:$A$18,0),MATCH('Program MW '!F$7,'Ex post LI &amp; Eligibility Stats'!$A$6:$N$6,0))/1000)</f>
        <v>6.551870748453468</v>
      </c>
      <c r="H19" s="186">
        <v>13103.741496906936</v>
      </c>
      <c r="I19" s="344">
        <f>H19*(INDEX('Ex ante LI &amp; Eligibility Stats'!$A$5:$M$17,MATCH($A19,'Ex ante LI &amp; Eligibility Stats'!$A$5:$A$17,0),MATCH('Program MW '!I$7,'Ex ante LI &amp; Eligibility Stats'!$A$5:$M$5,0))/1000)</f>
        <v>0</v>
      </c>
      <c r="J19" s="344">
        <f>H19*(INDEX('Ex post LI &amp; Eligibility Stats'!$A$6:$N$18,MATCH($A19,'Ex post LI &amp; Eligibility Stats'!$A$6:$A$18,0),MATCH('Program MW '!I$7,'Ex post LI &amp; Eligibility Stats'!$A$6:$N$6,0))/1000)</f>
        <v>6.551870748453468</v>
      </c>
      <c r="K19" s="186">
        <v>13103.741496906936</v>
      </c>
      <c r="L19" s="344">
        <f>K19*(INDEX('Ex ante LI &amp; Eligibility Stats'!$A$5:$M$17,MATCH($A19,'Ex ante LI &amp; Eligibility Stats'!$A$5:$A$17,0),MATCH('Program MW '!L$7,'Ex ante LI &amp; Eligibility Stats'!$A$5:$M$5,0))/1000)</f>
        <v>0</v>
      </c>
      <c r="M19" s="344">
        <f>K19*(INDEX('Ex post LI &amp; Eligibility Stats'!$A$6:$N$18,MATCH($A19,'Ex post LI &amp; Eligibility Stats'!$A$6:$A$18,0),MATCH('Program MW '!L$7,'Ex post LI &amp; Eligibility Stats'!$A$6:$N$6,0))/1000)</f>
        <v>6.551870748453468</v>
      </c>
      <c r="N19" s="186">
        <v>13103.741496906936</v>
      </c>
      <c r="O19" s="344">
        <f>N19*(INDEX('Ex ante LI &amp; Eligibility Stats'!$A$5:$M$17,MATCH($A19,'Ex ante LI &amp; Eligibility Stats'!$A$5:$A$17,0),MATCH('Program MW '!O$7,'Ex ante LI &amp; Eligibility Stats'!$A$5:$M$5,0))/1000)</f>
        <v>4.604281305380437</v>
      </c>
      <c r="P19" s="344">
        <f>N19*(INDEX('Ex post LI &amp; Eligibility Stats'!$A$6:$N$18,MATCH($A19,'Ex post LI &amp; Eligibility Stats'!$A$6:$A$18,0),MATCH('Program MW '!O$7,'Ex post LI &amp; Eligibility Stats'!$A$6:$N$6,0))/1000)</f>
        <v>6.551870748453468</v>
      </c>
      <c r="Q19" s="186">
        <v>13406</v>
      </c>
      <c r="R19" s="344">
        <f>Q19*(INDEX('Ex ante LI &amp; Eligibility Stats'!$A$5:$M$17,MATCH($A19,'Ex ante LI &amp; Eligibility Stats'!$A$5:$A$17,0),MATCH('Program MW '!R$7,'Ex ante LI &amp; Eligibility Stats'!$A$5:$M$5,0))/1000)</f>
        <v>2.086968995500001</v>
      </c>
      <c r="S19" s="344">
        <f>Q19*(INDEX('Ex post LI &amp; Eligibility Stats'!$A$6:$N$18,MATCH($A19,'Ex post LI &amp; Eligibility Stats'!$A$6:$A$18,0),MATCH('Program MW '!R$7,'Ex post LI &amp; Eligibility Stats'!$A$6:$N$6,0))/1000)</f>
        <v>6.703</v>
      </c>
      <c r="T19" s="189">
        <v>4610</v>
      </c>
      <c r="U19" s="202"/>
      <c r="V19" s="202"/>
      <c r="W19" s="202"/>
      <c r="X19" s="202"/>
      <c r="Y19" s="202"/>
      <c r="Z19" s="202"/>
      <c r="AA19" s="202"/>
      <c r="AB19" s="202"/>
      <c r="AC19" s="202"/>
      <c r="AD19" s="202"/>
      <c r="AE19" s="202"/>
    </row>
    <row r="20" spans="1:31" ht="12.75">
      <c r="A20" s="7" t="s">
        <v>85</v>
      </c>
      <c r="B20" s="205">
        <v>103</v>
      </c>
      <c r="C20" s="344">
        <f>B20*(INDEX('Ex ante LI &amp; Eligibility Stats'!$A$5:$M$17,MATCH($A20,'Ex ante LI &amp; Eligibility Stats'!$A$5:$A$17,0),MATCH('Program MW '!C$7,'Ex ante LI &amp; Eligibility Stats'!$A$5:$M$5,0))/1000)</f>
        <v>0</v>
      </c>
      <c r="D20" s="344">
        <f>B20*(INDEX('Ex post LI &amp; Eligibility Stats'!$A$6:$N$18,MATCH($A20,'Ex post LI &amp; Eligibility Stats'!$A$6:$A$18,0),MATCH('Program MW '!C$7,'Ex post LI &amp; Eligibility Stats'!$A$6:$N$6,0))/1000)</f>
        <v>6.0564</v>
      </c>
      <c r="E20" s="186">
        <v>103</v>
      </c>
      <c r="F20" s="344">
        <f>E20*(INDEX('Ex ante LI &amp; Eligibility Stats'!$A$5:$M$17,MATCH($A20,'Ex ante LI &amp; Eligibility Stats'!$A$5:$A$17,0),MATCH('Program MW '!F$7,'Ex ante LI &amp; Eligibility Stats'!$A$5:$M$5,0))/1000)</f>
        <v>0</v>
      </c>
      <c r="G20" s="344">
        <f>E20*(INDEX('Ex post LI &amp; Eligibility Stats'!$A$6:$N$18,MATCH($A20,'Ex post LI &amp; Eligibility Stats'!$A$6:$A$18,0),MATCH('Program MW '!F$7,'Ex post LI &amp; Eligibility Stats'!$A$6:$N$6,0))/1000)</f>
        <v>6.0564</v>
      </c>
      <c r="H20" s="186">
        <v>103</v>
      </c>
      <c r="I20" s="344">
        <f>H20*(INDEX('Ex ante LI &amp; Eligibility Stats'!$A$5:$M$17,MATCH($A20,'Ex ante LI &amp; Eligibility Stats'!$A$5:$A$17,0),MATCH('Program MW '!I$7,'Ex ante LI &amp; Eligibility Stats'!$A$5:$M$5,0))/1000)</f>
        <v>0</v>
      </c>
      <c r="J20" s="344">
        <f>H20*(INDEX('Ex post LI &amp; Eligibility Stats'!$A$6:$N$18,MATCH($A20,'Ex post LI &amp; Eligibility Stats'!$A$6:$A$18,0),MATCH('Program MW '!I$7,'Ex post LI &amp; Eligibility Stats'!$A$6:$N$6,0))/1000)</f>
        <v>6.0564</v>
      </c>
      <c r="K20" s="338">
        <v>146.5249343832021</v>
      </c>
      <c r="L20" s="344">
        <f>K20*(INDEX('Ex ante LI &amp; Eligibility Stats'!$A$5:$M$17,MATCH($A20,'Ex ante LI &amp; Eligibility Stats'!$A$5:$A$17,0),MATCH('Program MW '!L$7,'Ex ante LI &amp; Eligibility Stats'!$A$5:$M$5,0))/1000)</f>
        <v>0</v>
      </c>
      <c r="M20" s="344">
        <f>K20*(INDEX('Ex post LI &amp; Eligibility Stats'!$A$6:$N$18,MATCH($A20,'Ex post LI &amp; Eligibility Stats'!$A$6:$A$18,0),MATCH('Program MW '!L$7,'Ex post LI &amp; Eligibility Stats'!$A$6:$N$6,0))/1000)</f>
        <v>8.615666141732284</v>
      </c>
      <c r="N20" s="186">
        <v>111</v>
      </c>
      <c r="O20" s="344">
        <f>N20*(INDEX('Ex ante LI &amp; Eligibility Stats'!$A$5:$M$17,MATCH($A20,'Ex ante LI &amp; Eligibility Stats'!$A$5:$A$17,0),MATCH('Program MW '!O$7,'Ex ante LI &amp; Eligibility Stats'!$A$5:$M$5,0))/1000)</f>
        <v>5.85511269065536</v>
      </c>
      <c r="P20" s="344">
        <f>N20*(INDEX('Ex post LI &amp; Eligibility Stats'!$A$6:$N$18,MATCH($A20,'Ex post LI &amp; Eligibility Stats'!$A$6:$A$18,0),MATCH('Program MW '!O$7,'Ex post LI &amp; Eligibility Stats'!$A$6:$N$6,0))/1000)</f>
        <v>6.5268</v>
      </c>
      <c r="Q20" s="186">
        <v>111</v>
      </c>
      <c r="R20" s="344">
        <f>Q20*(INDEX('Ex ante LI &amp; Eligibility Stats'!$A$5:$M$17,MATCH($A20,'Ex ante LI &amp; Eligibility Stats'!$A$5:$A$17,0),MATCH('Program MW '!R$7,'Ex ante LI &amp; Eligibility Stats'!$A$5:$M$5,0))/1000)</f>
        <v>5.663695731125451</v>
      </c>
      <c r="S20" s="344">
        <f>Q20*(INDEX('Ex post LI &amp; Eligibility Stats'!$A$6:$N$18,MATCH($A20,'Ex post LI &amp; Eligibility Stats'!$A$6:$A$18,0),MATCH('Program MW '!R$7,'Ex post LI &amp; Eligibility Stats'!$A$6:$N$6,0))/1000)</f>
        <v>6.5268</v>
      </c>
      <c r="T20" s="189">
        <v>4610</v>
      </c>
      <c r="U20" s="202"/>
      <c r="V20" s="202"/>
      <c r="W20" s="202"/>
      <c r="X20" s="202"/>
      <c r="Y20" s="202"/>
      <c r="Z20" s="202"/>
      <c r="AA20" s="202"/>
      <c r="AB20" s="202"/>
      <c r="AC20" s="202"/>
      <c r="AD20" s="202"/>
      <c r="AE20" s="202"/>
    </row>
    <row r="21" spans="1:31" ht="12.75">
      <c r="A21" s="7" t="s">
        <v>86</v>
      </c>
      <c r="B21" s="204">
        <v>278</v>
      </c>
      <c r="C21" s="344">
        <f>B21*(INDEX('Ex ante LI &amp; Eligibility Stats'!$A$5:$M$17,MATCH($A21,'Ex ante LI &amp; Eligibility Stats'!$A$5:$A$17,0),MATCH('Program MW '!C$7,'Ex ante LI &amp; Eligibility Stats'!$A$5:$M$5,0))/1000)</f>
        <v>0</v>
      </c>
      <c r="D21" s="344">
        <f>B21*(INDEX('Ex post LI &amp; Eligibility Stats'!$A$6:$N$18,MATCH($A21,'Ex post LI &amp; Eligibility Stats'!$A$6:$A$18,0),MATCH('Program MW '!C$7,'Ex post LI &amp; Eligibility Stats'!$A$6:$N$6,0))/1000)</f>
        <v>8.87376</v>
      </c>
      <c r="E21" s="186">
        <v>278</v>
      </c>
      <c r="F21" s="344">
        <f>E21*(INDEX('Ex ante LI &amp; Eligibility Stats'!$A$5:$M$17,MATCH($A21,'Ex ante LI &amp; Eligibility Stats'!$A$5:$A$17,0),MATCH('Program MW '!F$7,'Ex ante LI &amp; Eligibility Stats'!$A$5:$M$5,0))/1000)</f>
        <v>0</v>
      </c>
      <c r="G21" s="344">
        <f>E21*(INDEX('Ex post LI &amp; Eligibility Stats'!$A$6:$N$18,MATCH($A21,'Ex post LI &amp; Eligibility Stats'!$A$6:$A$18,0),MATCH('Program MW '!F$7,'Ex post LI &amp; Eligibility Stats'!$A$6:$N$6,0))/1000)</f>
        <v>8.87376</v>
      </c>
      <c r="H21" s="186">
        <v>278</v>
      </c>
      <c r="I21" s="344">
        <f>H21*(INDEX('Ex ante LI &amp; Eligibility Stats'!$A$5:$M$17,MATCH($A21,'Ex ante LI &amp; Eligibility Stats'!$A$5:$A$17,0),MATCH('Program MW '!I$7,'Ex ante LI &amp; Eligibility Stats'!$A$5:$M$5,0))/1000)</f>
        <v>0</v>
      </c>
      <c r="J21" s="344">
        <f>H21*(INDEX('Ex post LI &amp; Eligibility Stats'!$A$6:$N$18,MATCH($A21,'Ex post LI &amp; Eligibility Stats'!$A$6:$A$18,0),MATCH('Program MW '!I$7,'Ex post LI &amp; Eligibility Stats'!$A$6:$N$6,0))/1000)</f>
        <v>8.87376</v>
      </c>
      <c r="K21" s="338">
        <v>395.4750656167979</v>
      </c>
      <c r="L21" s="344">
        <f>K21*(INDEX('Ex ante LI &amp; Eligibility Stats'!$A$5:$M$17,MATCH($A21,'Ex ante LI &amp; Eligibility Stats'!$A$5:$A$17,0),MATCH('Program MW '!L$7,'Ex ante LI &amp; Eligibility Stats'!$A$5:$M$5,0))/1000)</f>
        <v>0</v>
      </c>
      <c r="M21" s="344">
        <f>K21*(INDEX('Ex post LI &amp; Eligibility Stats'!$A$6:$N$18,MATCH($A21,'Ex post LI &amp; Eligibility Stats'!$A$6:$A$18,0),MATCH('Program MW '!L$7,'Ex post LI &amp; Eligibility Stats'!$A$6:$N$6,0))/1000)</f>
        <v>12.623564094488192</v>
      </c>
      <c r="N21" s="186">
        <v>442</v>
      </c>
      <c r="O21" s="344">
        <f>N21*(INDEX('Ex ante LI &amp; Eligibility Stats'!$A$5:$M$17,MATCH($A21,'Ex ante LI &amp; Eligibility Stats'!$A$5:$A$17,0),MATCH('Program MW '!O$7,'Ex ante LI &amp; Eligibility Stats'!$A$5:$M$5,0))/1000)</f>
        <v>10.989051545349193</v>
      </c>
      <c r="P21" s="344">
        <f>N21*(INDEX('Ex post LI &amp; Eligibility Stats'!$A$6:$N$18,MATCH($A21,'Ex post LI &amp; Eligibility Stats'!$A$6:$A$18,0),MATCH('Program MW '!O$7,'Ex post LI &amp; Eligibility Stats'!$A$6:$N$6,0))/1000)</f>
        <v>14.108640000000001</v>
      </c>
      <c r="Q21" s="186">
        <v>442</v>
      </c>
      <c r="R21" s="344">
        <f>Q21*(INDEX('Ex ante LI &amp; Eligibility Stats'!$A$5:$M$17,MATCH($A21,'Ex ante LI &amp; Eligibility Stats'!$A$5:$A$17,0),MATCH('Program MW '!R$7,'Ex ante LI &amp; Eligibility Stats'!$A$5:$M$5,0))/1000)</f>
        <v>10.889085115039594</v>
      </c>
      <c r="S21" s="344">
        <f>Q21*(INDEX('Ex post LI &amp; Eligibility Stats'!$A$6:$N$18,MATCH($A21,'Ex post LI &amp; Eligibility Stats'!$A$6:$A$18,0),MATCH('Program MW '!R$7,'Ex post LI &amp; Eligibility Stats'!$A$6:$N$6,0))/1000)</f>
        <v>14.108640000000001</v>
      </c>
      <c r="T21" s="189">
        <v>4610</v>
      </c>
      <c r="U21" s="202"/>
      <c r="V21" s="202"/>
      <c r="W21" s="202"/>
      <c r="X21" s="202"/>
      <c r="Y21" s="202"/>
      <c r="Z21" s="202"/>
      <c r="AA21" s="202"/>
      <c r="AB21" s="202"/>
      <c r="AC21" s="202"/>
      <c r="AD21" s="202"/>
      <c r="AE21" s="202"/>
    </row>
    <row r="22" spans="1:31" ht="12.75">
      <c r="A22" s="7" t="s">
        <v>79</v>
      </c>
      <c r="B22" s="204">
        <v>15</v>
      </c>
      <c r="C22" s="344">
        <f>B22*(INDEX('Ex ante LI &amp; Eligibility Stats'!$A$5:$M$17,MATCH($A22,'Ex ante LI &amp; Eligibility Stats'!$A$5:$A$17,0),MATCH('Program MW '!C$7,'Ex ante LI &amp; Eligibility Stats'!$A$5:$M$5,0))/1000)</f>
        <v>0</v>
      </c>
      <c r="D22" s="344">
        <f>B22*(INDEX('Ex post LI &amp; Eligibility Stats'!$A$6:$N$18,MATCH($A22,'Ex post LI &amp; Eligibility Stats'!$A$6:$A$18,0),MATCH('Program MW '!C$7,'Ex post LI &amp; Eligibility Stats'!$A$6:$N$6,0))/1000)</f>
        <v>1.14</v>
      </c>
      <c r="E22" s="186">
        <v>16</v>
      </c>
      <c r="F22" s="344">
        <f>E22*(INDEX('Ex ante LI &amp; Eligibility Stats'!$A$5:$M$17,MATCH($A22,'Ex ante LI &amp; Eligibility Stats'!$A$5:$A$17,0),MATCH('Program MW '!F$7,'Ex ante LI &amp; Eligibility Stats'!$A$5:$M$5,0))/1000)</f>
        <v>0</v>
      </c>
      <c r="G22" s="344">
        <f>E22*(INDEX('Ex post LI &amp; Eligibility Stats'!$A$6:$N$18,MATCH($A22,'Ex post LI &amp; Eligibility Stats'!$A$6:$A$18,0),MATCH('Program MW '!F$7,'Ex post LI &amp; Eligibility Stats'!$A$6:$N$6,0))/1000)</f>
        <v>1.216</v>
      </c>
      <c r="H22" s="186">
        <v>16</v>
      </c>
      <c r="I22" s="344">
        <f>H22*(INDEX('Ex ante LI &amp; Eligibility Stats'!$A$5:$M$17,MATCH($A22,'Ex ante LI &amp; Eligibility Stats'!$A$5:$A$17,0),MATCH('Program MW '!I$7,'Ex ante LI &amp; Eligibility Stats'!$A$5:$M$5,0))/1000)</f>
        <v>0</v>
      </c>
      <c r="J22" s="344">
        <f>H22*(INDEX('Ex post LI &amp; Eligibility Stats'!$A$6:$N$18,MATCH($A22,'Ex post LI &amp; Eligibility Stats'!$A$6:$A$18,0),MATCH('Program MW '!I$7,'Ex post LI &amp; Eligibility Stats'!$A$6:$N$6,0))/1000)</f>
        <v>1.216</v>
      </c>
      <c r="K22" s="338">
        <v>16</v>
      </c>
      <c r="L22" s="344">
        <f>K22*(INDEX('Ex ante LI &amp; Eligibility Stats'!$A$5:$M$17,MATCH($A22,'Ex ante LI &amp; Eligibility Stats'!$A$5:$A$17,0),MATCH('Program MW '!L$7,'Ex ante LI &amp; Eligibility Stats'!$A$5:$M$5,0))/1000)</f>
        <v>0</v>
      </c>
      <c r="M22" s="344">
        <f>K22*(INDEX('Ex post LI &amp; Eligibility Stats'!$A$6:$N$18,MATCH($A22,'Ex post LI &amp; Eligibility Stats'!$A$6:$A$18,0),MATCH('Program MW '!L$7,'Ex post LI &amp; Eligibility Stats'!$A$6:$N$6,0))/1000)</f>
        <v>1.216</v>
      </c>
      <c r="N22" s="186">
        <v>16</v>
      </c>
      <c r="O22" s="344">
        <f>N22*(INDEX('Ex ante LI &amp; Eligibility Stats'!$A$5:$M$17,MATCH($A22,'Ex ante LI &amp; Eligibility Stats'!$A$5:$A$17,0),MATCH('Program MW '!O$7,'Ex ante LI &amp; Eligibility Stats'!$A$5:$M$5,0))/1000)</f>
        <v>0</v>
      </c>
      <c r="P22" s="344">
        <f>N22*(INDEX('Ex post LI &amp; Eligibility Stats'!$A$6:$N$18,MATCH($A22,'Ex post LI &amp; Eligibility Stats'!$A$6:$A$18,0),MATCH('Program MW '!O$7,'Ex post LI &amp; Eligibility Stats'!$A$6:$N$6,0))/1000)</f>
        <v>1.216</v>
      </c>
      <c r="Q22" s="186">
        <v>16</v>
      </c>
      <c r="R22" s="344">
        <f>Q22*(INDEX('Ex ante LI &amp; Eligibility Stats'!$A$5:$M$17,MATCH($A22,'Ex ante LI &amp; Eligibility Stats'!$A$5:$A$17,0),MATCH('Program MW '!R$7,'Ex ante LI &amp; Eligibility Stats'!$A$5:$M$5,0))/1000)</f>
        <v>0</v>
      </c>
      <c r="S22" s="344">
        <f>Q22*(INDEX('Ex post LI &amp; Eligibility Stats'!$A$6:$N$18,MATCH($A22,'Ex post LI &amp; Eligibility Stats'!$A$6:$A$18,0),MATCH('Program MW '!R$7,'Ex post LI &amp; Eligibility Stats'!$A$6:$N$6,0))/1000)</f>
        <v>1.216</v>
      </c>
      <c r="T22" s="189">
        <v>4610</v>
      </c>
      <c r="U22" s="202"/>
      <c r="V22" s="202"/>
      <c r="W22" s="202"/>
      <c r="X22" s="202"/>
      <c r="Y22" s="202"/>
      <c r="Z22" s="202"/>
      <c r="AA22" s="202"/>
      <c r="AB22" s="202"/>
      <c r="AC22" s="202"/>
      <c r="AD22" s="202"/>
      <c r="AE22" s="202"/>
    </row>
    <row r="23" spans="1:31" ht="12.75">
      <c r="A23" s="7" t="s">
        <v>32</v>
      </c>
      <c r="B23" s="204">
        <v>0</v>
      </c>
      <c r="C23" s="344">
        <f>B23*(INDEX('Ex ante LI &amp; Eligibility Stats'!$A$5:$M$17,MATCH($A23,'Ex ante LI &amp; Eligibility Stats'!$A$5:$A$17,0),MATCH('Program MW '!C$7,'Ex ante LI &amp; Eligibility Stats'!$A$5:$M$5,0))/1000)</f>
        <v>0</v>
      </c>
      <c r="D23" s="345" t="s">
        <v>13</v>
      </c>
      <c r="E23" s="186">
        <v>0</v>
      </c>
      <c r="F23" s="344">
        <f>E23*(INDEX('Ex ante LI &amp; Eligibility Stats'!$A$5:$M$17,MATCH($A23,'Ex ante LI &amp; Eligibility Stats'!$A$5:$A$17,0),MATCH('Program MW '!F$7,'Ex ante LI &amp; Eligibility Stats'!$A$5:$M$5,0))/1000)</f>
        <v>0</v>
      </c>
      <c r="G23" s="345" t="s">
        <v>13</v>
      </c>
      <c r="H23" s="186">
        <v>0</v>
      </c>
      <c r="I23" s="344">
        <f>H23*(INDEX('Ex ante LI &amp; Eligibility Stats'!$A$5:$M$17,MATCH($A23,'Ex ante LI &amp; Eligibility Stats'!$A$5:$A$17,0),MATCH('Program MW '!I$7,'Ex ante LI &amp; Eligibility Stats'!$A$5:$M$5,0))/1000)</f>
        <v>0</v>
      </c>
      <c r="J23" s="345" t="s">
        <v>13</v>
      </c>
      <c r="K23" s="338">
        <v>0</v>
      </c>
      <c r="L23" s="344">
        <f>K23*(INDEX('Ex ante LI &amp; Eligibility Stats'!$A$5:$M$17,MATCH($A23,'Ex ante LI &amp; Eligibility Stats'!$A$5:$A$17,0),MATCH('Program MW '!L$7,'Ex ante LI &amp; Eligibility Stats'!$A$5:$M$5,0))/1000)</f>
        <v>0</v>
      </c>
      <c r="M23" s="345" t="s">
        <v>13</v>
      </c>
      <c r="N23" s="186">
        <v>0</v>
      </c>
      <c r="O23" s="344">
        <f>N23*(INDEX('Ex ante LI &amp; Eligibility Stats'!$A$5:$M$17,MATCH($A23,'Ex ante LI &amp; Eligibility Stats'!$A$5:$A$17,0),MATCH('Program MW '!O$7,'Ex ante LI &amp; Eligibility Stats'!$A$5:$M$5,0))/1000)</f>
        <v>0</v>
      </c>
      <c r="P23" s="345" t="s">
        <v>13</v>
      </c>
      <c r="Q23" s="186">
        <v>60</v>
      </c>
      <c r="R23" s="344">
        <f>Q23*(INDEX('Ex ante LI &amp; Eligibility Stats'!$A$5:$M$17,MATCH($A23,'Ex ante LI &amp; Eligibility Stats'!$A$5:$A$17,0),MATCH('Program MW '!R$7,'Ex ante LI &amp; Eligibility Stats'!$A$5:$M$5,0))/1000)</f>
        <v>5.250313103448276</v>
      </c>
      <c r="S23" s="345" t="s">
        <v>13</v>
      </c>
      <c r="T23" s="189">
        <v>4610</v>
      </c>
      <c r="U23" s="202"/>
      <c r="V23" s="202"/>
      <c r="W23" s="202"/>
      <c r="X23" s="202"/>
      <c r="Y23" s="202"/>
      <c r="Z23" s="202"/>
      <c r="AA23" s="202"/>
      <c r="AB23" s="202"/>
      <c r="AC23" s="202"/>
      <c r="AD23" s="202"/>
      <c r="AE23" s="202"/>
    </row>
    <row r="24" spans="1:31" ht="13.5" thickBot="1">
      <c r="A24" s="192" t="s">
        <v>34</v>
      </c>
      <c r="B24" s="193">
        <v>42936.428823284296</v>
      </c>
      <c r="C24" s="206">
        <f>SUM(C17:C23)</f>
        <v>15.77</v>
      </c>
      <c r="D24" s="207">
        <f>SUM(D17:D23)</f>
        <v>62.71938585030931</v>
      </c>
      <c r="E24" s="193">
        <v>42942.428823284296</v>
      </c>
      <c r="F24" s="194">
        <f aca="true" t="shared" si="1" ref="F24:S24">SUM(F17:F23)</f>
        <v>15.82</v>
      </c>
      <c r="G24" s="207">
        <f t="shared" si="1"/>
        <v>62.8653858503093</v>
      </c>
      <c r="H24" s="193">
        <f t="shared" si="1"/>
        <v>45115</v>
      </c>
      <c r="I24" s="206">
        <f t="shared" si="1"/>
        <v>15.82</v>
      </c>
      <c r="J24" s="207">
        <f t="shared" si="1"/>
        <v>62.8653858503093</v>
      </c>
      <c r="K24" s="193">
        <f>SUM(K17:K23)</f>
        <v>45229</v>
      </c>
      <c r="L24" s="206">
        <f t="shared" si="1"/>
        <v>18.42</v>
      </c>
      <c r="M24" s="207">
        <f t="shared" si="1"/>
        <v>68.51645608652977</v>
      </c>
      <c r="N24" s="193">
        <f t="shared" si="1"/>
        <v>45247</v>
      </c>
      <c r="O24" s="206">
        <f t="shared" si="1"/>
        <v>53.91034097923531</v>
      </c>
      <c r="P24" s="207">
        <f t="shared" si="1"/>
        <v>68.01066585030931</v>
      </c>
      <c r="Q24" s="193">
        <f t="shared" si="1"/>
        <v>46236</v>
      </c>
      <c r="R24" s="206">
        <f>SUM(R17:R23)</f>
        <v>45.74664249860573</v>
      </c>
      <c r="S24" s="207">
        <f t="shared" si="1"/>
        <v>67.65344</v>
      </c>
      <c r="T24" s="195"/>
      <c r="U24" s="202"/>
      <c r="V24" s="202"/>
      <c r="W24" s="208"/>
      <c r="X24" s="202"/>
      <c r="Y24" s="202"/>
      <c r="Z24" s="202"/>
      <c r="AA24" s="202"/>
      <c r="AB24" s="202"/>
      <c r="AC24" s="202"/>
      <c r="AD24" s="202"/>
      <c r="AE24" s="202"/>
    </row>
    <row r="25" spans="1:31" ht="14.25" thickBot="1" thickTop="1">
      <c r="A25" s="209" t="s">
        <v>23</v>
      </c>
      <c r="B25" s="210">
        <v>42965.428823284296</v>
      </c>
      <c r="C25" s="211">
        <f>+C15+C24</f>
        <v>24.25853602275</v>
      </c>
      <c r="D25" s="212">
        <f>+D15+D24</f>
        <v>75.86838585030931</v>
      </c>
      <c r="E25" s="213">
        <v>42971.428823284296</v>
      </c>
      <c r="F25" s="214">
        <f aca="true" t="shared" si="2" ref="F25:S25">+F15+F24</f>
        <v>24.031349806</v>
      </c>
      <c r="G25" s="215">
        <f t="shared" si="2"/>
        <v>76.0143858503093</v>
      </c>
      <c r="H25" s="213">
        <f t="shared" si="2"/>
        <v>45144</v>
      </c>
      <c r="I25" s="211">
        <f t="shared" si="2"/>
        <v>24.189763256</v>
      </c>
      <c r="J25" s="216">
        <f t="shared" si="2"/>
        <v>76.0143858503093</v>
      </c>
      <c r="K25" s="213">
        <f t="shared" si="2"/>
        <v>45256</v>
      </c>
      <c r="L25" s="211">
        <f t="shared" si="2"/>
        <v>26.345521349000002</v>
      </c>
      <c r="M25" s="216">
        <f t="shared" si="2"/>
        <v>81.20545608652976</v>
      </c>
      <c r="N25" s="213">
        <f t="shared" si="2"/>
        <v>45274</v>
      </c>
      <c r="O25" s="211">
        <f t="shared" si="2"/>
        <v>61.83158023523531</v>
      </c>
      <c r="P25" s="217">
        <f t="shared" si="2"/>
        <v>80.6996658503093</v>
      </c>
      <c r="Q25" s="213">
        <f t="shared" si="2"/>
        <v>46265</v>
      </c>
      <c r="R25" s="211">
        <f t="shared" si="2"/>
        <v>54.20417957960573</v>
      </c>
      <c r="S25" s="217">
        <f t="shared" si="2"/>
        <v>80.80244</v>
      </c>
      <c r="T25" s="217"/>
      <c r="U25" s="202"/>
      <c r="V25" s="202"/>
      <c r="W25" s="202"/>
      <c r="X25" s="202"/>
      <c r="Y25" s="202"/>
      <c r="Z25" s="202"/>
      <c r="AA25" s="202"/>
      <c r="AB25" s="202"/>
      <c r="AC25" s="202"/>
      <c r="AD25" s="202"/>
      <c r="AE25" s="202"/>
    </row>
    <row r="26" spans="1:31" ht="13.5" thickTop="1">
      <c r="A26" s="218"/>
      <c r="B26" s="219"/>
      <c r="C26" s="220"/>
      <c r="D26" s="221"/>
      <c r="E26" s="219"/>
      <c r="F26" s="220"/>
      <c r="G26" s="222"/>
      <c r="H26" s="219"/>
      <c r="I26" s="220"/>
      <c r="J26" s="222"/>
      <c r="K26" s="219"/>
      <c r="L26" s="220"/>
      <c r="M26" s="222"/>
      <c r="N26" s="219"/>
      <c r="O26" s="220"/>
      <c r="P26" s="223"/>
      <c r="Q26" s="219"/>
      <c r="R26" s="220"/>
      <c r="S26" s="223"/>
      <c r="T26" s="223"/>
      <c r="U26" s="202"/>
      <c r="V26" s="202"/>
      <c r="W26" s="202"/>
      <c r="X26" s="202"/>
      <c r="Y26" s="202"/>
      <c r="Z26" s="202"/>
      <c r="AA26" s="202"/>
      <c r="AB26" s="202"/>
      <c r="AC26" s="202"/>
      <c r="AD26" s="202"/>
      <c r="AE26" s="202"/>
    </row>
    <row r="27" spans="1:31" s="226" customFormat="1" ht="12.75">
      <c r="A27" s="218"/>
      <c r="B27" s="224"/>
      <c r="C27" s="225"/>
      <c r="D27" s="221"/>
      <c r="E27" s="224"/>
      <c r="F27" s="225"/>
      <c r="G27" s="223"/>
      <c r="H27" s="224"/>
      <c r="I27" s="225"/>
      <c r="J27" s="223"/>
      <c r="K27" s="224"/>
      <c r="L27" s="225"/>
      <c r="M27" s="223"/>
      <c r="N27" s="224"/>
      <c r="O27" s="225"/>
      <c r="P27" s="223"/>
      <c r="Q27" s="224"/>
      <c r="R27" s="225"/>
      <c r="S27" s="223"/>
      <c r="T27" s="223"/>
      <c r="U27" s="208"/>
      <c r="V27" s="208"/>
      <c r="W27" s="208"/>
      <c r="X27" s="208"/>
      <c r="Y27" s="208"/>
      <c r="Z27" s="208"/>
      <c r="AA27" s="208"/>
      <c r="AB27" s="208"/>
      <c r="AC27" s="208"/>
      <c r="AD27" s="208"/>
      <c r="AE27" s="208"/>
    </row>
    <row r="28" s="226" customFormat="1" ht="12.75"/>
    <row r="29" spans="3:19" s="226" customFormat="1" ht="12.75" hidden="1">
      <c r="C29" s="226">
        <f>C5+6</f>
        <v>8</v>
      </c>
      <c r="D29" s="226">
        <f>D5+6</f>
        <v>8</v>
      </c>
      <c r="F29" s="226">
        <f>F5+6</f>
        <v>9</v>
      </c>
      <c r="G29" s="226">
        <f>G5+6</f>
        <v>9</v>
      </c>
      <c r="I29" s="226">
        <f>I5+6</f>
        <v>10</v>
      </c>
      <c r="J29" s="226">
        <f>J5+6</f>
        <v>10</v>
      </c>
      <c r="L29" s="226">
        <f>L5+6</f>
        <v>11</v>
      </c>
      <c r="M29" s="226">
        <f>M5+6</f>
        <v>11</v>
      </c>
      <c r="O29" s="226">
        <f>O5+6</f>
        <v>12</v>
      </c>
      <c r="P29" s="226">
        <f>P5+6</f>
        <v>12</v>
      </c>
      <c r="R29" s="226">
        <f>R5+6</f>
        <v>13</v>
      </c>
      <c r="S29" s="226">
        <f>S5+6</f>
        <v>13</v>
      </c>
    </row>
    <row r="30" spans="1:21" s="226" customFormat="1" ht="12.75">
      <c r="A30" s="227"/>
      <c r="B30" s="92"/>
      <c r="C30" s="92" t="s">
        <v>6</v>
      </c>
      <c r="D30" s="92"/>
      <c r="E30" s="92"/>
      <c r="F30" s="92" t="s">
        <v>55</v>
      </c>
      <c r="G30" s="92"/>
      <c r="H30" s="92"/>
      <c r="I30" s="92" t="s">
        <v>56</v>
      </c>
      <c r="J30" s="92"/>
      <c r="K30" s="92"/>
      <c r="L30" s="92" t="s">
        <v>9</v>
      </c>
      <c r="M30" s="92"/>
      <c r="N30" s="92"/>
      <c r="O30" s="92" t="s">
        <v>57</v>
      </c>
      <c r="P30" s="92"/>
      <c r="Q30" s="92"/>
      <c r="R30" s="92" t="s">
        <v>11</v>
      </c>
      <c r="S30" s="92"/>
      <c r="T30" s="228"/>
      <c r="U30" s="228"/>
    </row>
    <row r="31" spans="1:21" s="226" customFormat="1" ht="38.25" customHeight="1">
      <c r="A31" s="182" t="s">
        <v>21</v>
      </c>
      <c r="B31" s="229" t="s">
        <v>15</v>
      </c>
      <c r="C31" s="230" t="s">
        <v>162</v>
      </c>
      <c r="D31" s="231" t="s">
        <v>163</v>
      </c>
      <c r="E31" s="229" t="s">
        <v>15</v>
      </c>
      <c r="F31" s="230" t="s">
        <v>162</v>
      </c>
      <c r="G31" s="231" t="s">
        <v>163</v>
      </c>
      <c r="H31" s="229" t="s">
        <v>15</v>
      </c>
      <c r="I31" s="230" t="s">
        <v>162</v>
      </c>
      <c r="J31" s="231" t="s">
        <v>163</v>
      </c>
      <c r="K31" s="229" t="s">
        <v>15</v>
      </c>
      <c r="L31" s="230" t="s">
        <v>162</v>
      </c>
      <c r="M31" s="231" t="s">
        <v>163</v>
      </c>
      <c r="N31" s="229" t="s">
        <v>15</v>
      </c>
      <c r="O31" s="230" t="s">
        <v>162</v>
      </c>
      <c r="P31" s="231" t="s">
        <v>163</v>
      </c>
      <c r="Q31" s="229" t="s">
        <v>15</v>
      </c>
      <c r="R31" s="230" t="s">
        <v>162</v>
      </c>
      <c r="S31" s="231" t="s">
        <v>163</v>
      </c>
      <c r="T31" s="231" t="s">
        <v>61</v>
      </c>
      <c r="U31" s="232"/>
    </row>
    <row r="32" spans="1:21" s="226" customFormat="1" ht="12.75">
      <c r="A32" s="182" t="s">
        <v>22</v>
      </c>
      <c r="B32" s="229"/>
      <c r="C32" s="233"/>
      <c r="D32" s="201"/>
      <c r="E32" s="229"/>
      <c r="F32" s="233"/>
      <c r="G32" s="201"/>
      <c r="H32" s="229"/>
      <c r="I32" s="233"/>
      <c r="J32" s="233"/>
      <c r="K32" s="229"/>
      <c r="L32" s="233"/>
      <c r="M32" s="201"/>
      <c r="N32" s="229"/>
      <c r="O32" s="233"/>
      <c r="P32" s="201"/>
      <c r="Q32" s="229"/>
      <c r="R32" s="233"/>
      <c r="S32" s="201"/>
      <c r="T32" s="201"/>
      <c r="U32" s="232"/>
    </row>
    <row r="33" spans="1:21" s="226" customFormat="1" ht="12.75">
      <c r="A33" s="19" t="s">
        <v>80</v>
      </c>
      <c r="B33" s="186">
        <v>1</v>
      </c>
      <c r="C33" s="344">
        <f>B33*(INDEX('Ex ante LI &amp; Eligibility Stats'!$A$5:$M$17,MATCH($A33,'Ex ante LI &amp; Eligibility Stats'!$A$5:$A$17,0),MATCH('Program MW '!C$30,'Ex ante LI &amp; Eligibility Stats'!$A$5:$M$5,0))/1000)</f>
        <v>0.33910994899999997</v>
      </c>
      <c r="D33" s="344">
        <f>B33*(INDEX('Ex post LI &amp; Eligibility Stats'!$A$6:$N$18,MATCH($A33,'Ex post LI &amp; Eligibility Stats'!$A$6:$A$18,0),MATCH('Program MW '!C$30,'Ex post LI &amp; Eligibility Stats'!$A$6:$N$6,0))/1000)</f>
        <v>0.571</v>
      </c>
      <c r="E33" s="186">
        <v>1</v>
      </c>
      <c r="F33" s="344">
        <f>E33*(INDEX('Ex ante LI &amp; Eligibility Stats'!$A$5:$M$17,MATCH($A33,'Ex ante LI &amp; Eligibility Stats'!$A$5:$A$17,0),MATCH('Program MW '!F$30,'Ex ante LI &amp; Eligibility Stats'!$A$5:$M$5,0))/1000)</f>
        <v>0.33976149899999997</v>
      </c>
      <c r="G33" s="344">
        <f>E33*(INDEX('Ex post LI &amp; Eligibility Stats'!$A$6:$N$18,MATCH($A33,'Ex post LI &amp; Eligibility Stats'!$A$6:$A$18,0),MATCH('Program MW '!F$30,'Ex post LI &amp; Eligibility Stats'!$A$6:$N$6,0))/1000)</f>
        <v>0.571</v>
      </c>
      <c r="H33" s="186">
        <v>1</v>
      </c>
      <c r="I33" s="344">
        <f>H33*(INDEX('Ex ante LI &amp; Eligibility Stats'!$A$5:$M$17,MATCH($A33,'Ex ante LI &amp; Eligibility Stats'!$A$5:$A$17,0),MATCH('Program MW '!I$30,'Ex ante LI &amp; Eligibility Stats'!$A$5:$M$5,0))/1000)</f>
        <v>0.338779299</v>
      </c>
      <c r="J33" s="344">
        <f>H33*(INDEX('Ex post LI &amp; Eligibility Stats'!$A$6:$N$18,MATCH($A33,'Ex post LI &amp; Eligibility Stats'!$A$6:$A$18,0),MATCH('Program MW '!I$30,'Ex post LI &amp; Eligibility Stats'!$A$6:$N$6,0))/1000)</f>
        <v>0.571</v>
      </c>
      <c r="K33" s="186">
        <v>1</v>
      </c>
      <c r="L33" s="344">
        <f>K33*(INDEX('Ex ante LI &amp; Eligibility Stats'!$A$5:$M$17,MATCH($A33,'Ex ante LI &amp; Eligibility Stats'!$A$5:$A$17,0),MATCH('Program MW '!L$30,'Ex ante LI &amp; Eligibility Stats'!$A$5:$M$5,0))/1000)</f>
        <v>0.347966524</v>
      </c>
      <c r="M33" s="344">
        <f>K33*(INDEX('Ex post LI &amp; Eligibility Stats'!$A$6:$N$18,MATCH($A33,'Ex post LI &amp; Eligibility Stats'!$A$6:$A$18,0),MATCH('Program MW '!L$30,'Ex post LI &amp; Eligibility Stats'!$A$6:$N$6,0))/1000)</f>
        <v>0.571</v>
      </c>
      <c r="N33" s="186">
        <v>1</v>
      </c>
      <c r="O33" s="344">
        <f>N33*(INDEX('Ex ante LI &amp; Eligibility Stats'!$A$5:$M$17,MATCH($A33,'Ex ante LI &amp; Eligibility Stats'!$A$5:$A$17,0),MATCH('Program MW '!O$30,'Ex ante LI &amp; Eligibility Stats'!$A$5:$M$5,0))/1000)</f>
        <v>0.317128074</v>
      </c>
      <c r="P33" s="344">
        <f>N33*(INDEX('Ex post LI &amp; Eligibility Stats'!$A$6:$N$18,MATCH($A33,'Ex post LI &amp; Eligibility Stats'!$A$6:$A$18,0),MATCH('Program MW '!O$30,'Ex post LI &amp; Eligibility Stats'!$A$6:$N$6,0))/1000)</f>
        <v>0.571</v>
      </c>
      <c r="Q33" s="186">
        <v>1</v>
      </c>
      <c r="R33" s="344">
        <f>Q33*(INDEX('Ex ante LI &amp; Eligibility Stats'!$A$5:$M$17,MATCH($A33,'Ex ante LI &amp; Eligibility Stats'!$A$5:$A$17,0),MATCH('Program MW '!R$30,'Ex ante LI &amp; Eligibility Stats'!$A$5:$M$5,0))/1000)</f>
        <v>0.308165049</v>
      </c>
      <c r="S33" s="344">
        <f>Q33*(INDEX('Ex post LI &amp; Eligibility Stats'!$A$6:$N$18,MATCH($A33,'Ex post LI &amp; Eligibility Stats'!$A$6:$A$18,0),MATCH('Program MW '!R$30,'Ex post LI &amp; Eligibility Stats'!$A$6:$N$6,0))/1000)</f>
        <v>0.571</v>
      </c>
      <c r="T33" s="234">
        <v>4610</v>
      </c>
      <c r="U33" s="232"/>
    </row>
    <row r="34" spans="1:21" s="226" customFormat="1" ht="12.75">
      <c r="A34" s="19" t="s">
        <v>81</v>
      </c>
      <c r="B34" s="186">
        <v>18</v>
      </c>
      <c r="C34" s="344">
        <f>B34*(INDEX('Ex ante LI &amp; Eligibility Stats'!$A$5:$M$17,MATCH($A34,'Ex ante LI &amp; Eligibility Stats'!$A$5:$A$17,0),MATCH('Program MW '!C$30,'Ex ante LI &amp; Eligibility Stats'!$A$5:$M$5,0))/1000)</f>
        <v>6.1039790819999995</v>
      </c>
      <c r="D34" s="344">
        <f>B34*(INDEX('Ex post LI &amp; Eligibility Stats'!$A$6:$N$18,MATCH($A34,'Ex post LI &amp; Eligibility Stats'!$A$6:$A$18,0),MATCH('Program MW '!C$30,'Ex post LI &amp; Eligibility Stats'!$A$6:$N$6,0))/1000)</f>
        <v>10.277999999999999</v>
      </c>
      <c r="E34" s="186">
        <v>18</v>
      </c>
      <c r="F34" s="344">
        <f>E34*(INDEX('Ex ante LI &amp; Eligibility Stats'!$A$5:$M$17,MATCH($A34,'Ex ante LI &amp; Eligibility Stats'!$A$5:$A$17,0),MATCH('Program MW '!F$30,'Ex ante LI &amp; Eligibility Stats'!$A$5:$M$5,0))/1000)</f>
        <v>6.115706981999999</v>
      </c>
      <c r="G34" s="344">
        <f>E34*(INDEX('Ex post LI &amp; Eligibility Stats'!$A$6:$N$18,MATCH($A34,'Ex post LI &amp; Eligibility Stats'!$A$6:$A$18,0),MATCH('Program MW '!F$30,'Ex post LI &amp; Eligibility Stats'!$A$6:$N$6,0))/1000)</f>
        <v>10.277999999999999</v>
      </c>
      <c r="H34" s="186">
        <v>17</v>
      </c>
      <c r="I34" s="344">
        <f>H34*(INDEX('Ex ante LI &amp; Eligibility Stats'!$A$5:$M$17,MATCH($A34,'Ex ante LI &amp; Eligibility Stats'!$A$5:$A$17,0),MATCH('Program MW '!I$30,'Ex ante LI &amp; Eligibility Stats'!$A$5:$M$5,0))/1000)</f>
        <v>5.759248082999999</v>
      </c>
      <c r="J34" s="344">
        <f>H34*(INDEX('Ex post LI &amp; Eligibility Stats'!$A$6:$N$18,MATCH($A34,'Ex post LI &amp; Eligibility Stats'!$A$6:$A$18,0),MATCH('Program MW '!I$30,'Ex post LI &amp; Eligibility Stats'!$A$6:$N$6,0))/1000)</f>
        <v>9.706999999999999</v>
      </c>
      <c r="K34" s="186">
        <v>20</v>
      </c>
      <c r="L34" s="344">
        <f>K34*(INDEX('Ex ante LI &amp; Eligibility Stats'!$A$5:$M$17,MATCH($A34,'Ex ante LI &amp; Eligibility Stats'!$A$5:$A$17,0),MATCH('Program MW '!L$30,'Ex ante LI &amp; Eligibility Stats'!$A$5:$M$5,0))/1000)</f>
        <v>6.95933048</v>
      </c>
      <c r="M34" s="344">
        <f>K34*(INDEX('Ex post LI &amp; Eligibility Stats'!$A$6:$N$18,MATCH($A34,'Ex post LI &amp; Eligibility Stats'!$A$6:$A$18,0),MATCH('Program MW '!L$30,'Ex post LI &amp; Eligibility Stats'!$A$6:$N$6,0))/1000)</f>
        <v>11.419999999999998</v>
      </c>
      <c r="N34" s="186">
        <v>20</v>
      </c>
      <c r="O34" s="344">
        <f>N34*(INDEX('Ex ante LI &amp; Eligibility Stats'!$A$5:$M$17,MATCH($A34,'Ex ante LI &amp; Eligibility Stats'!$A$5:$A$17,0),MATCH('Program MW '!O$30,'Ex ante LI &amp; Eligibility Stats'!$A$5:$M$5,0))/1000)</f>
        <v>6.34256148</v>
      </c>
      <c r="P34" s="344">
        <f>N34*(INDEX('Ex post LI &amp; Eligibility Stats'!$A$6:$N$18,MATCH($A34,'Ex post LI &amp; Eligibility Stats'!$A$6:$A$18,0),MATCH('Program MW '!O$30,'Ex post LI &amp; Eligibility Stats'!$A$6:$N$6,0))/1000)</f>
        <v>11.419999999999998</v>
      </c>
      <c r="Q34" s="186">
        <v>20</v>
      </c>
      <c r="R34" s="344">
        <f>Q34*(INDEX('Ex ante LI &amp; Eligibility Stats'!$A$5:$M$17,MATCH($A34,'Ex ante LI &amp; Eligibility Stats'!$A$5:$A$17,0),MATCH('Program MW '!R$30,'Ex ante LI &amp; Eligibility Stats'!$A$5:$M$5,0))/1000)</f>
        <v>6.163300980000001</v>
      </c>
      <c r="S34" s="344">
        <f>Q34*(INDEX('Ex post LI &amp; Eligibility Stats'!$A$6:$N$18,MATCH($A34,'Ex post LI &amp; Eligibility Stats'!$A$6:$A$18,0),MATCH('Program MW '!R$30,'Ex post LI &amp; Eligibility Stats'!$A$6:$N$6,0))/1000)</f>
        <v>11.419999999999998</v>
      </c>
      <c r="T34" s="235">
        <v>4610</v>
      </c>
      <c r="U34" s="232"/>
    </row>
    <row r="35" spans="1:21" s="226" customFormat="1" ht="12.75">
      <c r="A35" s="19" t="s">
        <v>78</v>
      </c>
      <c r="B35" s="186">
        <v>10</v>
      </c>
      <c r="C35" s="344">
        <f>B35*(INDEX('Ex ante LI &amp; Eligibility Stats'!$A$5:$M$17,MATCH($A35,'Ex ante LI &amp; Eligibility Stats'!$A$5:$A$17,0),MATCH('Program MW '!C$30,'Ex ante LI &amp; Eligibility Stats'!$A$5:$M$5,0))/1000)</f>
        <v>2.3000000000000003</v>
      </c>
      <c r="D35" s="344">
        <f>B35*(INDEX('Ex post LI &amp; Eligibility Stats'!$A$6:$N$18,MATCH($A35,'Ex post LI &amp; Eligibility Stats'!$A$6:$A$18,0),MATCH('Program MW '!C$30,'Ex post LI &amp; Eligibility Stats'!$A$6:$N$6,0))/1000)</f>
        <v>2.3000000000000003</v>
      </c>
      <c r="E35" s="186">
        <v>10</v>
      </c>
      <c r="F35" s="344">
        <f>E35*(INDEX('Ex ante LI &amp; Eligibility Stats'!$A$5:$M$17,MATCH($A35,'Ex ante LI &amp; Eligibility Stats'!$A$5:$A$17,0),MATCH('Program MW '!F$30,'Ex ante LI &amp; Eligibility Stats'!$A$5:$M$5,0))/1000)</f>
        <v>2.3000000000000003</v>
      </c>
      <c r="G35" s="344">
        <f>E35*(INDEX('Ex post LI &amp; Eligibility Stats'!$A$6:$N$18,MATCH($A35,'Ex post LI &amp; Eligibility Stats'!$A$6:$A$18,0),MATCH('Program MW '!F$30,'Ex post LI &amp; Eligibility Stats'!$A$6:$N$6,0))/1000)</f>
        <v>2.3000000000000003</v>
      </c>
      <c r="H35" s="186">
        <v>8</v>
      </c>
      <c r="I35" s="344">
        <f>H35*(INDEX('Ex ante LI &amp; Eligibility Stats'!$A$5:$M$17,MATCH($A35,'Ex ante LI &amp; Eligibility Stats'!$A$5:$A$17,0),MATCH('Program MW '!I$30,'Ex ante LI &amp; Eligibility Stats'!$A$5:$M$5,0))/1000)</f>
        <v>1.84</v>
      </c>
      <c r="J35" s="344">
        <f>H35*(INDEX('Ex post LI &amp; Eligibility Stats'!$A$6:$N$18,MATCH($A35,'Ex post LI &amp; Eligibility Stats'!$A$6:$A$18,0),MATCH('Program MW '!I$30,'Ex post LI &amp; Eligibility Stats'!$A$6:$N$6,0))/1000)</f>
        <v>1.84</v>
      </c>
      <c r="K35" s="186">
        <v>8</v>
      </c>
      <c r="L35" s="344">
        <f>K35*(INDEX('Ex ante LI &amp; Eligibility Stats'!$A$5:$M$17,MATCH($A35,'Ex ante LI &amp; Eligibility Stats'!$A$5:$A$17,0),MATCH('Program MW '!L$30,'Ex ante LI &amp; Eligibility Stats'!$A$5:$M$5,0))/1000)</f>
        <v>1.84</v>
      </c>
      <c r="M35" s="344">
        <f>K35*(INDEX('Ex post LI &amp; Eligibility Stats'!$A$6:$N$18,MATCH($A35,'Ex post LI &amp; Eligibility Stats'!$A$6:$A$18,0),MATCH('Program MW '!L$30,'Ex post LI &amp; Eligibility Stats'!$A$6:$N$6,0))/1000)</f>
        <v>1.84</v>
      </c>
      <c r="N35" s="186">
        <v>8</v>
      </c>
      <c r="O35" s="344">
        <f>N35*(INDEX('Ex ante LI &amp; Eligibility Stats'!$A$5:$M$17,MATCH($A35,'Ex ante LI &amp; Eligibility Stats'!$A$5:$A$17,0),MATCH('Program MW '!O$30,'Ex ante LI &amp; Eligibility Stats'!$A$5:$M$5,0))/1000)</f>
        <v>1.84</v>
      </c>
      <c r="P35" s="344">
        <f>N35*(INDEX('Ex post LI &amp; Eligibility Stats'!$A$6:$N$18,MATCH($A35,'Ex post LI &amp; Eligibility Stats'!$A$6:$A$18,0),MATCH('Program MW '!O$30,'Ex post LI &amp; Eligibility Stats'!$A$6:$N$6,0))/1000)</f>
        <v>1.84</v>
      </c>
      <c r="Q35" s="186">
        <v>8</v>
      </c>
      <c r="R35" s="344">
        <f>Q35*(INDEX('Ex ante LI &amp; Eligibility Stats'!$A$5:$M$17,MATCH($A35,'Ex ante LI &amp; Eligibility Stats'!$A$5:$A$17,0),MATCH('Program MW '!R$30,'Ex ante LI &amp; Eligibility Stats'!$A$5:$M$5,0))/1000)</f>
        <v>1.84</v>
      </c>
      <c r="S35" s="344">
        <f>Q35*(INDEX('Ex post LI &amp; Eligibility Stats'!$A$6:$N$18,MATCH($A35,'Ex post LI &amp; Eligibility Stats'!$A$6:$A$18,0),MATCH('Program MW '!R$30,'Ex post LI &amp; Eligibility Stats'!$A$6:$N$6,0))/1000)</f>
        <v>1.84</v>
      </c>
      <c r="T35" s="235">
        <v>4610</v>
      </c>
      <c r="U35" s="232"/>
    </row>
    <row r="36" spans="1:21" s="226" customFormat="1" ht="12.75">
      <c r="A36" s="19" t="s">
        <v>14</v>
      </c>
      <c r="B36" s="186">
        <v>0</v>
      </c>
      <c r="C36" s="344">
        <f>B36*(INDEX('Ex ante LI &amp; Eligibility Stats'!$A$5:$M$17,MATCH($A36,'Ex ante LI &amp; Eligibility Stats'!$A$5:$A$17,0),MATCH('Program MW '!C$30,'Ex ante LI &amp; Eligibility Stats'!$A$5:$M$5,0))/1000)</f>
        <v>0</v>
      </c>
      <c r="D36" s="345" t="s">
        <v>13</v>
      </c>
      <c r="E36" s="186">
        <v>0</v>
      </c>
      <c r="F36" s="344">
        <f>E36*(INDEX('Ex ante LI &amp; Eligibility Stats'!$A$5:$M$17,MATCH($A36,'Ex ante LI &amp; Eligibility Stats'!$A$5:$A$17,0),MATCH('Program MW '!F$30,'Ex ante LI &amp; Eligibility Stats'!$A$5:$M$5,0))/1000)</f>
        <v>0</v>
      </c>
      <c r="G36" s="345" t="s">
        <v>13</v>
      </c>
      <c r="H36" s="186">
        <v>0</v>
      </c>
      <c r="I36" s="344">
        <f>H36*(INDEX('Ex ante LI &amp; Eligibility Stats'!$A$5:$M$17,MATCH($A36,'Ex ante LI &amp; Eligibility Stats'!$A$5:$A$17,0),MATCH('Program MW '!I$30,'Ex ante LI &amp; Eligibility Stats'!$A$5:$M$5,0))/1000)</f>
        <v>0</v>
      </c>
      <c r="J36" s="345" t="s">
        <v>13</v>
      </c>
      <c r="K36" s="186">
        <v>0</v>
      </c>
      <c r="L36" s="344">
        <f>K36*(INDEX('Ex ante LI &amp; Eligibility Stats'!$A$5:$M$17,MATCH($A36,'Ex ante LI &amp; Eligibility Stats'!$A$5:$A$17,0),MATCH('Program MW '!L$30,'Ex ante LI &amp; Eligibility Stats'!$A$5:$M$5,0))/1000)</f>
        <v>0</v>
      </c>
      <c r="M36" s="345" t="s">
        <v>13</v>
      </c>
      <c r="N36" s="186">
        <v>0</v>
      </c>
      <c r="O36" s="344">
        <f>N36*(INDEX('Ex ante LI &amp; Eligibility Stats'!$A$5:$M$17,MATCH($A36,'Ex ante LI &amp; Eligibility Stats'!$A$5:$A$17,0),MATCH('Program MW '!O$30,'Ex ante LI &amp; Eligibility Stats'!$A$5:$M$5,0))/1000)</f>
        <v>0</v>
      </c>
      <c r="P36" s="345" t="s">
        <v>13</v>
      </c>
      <c r="Q36" s="186">
        <v>0</v>
      </c>
      <c r="R36" s="344">
        <f>Q36*(INDEX('Ex ante LI &amp; Eligibility Stats'!$A$5:$M$17,MATCH($A36,'Ex ante LI &amp; Eligibility Stats'!$A$5:$A$17,0),MATCH('Program MW '!R$30,'Ex ante LI &amp; Eligibility Stats'!$A$5:$M$5,0))/1000)</f>
        <v>0</v>
      </c>
      <c r="S36" s="345" t="s">
        <v>13</v>
      </c>
      <c r="T36" s="235">
        <v>4610</v>
      </c>
      <c r="U36" s="232"/>
    </row>
    <row r="37" spans="1:21" s="226" customFormat="1" ht="12.75">
      <c r="A37" s="19" t="s">
        <v>28</v>
      </c>
      <c r="B37" s="186">
        <v>0</v>
      </c>
      <c r="C37" s="344">
        <f>B37*(INDEX('Ex ante LI &amp; Eligibility Stats'!$A$5:$M$17,MATCH($A37,'Ex ante LI &amp; Eligibility Stats'!$A$5:$A$17,0),MATCH('Program MW '!C$30,'Ex ante LI &amp; Eligibility Stats'!$A$5:$M$5,0))/1000)</f>
        <v>0</v>
      </c>
      <c r="D37" s="345" t="s">
        <v>13</v>
      </c>
      <c r="E37" s="186">
        <v>0</v>
      </c>
      <c r="F37" s="344">
        <f>E37*(INDEX('Ex ante LI &amp; Eligibility Stats'!$A$5:$M$17,MATCH($A37,'Ex ante LI &amp; Eligibility Stats'!$A$5:$A$17,0),MATCH('Program MW '!F$30,'Ex ante LI &amp; Eligibility Stats'!$A$5:$M$5,0))/1000)</f>
        <v>0</v>
      </c>
      <c r="G37" s="345" t="s">
        <v>13</v>
      </c>
      <c r="H37" s="186">
        <v>0</v>
      </c>
      <c r="I37" s="344">
        <f>H37*(INDEX('Ex ante LI &amp; Eligibility Stats'!$A$5:$M$17,MATCH($A37,'Ex ante LI &amp; Eligibility Stats'!$A$5:$A$17,0),MATCH('Program MW '!I$30,'Ex ante LI &amp; Eligibility Stats'!$A$5:$M$5,0))/1000)</f>
        <v>0</v>
      </c>
      <c r="J37" s="345" t="s">
        <v>13</v>
      </c>
      <c r="K37" s="186">
        <v>0</v>
      </c>
      <c r="L37" s="344">
        <f>K37*(INDEX('Ex ante LI &amp; Eligibility Stats'!$A$5:$M$17,MATCH($A37,'Ex ante LI &amp; Eligibility Stats'!$A$5:$A$17,0),MATCH('Program MW '!L$30,'Ex ante LI &amp; Eligibility Stats'!$A$5:$M$5,0))/1000)</f>
        <v>0</v>
      </c>
      <c r="M37" s="345" t="s">
        <v>13</v>
      </c>
      <c r="N37" s="186">
        <v>0</v>
      </c>
      <c r="O37" s="344">
        <f>N37*(INDEX('Ex ante LI &amp; Eligibility Stats'!$A$5:$M$17,MATCH($A37,'Ex ante LI &amp; Eligibility Stats'!$A$5:$A$17,0),MATCH('Program MW '!O$30,'Ex ante LI &amp; Eligibility Stats'!$A$5:$M$5,0))/1000)</f>
        <v>0</v>
      </c>
      <c r="P37" s="345" t="s">
        <v>13</v>
      </c>
      <c r="Q37" s="186">
        <v>0</v>
      </c>
      <c r="R37" s="344">
        <f>Q37*(INDEX('Ex ante LI &amp; Eligibility Stats'!$A$5:$M$17,MATCH($A37,'Ex ante LI &amp; Eligibility Stats'!$A$5:$A$17,0),MATCH('Program MW '!R$30,'Ex ante LI &amp; Eligibility Stats'!$A$5:$M$5,0))/1000)</f>
        <v>0</v>
      </c>
      <c r="S37" s="345" t="s">
        <v>13</v>
      </c>
      <c r="T37" s="236">
        <v>1638289</v>
      </c>
      <c r="U37" s="232"/>
    </row>
    <row r="38" spans="1:21" s="226" customFormat="1" ht="13.5" thickBot="1">
      <c r="A38" s="192" t="s">
        <v>20</v>
      </c>
      <c r="B38" s="193">
        <f aca="true" t="shared" si="3" ref="B38:S38">SUM(B33:B37)</f>
        <v>29</v>
      </c>
      <c r="C38" s="196">
        <f t="shared" si="3"/>
        <v>8.743089031</v>
      </c>
      <c r="D38" s="195">
        <f t="shared" si="3"/>
        <v>13.149</v>
      </c>
      <c r="E38" s="193">
        <f t="shared" si="3"/>
        <v>29</v>
      </c>
      <c r="F38" s="196">
        <f t="shared" si="3"/>
        <v>8.755468481</v>
      </c>
      <c r="G38" s="195">
        <f t="shared" si="3"/>
        <v>13.149</v>
      </c>
      <c r="H38" s="193">
        <f t="shared" si="3"/>
        <v>26</v>
      </c>
      <c r="I38" s="196">
        <f t="shared" si="3"/>
        <v>7.938027381999999</v>
      </c>
      <c r="J38" s="195">
        <f t="shared" si="3"/>
        <v>12.117999999999999</v>
      </c>
      <c r="K38" s="193">
        <f t="shared" si="3"/>
        <v>29</v>
      </c>
      <c r="L38" s="196">
        <f t="shared" si="3"/>
        <v>9.147297004</v>
      </c>
      <c r="M38" s="195">
        <f t="shared" si="3"/>
        <v>13.830999999999998</v>
      </c>
      <c r="N38" s="193">
        <f t="shared" si="3"/>
        <v>29</v>
      </c>
      <c r="O38" s="196">
        <f t="shared" si="3"/>
        <v>8.499689554</v>
      </c>
      <c r="P38" s="195">
        <f t="shared" si="3"/>
        <v>13.830999999999998</v>
      </c>
      <c r="Q38" s="193">
        <f t="shared" si="3"/>
        <v>29</v>
      </c>
      <c r="R38" s="196">
        <f t="shared" si="3"/>
        <v>8.311466029000002</v>
      </c>
      <c r="S38" s="195">
        <f t="shared" si="3"/>
        <v>13.830999999999998</v>
      </c>
      <c r="T38" s="195"/>
      <c r="U38" s="232"/>
    </row>
    <row r="39" spans="1:21" s="226" customFormat="1" ht="13.5" thickTop="1">
      <c r="A39" s="182" t="s">
        <v>164</v>
      </c>
      <c r="B39" s="199"/>
      <c r="C39" s="197"/>
      <c r="D39" s="198"/>
      <c r="E39" s="199"/>
      <c r="F39" s="197"/>
      <c r="G39" s="198"/>
      <c r="H39" s="199"/>
      <c r="I39" s="197"/>
      <c r="J39" s="198"/>
      <c r="K39" s="199"/>
      <c r="L39" s="197"/>
      <c r="M39" s="198"/>
      <c r="N39" s="199"/>
      <c r="O39" s="197"/>
      <c r="P39" s="198"/>
      <c r="Q39" s="199"/>
      <c r="R39" s="197"/>
      <c r="S39" s="198"/>
      <c r="T39" s="201"/>
      <c r="U39" s="232"/>
    </row>
    <row r="40" spans="1:21" s="226" customFormat="1" ht="12.75">
      <c r="A40" s="19" t="s">
        <v>82</v>
      </c>
      <c r="B40" s="186">
        <v>1402</v>
      </c>
      <c r="C40" s="344">
        <f>B40*(INDEX('Ex ante LI &amp; Eligibility Stats'!$A$5:$M$17,MATCH($A40,'Ex ante LI &amp; Eligibility Stats'!$A$5:$A$17,0),MATCH('Program MW '!C$30,'Ex ante LI &amp; Eligibility Stats'!$A$5:$M$5,0))/1000)</f>
        <v>19.137864666182875</v>
      </c>
      <c r="D40" s="344">
        <f>B40*(INDEX('Ex post LI &amp; Eligibility Stats'!$A$6:$N$18,MATCH($A40,'Ex post LI &amp; Eligibility Stats'!$A$6:$A$18,0),MATCH('Program MW '!C$30,'Ex post LI &amp; Eligibility Stats'!$A$6:$N$6,0))/1000)</f>
        <v>19.628</v>
      </c>
      <c r="E40" s="186">
        <v>1371</v>
      </c>
      <c r="F40" s="344">
        <f>E40*(INDEX('Ex ante LI &amp; Eligibility Stats'!$A$5:$M$17,MATCH($A40,'Ex ante LI &amp; Eligibility Stats'!$A$5:$A$17,0),MATCH('Program MW '!F$30,'Ex ante LI &amp; Eligibility Stats'!$A$5:$M$5,0))/1000)</f>
        <v>18.620618942097597</v>
      </c>
      <c r="G40" s="344">
        <f>E40*(INDEX('Ex post LI &amp; Eligibility Stats'!$A$6:$N$18,MATCH($A40,'Ex post LI &amp; Eligibility Stats'!$A$6:$A$18,0),MATCH('Program MW '!F$30,'Ex post LI &amp; Eligibility Stats'!$A$6:$N$6,0))/1000)</f>
        <v>19.194</v>
      </c>
      <c r="H40" s="186">
        <v>1366</v>
      </c>
      <c r="I40" s="344">
        <f>H40*(INDEX('Ex ante LI &amp; Eligibility Stats'!$A$5:$M$17,MATCH($A40,'Ex ante LI &amp; Eligibility Stats'!$A$5:$A$17,0),MATCH('Program MW '!I$30,'Ex ante LI &amp; Eligibility Stats'!$A$5:$M$5,0))/1000)</f>
        <v>19.403738140978817</v>
      </c>
      <c r="J40" s="344">
        <f>H40*(INDEX('Ex post LI &amp; Eligibility Stats'!$A$6:$N$18,MATCH($A40,'Ex post LI &amp; Eligibility Stats'!$A$6:$A$18,0),MATCH('Program MW '!I$30,'Ex post LI &amp; Eligibility Stats'!$A$6:$N$6,0))/1000)</f>
        <v>19.124</v>
      </c>
      <c r="K40" s="186">
        <v>1367</v>
      </c>
      <c r="L40" s="344">
        <f>K40*(INDEX('Ex ante LI &amp; Eligibility Stats'!$A$5:$M$17,MATCH($A40,'Ex ante LI &amp; Eligibility Stats'!$A$5:$A$17,0),MATCH('Program MW '!L$30,'Ex ante LI &amp; Eligibility Stats'!$A$5:$M$5,0))/1000)</f>
        <v>19.140595696480936</v>
      </c>
      <c r="M40" s="344">
        <f>K40*(INDEX('Ex post LI &amp; Eligibility Stats'!$A$6:$N$18,MATCH($A40,'Ex post LI &amp; Eligibility Stats'!$A$6:$A$18,0),MATCH('Program MW '!L$30,'Ex post LI &amp; Eligibility Stats'!$A$6:$N$6,0))/1000)</f>
        <v>19.138</v>
      </c>
      <c r="N40" s="186">
        <v>1365</v>
      </c>
      <c r="O40" s="344">
        <f>N40*(INDEX('Ex ante LI &amp; Eligibility Stats'!$A$5:$M$17,MATCH($A40,'Ex ante LI &amp; Eligibility Stats'!$A$5:$A$17,0),MATCH('Program MW '!O$30,'Ex ante LI &amp; Eligibility Stats'!$A$5:$M$5,0))/1000)</f>
        <v>16.723374337748346</v>
      </c>
      <c r="P40" s="344">
        <f>N40*(INDEX('Ex post LI &amp; Eligibility Stats'!$A$6:$N$18,MATCH($A40,'Ex post LI &amp; Eligibility Stats'!$A$6:$A$18,0),MATCH('Program MW '!O$30,'Ex post LI &amp; Eligibility Stats'!$A$6:$N$6,0))/1000)</f>
        <v>19.11</v>
      </c>
      <c r="Q40" s="186">
        <v>1364</v>
      </c>
      <c r="R40" s="344">
        <f>Q40*(INDEX('Ex ante LI &amp; Eligibility Stats'!$A$5:$M$17,MATCH($A40,'Ex ante LI &amp; Eligibility Stats'!$A$5:$A$17,0),MATCH('Program MW '!R$30,'Ex ante LI &amp; Eligibility Stats'!$A$5:$M$5,0))/1000)</f>
        <v>14.319118877400296</v>
      </c>
      <c r="S40" s="344">
        <f>Q40*(INDEX('Ex post LI &amp; Eligibility Stats'!$A$6:$N$18,MATCH($A40,'Ex post LI &amp; Eligibility Stats'!$A$6:$A$18,0),MATCH('Program MW '!R$30,'Ex post LI &amp; Eligibility Stats'!$A$6:$N$6,0))/1000)</f>
        <v>19.096</v>
      </c>
      <c r="T40" s="234">
        <v>4610</v>
      </c>
      <c r="U40" s="232"/>
    </row>
    <row r="41" spans="1:21" s="226" customFormat="1" ht="12.75">
      <c r="A41" s="19" t="s">
        <v>83</v>
      </c>
      <c r="B41" s="186">
        <v>30669</v>
      </c>
      <c r="C41" s="344">
        <f>B41*(INDEX('Ex ante LI &amp; Eligibility Stats'!$A$5:$M$17,MATCH($A41,'Ex ante LI &amp; Eligibility Stats'!$A$5:$A$17,0),MATCH('Program MW '!C$30,'Ex ante LI &amp; Eligibility Stats'!$A$5:$M$5,0))/1000)</f>
        <v>14.917537310325002</v>
      </c>
      <c r="D41" s="344">
        <f>B41*(INDEX('Ex post LI &amp; Eligibility Stats'!$A$6:$N$18,MATCH($A41,'Ex post LI &amp; Eligibility Stats'!$A$6:$A$18,0),MATCH('Program MW '!C$30,'Ex post LI &amp; Eligibility Stats'!$A$6:$N$6,0))/1000)</f>
        <v>18.4014</v>
      </c>
      <c r="E41" s="186">
        <v>30648</v>
      </c>
      <c r="F41" s="344">
        <f>E41*(INDEX('Ex ante LI &amp; Eligibility Stats'!$A$5:$M$17,MATCH($A41,'Ex ante LI &amp; Eligibility Stats'!$A$5:$A$17,0),MATCH('Program MW '!F$30,'Ex ante LI &amp; Eligibility Stats'!$A$5:$M$5,0))/1000)</f>
        <v>17.318243140200003</v>
      </c>
      <c r="G41" s="344">
        <f>E41*(INDEX('Ex post LI &amp; Eligibility Stats'!$A$6:$N$18,MATCH($A41,'Ex post LI &amp; Eligibility Stats'!$A$6:$A$18,0),MATCH('Program MW '!F$30,'Ex post LI &amp; Eligibility Stats'!$A$6:$N$6,0))/1000)</f>
        <v>18.3888</v>
      </c>
      <c r="H41" s="186">
        <v>30582</v>
      </c>
      <c r="I41" s="344">
        <f>H41*(INDEX('Ex ante LI &amp; Eligibility Stats'!$A$5:$M$17,MATCH($A41,'Ex ante LI &amp; Eligibility Stats'!$A$5:$A$17,0),MATCH('Program MW '!I$30,'Ex ante LI &amp; Eligibility Stats'!$A$5:$M$5,0))/1000)</f>
        <v>20.76918041925</v>
      </c>
      <c r="J41" s="344">
        <f>H41*(INDEX('Ex post LI &amp; Eligibility Stats'!$A$6:$N$18,MATCH($A41,'Ex post LI &amp; Eligibility Stats'!$A$6:$A$18,0),MATCH('Program MW '!I$30,'Ex post LI &amp; Eligibility Stats'!$A$6:$N$6,0))/1000)</f>
        <v>18.3492</v>
      </c>
      <c r="K41" s="186">
        <v>29729</v>
      </c>
      <c r="L41" s="344">
        <f>K41*(INDEX('Ex ante LI &amp; Eligibility Stats'!$A$5:$M$17,MATCH($A41,'Ex ante LI &amp; Eligibility Stats'!$A$5:$A$17,0),MATCH('Program MW '!L$30,'Ex ante LI &amp; Eligibility Stats'!$A$5:$M$5,0))/1000)</f>
        <v>16.2092526673</v>
      </c>
      <c r="M41" s="344">
        <f>K41*(INDEX('Ex post LI &amp; Eligibility Stats'!$A$6:$N$18,MATCH($A41,'Ex post LI &amp; Eligibility Stats'!$A$6:$A$18,0),MATCH('Program MW '!L$30,'Ex post LI &amp; Eligibility Stats'!$A$6:$N$6,0))/1000)</f>
        <v>17.8374</v>
      </c>
      <c r="N41" s="186">
        <v>29430</v>
      </c>
      <c r="O41" s="344">
        <f>N41*(INDEX('Ex ante LI &amp; Eligibility Stats'!$A$5:$M$17,MATCH($A41,'Ex ante LI &amp; Eligibility Stats'!$A$5:$A$17,0),MATCH('Program MW '!O$30,'Ex ante LI &amp; Eligibility Stats'!$A$5:$M$5,0))/1000)</f>
        <v>0</v>
      </c>
      <c r="P41" s="344">
        <f>N41*(INDEX('Ex post LI &amp; Eligibility Stats'!$A$6:$N$18,MATCH($A41,'Ex post LI &amp; Eligibility Stats'!$A$6:$A$18,0),MATCH('Program MW '!O$30,'Ex post LI &amp; Eligibility Stats'!$A$6:$N$6,0))/1000)</f>
        <v>17.657999999999998</v>
      </c>
      <c r="Q41" s="186">
        <v>29993</v>
      </c>
      <c r="R41" s="344">
        <f>Q41*(INDEX('Ex ante LI &amp; Eligibility Stats'!$A$5:$M$17,MATCH($A41,'Ex ante LI &amp; Eligibility Stats'!$A$5:$A$17,0),MATCH('Program MW '!R$30,'Ex ante LI &amp; Eligibility Stats'!$A$5:$M$5,0))/1000)</f>
        <v>0</v>
      </c>
      <c r="S41" s="344">
        <f>Q41*(INDEX('Ex post LI &amp; Eligibility Stats'!$A$6:$N$18,MATCH($A41,'Ex post LI &amp; Eligibility Stats'!$A$6:$A$18,0),MATCH('Program MW '!R$30,'Ex post LI &amp; Eligibility Stats'!$A$6:$N$6,0))/1000)</f>
        <v>17.9958</v>
      </c>
      <c r="T41" s="235">
        <v>4610</v>
      </c>
      <c r="U41" s="232"/>
    </row>
    <row r="42" spans="1:21" s="226" customFormat="1" ht="12.75">
      <c r="A42" s="19" t="s">
        <v>84</v>
      </c>
      <c r="B42" s="186">
        <v>13399</v>
      </c>
      <c r="C42" s="344">
        <f>B42*(INDEX('Ex ante LI &amp; Eligibility Stats'!$A$5:$M$17,MATCH($A42,'Ex ante LI &amp; Eligibility Stats'!$A$5:$A$17,0),MATCH('Program MW '!C$30,'Ex ante LI &amp; Eligibility Stats'!$A$5:$M$5,0))/1000)</f>
        <v>5.695013817249999</v>
      </c>
      <c r="D42" s="344">
        <f>B42*(INDEX('Ex post LI &amp; Eligibility Stats'!$A$6:$N$18,MATCH($A42,'Ex post LI &amp; Eligibility Stats'!$A$6:$A$18,0),MATCH('Program MW '!C$30,'Ex post LI &amp; Eligibility Stats'!$A$6:$N$6,0))/1000)</f>
        <v>6.6995000000000005</v>
      </c>
      <c r="E42" s="186">
        <v>13390</v>
      </c>
      <c r="F42" s="344">
        <f>E42*(INDEX('Ex ante LI &amp; Eligibility Stats'!$A$5:$M$17,MATCH($A42,'Ex ante LI &amp; Eligibility Stats'!$A$5:$A$17,0),MATCH('Program MW '!F$30,'Ex ante LI &amp; Eligibility Stats'!$A$5:$M$5,0))/1000)</f>
        <v>6.263741575</v>
      </c>
      <c r="G42" s="344">
        <f>E42*(INDEX('Ex post LI &amp; Eligibility Stats'!$A$6:$N$18,MATCH($A42,'Ex post LI &amp; Eligibility Stats'!$A$6:$A$18,0),MATCH('Program MW '!F$30,'Ex post LI &amp; Eligibility Stats'!$A$6:$N$6,0))/1000)</f>
        <v>6.695</v>
      </c>
      <c r="H42" s="186">
        <v>13328</v>
      </c>
      <c r="I42" s="344">
        <f>H42*(INDEX('Ex ante LI &amp; Eligibility Stats'!$A$5:$M$17,MATCH($A42,'Ex ante LI &amp; Eligibility Stats'!$A$5:$A$17,0),MATCH('Program MW '!I$30,'Ex ante LI &amp; Eligibility Stats'!$A$5:$M$5,0))/1000)</f>
        <v>7.623815920000002</v>
      </c>
      <c r="J42" s="344">
        <f>H42*(INDEX('Ex post LI &amp; Eligibility Stats'!$A$6:$N$18,MATCH($A42,'Ex post LI &amp; Eligibility Stats'!$A$6:$A$18,0),MATCH('Program MW '!I$30,'Ex post LI &amp; Eligibility Stats'!$A$6:$N$6,0))/1000)</f>
        <v>6.664</v>
      </c>
      <c r="K42" s="186">
        <v>12567</v>
      </c>
      <c r="L42" s="344">
        <f>K42*(INDEX('Ex ante LI &amp; Eligibility Stats'!$A$5:$M$17,MATCH($A42,'Ex ante LI &amp; Eligibility Stats'!$A$5:$A$17,0),MATCH('Program MW '!L$30,'Ex ante LI &amp; Eligibility Stats'!$A$5:$M$5,0))/1000)</f>
        <v>5.362923265500001</v>
      </c>
      <c r="M42" s="344">
        <f>K42*(INDEX('Ex post LI &amp; Eligibility Stats'!$A$6:$N$18,MATCH($A42,'Ex post LI &amp; Eligibility Stats'!$A$6:$A$18,0),MATCH('Program MW '!L$30,'Ex post LI &amp; Eligibility Stats'!$A$6:$N$6,0))/1000)</f>
        <v>6.2835</v>
      </c>
      <c r="N42" s="186">
        <v>12692</v>
      </c>
      <c r="O42" s="344">
        <f>N42*(INDEX('Ex ante LI &amp; Eligibility Stats'!$A$5:$M$17,MATCH($A42,'Ex ante LI &amp; Eligibility Stats'!$A$5:$A$17,0),MATCH('Program MW '!O$30,'Ex ante LI &amp; Eligibility Stats'!$A$5:$M$5,0))/1000)</f>
        <v>0</v>
      </c>
      <c r="P42" s="344">
        <f>N42*(INDEX('Ex post LI &amp; Eligibility Stats'!$A$6:$N$18,MATCH($A42,'Ex post LI &amp; Eligibility Stats'!$A$6:$A$18,0),MATCH('Program MW '!O$30,'Ex post LI &amp; Eligibility Stats'!$A$6:$N$6,0))/1000)</f>
        <v>6.346</v>
      </c>
      <c r="Q42" s="186">
        <v>12977</v>
      </c>
      <c r="R42" s="344">
        <f>Q42*(INDEX('Ex ante LI &amp; Eligibility Stats'!$A$5:$M$17,MATCH($A42,'Ex ante LI &amp; Eligibility Stats'!$A$5:$A$17,0),MATCH('Program MW '!R$30,'Ex ante LI &amp; Eligibility Stats'!$A$5:$M$5,0))/1000)</f>
        <v>0</v>
      </c>
      <c r="S42" s="344">
        <f>Q42*(INDEX('Ex post LI &amp; Eligibility Stats'!$A$6:$N$18,MATCH($A42,'Ex post LI &amp; Eligibility Stats'!$A$6:$A$18,0),MATCH('Program MW '!R$30,'Ex post LI &amp; Eligibility Stats'!$A$6:$N$6,0))/1000)</f>
        <v>6.4885</v>
      </c>
      <c r="T42" s="235">
        <v>4610</v>
      </c>
      <c r="U42" s="232"/>
    </row>
    <row r="43" spans="1:21" s="226" customFormat="1" ht="12.75">
      <c r="A43" s="19" t="s">
        <v>85</v>
      </c>
      <c r="B43" s="186">
        <v>108</v>
      </c>
      <c r="C43" s="344">
        <f>B43*(INDEX('Ex ante LI &amp; Eligibility Stats'!$A$5:$M$17,MATCH($A43,'Ex ante LI &amp; Eligibility Stats'!$A$5:$A$17,0),MATCH('Program MW '!C$30,'Ex ante LI &amp; Eligibility Stats'!$A$5:$M$5,0))/1000)</f>
        <v>5.840200705198648</v>
      </c>
      <c r="D43" s="344">
        <f>B43*(INDEX('Ex post LI &amp; Eligibility Stats'!$A$6:$N$18,MATCH($A43,'Ex post LI &amp; Eligibility Stats'!$A$6:$A$18,0),MATCH('Program MW '!C$30,'Ex post LI &amp; Eligibility Stats'!$A$6:$N$6,0))/1000)</f>
        <v>6.3504</v>
      </c>
      <c r="E43" s="186">
        <v>112</v>
      </c>
      <c r="F43" s="344">
        <f>E43*(INDEX('Ex ante LI &amp; Eligibility Stats'!$A$5:$M$17,MATCH($A43,'Ex ante LI &amp; Eligibility Stats'!$A$5:$A$17,0),MATCH('Program MW '!F$30,'Ex ante LI &amp; Eligibility Stats'!$A$5:$M$5,0))/1000)</f>
        <v>6.041992479281515</v>
      </c>
      <c r="G43" s="344">
        <f>E43*(INDEX('Ex post LI &amp; Eligibility Stats'!$A$6:$N$18,MATCH($A43,'Ex post LI &amp; Eligibility Stats'!$A$6:$A$18,0),MATCH('Program MW '!F$30,'Ex post LI &amp; Eligibility Stats'!$A$6:$N$6,0))/1000)</f>
        <v>6.5855999999999995</v>
      </c>
      <c r="H43" s="186">
        <v>114</v>
      </c>
      <c r="I43" s="344">
        <f>H43*(INDEX('Ex ante LI &amp; Eligibility Stats'!$A$5:$M$17,MATCH($A43,'Ex ante LI &amp; Eligibility Stats'!$A$5:$A$17,0),MATCH('Program MW '!I$30,'Ex ante LI &amp; Eligibility Stats'!$A$5:$M$5,0))/1000)</f>
        <v>6.423844557665585</v>
      </c>
      <c r="J43" s="344">
        <f>H43*(INDEX('Ex post LI &amp; Eligibility Stats'!$A$6:$N$18,MATCH($A43,'Ex post LI &amp; Eligibility Stats'!$A$6:$A$18,0),MATCH('Program MW '!I$30,'Ex post LI &amp; Eligibility Stats'!$A$6:$N$6,0))/1000)</f>
        <v>6.7032</v>
      </c>
      <c r="K43" s="186">
        <v>115</v>
      </c>
      <c r="L43" s="344">
        <f>K43*(INDEX('Ex ante LI &amp; Eligibility Stats'!$A$5:$M$17,MATCH($A43,'Ex ante LI &amp; Eligibility Stats'!$A$5:$A$17,0),MATCH('Program MW '!L$30,'Ex ante LI &amp; Eligibility Stats'!$A$5:$M$5,0))/1000)</f>
        <v>6.189128031219433</v>
      </c>
      <c r="M43" s="344">
        <f>K43*(INDEX('Ex post LI &amp; Eligibility Stats'!$A$6:$N$18,MATCH($A43,'Ex post LI &amp; Eligibility Stats'!$A$6:$A$18,0),MATCH('Program MW '!L$30,'Ex post LI &amp; Eligibility Stats'!$A$6:$N$6,0))/1000)</f>
        <v>6.762</v>
      </c>
      <c r="N43" s="186">
        <v>117</v>
      </c>
      <c r="O43" s="344">
        <f>N43*(INDEX('Ex ante LI &amp; Eligibility Stats'!$A$5:$M$17,MATCH($A43,'Ex ante LI &amp; Eligibility Stats'!$A$5:$A$17,0),MATCH('Program MW '!O$30,'Ex ante LI &amp; Eligibility Stats'!$A$5:$M$5,0))/1000)</f>
        <v>0</v>
      </c>
      <c r="P43" s="344">
        <f>N43*(INDEX('Ex post LI &amp; Eligibility Stats'!$A$6:$N$18,MATCH($A43,'Ex post LI &amp; Eligibility Stats'!$A$6:$A$18,0),MATCH('Program MW '!O$30,'Ex post LI &amp; Eligibility Stats'!$A$6:$N$6,0))/1000)</f>
        <v>6.8796</v>
      </c>
      <c r="Q43" s="186">
        <v>118</v>
      </c>
      <c r="R43" s="344">
        <f>Q43*(INDEX('Ex ante LI &amp; Eligibility Stats'!$A$5:$M$17,MATCH($A43,'Ex ante LI &amp; Eligibility Stats'!$A$5:$A$17,0),MATCH('Program MW '!R$30,'Ex ante LI &amp; Eligibility Stats'!$A$5:$M$5,0))/1000)</f>
        <v>0</v>
      </c>
      <c r="S43" s="344">
        <f>Q43*(INDEX('Ex post LI &amp; Eligibility Stats'!$A$6:$N$18,MATCH($A43,'Ex post LI &amp; Eligibility Stats'!$A$6:$A$18,0),MATCH('Program MW '!R$30,'Ex post LI &amp; Eligibility Stats'!$A$6:$N$6,0))/1000)</f>
        <v>6.9384</v>
      </c>
      <c r="T43" s="235">
        <v>4610</v>
      </c>
      <c r="U43" s="232"/>
    </row>
    <row r="44" spans="1:21" s="226" customFormat="1" ht="12.75">
      <c r="A44" s="19" t="s">
        <v>86</v>
      </c>
      <c r="B44" s="186">
        <v>432</v>
      </c>
      <c r="C44" s="344">
        <f>B44*(INDEX('Ex ante LI &amp; Eligibility Stats'!$A$5:$M$17,MATCH($A44,'Ex ante LI &amp; Eligibility Stats'!$A$5:$A$17,0),MATCH('Program MW '!C$30,'Ex ante LI &amp; Eligibility Stats'!$A$5:$M$5,0))/1000)</f>
        <v>10.984474407679583</v>
      </c>
      <c r="D44" s="344">
        <f>B44*(INDEX('Ex post LI &amp; Eligibility Stats'!$A$6:$N$18,MATCH($A44,'Ex post LI &amp; Eligibility Stats'!$A$6:$A$18,0),MATCH('Program MW '!C$30,'Ex post LI &amp; Eligibility Stats'!$A$6:$N$6,0))/1000)</f>
        <v>13.789440000000003</v>
      </c>
      <c r="E44" s="186">
        <v>449</v>
      </c>
      <c r="F44" s="344">
        <f>E44*(INDEX('Ex ante LI &amp; Eligibility Stats'!$A$5:$M$17,MATCH($A44,'Ex ante LI &amp; Eligibility Stats'!$A$5:$A$17,0),MATCH('Program MW '!F$30,'Ex ante LI &amp; Eligibility Stats'!$A$5:$M$5,0))/1000)</f>
        <v>11.442941768394132</v>
      </c>
      <c r="G44" s="344">
        <f>E44*(INDEX('Ex post LI &amp; Eligibility Stats'!$A$6:$N$18,MATCH($A44,'Ex post LI &amp; Eligibility Stats'!$A$6:$A$18,0),MATCH('Program MW '!F$30,'Ex post LI &amp; Eligibility Stats'!$A$6:$N$6,0))/1000)</f>
        <v>14.332080000000001</v>
      </c>
      <c r="H44" s="186">
        <v>455</v>
      </c>
      <c r="I44" s="344">
        <f>H44*(INDEX('Ex ante LI &amp; Eligibility Stats'!$A$5:$M$17,MATCH($A44,'Ex ante LI &amp; Eligibility Stats'!$A$5:$A$17,0),MATCH('Program MW '!I$30,'Ex ante LI &amp; Eligibility Stats'!$A$5:$M$5,0))/1000)</f>
        <v>11.99296288848924</v>
      </c>
      <c r="J44" s="344">
        <f>H44*(INDEX('Ex post LI &amp; Eligibility Stats'!$A$6:$N$18,MATCH($A44,'Ex post LI &amp; Eligibility Stats'!$A$6:$A$18,0),MATCH('Program MW '!I$30,'Ex post LI &amp; Eligibility Stats'!$A$6:$N$6,0))/1000)</f>
        <v>14.523600000000002</v>
      </c>
      <c r="K44" s="186">
        <v>458</v>
      </c>
      <c r="L44" s="344">
        <f>K44*(INDEX('Ex ante LI &amp; Eligibility Stats'!$A$5:$M$17,MATCH($A44,'Ex ante LI &amp; Eligibility Stats'!$A$5:$A$17,0),MATCH('Program MW '!L$30,'Ex ante LI &amp; Eligibility Stats'!$A$5:$M$5,0))/1000)</f>
        <v>11.545458964020282</v>
      </c>
      <c r="M44" s="344">
        <f>K44*(INDEX('Ex post LI &amp; Eligibility Stats'!$A$6:$N$18,MATCH($A44,'Ex post LI &amp; Eligibility Stats'!$A$6:$A$18,0),MATCH('Program MW '!L$30,'Ex post LI &amp; Eligibility Stats'!$A$6:$N$6,0))/1000)</f>
        <v>14.619360000000002</v>
      </c>
      <c r="N44" s="186">
        <v>469</v>
      </c>
      <c r="O44" s="344">
        <f>N44*(INDEX('Ex ante LI &amp; Eligibility Stats'!$A$5:$M$17,MATCH($A44,'Ex ante LI &amp; Eligibility Stats'!$A$5:$A$17,0),MATCH('Program MW '!O$30,'Ex ante LI &amp; Eligibility Stats'!$A$5:$M$5,0))/1000)</f>
        <v>0</v>
      </c>
      <c r="P44" s="344">
        <f>N44*(INDEX('Ex post LI &amp; Eligibility Stats'!$A$6:$N$18,MATCH($A44,'Ex post LI &amp; Eligibility Stats'!$A$6:$A$18,0),MATCH('Program MW '!O$30,'Ex post LI &amp; Eligibility Stats'!$A$6:$N$6,0))/1000)</f>
        <v>14.970480000000002</v>
      </c>
      <c r="Q44" s="186">
        <v>470</v>
      </c>
      <c r="R44" s="344">
        <f>Q44*(INDEX('Ex ante LI &amp; Eligibility Stats'!$A$5:$M$17,MATCH($A44,'Ex ante LI &amp; Eligibility Stats'!$A$5:$A$17,0),MATCH('Program MW '!R$30,'Ex ante LI &amp; Eligibility Stats'!$A$5:$M$5,0))/1000)</f>
        <v>0</v>
      </c>
      <c r="S44" s="344">
        <f>Q44*(INDEX('Ex post LI &amp; Eligibility Stats'!$A$6:$N$18,MATCH($A44,'Ex post LI &amp; Eligibility Stats'!$A$6:$A$18,0),MATCH('Program MW '!R$30,'Ex post LI &amp; Eligibility Stats'!$A$6:$N$6,0))/1000)</f>
        <v>15.002400000000002</v>
      </c>
      <c r="T44" s="235">
        <v>4610</v>
      </c>
      <c r="U44" s="232"/>
    </row>
    <row r="45" spans="1:21" s="226" customFormat="1" ht="12.75">
      <c r="A45" s="19" t="s">
        <v>79</v>
      </c>
      <c r="B45" s="186">
        <v>16</v>
      </c>
      <c r="C45" s="344">
        <f>B45*(INDEX('Ex ante LI &amp; Eligibility Stats'!$A$5:$M$17,MATCH($A45,'Ex ante LI &amp; Eligibility Stats'!$A$5:$A$17,0),MATCH('Program MW '!C$30,'Ex ante LI &amp; Eligibility Stats'!$A$5:$M$5,0))/1000)</f>
        <v>0</v>
      </c>
      <c r="D45" s="344">
        <f>B45*(INDEX('Ex post LI &amp; Eligibility Stats'!$A$6:$N$18,MATCH($A45,'Ex post LI &amp; Eligibility Stats'!$A$6:$A$18,0),MATCH('Program MW '!C$30,'Ex post LI &amp; Eligibility Stats'!$A$6:$N$6,0))/1000)</f>
        <v>1.216</v>
      </c>
      <c r="E45" s="186">
        <v>16</v>
      </c>
      <c r="F45" s="344">
        <f>E45*(INDEX('Ex ante LI &amp; Eligibility Stats'!$A$5:$M$17,MATCH($A45,'Ex ante LI &amp; Eligibility Stats'!$A$5:$A$17,0),MATCH('Program MW '!F$30,'Ex ante LI &amp; Eligibility Stats'!$A$5:$M$5,0))/1000)</f>
        <v>0</v>
      </c>
      <c r="G45" s="344">
        <f>E45*(INDEX('Ex post LI &amp; Eligibility Stats'!$A$6:$N$18,MATCH($A45,'Ex post LI &amp; Eligibility Stats'!$A$6:$A$18,0),MATCH('Program MW '!F$30,'Ex post LI &amp; Eligibility Stats'!$A$6:$N$6,0))/1000)</f>
        <v>1.216</v>
      </c>
      <c r="H45" s="186">
        <v>16</v>
      </c>
      <c r="I45" s="344">
        <f>H45*(INDEX('Ex ante LI &amp; Eligibility Stats'!$A$5:$M$17,MATCH($A45,'Ex ante LI &amp; Eligibility Stats'!$A$5:$A$17,0),MATCH('Program MW '!I$30,'Ex ante LI &amp; Eligibility Stats'!$A$5:$M$5,0))/1000)</f>
        <v>0</v>
      </c>
      <c r="J45" s="344">
        <f>H45*(INDEX('Ex post LI &amp; Eligibility Stats'!$A$6:$N$18,MATCH($A45,'Ex post LI &amp; Eligibility Stats'!$A$6:$A$18,0),MATCH('Program MW '!I$30,'Ex post LI &amp; Eligibility Stats'!$A$6:$N$6,0))/1000)</f>
        <v>1.216</v>
      </c>
      <c r="K45" s="186">
        <v>16</v>
      </c>
      <c r="L45" s="344">
        <f>K45*(INDEX('Ex ante LI &amp; Eligibility Stats'!$A$5:$M$17,MATCH($A45,'Ex ante LI &amp; Eligibility Stats'!$A$5:$A$17,0),MATCH('Program MW '!L$30,'Ex ante LI &amp; Eligibility Stats'!$A$5:$M$5,0))/1000)</f>
        <v>0</v>
      </c>
      <c r="M45" s="344">
        <f>K45*(INDEX('Ex post LI &amp; Eligibility Stats'!$A$6:$N$18,MATCH($A45,'Ex post LI &amp; Eligibility Stats'!$A$6:$A$18,0),MATCH('Program MW '!L$30,'Ex post LI &amp; Eligibility Stats'!$A$6:$N$6,0))/1000)</f>
        <v>1.216</v>
      </c>
      <c r="N45" s="186">
        <v>16</v>
      </c>
      <c r="O45" s="344">
        <f>N45*(INDEX('Ex ante LI &amp; Eligibility Stats'!$A$5:$M$17,MATCH($A45,'Ex ante LI &amp; Eligibility Stats'!$A$5:$A$17,0),MATCH('Program MW '!O$30,'Ex ante LI &amp; Eligibility Stats'!$A$5:$M$5,0))/1000)</f>
        <v>0</v>
      </c>
      <c r="P45" s="344">
        <f>N45*(INDEX('Ex post LI &amp; Eligibility Stats'!$A$6:$N$18,MATCH($A45,'Ex post LI &amp; Eligibility Stats'!$A$6:$A$18,0),MATCH('Program MW '!O$30,'Ex post LI &amp; Eligibility Stats'!$A$6:$N$6,0))/1000)</f>
        <v>1.216</v>
      </c>
      <c r="Q45" s="186">
        <v>16</v>
      </c>
      <c r="R45" s="344">
        <f>Q45*(INDEX('Ex ante LI &amp; Eligibility Stats'!$A$5:$M$17,MATCH($A45,'Ex ante LI &amp; Eligibility Stats'!$A$5:$A$17,0),MATCH('Program MW '!R$30,'Ex ante LI &amp; Eligibility Stats'!$A$5:$M$5,0))/1000)</f>
        <v>0</v>
      </c>
      <c r="S45" s="344">
        <f>Q45*(INDEX('Ex post LI &amp; Eligibility Stats'!$A$6:$N$18,MATCH($A45,'Ex post LI &amp; Eligibility Stats'!$A$6:$A$18,0),MATCH('Program MW '!R$30,'Ex post LI &amp; Eligibility Stats'!$A$6:$N$6,0))/1000)</f>
        <v>1.216</v>
      </c>
      <c r="T45" s="235">
        <v>4610</v>
      </c>
      <c r="U45" s="232"/>
    </row>
    <row r="46" spans="1:21" s="226" customFormat="1" ht="12.75">
      <c r="A46" s="19" t="s">
        <v>32</v>
      </c>
      <c r="B46" s="186">
        <v>63</v>
      </c>
      <c r="C46" s="344">
        <f>B46*(INDEX('Ex ante LI &amp; Eligibility Stats'!$A$5:$M$17,MATCH($A46,'Ex ante LI &amp; Eligibility Stats'!$A$5:$A$17,0),MATCH('Program MW '!C$30,'Ex ante LI &amp; Eligibility Stats'!$A$5:$M$5,0))/1000)</f>
        <v>7.0419985714285716</v>
      </c>
      <c r="D46" s="345" t="s">
        <v>13</v>
      </c>
      <c r="E46" s="186">
        <v>102</v>
      </c>
      <c r="F46" s="344">
        <f>E46*(INDEX('Ex ante LI &amp; Eligibility Stats'!$A$5:$M$17,MATCH($A46,'Ex ante LI &amp; Eligibility Stats'!$A$5:$A$17,0),MATCH('Program MW '!F$30,'Ex ante LI &amp; Eligibility Stats'!$A$5:$M$5,0))/1000)</f>
        <v>12.510604583333333</v>
      </c>
      <c r="G46" s="345" t="s">
        <v>13</v>
      </c>
      <c r="H46" s="186">
        <v>105</v>
      </c>
      <c r="I46" s="344">
        <f>H46*(INDEX('Ex ante LI &amp; Eligibility Stats'!$A$5:$M$17,MATCH($A46,'Ex ante LI &amp; Eligibility Stats'!$A$5:$A$17,0),MATCH('Program MW '!I$30,'Ex ante LI &amp; Eligibility Stats'!$A$5:$M$5,0))/1000)</f>
        <v>12.77326544117647</v>
      </c>
      <c r="J46" s="345" t="s">
        <v>13</v>
      </c>
      <c r="K46" s="186">
        <v>105</v>
      </c>
      <c r="L46" s="344">
        <f>K46*(INDEX('Ex ante LI &amp; Eligibility Stats'!$A$5:$M$17,MATCH($A46,'Ex ante LI &amp; Eligibility Stats'!$A$5:$A$17,0),MATCH('Program MW '!L$30,'Ex ante LI &amp; Eligibility Stats'!$A$5:$M$5,0))/1000)</f>
        <v>10.333009302325582</v>
      </c>
      <c r="M46" s="345" t="s">
        <v>13</v>
      </c>
      <c r="N46" s="186">
        <v>105</v>
      </c>
      <c r="O46" s="344">
        <f>N46*(INDEX('Ex ante LI &amp; Eligibility Stats'!$A$5:$M$17,MATCH($A46,'Ex ante LI &amp; Eligibility Stats'!$A$5:$A$17,0),MATCH('Program MW '!O$30,'Ex ante LI &amp; Eligibility Stats'!$A$5:$M$5,0))/1000)</f>
        <v>0</v>
      </c>
      <c r="P46" s="345" t="s">
        <v>13</v>
      </c>
      <c r="Q46" s="186">
        <v>105</v>
      </c>
      <c r="R46" s="344">
        <f>Q46*(INDEX('Ex ante LI &amp; Eligibility Stats'!$A$5:$M$17,MATCH($A46,'Ex ante LI &amp; Eligibility Stats'!$A$5:$A$17,0),MATCH('Program MW '!R$30,'Ex ante LI &amp; Eligibility Stats'!$A$5:$M$5,0))/1000)</f>
        <v>0</v>
      </c>
      <c r="S46" s="345" t="s">
        <v>13</v>
      </c>
      <c r="T46" s="235">
        <v>4610</v>
      </c>
      <c r="U46" s="232"/>
    </row>
    <row r="47" spans="1:21" s="226" customFormat="1" ht="13.5" thickBot="1">
      <c r="A47" s="192" t="s">
        <v>34</v>
      </c>
      <c r="B47" s="237">
        <f aca="true" t="shared" si="4" ref="B47:S47">SUM(B40:B46)</f>
        <v>46089</v>
      </c>
      <c r="C47" s="196">
        <f t="shared" si="4"/>
        <v>63.617089478064685</v>
      </c>
      <c r="D47" s="195">
        <f t="shared" si="4"/>
        <v>66.08474</v>
      </c>
      <c r="E47" s="237">
        <f t="shared" si="4"/>
        <v>46088</v>
      </c>
      <c r="F47" s="196">
        <f t="shared" si="4"/>
        <v>72.19814248830659</v>
      </c>
      <c r="G47" s="195">
        <f t="shared" si="4"/>
        <v>66.41148</v>
      </c>
      <c r="H47" s="237">
        <f t="shared" si="4"/>
        <v>45966</v>
      </c>
      <c r="I47" s="196">
        <f t="shared" si="4"/>
        <v>78.98680736756012</v>
      </c>
      <c r="J47" s="195">
        <f t="shared" si="4"/>
        <v>66.58</v>
      </c>
      <c r="K47" s="237">
        <f t="shared" si="4"/>
        <v>44357</v>
      </c>
      <c r="L47" s="196">
        <f t="shared" si="4"/>
        <v>68.78036792684624</v>
      </c>
      <c r="M47" s="195">
        <f t="shared" si="4"/>
        <v>65.85625999999999</v>
      </c>
      <c r="N47" s="237">
        <f t="shared" si="4"/>
        <v>44194</v>
      </c>
      <c r="O47" s="196">
        <f t="shared" si="4"/>
        <v>16.723374337748346</v>
      </c>
      <c r="P47" s="195">
        <f t="shared" si="4"/>
        <v>66.18007999999999</v>
      </c>
      <c r="Q47" s="237">
        <f t="shared" si="4"/>
        <v>45043</v>
      </c>
      <c r="R47" s="196">
        <f t="shared" si="4"/>
        <v>14.319118877400296</v>
      </c>
      <c r="S47" s="195">
        <f t="shared" si="4"/>
        <v>66.7371</v>
      </c>
      <c r="T47" s="217"/>
      <c r="U47" s="232"/>
    </row>
    <row r="48" spans="1:21" ht="14.25" thickBot="1" thickTop="1">
      <c r="A48" s="209" t="s">
        <v>23</v>
      </c>
      <c r="B48" s="213">
        <f aca="true" t="shared" si="5" ref="B48:S48">+B38+B47</f>
        <v>46118</v>
      </c>
      <c r="C48" s="238">
        <f t="shared" si="5"/>
        <v>72.36017850906468</v>
      </c>
      <c r="D48" s="216">
        <f t="shared" si="5"/>
        <v>79.23374</v>
      </c>
      <c r="E48" s="213">
        <f t="shared" si="5"/>
        <v>46117</v>
      </c>
      <c r="F48" s="238">
        <f t="shared" si="5"/>
        <v>80.95361096930658</v>
      </c>
      <c r="G48" s="216">
        <f t="shared" si="5"/>
        <v>79.56048</v>
      </c>
      <c r="H48" s="213">
        <f t="shared" si="5"/>
        <v>45992</v>
      </c>
      <c r="I48" s="238">
        <f t="shared" si="5"/>
        <v>86.92483474956012</v>
      </c>
      <c r="J48" s="216">
        <f t="shared" si="5"/>
        <v>78.698</v>
      </c>
      <c r="K48" s="213">
        <f t="shared" si="5"/>
        <v>44386</v>
      </c>
      <c r="L48" s="238">
        <f t="shared" si="5"/>
        <v>77.92766493084623</v>
      </c>
      <c r="M48" s="216">
        <f t="shared" si="5"/>
        <v>79.68726</v>
      </c>
      <c r="N48" s="213">
        <f t="shared" si="5"/>
        <v>44223</v>
      </c>
      <c r="O48" s="238">
        <f t="shared" si="5"/>
        <v>25.223063891748346</v>
      </c>
      <c r="P48" s="216">
        <f t="shared" si="5"/>
        <v>80.01107999999999</v>
      </c>
      <c r="Q48" s="239">
        <f t="shared" si="5"/>
        <v>45072</v>
      </c>
      <c r="R48" s="238">
        <f t="shared" si="5"/>
        <v>22.630584906400298</v>
      </c>
      <c r="S48" s="216">
        <f t="shared" si="5"/>
        <v>80.5681</v>
      </c>
      <c r="T48" s="223"/>
      <c r="U48" s="240"/>
    </row>
    <row r="49" spans="1:26" ht="13.5" thickTop="1">
      <c r="A49" s="218"/>
      <c r="B49" s="241"/>
      <c r="C49" s="241"/>
      <c r="D49" s="202"/>
      <c r="E49" s="241"/>
      <c r="F49" s="241"/>
      <c r="G49" s="241"/>
      <c r="H49" s="202"/>
      <c r="I49" s="241"/>
      <c r="J49" s="241"/>
      <c r="K49" s="241"/>
      <c r="L49" s="241"/>
      <c r="M49" s="202"/>
      <c r="N49" s="241"/>
      <c r="O49" s="241"/>
      <c r="P49" s="241"/>
      <c r="Q49" s="202"/>
      <c r="R49" s="241"/>
      <c r="S49" s="241"/>
      <c r="T49" s="241"/>
      <c r="U49" s="202"/>
      <c r="V49" s="241"/>
      <c r="W49" s="241"/>
      <c r="X49" s="208"/>
      <c r="Y49" s="242"/>
      <c r="Z49" s="242"/>
    </row>
    <row r="50" spans="1:26" ht="12.75">
      <c r="A50" s="218"/>
      <c r="B50" s="202"/>
      <c r="C50" s="202"/>
      <c r="D50" s="202"/>
      <c r="E50" s="241"/>
      <c r="F50" s="202"/>
      <c r="G50" s="241"/>
      <c r="H50" s="202"/>
      <c r="I50" s="202"/>
      <c r="J50" s="202"/>
      <c r="K50" s="241"/>
      <c r="L50" s="202"/>
      <c r="M50" s="202"/>
      <c r="N50" s="202"/>
      <c r="O50" s="202"/>
      <c r="P50" s="335"/>
      <c r="Q50" s="202"/>
      <c r="R50" s="202"/>
      <c r="S50" s="202"/>
      <c r="T50" s="241"/>
      <c r="U50" s="202"/>
      <c r="V50" s="202"/>
      <c r="W50" s="241"/>
      <c r="X50" s="208"/>
      <c r="Y50" s="208"/>
      <c r="Z50" s="242"/>
    </row>
    <row r="51" spans="1:26" ht="12.75">
      <c r="A51" s="243"/>
      <c r="B51" s="244"/>
      <c r="C51" s="244"/>
      <c r="D51" s="244"/>
      <c r="E51" s="244"/>
      <c r="F51" s="334"/>
      <c r="G51" s="244"/>
      <c r="H51" s="334"/>
      <c r="I51" s="244"/>
      <c r="J51" s="244"/>
      <c r="K51" s="244"/>
      <c r="L51" s="244"/>
      <c r="M51" s="244"/>
      <c r="N51" s="244"/>
      <c r="O51" s="244"/>
      <c r="P51" s="336"/>
      <c r="Q51" s="244"/>
      <c r="R51" s="244"/>
      <c r="S51" s="244"/>
      <c r="T51" s="244"/>
      <c r="U51" s="244"/>
      <c r="V51" s="244"/>
      <c r="W51" s="244"/>
      <c r="X51" s="244"/>
      <c r="Y51" s="244"/>
      <c r="Z51" s="244"/>
    </row>
    <row r="52" spans="1:26" ht="12.75">
      <c r="A52" s="421"/>
      <c r="B52" s="421"/>
      <c r="C52" s="421"/>
      <c r="D52" s="421"/>
      <c r="E52" s="421"/>
      <c r="F52" s="421"/>
      <c r="G52" s="421"/>
      <c r="H52" s="421"/>
      <c r="I52" s="421"/>
      <c r="J52" s="421"/>
      <c r="K52" s="421"/>
      <c r="L52" s="421"/>
      <c r="M52" s="421"/>
      <c r="N52" s="421"/>
      <c r="O52" s="421"/>
      <c r="P52" s="421"/>
      <c r="Q52" s="421"/>
      <c r="R52" s="421"/>
      <c r="S52" s="421"/>
      <c r="T52" s="421"/>
      <c r="U52" s="421"/>
      <c r="V52" s="421"/>
      <c r="W52" s="421"/>
      <c r="X52" s="421"/>
      <c r="Y52" s="421"/>
      <c r="Z52" s="421"/>
    </row>
    <row r="53" spans="1:26" ht="12.75">
      <c r="A53" s="419"/>
      <c r="B53" s="420"/>
      <c r="C53" s="420"/>
      <c r="D53" s="420"/>
      <c r="E53" s="420"/>
      <c r="F53" s="420"/>
      <c r="G53" s="420"/>
      <c r="H53" s="420"/>
      <c r="I53" s="420"/>
      <c r="J53" s="420"/>
      <c r="K53" s="420"/>
      <c r="L53" s="420"/>
      <c r="M53" s="420"/>
      <c r="N53" s="420"/>
      <c r="O53" s="245"/>
      <c r="P53" s="245"/>
      <c r="Q53" s="245"/>
      <c r="R53" s="245"/>
      <c r="S53" s="245"/>
      <c r="T53" s="245"/>
      <c r="U53" s="245"/>
      <c r="V53" s="245"/>
      <c r="W53" s="245"/>
      <c r="X53" s="245"/>
      <c r="Y53" s="245"/>
      <c r="Z53" s="245"/>
    </row>
    <row r="54" spans="1:26" ht="12.75">
      <c r="A54" s="419"/>
      <c r="B54" s="420"/>
      <c r="C54" s="420"/>
      <c r="D54" s="420"/>
      <c r="E54" s="420"/>
      <c r="F54" s="420"/>
      <c r="G54" s="420"/>
      <c r="H54" s="420"/>
      <c r="I54" s="420"/>
      <c r="J54" s="420"/>
      <c r="K54" s="420"/>
      <c r="L54" s="420"/>
      <c r="M54" s="420"/>
      <c r="N54" s="420"/>
      <c r="O54" s="245"/>
      <c r="P54" s="245"/>
      <c r="Q54" s="245"/>
      <c r="R54" s="245"/>
      <c r="S54" s="245"/>
      <c r="T54" s="245"/>
      <c r="U54" s="245"/>
      <c r="V54" s="245"/>
      <c r="W54" s="245"/>
      <c r="X54" s="245"/>
      <c r="Y54" s="245"/>
      <c r="Z54" s="245"/>
    </row>
    <row r="55" spans="1:26" ht="27.75" customHeight="1">
      <c r="A55" s="420"/>
      <c r="B55" s="420"/>
      <c r="C55" s="420"/>
      <c r="D55" s="420"/>
      <c r="E55" s="420"/>
      <c r="F55" s="420"/>
      <c r="G55" s="420"/>
      <c r="H55" s="420"/>
      <c r="I55" s="420"/>
      <c r="J55" s="420"/>
      <c r="K55" s="420"/>
      <c r="L55" s="420"/>
      <c r="M55" s="420"/>
      <c r="N55" s="420"/>
      <c r="O55" s="245"/>
      <c r="P55" s="245"/>
      <c r="Q55" s="245"/>
      <c r="R55" s="245"/>
      <c r="S55" s="245"/>
      <c r="T55" s="245"/>
      <c r="U55" s="245"/>
      <c r="V55" s="245"/>
      <c r="W55" s="245"/>
      <c r="X55" s="245"/>
      <c r="Y55" s="245"/>
      <c r="Z55" s="245"/>
    </row>
    <row r="56" spans="1:26" ht="12.75">
      <c r="A56" s="417"/>
      <c r="B56" s="418"/>
      <c r="C56" s="418"/>
      <c r="D56" s="418"/>
      <c r="E56" s="418"/>
      <c r="F56" s="418"/>
      <c r="G56" s="418"/>
      <c r="H56" s="418"/>
      <c r="I56" s="418"/>
      <c r="J56" s="418"/>
      <c r="K56" s="418"/>
      <c r="L56" s="418"/>
      <c r="M56" s="418"/>
      <c r="N56" s="418"/>
      <c r="O56" s="245"/>
      <c r="P56" s="245"/>
      <c r="Q56" s="245"/>
      <c r="R56" s="245"/>
      <c r="S56" s="245"/>
      <c r="T56" s="245"/>
      <c r="U56" s="245"/>
      <c r="V56" s="245"/>
      <c r="W56" s="245"/>
      <c r="X56" s="245"/>
      <c r="Y56" s="245"/>
      <c r="Z56" s="245"/>
    </row>
    <row r="57" spans="1:26" ht="25.5" customHeight="1">
      <c r="A57" s="418"/>
      <c r="B57" s="418"/>
      <c r="C57" s="418"/>
      <c r="D57" s="418"/>
      <c r="E57" s="418"/>
      <c r="F57" s="418"/>
      <c r="G57" s="418"/>
      <c r="H57" s="418"/>
      <c r="I57" s="418"/>
      <c r="J57" s="418"/>
      <c r="K57" s="418"/>
      <c r="L57" s="418"/>
      <c r="M57" s="418"/>
      <c r="N57" s="418"/>
      <c r="O57" s="246"/>
      <c r="P57" s="246"/>
      <c r="Q57" s="246"/>
      <c r="R57" s="246"/>
      <c r="S57" s="246"/>
      <c r="T57" s="246"/>
      <c r="U57" s="246"/>
      <c r="V57" s="246"/>
      <c r="W57" s="246"/>
      <c r="X57" s="246"/>
      <c r="Y57" s="246"/>
      <c r="Z57" s="246"/>
    </row>
    <row r="58" spans="1:26" ht="12.75">
      <c r="A58" s="247"/>
      <c r="B58" s="247"/>
      <c r="C58" s="247"/>
      <c r="D58" s="247"/>
      <c r="E58" s="247"/>
      <c r="F58" s="247"/>
      <c r="G58" s="247"/>
      <c r="H58" s="247"/>
      <c r="I58" s="247"/>
      <c r="J58" s="247"/>
      <c r="K58" s="247"/>
      <c r="L58" s="247"/>
      <c r="M58" s="247"/>
      <c r="N58" s="247"/>
      <c r="O58" s="247"/>
      <c r="P58" s="247"/>
      <c r="Q58" s="247"/>
      <c r="R58" s="247"/>
      <c r="S58" s="247"/>
      <c r="T58" s="246"/>
      <c r="U58" s="246"/>
      <c r="V58" s="246"/>
      <c r="W58" s="246"/>
      <c r="X58" s="246"/>
      <c r="Y58" s="246"/>
      <c r="Z58" s="246"/>
    </row>
    <row r="59" spans="1:14" ht="6" customHeight="1">
      <c r="A59" s="417"/>
      <c r="B59" s="418"/>
      <c r="C59" s="418"/>
      <c r="D59" s="418"/>
      <c r="E59" s="418"/>
      <c r="F59" s="418"/>
      <c r="G59" s="418"/>
      <c r="H59" s="418"/>
      <c r="I59" s="418"/>
      <c r="J59" s="418"/>
      <c r="K59" s="418"/>
      <c r="L59" s="418"/>
      <c r="M59" s="418"/>
      <c r="N59" s="418"/>
    </row>
    <row r="60" spans="1:14" ht="87.75" customHeight="1">
      <c r="A60" s="418"/>
      <c r="B60" s="418"/>
      <c r="C60" s="418"/>
      <c r="D60" s="418"/>
      <c r="E60" s="418"/>
      <c r="F60" s="418"/>
      <c r="G60" s="418"/>
      <c r="H60" s="418"/>
      <c r="I60" s="418"/>
      <c r="J60" s="418"/>
      <c r="K60" s="418"/>
      <c r="L60" s="418"/>
      <c r="M60" s="418"/>
      <c r="N60" s="418"/>
    </row>
    <row r="62" ht="12.75">
      <c r="A62" s="248"/>
    </row>
    <row r="63" ht="12.75">
      <c r="A63" s="246"/>
    </row>
  </sheetData>
  <sheetProtection/>
  <mergeCells count="4">
    <mergeCell ref="A59:N60"/>
    <mergeCell ref="A56:N57"/>
    <mergeCell ref="A53:N55"/>
    <mergeCell ref="A52:Z52"/>
  </mergeCells>
  <printOptions horizontalCentered="1"/>
  <pageMargins left="0" right="0" top="0.8" bottom="0.17" header="0.3" footer="0.15"/>
  <pageSetup cellComments="atEnd" horizontalDpi="600" verticalDpi="600" orientation="landscape" scale="55" r:id="rId1"/>
  <headerFooter alignWithMargins="0">
    <oddHeader>&amp;C&amp;"Arial,Bold"San Diego Gas and Electric
Interruptible and Price Responsive Programs
 Subscription Statistics - Enrolled MW
December 2010</oddHeader>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32"/>
  <sheetViews>
    <sheetView view="pageLayout" workbookViewId="0" topLeftCell="B3">
      <selection activeCell="G27" sqref="G27"/>
    </sheetView>
  </sheetViews>
  <sheetFormatPr defaultColWidth="9.140625" defaultRowHeight="12.75"/>
  <cols>
    <col min="1" max="1" width="37.28125" style="22" customWidth="1"/>
    <col min="2" max="2" width="11.140625" style="22" customWidth="1"/>
    <col min="3" max="3" width="10.00390625" style="22" customWidth="1"/>
    <col min="4" max="4" width="8.7109375" style="22" customWidth="1"/>
    <col min="5" max="5" width="8.57421875" style="22" customWidth="1"/>
    <col min="6" max="6" width="8.421875" style="22" customWidth="1"/>
    <col min="7" max="7" width="7.7109375" style="22" customWidth="1"/>
    <col min="8" max="8" width="8.140625" style="22" customWidth="1"/>
    <col min="9" max="9" width="9.57421875" style="22" customWidth="1"/>
    <col min="10" max="10" width="11.57421875" style="22" customWidth="1"/>
    <col min="11" max="11" width="9.421875" style="22" customWidth="1"/>
    <col min="12" max="12" width="11.140625" style="22" customWidth="1"/>
    <col min="13" max="13" width="10.7109375" style="22" customWidth="1"/>
    <col min="14" max="14" width="13.28125" style="22" customWidth="1"/>
    <col min="15" max="15" width="66.8515625" style="22" customWidth="1"/>
    <col min="16" max="16" width="15.00390625" style="22" bestFit="1" customWidth="1"/>
    <col min="17" max="17" width="11.140625" style="22" customWidth="1"/>
    <col min="18" max="18" width="9.8515625" style="22" bestFit="1" customWidth="1"/>
    <col min="19" max="19" width="10.8515625" style="22" customWidth="1"/>
    <col min="20" max="20" width="12.140625" style="22" bestFit="1" customWidth="1"/>
    <col min="21" max="21" width="12.140625" style="22" customWidth="1"/>
    <col min="22" max="22" width="9.57421875" style="22" bestFit="1" customWidth="1"/>
    <col min="23" max="23" width="11.140625" style="22" customWidth="1"/>
    <col min="24" max="24" width="11.7109375" style="22" bestFit="1" customWidth="1"/>
    <col min="25" max="25" width="11.7109375" style="22" customWidth="1"/>
    <col min="26" max="16384" width="9.140625" style="22" customWidth="1"/>
  </cols>
  <sheetData>
    <row r="1" ht="12.75">
      <c r="A1" s="91"/>
    </row>
    <row r="4" spans="1:15" ht="12.75">
      <c r="A4" s="61"/>
      <c r="B4" s="422" t="s">
        <v>165</v>
      </c>
      <c r="C4" s="422"/>
      <c r="D4" s="422"/>
      <c r="E4" s="422"/>
      <c r="F4" s="422"/>
      <c r="G4" s="422"/>
      <c r="H4" s="422"/>
      <c r="I4" s="422"/>
      <c r="J4" s="422"/>
      <c r="K4" s="422"/>
      <c r="L4" s="422"/>
      <c r="M4" s="422"/>
      <c r="N4" s="423" t="s">
        <v>166</v>
      </c>
      <c r="O4" s="61"/>
    </row>
    <row r="5" spans="1:15" ht="38.25" customHeight="1">
      <c r="A5" s="251" t="s">
        <v>54</v>
      </c>
      <c r="B5" s="92" t="s">
        <v>0</v>
      </c>
      <c r="C5" s="92" t="s">
        <v>1</v>
      </c>
      <c r="D5" s="92" t="s">
        <v>2</v>
      </c>
      <c r="E5" s="92" t="s">
        <v>3</v>
      </c>
      <c r="F5" s="92" t="s">
        <v>4</v>
      </c>
      <c r="G5" s="92" t="s">
        <v>5</v>
      </c>
      <c r="H5" s="92" t="s">
        <v>6</v>
      </c>
      <c r="I5" s="92" t="s">
        <v>55</v>
      </c>
      <c r="J5" s="92" t="s">
        <v>56</v>
      </c>
      <c r="K5" s="92" t="s">
        <v>9</v>
      </c>
      <c r="L5" s="92" t="s">
        <v>57</v>
      </c>
      <c r="M5" s="92" t="s">
        <v>11</v>
      </c>
      <c r="N5" s="424"/>
      <c r="O5" s="250" t="s">
        <v>167</v>
      </c>
    </row>
    <row r="6" spans="1:15" ht="33" customHeight="1">
      <c r="A6" s="7" t="s">
        <v>80</v>
      </c>
      <c r="B6" s="252">
        <v>325.71242225</v>
      </c>
      <c r="C6" s="253">
        <v>311.123674</v>
      </c>
      <c r="D6" s="254">
        <v>319.461224</v>
      </c>
      <c r="E6" s="254">
        <v>325.521349</v>
      </c>
      <c r="F6" s="254">
        <v>320.065224</v>
      </c>
      <c r="G6" s="254">
        <v>324.080899</v>
      </c>
      <c r="H6" s="254">
        <v>339.109949</v>
      </c>
      <c r="I6" s="254">
        <v>339.76149899999996</v>
      </c>
      <c r="J6" s="254">
        <v>338.779299</v>
      </c>
      <c r="K6" s="254">
        <v>347.966524</v>
      </c>
      <c r="L6" s="254">
        <v>317.12807399999997</v>
      </c>
      <c r="M6" s="254">
        <v>308.165049</v>
      </c>
      <c r="N6" s="255">
        <v>4514</v>
      </c>
      <c r="O6" t="s">
        <v>87</v>
      </c>
    </row>
    <row r="7" spans="1:15" ht="56.25" customHeight="1">
      <c r="A7" s="7" t="s">
        <v>81</v>
      </c>
      <c r="B7" s="256">
        <v>325.71242225</v>
      </c>
      <c r="C7" s="253">
        <v>311.123674</v>
      </c>
      <c r="D7" s="253">
        <v>319.461224</v>
      </c>
      <c r="E7" s="253">
        <v>320</v>
      </c>
      <c r="F7" s="253">
        <v>320.065224</v>
      </c>
      <c r="G7" s="253">
        <v>324.080899</v>
      </c>
      <c r="H7" s="253">
        <v>339.109949</v>
      </c>
      <c r="I7" s="253">
        <v>339.76149899999996</v>
      </c>
      <c r="J7" s="253">
        <v>338.779299</v>
      </c>
      <c r="K7" s="253">
        <v>347.966524</v>
      </c>
      <c r="L7" s="253">
        <v>317.12807399999997</v>
      </c>
      <c r="M7" s="253">
        <v>308.165049</v>
      </c>
      <c r="N7" s="255">
        <v>4514</v>
      </c>
      <c r="O7" t="s">
        <v>87</v>
      </c>
    </row>
    <row r="8" spans="1:15" ht="41.25" customHeight="1">
      <c r="A8" s="7" t="s">
        <v>78</v>
      </c>
      <c r="B8" s="253">
        <v>230</v>
      </c>
      <c r="C8" s="253">
        <v>230</v>
      </c>
      <c r="D8" s="253">
        <v>230</v>
      </c>
      <c r="E8" s="253">
        <v>230</v>
      </c>
      <c r="F8" s="253">
        <v>230</v>
      </c>
      <c r="G8" s="253">
        <v>230</v>
      </c>
      <c r="H8" s="253">
        <v>230</v>
      </c>
      <c r="I8" s="253">
        <v>230</v>
      </c>
      <c r="J8" s="253">
        <v>230</v>
      </c>
      <c r="K8" s="253">
        <v>230</v>
      </c>
      <c r="L8" s="253">
        <v>230</v>
      </c>
      <c r="M8" s="253">
        <v>230</v>
      </c>
      <c r="N8" s="255">
        <v>2232</v>
      </c>
      <c r="O8" t="s">
        <v>88</v>
      </c>
    </row>
    <row r="9" spans="1:15" ht="32.25" customHeight="1">
      <c r="A9" s="7" t="s">
        <v>14</v>
      </c>
      <c r="B9" s="253">
        <v>0</v>
      </c>
      <c r="C9" s="253">
        <v>0</v>
      </c>
      <c r="D9" s="253">
        <v>0</v>
      </c>
      <c r="E9" s="253">
        <v>0</v>
      </c>
      <c r="F9" s="253">
        <v>0</v>
      </c>
      <c r="G9" s="253">
        <v>0</v>
      </c>
      <c r="H9" s="253">
        <v>0</v>
      </c>
      <c r="I9" s="253">
        <v>0</v>
      </c>
      <c r="J9" s="253">
        <v>0</v>
      </c>
      <c r="K9" s="253">
        <v>0</v>
      </c>
      <c r="L9" s="253">
        <v>0</v>
      </c>
      <c r="M9" s="253">
        <v>0</v>
      </c>
      <c r="N9" s="257">
        <v>32439</v>
      </c>
      <c r="O9" t="s">
        <v>90</v>
      </c>
    </row>
    <row r="10" spans="1:15" ht="31.5" customHeight="1">
      <c r="A10" s="7" t="s">
        <v>28</v>
      </c>
      <c r="B10" s="258">
        <v>0</v>
      </c>
      <c r="C10" s="253">
        <v>0</v>
      </c>
      <c r="D10" s="253">
        <v>0</v>
      </c>
      <c r="E10" s="253">
        <v>0</v>
      </c>
      <c r="F10" s="253">
        <v>0</v>
      </c>
      <c r="G10" s="253">
        <v>0</v>
      </c>
      <c r="H10" s="253">
        <v>0</v>
      </c>
      <c r="I10" s="253">
        <v>0</v>
      </c>
      <c r="J10" s="253">
        <v>0</v>
      </c>
      <c r="K10" s="253">
        <v>0</v>
      </c>
      <c r="L10" s="253">
        <v>0</v>
      </c>
      <c r="M10" s="253">
        <v>0</v>
      </c>
      <c r="N10" s="255">
        <v>4514</v>
      </c>
      <c r="O10" t="s">
        <v>87</v>
      </c>
    </row>
    <row r="11" spans="1:15" ht="41.25" customHeight="1">
      <c r="A11" s="7" t="s">
        <v>82</v>
      </c>
      <c r="B11" s="253">
        <v>10</v>
      </c>
      <c r="C11" s="253">
        <v>10</v>
      </c>
      <c r="D11" s="253">
        <v>10</v>
      </c>
      <c r="E11" s="253">
        <v>12</v>
      </c>
      <c r="F11" s="253">
        <v>13.13349677881174</v>
      </c>
      <c r="G11" s="259">
        <v>12.192908532176428</v>
      </c>
      <c r="H11" s="253">
        <v>13.650402757619739</v>
      </c>
      <c r="I11" s="253">
        <v>13.581778951201748</v>
      </c>
      <c r="J11" s="253">
        <v>14.204786340394449</v>
      </c>
      <c r="K11" s="253">
        <v>14.001898826979472</v>
      </c>
      <c r="L11" s="253">
        <v>12.25155629139073</v>
      </c>
      <c r="M11" s="253">
        <v>10.497887740029542</v>
      </c>
      <c r="N11" s="255">
        <v>2232</v>
      </c>
      <c r="O11" t="s">
        <v>88</v>
      </c>
    </row>
    <row r="12" spans="1:16" ht="41.25" customHeight="1">
      <c r="A12" s="7" t="s">
        <v>83</v>
      </c>
      <c r="B12" s="253">
        <v>0</v>
      </c>
      <c r="C12" s="253">
        <v>0</v>
      </c>
      <c r="D12" s="253">
        <v>0</v>
      </c>
      <c r="E12" s="253">
        <v>0</v>
      </c>
      <c r="F12" s="253">
        <v>0.40656427500000003</v>
      </c>
      <c r="G12" s="253">
        <v>0.1256256</v>
      </c>
      <c r="H12" s="260">
        <v>0.48640442500000003</v>
      </c>
      <c r="I12" s="253">
        <v>0.565069275</v>
      </c>
      <c r="J12" s="253">
        <v>0.679130875</v>
      </c>
      <c r="K12" s="253">
        <v>0.5452337</v>
      </c>
      <c r="L12" s="253">
        <v>0</v>
      </c>
      <c r="M12" s="253">
        <v>0</v>
      </c>
      <c r="N12" s="255">
        <v>428746.85</v>
      </c>
      <c r="O12" t="s">
        <v>91</v>
      </c>
      <c r="P12" s="1"/>
    </row>
    <row r="13" spans="1:16" ht="41.25" customHeight="1">
      <c r="A13" s="7" t="s">
        <v>84</v>
      </c>
      <c r="B13" s="258">
        <v>0</v>
      </c>
      <c r="C13" s="253">
        <v>0</v>
      </c>
      <c r="D13" s="253">
        <v>0</v>
      </c>
      <c r="E13" s="253">
        <v>0</v>
      </c>
      <c r="F13" s="253">
        <v>0.35137150000000006</v>
      </c>
      <c r="G13" s="253">
        <v>0.15567425000000007</v>
      </c>
      <c r="H13" s="253">
        <v>0.4250327499999999</v>
      </c>
      <c r="I13" s="253">
        <v>0.4677925</v>
      </c>
      <c r="J13" s="253">
        <v>0.5720150000000002</v>
      </c>
      <c r="K13" s="253">
        <v>0.4267465000000001</v>
      </c>
      <c r="L13" s="253">
        <v>0</v>
      </c>
      <c r="M13" s="253">
        <v>0</v>
      </c>
      <c r="N13" s="255">
        <v>139478</v>
      </c>
      <c r="O13" t="s">
        <v>92</v>
      </c>
      <c r="P13" s="1"/>
    </row>
    <row r="14" spans="1:15" ht="58.5" customHeight="1">
      <c r="A14" s="7" t="s">
        <v>85</v>
      </c>
      <c r="B14" s="258">
        <v>0</v>
      </c>
      <c r="C14" s="253">
        <v>0</v>
      </c>
      <c r="D14" s="253">
        <v>0</v>
      </c>
      <c r="E14" s="253">
        <v>0</v>
      </c>
      <c r="F14" s="253">
        <v>52.74876297887712</v>
      </c>
      <c r="G14" s="253">
        <v>51.024285865995054</v>
      </c>
      <c r="H14" s="253">
        <v>54.07593245554304</v>
      </c>
      <c r="I14" s="253">
        <v>53.946361422156386</v>
      </c>
      <c r="J14" s="253">
        <v>56.3495136637332</v>
      </c>
      <c r="K14" s="253">
        <v>53.81850461929941</v>
      </c>
      <c r="L14" s="253">
        <v>0</v>
      </c>
      <c r="M14" s="253">
        <v>0</v>
      </c>
      <c r="N14" s="255">
        <v>24336</v>
      </c>
      <c r="O14" t="s">
        <v>93</v>
      </c>
    </row>
    <row r="15" spans="1:15" ht="41.25" customHeight="1">
      <c r="A15" s="7" t="s">
        <v>86</v>
      </c>
      <c r="B15" s="252">
        <v>0</v>
      </c>
      <c r="C15" s="253">
        <v>0</v>
      </c>
      <c r="D15" s="253">
        <v>0</v>
      </c>
      <c r="E15" s="253">
        <v>0</v>
      </c>
      <c r="F15" s="253">
        <v>24.862107568663333</v>
      </c>
      <c r="G15" s="253">
        <v>24.63593917429772</v>
      </c>
      <c r="H15" s="253">
        <v>25.42702409185089</v>
      </c>
      <c r="I15" s="253">
        <v>25.48539369352813</v>
      </c>
      <c r="J15" s="253">
        <v>26.358160194481847</v>
      </c>
      <c r="K15" s="253">
        <v>25.208425685633802</v>
      </c>
      <c r="L15" s="253">
        <v>0</v>
      </c>
      <c r="M15" s="253">
        <v>0</v>
      </c>
      <c r="N15" s="255">
        <v>24336</v>
      </c>
      <c r="O15" t="s">
        <v>93</v>
      </c>
    </row>
    <row r="16" spans="1:15" ht="41.25" customHeight="1">
      <c r="A16" s="7" t="s">
        <v>79</v>
      </c>
      <c r="B16" s="256">
        <v>0</v>
      </c>
      <c r="C16" s="253">
        <v>0</v>
      </c>
      <c r="D16" s="253">
        <v>0</v>
      </c>
      <c r="E16" s="253">
        <v>0</v>
      </c>
      <c r="F16" s="253">
        <v>0</v>
      </c>
      <c r="G16" s="253">
        <v>0</v>
      </c>
      <c r="H16" s="253">
        <v>0</v>
      </c>
      <c r="I16" s="253">
        <v>0</v>
      </c>
      <c r="J16" s="253">
        <v>0</v>
      </c>
      <c r="K16" s="253">
        <v>0</v>
      </c>
      <c r="L16" s="253">
        <v>0</v>
      </c>
      <c r="M16" s="253">
        <v>0</v>
      </c>
      <c r="N16" s="255">
        <v>24336</v>
      </c>
      <c r="O16" t="s">
        <v>93</v>
      </c>
    </row>
    <row r="17" spans="1:15" ht="41.25" customHeight="1">
      <c r="A17" s="7" t="s">
        <v>32</v>
      </c>
      <c r="B17" s="258">
        <v>0</v>
      </c>
      <c r="C17" s="253">
        <v>0</v>
      </c>
      <c r="D17" s="253">
        <v>0</v>
      </c>
      <c r="E17" s="253">
        <v>0</v>
      </c>
      <c r="F17" s="253">
        <v>94.29174675324674</v>
      </c>
      <c r="G17" s="253">
        <v>87.50521839080459</v>
      </c>
      <c r="H17" s="253">
        <v>111.77775510204081</v>
      </c>
      <c r="I17" s="253">
        <v>122.65298611111112</v>
      </c>
      <c r="J17" s="253">
        <v>121.65014705882353</v>
      </c>
      <c r="K17" s="253">
        <v>98.40961240310078</v>
      </c>
      <c r="L17" s="253">
        <v>0</v>
      </c>
      <c r="M17" s="253">
        <v>0</v>
      </c>
      <c r="N17" s="255">
        <v>24336</v>
      </c>
      <c r="O17" t="s">
        <v>93</v>
      </c>
    </row>
    <row r="19" spans="1:15" ht="12.75">
      <c r="A19" s="425" t="s">
        <v>168</v>
      </c>
      <c r="B19" s="425"/>
      <c r="C19" s="425"/>
      <c r="D19" s="425"/>
      <c r="E19" s="425"/>
      <c r="F19" s="425"/>
      <c r="G19" s="425"/>
      <c r="H19" s="425"/>
      <c r="I19" s="425"/>
      <c r="J19" s="425"/>
      <c r="K19" s="425"/>
      <c r="L19" s="425"/>
      <c r="M19" s="425"/>
      <c r="N19" s="425"/>
      <c r="O19" s="425"/>
    </row>
    <row r="20" spans="1:15" ht="12.75">
      <c r="A20" s="426"/>
      <c r="B20" s="426"/>
      <c r="C20" s="426"/>
      <c r="D20" s="426"/>
      <c r="E20" s="426"/>
      <c r="F20" s="426"/>
      <c r="G20" s="426"/>
      <c r="H20" s="426"/>
      <c r="I20" s="426"/>
      <c r="J20" s="426"/>
      <c r="K20" s="426"/>
      <c r="L20" s="426"/>
      <c r="M20" s="426"/>
      <c r="N20" s="426"/>
      <c r="O20" s="426"/>
    </row>
    <row r="21" spans="1:15" ht="12.75">
      <c r="A21" s="15"/>
      <c r="B21" s="95"/>
      <c r="C21" s="15"/>
      <c r="D21" s="95"/>
      <c r="E21" s="94"/>
      <c r="F21" s="95"/>
      <c r="G21" s="94"/>
      <c r="H21" s="96"/>
      <c r="I21" s="94"/>
      <c r="J21" s="96"/>
      <c r="K21" s="94"/>
      <c r="L21" s="96"/>
      <c r="M21" s="94"/>
      <c r="N21" s="96"/>
      <c r="O21" s="96"/>
    </row>
    <row r="22" ht="12.75">
      <c r="A22" s="93"/>
    </row>
    <row r="30" spans="4:16" ht="12.75">
      <c r="D30"/>
      <c r="E30"/>
      <c r="F30"/>
      <c r="G30"/>
      <c r="H30"/>
      <c r="I30"/>
      <c r="J30"/>
      <c r="K30"/>
      <c r="L30"/>
      <c r="M30"/>
      <c r="N30"/>
      <c r="O30"/>
      <c r="P30"/>
    </row>
    <row r="31" spans="4:16" ht="12.75">
      <c r="D31"/>
      <c r="E31"/>
      <c r="F31"/>
      <c r="G31"/>
      <c r="H31"/>
      <c r="I31"/>
      <c r="J31"/>
      <c r="K31"/>
      <c r="L31"/>
      <c r="M31"/>
      <c r="N31"/>
      <c r="O31"/>
      <c r="P31"/>
    </row>
    <row r="32" spans="4:16" ht="12.75">
      <c r="D32"/>
      <c r="E32"/>
      <c r="F32"/>
      <c r="G32"/>
      <c r="H32"/>
      <c r="I32"/>
      <c r="J32"/>
      <c r="K32"/>
      <c r="L32"/>
      <c r="M32"/>
      <c r="N32"/>
      <c r="O32"/>
      <c r="P32"/>
    </row>
  </sheetData>
  <sheetProtection/>
  <mergeCells count="3">
    <mergeCell ref="B4:M4"/>
    <mergeCell ref="N4:N5"/>
    <mergeCell ref="A19:O20"/>
  </mergeCells>
  <printOptions/>
  <pageMargins left="0.75" right="0.75" top="1" bottom="1" header="0.5" footer="0.5"/>
  <pageSetup fitToHeight="1" fitToWidth="1" horizontalDpi="600" verticalDpi="600" orientation="landscape" scale="49" r:id="rId1"/>
  <headerFooter alignWithMargins="0">
    <oddHeader>&amp;C&amp;"Arial,Bold"San Diego Gas and Electric
Average Ex-Ante Load Impact kW/Customer&amp;"Arial,Regular"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O26"/>
  <sheetViews>
    <sheetView showGridLines="0" view="pageLayout" zoomScaleNormal="75" zoomScaleSheetLayoutView="50" workbookViewId="0" topLeftCell="A1">
      <selection activeCell="H25" sqref="H25"/>
    </sheetView>
  </sheetViews>
  <sheetFormatPr defaultColWidth="9.140625" defaultRowHeight="12.75"/>
  <cols>
    <col min="1" max="1" width="37.28125" style="22" customWidth="1"/>
    <col min="2" max="2" width="11.140625" style="22" bestFit="1" customWidth="1"/>
    <col min="3" max="3" width="10.00390625" style="22" bestFit="1" customWidth="1"/>
    <col min="4" max="4" width="8.7109375" style="22" customWidth="1"/>
    <col min="5" max="5" width="8.57421875" style="22" customWidth="1"/>
    <col min="6" max="6" width="8.421875" style="22" customWidth="1"/>
    <col min="7" max="7" width="7.7109375" style="22" customWidth="1"/>
    <col min="8" max="8" width="8.140625" style="22" customWidth="1"/>
    <col min="9" max="9" width="9.57421875" style="22" customWidth="1"/>
    <col min="10" max="10" width="11.57421875" style="22" customWidth="1"/>
    <col min="11" max="11" width="9.421875" style="22" customWidth="1"/>
    <col min="12" max="12" width="11.140625" style="22" customWidth="1"/>
    <col min="13" max="13" width="10.7109375" style="22" customWidth="1"/>
    <col min="14" max="14" width="13.28125" style="22" customWidth="1"/>
    <col min="15" max="15" width="66.7109375" style="22" customWidth="1"/>
    <col min="16" max="16" width="15.00390625" style="22" bestFit="1" customWidth="1"/>
    <col min="17" max="17" width="10.57421875" style="22" customWidth="1"/>
    <col min="18" max="18" width="9.8515625" style="22" bestFit="1" customWidth="1"/>
    <col min="19" max="19" width="11.140625" style="22" customWidth="1"/>
    <col min="20" max="20" width="9.8515625" style="22" bestFit="1" customWidth="1"/>
    <col min="21" max="21" width="10.8515625" style="22" customWidth="1"/>
    <col min="22" max="22" width="12.140625" style="22" bestFit="1" customWidth="1"/>
    <col min="23" max="23" width="12.140625" style="22" customWidth="1"/>
    <col min="24" max="24" width="9.57421875" style="22" bestFit="1" customWidth="1"/>
    <col min="25" max="25" width="11.140625" style="22" customWidth="1"/>
    <col min="26" max="26" width="11.7109375" style="22" bestFit="1" customWidth="1"/>
    <col min="27" max="27" width="11.7109375" style="22" customWidth="1"/>
    <col min="28" max="16384" width="9.140625" style="22" customWidth="1"/>
  </cols>
  <sheetData>
    <row r="1" ht="12.75">
      <c r="A1" s="91"/>
    </row>
    <row r="2" ht="12.75">
      <c r="A2" s="91"/>
    </row>
    <row r="5" spans="1:15" ht="12.75">
      <c r="A5" s="61"/>
      <c r="B5" s="422" t="s">
        <v>169</v>
      </c>
      <c r="C5" s="422"/>
      <c r="D5" s="422"/>
      <c r="E5" s="422"/>
      <c r="F5" s="422"/>
      <c r="G5" s="422"/>
      <c r="H5" s="422"/>
      <c r="I5" s="422"/>
      <c r="J5" s="422"/>
      <c r="K5" s="422"/>
      <c r="L5" s="422"/>
      <c r="M5" s="422"/>
      <c r="N5" s="423" t="s">
        <v>166</v>
      </c>
      <c r="O5" s="61"/>
    </row>
    <row r="6" spans="1:15" ht="38.25" customHeight="1">
      <c r="A6" s="251" t="s">
        <v>54</v>
      </c>
      <c r="B6" s="92" t="s">
        <v>0</v>
      </c>
      <c r="C6" s="92" t="s">
        <v>1</v>
      </c>
      <c r="D6" s="92" t="s">
        <v>2</v>
      </c>
      <c r="E6" s="92" t="s">
        <v>3</v>
      </c>
      <c r="F6" s="92" t="s">
        <v>4</v>
      </c>
      <c r="G6" s="92" t="s">
        <v>5</v>
      </c>
      <c r="H6" s="92" t="s">
        <v>6</v>
      </c>
      <c r="I6" s="92" t="s">
        <v>55</v>
      </c>
      <c r="J6" s="92" t="s">
        <v>56</v>
      </c>
      <c r="K6" s="92" t="s">
        <v>9</v>
      </c>
      <c r="L6" s="92" t="s">
        <v>57</v>
      </c>
      <c r="M6" s="92" t="s">
        <v>11</v>
      </c>
      <c r="N6" s="424"/>
      <c r="O6" s="250" t="s">
        <v>167</v>
      </c>
    </row>
    <row r="7" spans="1:15" ht="41.25" customHeight="1">
      <c r="A7" s="7" t="s">
        <v>80</v>
      </c>
      <c r="B7" s="253">
        <v>571</v>
      </c>
      <c r="C7" s="253">
        <v>571</v>
      </c>
      <c r="D7" s="253">
        <v>571</v>
      </c>
      <c r="E7" s="253">
        <v>571</v>
      </c>
      <c r="F7" s="253">
        <v>571</v>
      </c>
      <c r="G7" s="253">
        <v>571</v>
      </c>
      <c r="H7" s="253">
        <v>571</v>
      </c>
      <c r="I7" s="253">
        <v>571</v>
      </c>
      <c r="J7" s="253">
        <v>571</v>
      </c>
      <c r="K7" s="253">
        <v>571</v>
      </c>
      <c r="L7" s="253">
        <v>571</v>
      </c>
      <c r="M7" s="253">
        <v>571</v>
      </c>
      <c r="N7" s="255">
        <v>4514</v>
      </c>
      <c r="O7" t="s">
        <v>87</v>
      </c>
    </row>
    <row r="8" spans="1:15" ht="41.25" customHeight="1">
      <c r="A8" s="7" t="s">
        <v>81</v>
      </c>
      <c r="B8" s="253">
        <v>571</v>
      </c>
      <c r="C8" s="253">
        <v>571</v>
      </c>
      <c r="D8" s="253">
        <v>571</v>
      </c>
      <c r="E8" s="253">
        <v>571</v>
      </c>
      <c r="F8" s="253">
        <v>571</v>
      </c>
      <c r="G8" s="253">
        <v>571</v>
      </c>
      <c r="H8" s="253">
        <v>571</v>
      </c>
      <c r="I8" s="253">
        <v>571</v>
      </c>
      <c r="J8" s="253">
        <v>571</v>
      </c>
      <c r="K8" s="253">
        <v>571</v>
      </c>
      <c r="L8" s="253">
        <v>571</v>
      </c>
      <c r="M8" s="253">
        <v>571</v>
      </c>
      <c r="N8" s="255">
        <v>4514</v>
      </c>
      <c r="O8" t="s">
        <v>87</v>
      </c>
    </row>
    <row r="9" spans="1:15" ht="41.25" customHeight="1">
      <c r="A9" s="7" t="s">
        <v>78</v>
      </c>
      <c r="B9" s="253">
        <v>230</v>
      </c>
      <c r="C9" s="253">
        <v>230</v>
      </c>
      <c r="D9" s="253">
        <v>230</v>
      </c>
      <c r="E9" s="253">
        <v>230</v>
      </c>
      <c r="F9" s="253">
        <v>230</v>
      </c>
      <c r="G9" s="253">
        <v>230</v>
      </c>
      <c r="H9" s="253">
        <v>230</v>
      </c>
      <c r="I9" s="253">
        <v>230</v>
      </c>
      <c r="J9" s="253">
        <v>230</v>
      </c>
      <c r="K9" s="253">
        <v>230</v>
      </c>
      <c r="L9" s="253">
        <v>230</v>
      </c>
      <c r="M9" s="253">
        <v>230</v>
      </c>
      <c r="N9" s="255">
        <v>2232</v>
      </c>
      <c r="O9" t="s">
        <v>88</v>
      </c>
    </row>
    <row r="10" spans="1:15" ht="41.25" customHeight="1">
      <c r="A10" s="7" t="s">
        <v>14</v>
      </c>
      <c r="B10" s="253">
        <v>0</v>
      </c>
      <c r="C10" s="253">
        <v>0</v>
      </c>
      <c r="D10" s="253">
        <v>0</v>
      </c>
      <c r="E10" s="253" t="s">
        <v>89</v>
      </c>
      <c r="F10" s="253" t="s">
        <v>89</v>
      </c>
      <c r="G10" s="253" t="s">
        <v>89</v>
      </c>
      <c r="H10" s="253" t="s">
        <v>89</v>
      </c>
      <c r="I10" s="253" t="s">
        <v>89</v>
      </c>
      <c r="J10" s="253" t="s">
        <v>89</v>
      </c>
      <c r="K10" s="253" t="s">
        <v>89</v>
      </c>
      <c r="L10" s="253" t="s">
        <v>89</v>
      </c>
      <c r="M10" s="253" t="s">
        <v>89</v>
      </c>
      <c r="N10" s="257">
        <v>32439</v>
      </c>
      <c r="O10" t="s">
        <v>90</v>
      </c>
    </row>
    <row r="11" spans="1:15" ht="41.25" customHeight="1">
      <c r="A11" s="7" t="s">
        <v>28</v>
      </c>
      <c r="B11" s="253">
        <v>0</v>
      </c>
      <c r="C11" s="253">
        <v>0</v>
      </c>
      <c r="D11" s="253">
        <v>0</v>
      </c>
      <c r="E11" s="253" t="s">
        <v>89</v>
      </c>
      <c r="F11" s="253" t="s">
        <v>89</v>
      </c>
      <c r="G11" s="253" t="s">
        <v>89</v>
      </c>
      <c r="H11" s="253" t="s">
        <v>89</v>
      </c>
      <c r="I11" s="253" t="s">
        <v>89</v>
      </c>
      <c r="J11" s="253" t="s">
        <v>89</v>
      </c>
      <c r="K11" s="253" t="s">
        <v>89</v>
      </c>
      <c r="L11" s="253" t="s">
        <v>89</v>
      </c>
      <c r="M11" s="253" t="s">
        <v>89</v>
      </c>
      <c r="N11" s="255">
        <v>4514</v>
      </c>
      <c r="O11" t="s">
        <v>87</v>
      </c>
    </row>
    <row r="12" spans="1:15" ht="41.25" customHeight="1">
      <c r="A12" s="7" t="s">
        <v>82</v>
      </c>
      <c r="B12" s="253">
        <v>14</v>
      </c>
      <c r="C12" s="253">
        <v>14</v>
      </c>
      <c r="D12" s="253">
        <v>14</v>
      </c>
      <c r="E12" s="253">
        <v>14</v>
      </c>
      <c r="F12" s="253">
        <v>14</v>
      </c>
      <c r="G12" s="253">
        <v>14</v>
      </c>
      <c r="H12" s="253">
        <v>14</v>
      </c>
      <c r="I12" s="253">
        <v>14</v>
      </c>
      <c r="J12" s="253">
        <v>14</v>
      </c>
      <c r="K12" s="253">
        <v>14</v>
      </c>
      <c r="L12" s="253">
        <v>14</v>
      </c>
      <c r="M12" s="253">
        <v>14</v>
      </c>
      <c r="N12" s="261">
        <v>2232</v>
      </c>
      <c r="O12" s="1" t="s">
        <v>88</v>
      </c>
    </row>
    <row r="13" spans="1:15" ht="41.25" customHeight="1">
      <c r="A13" s="7" t="s">
        <v>83</v>
      </c>
      <c r="B13" s="253">
        <v>0.6</v>
      </c>
      <c r="C13" s="253">
        <v>0.6</v>
      </c>
      <c r="D13" s="253">
        <v>0.6</v>
      </c>
      <c r="E13" s="253">
        <v>0.6</v>
      </c>
      <c r="F13" s="253">
        <v>0.6</v>
      </c>
      <c r="G13" s="253">
        <v>0.6</v>
      </c>
      <c r="H13" s="253">
        <v>0.6</v>
      </c>
      <c r="I13" s="253">
        <v>0.6</v>
      </c>
      <c r="J13" s="253">
        <v>0.6</v>
      </c>
      <c r="K13" s="253">
        <v>0.6</v>
      </c>
      <c r="L13" s="253">
        <v>0.6</v>
      </c>
      <c r="M13" s="253">
        <v>0.6</v>
      </c>
      <c r="N13" s="261">
        <f>1224991*0.35</f>
        <v>428746.85</v>
      </c>
      <c r="O13" s="1" t="s">
        <v>91</v>
      </c>
    </row>
    <row r="14" spans="1:15" ht="41.25" customHeight="1">
      <c r="A14" s="7" t="s">
        <v>84</v>
      </c>
      <c r="B14" s="253">
        <v>0.5</v>
      </c>
      <c r="C14" s="253">
        <v>0.5</v>
      </c>
      <c r="D14" s="253">
        <v>0.5</v>
      </c>
      <c r="E14" s="253">
        <v>0.5</v>
      </c>
      <c r="F14" s="253">
        <v>0.5</v>
      </c>
      <c r="G14" s="253">
        <v>0.5</v>
      </c>
      <c r="H14" s="253">
        <v>0.5</v>
      </c>
      <c r="I14" s="253">
        <v>0.5</v>
      </c>
      <c r="J14" s="253">
        <v>0.5</v>
      </c>
      <c r="K14" s="253">
        <v>0.5</v>
      </c>
      <c r="L14" s="253">
        <v>0.5</v>
      </c>
      <c r="M14" s="253">
        <v>0.5</v>
      </c>
      <c r="N14" s="255">
        <v>139478</v>
      </c>
      <c r="O14" t="s">
        <v>92</v>
      </c>
    </row>
    <row r="15" spans="1:15" ht="41.25" customHeight="1">
      <c r="A15" s="7" t="s">
        <v>85</v>
      </c>
      <c r="B15" s="253">
        <v>58.8</v>
      </c>
      <c r="C15" s="253">
        <v>58.8</v>
      </c>
      <c r="D15" s="253">
        <v>58.8</v>
      </c>
      <c r="E15" s="253">
        <v>58.8</v>
      </c>
      <c r="F15" s="253">
        <v>58.8</v>
      </c>
      <c r="G15" s="253">
        <v>58.8</v>
      </c>
      <c r="H15" s="253">
        <v>58.8</v>
      </c>
      <c r="I15" s="253">
        <v>58.8</v>
      </c>
      <c r="J15" s="253">
        <v>58.8</v>
      </c>
      <c r="K15" s="253">
        <v>58.8</v>
      </c>
      <c r="L15" s="253">
        <v>58.8</v>
      </c>
      <c r="M15" s="253">
        <v>58.8</v>
      </c>
      <c r="N15" s="255">
        <v>24336</v>
      </c>
      <c r="O15" t="s">
        <v>93</v>
      </c>
    </row>
    <row r="16" spans="1:15" ht="41.25" customHeight="1">
      <c r="A16" s="7" t="s">
        <v>86</v>
      </c>
      <c r="B16" s="253">
        <v>31.92</v>
      </c>
      <c r="C16" s="253">
        <v>31.92</v>
      </c>
      <c r="D16" s="253">
        <v>31.92</v>
      </c>
      <c r="E16" s="253">
        <v>31.92</v>
      </c>
      <c r="F16" s="253">
        <v>31.92</v>
      </c>
      <c r="G16" s="253">
        <v>31.92</v>
      </c>
      <c r="H16" s="253">
        <v>31.92</v>
      </c>
      <c r="I16" s="253">
        <v>31.92</v>
      </c>
      <c r="J16" s="253">
        <v>31.92</v>
      </c>
      <c r="K16" s="253">
        <v>31.92</v>
      </c>
      <c r="L16" s="253">
        <v>31.92</v>
      </c>
      <c r="M16" s="253">
        <v>31.92</v>
      </c>
      <c r="N16" s="255">
        <v>24336</v>
      </c>
      <c r="O16" t="s">
        <v>93</v>
      </c>
    </row>
    <row r="17" spans="1:15" ht="41.25" customHeight="1">
      <c r="A17" s="7" t="s">
        <v>79</v>
      </c>
      <c r="B17" s="253">
        <v>76</v>
      </c>
      <c r="C17" s="253">
        <v>76</v>
      </c>
      <c r="D17" s="253">
        <v>76</v>
      </c>
      <c r="E17" s="253">
        <v>76</v>
      </c>
      <c r="F17" s="253">
        <v>76</v>
      </c>
      <c r="G17" s="253">
        <v>76</v>
      </c>
      <c r="H17" s="253">
        <v>76</v>
      </c>
      <c r="I17" s="253">
        <v>76</v>
      </c>
      <c r="J17" s="253">
        <v>76</v>
      </c>
      <c r="K17" s="253">
        <v>76</v>
      </c>
      <c r="L17" s="253">
        <v>76</v>
      </c>
      <c r="M17" s="253">
        <v>76</v>
      </c>
      <c r="N17" s="255">
        <v>24336</v>
      </c>
      <c r="O17" t="s">
        <v>93</v>
      </c>
    </row>
    <row r="18" spans="1:15" ht="41.25" customHeight="1">
      <c r="A18" s="7" t="s">
        <v>32</v>
      </c>
      <c r="B18" s="262" t="s">
        <v>89</v>
      </c>
      <c r="C18" s="262" t="s">
        <v>89</v>
      </c>
      <c r="D18" s="262" t="s">
        <v>89</v>
      </c>
      <c r="E18" s="262" t="s">
        <v>89</v>
      </c>
      <c r="F18" s="262" t="s">
        <v>89</v>
      </c>
      <c r="G18" s="262" t="s">
        <v>89</v>
      </c>
      <c r="H18" s="263" t="s">
        <v>89</v>
      </c>
      <c r="I18" s="262" t="s">
        <v>89</v>
      </c>
      <c r="J18" s="262" t="s">
        <v>89</v>
      </c>
      <c r="K18" s="262" t="s">
        <v>89</v>
      </c>
      <c r="L18" s="262" t="s">
        <v>89</v>
      </c>
      <c r="M18" s="262" t="s">
        <v>89</v>
      </c>
      <c r="N18" s="255">
        <v>24336</v>
      </c>
      <c r="O18" t="s">
        <v>93</v>
      </c>
    </row>
    <row r="19" ht="41.25" customHeight="1"/>
    <row r="20" ht="41.25" customHeight="1"/>
    <row r="21" ht="41.25" customHeight="1"/>
    <row r="23" spans="1:15" ht="12.75" customHeight="1">
      <c r="A23" s="425" t="s">
        <v>194</v>
      </c>
      <c r="B23" s="425"/>
      <c r="C23" s="425"/>
      <c r="D23" s="425"/>
      <c r="E23" s="425"/>
      <c r="F23" s="425"/>
      <c r="G23" s="425"/>
      <c r="H23" s="425"/>
      <c r="I23" s="425"/>
      <c r="J23" s="425"/>
      <c r="K23" s="425"/>
      <c r="L23" s="425"/>
      <c r="M23" s="425"/>
      <c r="N23" s="425"/>
      <c r="O23" s="425"/>
    </row>
    <row r="24" spans="1:15" ht="12.75">
      <c r="A24" s="426"/>
      <c r="B24" s="426"/>
      <c r="C24" s="426"/>
      <c r="D24" s="426"/>
      <c r="E24" s="426"/>
      <c r="F24" s="426"/>
      <c r="G24" s="426"/>
      <c r="H24" s="426"/>
      <c r="I24" s="426"/>
      <c r="J24" s="426"/>
      <c r="K24" s="426"/>
      <c r="L24" s="426"/>
      <c r="M24" s="426"/>
      <c r="N24" s="426"/>
      <c r="O24" s="426"/>
    </row>
    <row r="25" spans="1:15" ht="12.75">
      <c r="A25" s="15"/>
      <c r="B25" s="95"/>
      <c r="C25" s="15"/>
      <c r="D25" s="95"/>
      <c r="E25" s="94"/>
      <c r="F25" s="95"/>
      <c r="G25" s="94"/>
      <c r="H25" s="96"/>
      <c r="I25" s="94"/>
      <c r="J25" s="96"/>
      <c r="K25" s="94"/>
      <c r="L25" s="96"/>
      <c r="M25" s="94"/>
      <c r="N25" s="96"/>
      <c r="O25" s="96"/>
    </row>
    <row r="26" ht="12.75">
      <c r="A26" s="93"/>
    </row>
  </sheetData>
  <sheetProtection/>
  <mergeCells count="3">
    <mergeCell ref="B5:M5"/>
    <mergeCell ref="N5:N6"/>
    <mergeCell ref="A23:O24"/>
  </mergeCells>
  <printOptions horizontalCentered="1"/>
  <pageMargins left="0.1" right="0.1" top="0.75" bottom="0.75" header="0.3" footer="0.28"/>
  <pageSetup cellComments="asDisplayed" fitToHeight="1" fitToWidth="1" horizontalDpi="600" verticalDpi="600" orientation="landscape" scale="59" r:id="rId1"/>
  <headerFooter alignWithMargins="0">
    <oddHeader>&amp;C&amp;"Arial,Bold"San Diego Gas and Electric
Average Ex-Post Load Impact kW / Customer</oddHeader>
    <oddFooter>&amp;L&amp;F&amp;R&amp;D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Y68"/>
  <sheetViews>
    <sheetView view="pageLayout" zoomScaleNormal="75" zoomScaleSheetLayoutView="50" workbookViewId="0" topLeftCell="H84">
      <selection activeCell="G41" sqref="G41"/>
    </sheetView>
  </sheetViews>
  <sheetFormatPr defaultColWidth="9.140625" defaultRowHeight="12.75"/>
  <cols>
    <col min="1" max="1" width="45.7109375" style="265" customWidth="1"/>
    <col min="2" max="3" width="10.8515625" style="265" customWidth="1"/>
    <col min="4" max="4" width="10.7109375" style="265" customWidth="1"/>
    <col min="5" max="5" width="12.7109375" style="265" customWidth="1"/>
    <col min="6" max="8" width="10.57421875" style="265" customWidth="1"/>
    <col min="9" max="9" width="12.7109375" style="265" customWidth="1"/>
    <col min="10" max="12" width="10.7109375" style="265" customWidth="1"/>
    <col min="13" max="13" width="12.7109375" style="265" customWidth="1"/>
    <col min="14" max="16" width="10.7109375" style="265" customWidth="1"/>
    <col min="17" max="17" width="12.7109375" style="265" customWidth="1"/>
    <col min="18" max="20" width="10.7109375" style="265" customWidth="1"/>
    <col min="21" max="21" width="12.7109375" style="265" customWidth="1"/>
    <col min="22" max="24" width="10.7109375" style="265" customWidth="1"/>
    <col min="25" max="25" width="12.7109375" style="265" customWidth="1"/>
    <col min="26" max="16384" width="9.140625" style="265" customWidth="1"/>
  </cols>
  <sheetData>
    <row r="1" ht="12.75">
      <c r="A1" s="264" t="s">
        <v>170</v>
      </c>
    </row>
    <row r="3" spans="1:25" ht="21.75" customHeight="1">
      <c r="A3" s="266">
        <v>2010</v>
      </c>
      <c r="B3" s="427" t="s">
        <v>0</v>
      </c>
      <c r="C3" s="427"/>
      <c r="D3" s="427"/>
      <c r="E3" s="427"/>
      <c r="F3" s="427" t="s">
        <v>1</v>
      </c>
      <c r="G3" s="427"/>
      <c r="H3" s="427"/>
      <c r="I3" s="427"/>
      <c r="J3" s="427" t="s">
        <v>2</v>
      </c>
      <c r="K3" s="427"/>
      <c r="L3" s="427"/>
      <c r="M3" s="427"/>
      <c r="N3" s="427" t="s">
        <v>3</v>
      </c>
      <c r="O3" s="427"/>
      <c r="P3" s="427"/>
      <c r="Q3" s="427"/>
      <c r="R3" s="427" t="s">
        <v>4</v>
      </c>
      <c r="S3" s="427"/>
      <c r="T3" s="427"/>
      <c r="U3" s="427"/>
      <c r="V3" s="427" t="s">
        <v>5</v>
      </c>
      <c r="W3" s="427"/>
      <c r="X3" s="427"/>
      <c r="Y3" s="427"/>
    </row>
    <row r="4" spans="1:25" ht="79.5" customHeight="1">
      <c r="A4" s="267" t="s">
        <v>53</v>
      </c>
      <c r="B4" s="268" t="s">
        <v>171</v>
      </c>
      <c r="C4" s="268" t="s">
        <v>172</v>
      </c>
      <c r="D4" s="268" t="s">
        <v>173</v>
      </c>
      <c r="E4" s="268" t="s">
        <v>174</v>
      </c>
      <c r="F4" s="268" t="s">
        <v>171</v>
      </c>
      <c r="G4" s="268" t="s">
        <v>172</v>
      </c>
      <c r="H4" s="268" t="s">
        <v>173</v>
      </c>
      <c r="I4" s="268" t="s">
        <v>174</v>
      </c>
      <c r="J4" s="268" t="s">
        <v>171</v>
      </c>
      <c r="K4" s="268" t="s">
        <v>172</v>
      </c>
      <c r="L4" s="268" t="s">
        <v>173</v>
      </c>
      <c r="M4" s="268" t="s">
        <v>174</v>
      </c>
      <c r="N4" s="268" t="s">
        <v>171</v>
      </c>
      <c r="O4" s="268" t="s">
        <v>172</v>
      </c>
      <c r="P4" s="268" t="s">
        <v>173</v>
      </c>
      <c r="Q4" s="268" t="s">
        <v>174</v>
      </c>
      <c r="R4" s="268" t="s">
        <v>171</v>
      </c>
      <c r="S4" s="268" t="s">
        <v>172</v>
      </c>
      <c r="T4" s="268" t="s">
        <v>173</v>
      </c>
      <c r="U4" s="268" t="s">
        <v>174</v>
      </c>
      <c r="V4" s="268" t="s">
        <v>171</v>
      </c>
      <c r="W4" s="268" t="s">
        <v>172</v>
      </c>
      <c r="X4" s="268" t="s">
        <v>173</v>
      </c>
      <c r="Y4" s="268" t="s">
        <v>174</v>
      </c>
    </row>
    <row r="5" spans="1:25" ht="12.75">
      <c r="A5" s="269" t="s">
        <v>82</v>
      </c>
      <c r="B5" s="270"/>
      <c r="C5" s="271">
        <v>44.8</v>
      </c>
      <c r="D5" s="271"/>
      <c r="E5" s="272">
        <f>SUM(B5:D5)</f>
        <v>44.8</v>
      </c>
      <c r="F5" s="269"/>
      <c r="G5" s="273">
        <v>43.7</v>
      </c>
      <c r="H5" s="273">
        <v>7.14</v>
      </c>
      <c r="I5" s="274">
        <f>SUM(G5:H5)</f>
        <v>50.84</v>
      </c>
      <c r="J5" s="269"/>
      <c r="K5" s="273">
        <v>43.7</v>
      </c>
      <c r="L5" s="273">
        <v>7.14</v>
      </c>
      <c r="M5" s="274">
        <f>SUM(K5:L5)</f>
        <v>50.84</v>
      </c>
      <c r="N5" s="269"/>
      <c r="O5" s="273">
        <v>43.7</v>
      </c>
      <c r="P5" s="273">
        <v>7.14</v>
      </c>
      <c r="Q5" s="274">
        <f>SUM(O5:P5)</f>
        <v>50.84</v>
      </c>
      <c r="R5" s="269"/>
      <c r="S5" s="273">
        <v>43.7</v>
      </c>
      <c r="T5" s="273">
        <v>7.14</v>
      </c>
      <c r="U5" s="274">
        <f>SUM(S5:T5)</f>
        <v>50.84</v>
      </c>
      <c r="V5" s="269"/>
      <c r="W5" s="273">
        <v>43.7</v>
      </c>
      <c r="X5" s="273">
        <v>7.14</v>
      </c>
      <c r="Y5" s="274">
        <f>SUM(W5:X5)</f>
        <v>50.84</v>
      </c>
    </row>
    <row r="6" spans="1:25" ht="12.75">
      <c r="A6" s="269" t="s">
        <v>83</v>
      </c>
      <c r="B6" s="270"/>
      <c r="C6" s="271"/>
      <c r="D6" s="271"/>
      <c r="E6" s="272" t="s">
        <v>13</v>
      </c>
      <c r="F6" s="269"/>
      <c r="G6" s="273"/>
      <c r="H6" s="273"/>
      <c r="I6" s="272" t="s">
        <v>13</v>
      </c>
      <c r="J6" s="269"/>
      <c r="K6" s="273"/>
      <c r="L6" s="273"/>
      <c r="M6" s="272" t="s">
        <v>13</v>
      </c>
      <c r="N6" s="269"/>
      <c r="O6" s="273"/>
      <c r="P6" s="273"/>
      <c r="Q6" s="272" t="s">
        <v>13</v>
      </c>
      <c r="R6" s="269"/>
      <c r="S6" s="273"/>
      <c r="T6" s="273"/>
      <c r="U6" s="272" t="s">
        <v>13</v>
      </c>
      <c r="V6" s="269"/>
      <c r="W6" s="273"/>
      <c r="X6" s="273"/>
      <c r="Y6" s="272" t="s">
        <v>13</v>
      </c>
    </row>
    <row r="7" spans="1:25" ht="12.75">
      <c r="A7" s="269" t="s">
        <v>84</v>
      </c>
      <c r="B7" s="270"/>
      <c r="C7" s="271"/>
      <c r="D7" s="271"/>
      <c r="E7" s="272" t="s">
        <v>13</v>
      </c>
      <c r="F7" s="269"/>
      <c r="G7" s="273"/>
      <c r="H7" s="273"/>
      <c r="I7" s="272" t="s">
        <v>13</v>
      </c>
      <c r="J7" s="269"/>
      <c r="K7" s="273"/>
      <c r="L7" s="273"/>
      <c r="M7" s="272" t="s">
        <v>13</v>
      </c>
      <c r="N7" s="269"/>
      <c r="O7" s="273"/>
      <c r="P7" s="273"/>
      <c r="Q7" s="272" t="s">
        <v>13</v>
      </c>
      <c r="R7" s="269"/>
      <c r="S7" s="273"/>
      <c r="T7" s="273"/>
      <c r="U7" s="272" t="s">
        <v>13</v>
      </c>
      <c r="V7" s="269"/>
      <c r="W7" s="273"/>
      <c r="X7" s="273"/>
      <c r="Y7" s="272" t="s">
        <v>13</v>
      </c>
    </row>
    <row r="8" spans="1:25" ht="12.75">
      <c r="A8" s="269" t="s">
        <v>175</v>
      </c>
      <c r="B8" s="276"/>
      <c r="C8" s="276" t="s">
        <v>176</v>
      </c>
      <c r="D8" s="271">
        <v>1.1</v>
      </c>
      <c r="E8" s="272">
        <f>SUM(B8:D8)</f>
        <v>1.1</v>
      </c>
      <c r="F8" s="269"/>
      <c r="G8" s="273">
        <v>1.5</v>
      </c>
      <c r="H8" s="277"/>
      <c r="I8" s="274">
        <f>SUM(G8:H8)</f>
        <v>1.5</v>
      </c>
      <c r="J8" s="275"/>
      <c r="K8" s="273">
        <v>2.2</v>
      </c>
      <c r="L8" s="277">
        <v>2.5</v>
      </c>
      <c r="M8" s="274">
        <f>SUM(K8:L8)</f>
        <v>4.7</v>
      </c>
      <c r="N8" s="275"/>
      <c r="O8" s="273">
        <v>2.2</v>
      </c>
      <c r="P8" s="277">
        <v>2.5</v>
      </c>
      <c r="Q8" s="274">
        <f>SUM(O8:P8)</f>
        <v>4.7</v>
      </c>
      <c r="R8" s="275"/>
      <c r="S8" s="273">
        <v>2.2</v>
      </c>
      <c r="T8" s="277">
        <v>2.5</v>
      </c>
      <c r="U8" s="274">
        <f>SUM(S8:T8)</f>
        <v>4.7</v>
      </c>
      <c r="V8" s="275"/>
      <c r="W8" s="273">
        <v>2.2</v>
      </c>
      <c r="X8" s="277">
        <v>2.5</v>
      </c>
      <c r="Y8" s="274">
        <f>SUM(W8:X8)</f>
        <v>4.7</v>
      </c>
    </row>
    <row r="9" spans="1:25" ht="12.75">
      <c r="A9" s="269" t="s">
        <v>79</v>
      </c>
      <c r="B9" s="270"/>
      <c r="C9" s="271">
        <v>4.3</v>
      </c>
      <c r="D9" s="271"/>
      <c r="E9" s="272">
        <f>SUM(B9:D9)</f>
        <v>4.3</v>
      </c>
      <c r="F9" s="269"/>
      <c r="G9" s="271">
        <v>4.3</v>
      </c>
      <c r="H9" s="273"/>
      <c r="I9" s="272"/>
      <c r="J9" s="269"/>
      <c r="K9" s="271">
        <v>4.3</v>
      </c>
      <c r="L9" s="273"/>
      <c r="M9" s="274">
        <f>SUM(K9:L9)</f>
        <v>4.3</v>
      </c>
      <c r="N9" s="269"/>
      <c r="O9" s="271">
        <v>4.3</v>
      </c>
      <c r="P9" s="273"/>
      <c r="Q9" s="274">
        <f>SUM(O9:P9)</f>
        <v>4.3</v>
      </c>
      <c r="R9" s="269"/>
      <c r="S9" s="271">
        <v>4.3</v>
      </c>
      <c r="T9" s="273"/>
      <c r="U9" s="274">
        <f>SUM(S9:T9)</f>
        <v>4.3</v>
      </c>
      <c r="V9" s="269"/>
      <c r="W9" s="271">
        <v>4.3</v>
      </c>
      <c r="X9" s="273"/>
      <c r="Y9" s="274">
        <f>SUM(W9:X9)</f>
        <v>4.3</v>
      </c>
    </row>
    <row r="10" spans="1:25" ht="12.75">
      <c r="A10" s="269" t="s">
        <v>32</v>
      </c>
      <c r="B10" s="276"/>
      <c r="C10" s="271" t="s">
        <v>13</v>
      </c>
      <c r="D10" s="271" t="s">
        <v>13</v>
      </c>
      <c r="E10" s="272" t="s">
        <v>177</v>
      </c>
      <c r="F10" s="276"/>
      <c r="G10" s="271">
        <v>0.37</v>
      </c>
      <c r="H10" s="271">
        <v>1.68</v>
      </c>
      <c r="I10" s="272">
        <f>SUM(F10:H10)</f>
        <v>2.05</v>
      </c>
      <c r="J10" s="275"/>
      <c r="K10" s="271">
        <v>0.37</v>
      </c>
      <c r="L10" s="271">
        <v>1.68</v>
      </c>
      <c r="M10" s="274">
        <f>SUM(K10:L10)</f>
        <v>2.05</v>
      </c>
      <c r="N10" s="275"/>
      <c r="O10" s="271">
        <v>0.37</v>
      </c>
      <c r="P10" s="271">
        <v>1.68</v>
      </c>
      <c r="Q10" s="274">
        <f>SUM(O10:P10)</f>
        <v>2.05</v>
      </c>
      <c r="R10" s="275"/>
      <c r="S10" s="271">
        <v>0.37</v>
      </c>
      <c r="T10" s="271">
        <v>1.68</v>
      </c>
      <c r="U10" s="274">
        <f>SUM(S10:T10)</f>
        <v>2.05</v>
      </c>
      <c r="V10" s="275"/>
      <c r="W10" s="271">
        <v>0.37</v>
      </c>
      <c r="X10" s="271">
        <v>1.68</v>
      </c>
      <c r="Y10" s="274">
        <f>SUM(W10:X10)</f>
        <v>2.05</v>
      </c>
    </row>
    <row r="11" spans="1:25" s="264" customFormat="1" ht="12.75">
      <c r="A11" s="278" t="s">
        <v>71</v>
      </c>
      <c r="B11" s="279"/>
      <c r="C11" s="280">
        <f>SUM(C5:C10)</f>
        <v>49.099999999999994</v>
      </c>
      <c r="D11" s="280">
        <f>SUM(D5:D10)</f>
        <v>1.1</v>
      </c>
      <c r="E11" s="280">
        <f>SUM(E5:E10)</f>
        <v>50.199999999999996</v>
      </c>
      <c r="F11" s="278"/>
      <c r="G11" s="274">
        <f>SUM(G5:G10)</f>
        <v>49.87</v>
      </c>
      <c r="H11" s="274">
        <f aca="true" t="shared" si="0" ref="H11:M11">SUM(H5:H10)</f>
        <v>8.82</v>
      </c>
      <c r="I11" s="274">
        <f t="shared" si="0"/>
        <v>54.39</v>
      </c>
      <c r="J11" s="274">
        <f t="shared" si="0"/>
        <v>0</v>
      </c>
      <c r="K11" s="274">
        <f t="shared" si="0"/>
        <v>50.57</v>
      </c>
      <c r="L11" s="274">
        <f t="shared" si="0"/>
        <v>11.32</v>
      </c>
      <c r="M11" s="274">
        <f t="shared" si="0"/>
        <v>61.89</v>
      </c>
      <c r="N11" s="274">
        <f aca="true" t="shared" si="1" ref="N11:U11">SUM(N5:N10)</f>
        <v>0</v>
      </c>
      <c r="O11" s="274">
        <f t="shared" si="1"/>
        <v>50.57</v>
      </c>
      <c r="P11" s="274">
        <f t="shared" si="1"/>
        <v>11.32</v>
      </c>
      <c r="Q11" s="274">
        <f t="shared" si="1"/>
        <v>61.89</v>
      </c>
      <c r="R11" s="274">
        <f t="shared" si="1"/>
        <v>0</v>
      </c>
      <c r="S11" s="274">
        <f t="shared" si="1"/>
        <v>50.57</v>
      </c>
      <c r="T11" s="274">
        <f t="shared" si="1"/>
        <v>11.32</v>
      </c>
      <c r="U11" s="274">
        <f t="shared" si="1"/>
        <v>61.89</v>
      </c>
      <c r="V11" s="274">
        <f>SUM(V5:V10)</f>
        <v>0</v>
      </c>
      <c r="W11" s="274">
        <f>SUM(W5:W10)</f>
        <v>50.57</v>
      </c>
      <c r="X11" s="274">
        <f>SUM(X5:X10)</f>
        <v>11.32</v>
      </c>
      <c r="Y11" s="274">
        <f>SUM(Y5:Y10)</f>
        <v>61.89</v>
      </c>
    </row>
    <row r="12" spans="1:25" ht="3.75" customHeight="1">
      <c r="A12" s="278"/>
      <c r="B12" s="278"/>
      <c r="C12" s="282"/>
      <c r="D12" s="282"/>
      <c r="E12" s="283"/>
      <c r="F12" s="278"/>
      <c r="G12" s="275"/>
      <c r="H12" s="275"/>
      <c r="I12" s="274"/>
      <c r="J12" s="281"/>
      <c r="K12" s="275"/>
      <c r="L12" s="284"/>
      <c r="M12" s="274"/>
      <c r="N12" s="281"/>
      <c r="O12" s="275"/>
      <c r="P12" s="284"/>
      <c r="Q12" s="274"/>
      <c r="R12" s="281"/>
      <c r="S12" s="275"/>
      <c r="T12" s="284"/>
      <c r="U12" s="274"/>
      <c r="V12" s="281"/>
      <c r="W12" s="275"/>
      <c r="X12" s="284"/>
      <c r="Y12" s="274"/>
    </row>
    <row r="13" spans="1:25" ht="12.75">
      <c r="A13" s="285" t="s">
        <v>22</v>
      </c>
      <c r="B13" s="285"/>
      <c r="C13" s="268"/>
      <c r="D13" s="268"/>
      <c r="E13" s="267"/>
      <c r="F13" s="285"/>
      <c r="G13" s="286"/>
      <c r="H13" s="287"/>
      <c r="I13" s="287"/>
      <c r="J13" s="288"/>
      <c r="K13" s="286"/>
      <c r="L13" s="287"/>
      <c r="M13" s="274">
        <f>SUM(K13:L13)</f>
        <v>0</v>
      </c>
      <c r="N13" s="288"/>
      <c r="O13" s="286"/>
      <c r="P13" s="287"/>
      <c r="Q13" s="274">
        <f>SUM(O13:P13)</f>
        <v>0</v>
      </c>
      <c r="R13" s="288"/>
      <c r="S13" s="286"/>
      <c r="T13" s="287"/>
      <c r="U13" s="274">
        <f>SUM(S13:T13)</f>
        <v>0</v>
      </c>
      <c r="V13" s="288"/>
      <c r="W13" s="286"/>
      <c r="X13" s="287"/>
      <c r="Y13" s="274">
        <f>SUM(W13:X13)</f>
        <v>0</v>
      </c>
    </row>
    <row r="14" spans="1:25" ht="12.75">
      <c r="A14" s="269" t="s">
        <v>12</v>
      </c>
      <c r="B14" s="276"/>
      <c r="C14" s="276"/>
      <c r="D14" s="271">
        <v>8.48</v>
      </c>
      <c r="E14" s="272">
        <f>SUM(B14:D14)</f>
        <v>8.48</v>
      </c>
      <c r="F14" s="269"/>
      <c r="G14" s="273"/>
      <c r="H14" s="271">
        <v>8.48</v>
      </c>
      <c r="I14" s="272">
        <f>SUM(F14:H14)</f>
        <v>8.48</v>
      </c>
      <c r="J14" s="275"/>
      <c r="K14" s="271" t="s">
        <v>13</v>
      </c>
      <c r="L14" s="271">
        <v>8.48</v>
      </c>
      <c r="M14" s="274">
        <f>SUM(K14:L14)</f>
        <v>8.48</v>
      </c>
      <c r="N14" s="275"/>
      <c r="O14" s="271" t="s">
        <v>13</v>
      </c>
      <c r="P14" s="271">
        <v>8.48</v>
      </c>
      <c r="Q14" s="274">
        <f>SUM(O14:P14)</f>
        <v>8.48</v>
      </c>
      <c r="R14" s="275"/>
      <c r="S14" s="271" t="s">
        <v>13</v>
      </c>
      <c r="T14" s="271">
        <v>8.48</v>
      </c>
      <c r="U14" s="274">
        <f>SUM(S14:T14)</f>
        <v>8.48</v>
      </c>
      <c r="V14" s="275"/>
      <c r="W14" s="271" t="s">
        <v>13</v>
      </c>
      <c r="X14" s="271">
        <v>8.48</v>
      </c>
      <c r="Y14" s="274">
        <f>SUM(W14:X14)</f>
        <v>8.48</v>
      </c>
    </row>
    <row r="15" spans="1:25" ht="12.75">
      <c r="A15" s="269" t="s">
        <v>14</v>
      </c>
      <c r="B15" s="276"/>
      <c r="C15" s="276"/>
      <c r="D15" s="271">
        <v>0</v>
      </c>
      <c r="E15" s="272">
        <f>SUM(B15:D15)</f>
        <v>0</v>
      </c>
      <c r="F15" s="269"/>
      <c r="G15" s="273"/>
      <c r="H15" s="273"/>
      <c r="I15" s="275"/>
      <c r="J15" s="275"/>
      <c r="K15" s="273"/>
      <c r="L15" s="273"/>
      <c r="M15" s="274">
        <f>SUM(K15:L15)</f>
        <v>0</v>
      </c>
      <c r="N15" s="275"/>
      <c r="O15" s="273"/>
      <c r="P15" s="273"/>
      <c r="Q15" s="274">
        <f>SUM(O15:P15)</f>
        <v>0</v>
      </c>
      <c r="R15" s="275"/>
      <c r="S15" s="273"/>
      <c r="T15" s="273"/>
      <c r="U15" s="274">
        <f>SUM(S15:T15)</f>
        <v>0</v>
      </c>
      <c r="V15" s="275"/>
      <c r="W15" s="273"/>
      <c r="X15" s="273"/>
      <c r="Y15" s="274">
        <f>SUM(W15:X15)</f>
        <v>0</v>
      </c>
    </row>
    <row r="16" spans="1:25" ht="12.75">
      <c r="A16" s="269" t="s">
        <v>28</v>
      </c>
      <c r="B16" s="276"/>
      <c r="C16" s="276"/>
      <c r="D16" s="271">
        <v>0.03</v>
      </c>
      <c r="E16" s="272">
        <f>SUM(B16:D16)</f>
        <v>0.03</v>
      </c>
      <c r="F16" s="269"/>
      <c r="G16" s="273"/>
      <c r="H16" s="273"/>
      <c r="I16" s="275"/>
      <c r="J16" s="275"/>
      <c r="K16" s="273"/>
      <c r="L16" s="273"/>
      <c r="M16" s="274">
        <f>SUM(K16:L16)</f>
        <v>0</v>
      </c>
      <c r="N16" s="275"/>
      <c r="O16" s="273"/>
      <c r="P16" s="273"/>
      <c r="Q16" s="274">
        <f>SUM(O16:P16)</f>
        <v>0</v>
      </c>
      <c r="R16" s="275"/>
      <c r="S16" s="273"/>
      <c r="T16" s="273"/>
      <c r="U16" s="274">
        <f>SUM(S16:T16)</f>
        <v>0</v>
      </c>
      <c r="V16" s="275"/>
      <c r="W16" s="273"/>
      <c r="X16" s="273"/>
      <c r="Y16" s="274">
        <f>SUM(W16:X16)</f>
        <v>0</v>
      </c>
    </row>
    <row r="17" spans="1:25" ht="12.75">
      <c r="A17" s="269"/>
      <c r="B17" s="270"/>
      <c r="C17" s="271"/>
      <c r="D17" s="271"/>
      <c r="E17" s="289"/>
      <c r="F17" s="269"/>
      <c r="G17" s="273"/>
      <c r="H17" s="273"/>
      <c r="I17" s="275"/>
      <c r="J17" s="275"/>
      <c r="K17" s="273"/>
      <c r="L17" s="273"/>
      <c r="M17" s="274" t="s">
        <v>13</v>
      </c>
      <c r="N17" s="275"/>
      <c r="O17" s="273"/>
      <c r="P17" s="273"/>
      <c r="Q17" s="274" t="s">
        <v>13</v>
      </c>
      <c r="R17" s="275"/>
      <c r="S17" s="273"/>
      <c r="T17" s="273"/>
      <c r="U17" s="274" t="s">
        <v>13</v>
      </c>
      <c r="V17" s="275"/>
      <c r="W17" s="273"/>
      <c r="X17" s="273"/>
      <c r="Y17" s="274" t="s">
        <v>13</v>
      </c>
    </row>
    <row r="18" spans="1:25" s="264" customFormat="1" ht="12.75">
      <c r="A18" s="278" t="s">
        <v>71</v>
      </c>
      <c r="B18" s="279"/>
      <c r="C18" s="280"/>
      <c r="D18" s="280">
        <f>SUM(D14:D17)</f>
        <v>8.51</v>
      </c>
      <c r="E18" s="280">
        <f>SUM(E14:E17)</f>
        <v>8.51</v>
      </c>
      <c r="F18" s="278"/>
      <c r="G18" s="290">
        <f>SUM(G13:G17)</f>
        <v>0</v>
      </c>
      <c r="H18" s="290">
        <f>SUM(H13:H17)</f>
        <v>8.48</v>
      </c>
      <c r="I18" s="274">
        <f>SUM(I13:I17)</f>
        <v>8.48</v>
      </c>
      <c r="J18" s="281"/>
      <c r="K18" s="290">
        <f>SUM(K13:K17)</f>
        <v>0</v>
      </c>
      <c r="L18" s="290">
        <f>SUM(L13:L17)</f>
        <v>8.48</v>
      </c>
      <c r="M18" s="274">
        <f>SUM(M13:M17)</f>
        <v>8.48</v>
      </c>
      <c r="N18" s="281"/>
      <c r="O18" s="290">
        <f>SUM(O13:O17)</f>
        <v>0</v>
      </c>
      <c r="P18" s="290">
        <f>SUM(P13:P17)</f>
        <v>8.48</v>
      </c>
      <c r="Q18" s="274">
        <f>SUM(Q13:Q17)</f>
        <v>8.48</v>
      </c>
      <c r="R18" s="281"/>
      <c r="S18" s="290">
        <f>SUM(S13:S17)</f>
        <v>0</v>
      </c>
      <c r="T18" s="290">
        <f>SUM(T13:T17)</f>
        <v>8.48</v>
      </c>
      <c r="U18" s="274">
        <f>SUM(U13:U17)</f>
        <v>8.48</v>
      </c>
      <c r="V18" s="281"/>
      <c r="W18" s="290">
        <f>SUM(W13:W17)</f>
        <v>0</v>
      </c>
      <c r="X18" s="290">
        <f>SUM(X13:X17)</f>
        <v>8.48</v>
      </c>
      <c r="Y18" s="274">
        <f>SUM(Y13:Y17)</f>
        <v>8.48</v>
      </c>
    </row>
    <row r="19" spans="1:25" ht="3.75" customHeight="1">
      <c r="A19" s="278"/>
      <c r="B19" s="278"/>
      <c r="C19" s="282"/>
      <c r="D19" s="282"/>
      <c r="E19" s="283"/>
      <c r="F19" s="278"/>
      <c r="G19" s="275"/>
      <c r="H19" s="284"/>
      <c r="I19" s="274"/>
      <c r="J19" s="281"/>
      <c r="K19" s="275"/>
      <c r="L19" s="284"/>
      <c r="M19" s="274">
        <f>SUM(M13:M17)</f>
        <v>8.48</v>
      </c>
      <c r="N19" s="281"/>
      <c r="O19" s="275"/>
      <c r="P19" s="284"/>
      <c r="Q19" s="274">
        <f>SUM(Q13:Q17)</f>
        <v>8.48</v>
      </c>
      <c r="R19" s="281"/>
      <c r="S19" s="275"/>
      <c r="T19" s="284"/>
      <c r="U19" s="274">
        <f>SUM(U13:U17)</f>
        <v>8.48</v>
      </c>
      <c r="V19" s="281"/>
      <c r="W19" s="275"/>
      <c r="X19" s="284"/>
      <c r="Y19" s="274">
        <f>SUM(Y13:Y17)</f>
        <v>8.48</v>
      </c>
    </row>
    <row r="20" spans="1:25" s="264" customFormat="1" ht="17.25" customHeight="1">
      <c r="A20" s="278" t="s">
        <v>174</v>
      </c>
      <c r="B20" s="278"/>
      <c r="C20" s="280">
        <f>C11+C18</f>
        <v>49.099999999999994</v>
      </c>
      <c r="D20" s="280">
        <f>D11+D18</f>
        <v>9.61</v>
      </c>
      <c r="E20" s="280">
        <f>E11+E18</f>
        <v>58.709999999999994</v>
      </c>
      <c r="F20" s="278"/>
      <c r="G20" s="274">
        <f>G11+G18</f>
        <v>49.87</v>
      </c>
      <c r="H20" s="290">
        <f>H11+H18</f>
        <v>17.3</v>
      </c>
      <c r="I20" s="274">
        <f>I11+I18</f>
        <v>62.870000000000005</v>
      </c>
      <c r="J20" s="281"/>
      <c r="K20" s="274">
        <f>K11+K18</f>
        <v>50.57</v>
      </c>
      <c r="L20" s="290">
        <f>L11+L18</f>
        <v>19.8</v>
      </c>
      <c r="M20" s="274">
        <f>M11+M18</f>
        <v>70.37</v>
      </c>
      <c r="N20" s="281"/>
      <c r="O20" s="274">
        <f>O11+O18</f>
        <v>50.57</v>
      </c>
      <c r="P20" s="290">
        <f>P11+P18</f>
        <v>19.8</v>
      </c>
      <c r="Q20" s="274">
        <f>Q11+Q18</f>
        <v>70.37</v>
      </c>
      <c r="R20" s="281"/>
      <c r="S20" s="274">
        <f>S11+S18</f>
        <v>50.57</v>
      </c>
      <c r="T20" s="290">
        <f>T11+T18</f>
        <v>19.8</v>
      </c>
      <c r="U20" s="274">
        <f>U11+U18</f>
        <v>70.37</v>
      </c>
      <c r="V20" s="281"/>
      <c r="W20" s="274">
        <f>W11+W18</f>
        <v>50.57</v>
      </c>
      <c r="X20" s="290">
        <f>X11+X18</f>
        <v>19.8</v>
      </c>
      <c r="Y20" s="274">
        <f>Y11+Y18</f>
        <v>70.37</v>
      </c>
    </row>
    <row r="21" spans="1:25" ht="17.25" customHeight="1">
      <c r="A21" s="291"/>
      <c r="B21" s="292"/>
      <c r="C21" s="293"/>
      <c r="D21" s="293"/>
      <c r="E21" s="294"/>
      <c r="F21" s="292"/>
      <c r="G21" s="295"/>
      <c r="H21" s="296"/>
      <c r="I21" s="297"/>
      <c r="J21" s="297"/>
      <c r="K21" s="295"/>
      <c r="L21" s="296"/>
      <c r="M21" s="297"/>
      <c r="N21" s="297"/>
      <c r="O21" s="295"/>
      <c r="P21" s="296"/>
      <c r="Q21" s="297"/>
      <c r="R21" s="297"/>
      <c r="S21" s="295"/>
      <c r="T21" s="296"/>
      <c r="U21" s="297"/>
      <c r="V21" s="297"/>
      <c r="W21" s="295"/>
      <c r="X21" s="296"/>
      <c r="Y21" s="297"/>
    </row>
    <row r="22" spans="1:25" ht="12.75">
      <c r="A22" s="267" t="s">
        <v>77</v>
      </c>
      <c r="B22" s="298"/>
      <c r="C22" s="299"/>
      <c r="D22" s="299"/>
      <c r="E22" s="300"/>
      <c r="F22" s="301"/>
      <c r="G22" s="302"/>
      <c r="H22" s="302"/>
      <c r="I22" s="303"/>
      <c r="J22" s="303"/>
      <c r="K22" s="302"/>
      <c r="L22" s="302"/>
      <c r="M22" s="303"/>
      <c r="N22" s="303"/>
      <c r="O22" s="302"/>
      <c r="P22" s="302"/>
      <c r="Q22" s="303"/>
      <c r="R22" s="303"/>
      <c r="S22" s="302"/>
      <c r="T22" s="302"/>
      <c r="U22" s="303"/>
      <c r="V22" s="303"/>
      <c r="W22" s="302"/>
      <c r="X22" s="302"/>
      <c r="Y22" s="304"/>
    </row>
    <row r="23" spans="1:25" ht="12.75">
      <c r="A23" s="305" t="s">
        <v>178</v>
      </c>
      <c r="B23" s="270">
        <v>25</v>
      </c>
      <c r="C23" s="276"/>
      <c r="D23" s="276"/>
      <c r="E23" s="289"/>
      <c r="F23" s="270">
        <v>31.25</v>
      </c>
      <c r="G23" s="273"/>
      <c r="H23" s="273"/>
      <c r="I23" s="275"/>
      <c r="J23" s="270">
        <v>31.25</v>
      </c>
      <c r="K23" s="273"/>
      <c r="L23" s="273"/>
      <c r="M23" s="275"/>
      <c r="N23" s="270">
        <v>31.25</v>
      </c>
      <c r="O23" s="273"/>
      <c r="P23" s="273"/>
      <c r="Q23" s="275"/>
      <c r="R23" s="270">
        <v>31.25</v>
      </c>
      <c r="S23" s="273"/>
      <c r="T23" s="273"/>
      <c r="U23" s="275"/>
      <c r="V23" s="275"/>
      <c r="W23" s="273"/>
      <c r="X23" s="273"/>
      <c r="Y23" s="275"/>
    </row>
    <row r="24" spans="1:25" ht="12.75">
      <c r="A24" s="269"/>
      <c r="B24" s="269"/>
      <c r="C24" s="306"/>
      <c r="D24" s="306"/>
      <c r="E24" s="307"/>
      <c r="F24" s="269"/>
      <c r="G24" s="273"/>
      <c r="H24" s="273"/>
      <c r="I24" s="275"/>
      <c r="J24" s="275"/>
      <c r="K24" s="273"/>
      <c r="L24" s="273"/>
      <c r="M24" s="275"/>
      <c r="N24" s="275"/>
      <c r="O24" s="273"/>
      <c r="P24" s="273"/>
      <c r="Q24" s="275"/>
      <c r="R24" s="275"/>
      <c r="S24" s="273"/>
      <c r="T24" s="273"/>
      <c r="U24" s="275"/>
      <c r="V24" s="275"/>
      <c r="W24" s="273"/>
      <c r="X24" s="273"/>
      <c r="Y24" s="275"/>
    </row>
    <row r="25" spans="1:25" s="264" customFormat="1" ht="12.75">
      <c r="A25" s="308" t="s">
        <v>71</v>
      </c>
      <c r="B25" s="280">
        <f>SUM(B23:B24)</f>
        <v>25</v>
      </c>
      <c r="C25" s="280"/>
      <c r="D25" s="280"/>
      <c r="E25" s="280"/>
      <c r="F25" s="309">
        <f>SUM(F23:F24)</f>
        <v>31.25</v>
      </c>
      <c r="G25" s="310"/>
      <c r="H25" s="310"/>
      <c r="I25" s="274"/>
      <c r="J25" s="274">
        <f>SUM(J23:J24)</f>
        <v>31.25</v>
      </c>
      <c r="K25" s="310"/>
      <c r="L25" s="310"/>
      <c r="M25" s="274"/>
      <c r="N25" s="274">
        <f>SUM(N23:N24)</f>
        <v>31.25</v>
      </c>
      <c r="O25" s="310"/>
      <c r="P25" s="310"/>
      <c r="Q25" s="274"/>
      <c r="R25" s="274">
        <f>SUM(R23:R24)</f>
        <v>31.25</v>
      </c>
      <c r="S25" s="310"/>
      <c r="T25" s="310"/>
      <c r="U25" s="274"/>
      <c r="V25" s="274">
        <f>SUM(V23:V24)</f>
        <v>0</v>
      </c>
      <c r="W25" s="310"/>
      <c r="X25" s="310"/>
      <c r="Y25" s="274"/>
    </row>
    <row r="26" spans="1:25" ht="3.75" customHeight="1">
      <c r="A26" s="278"/>
      <c r="B26" s="282"/>
      <c r="C26" s="282"/>
      <c r="D26" s="282"/>
      <c r="E26" s="283"/>
      <c r="F26" s="278"/>
      <c r="G26" s="275"/>
      <c r="H26" s="284"/>
      <c r="I26" s="274"/>
      <c r="J26" s="281"/>
      <c r="K26" s="275"/>
      <c r="L26" s="284"/>
      <c r="M26" s="274"/>
      <c r="N26" s="281"/>
      <c r="O26" s="275"/>
      <c r="P26" s="284"/>
      <c r="Q26" s="274"/>
      <c r="R26" s="281"/>
      <c r="S26" s="275"/>
      <c r="T26" s="284"/>
      <c r="U26" s="274"/>
      <c r="V26" s="281"/>
      <c r="W26" s="275"/>
      <c r="X26" s="284"/>
      <c r="Y26" s="274"/>
    </row>
    <row r="27" spans="1:25" s="264" customFormat="1" ht="12.75">
      <c r="A27" s="278" t="s">
        <v>179</v>
      </c>
      <c r="B27" s="311">
        <f>B25</f>
        <v>25</v>
      </c>
      <c r="C27" s="311" t="s">
        <v>180</v>
      </c>
      <c r="D27" s="311" t="s">
        <v>180</v>
      </c>
      <c r="E27" s="312" t="s">
        <v>180</v>
      </c>
      <c r="F27" s="309">
        <f>F25</f>
        <v>31.25</v>
      </c>
      <c r="G27" s="311" t="s">
        <v>180</v>
      </c>
      <c r="H27" s="311" t="s">
        <v>180</v>
      </c>
      <c r="I27" s="312" t="s">
        <v>180</v>
      </c>
      <c r="J27" s="281">
        <f>J25</f>
        <v>31.25</v>
      </c>
      <c r="K27" s="311" t="s">
        <v>180</v>
      </c>
      <c r="L27" s="311" t="s">
        <v>180</v>
      </c>
      <c r="M27" s="312" t="s">
        <v>180</v>
      </c>
      <c r="N27" s="281">
        <f>N25</f>
        <v>31.25</v>
      </c>
      <c r="O27" s="311" t="s">
        <v>180</v>
      </c>
      <c r="P27" s="311" t="s">
        <v>180</v>
      </c>
      <c r="Q27" s="312" t="s">
        <v>180</v>
      </c>
      <c r="R27" s="281">
        <f>R25</f>
        <v>31.25</v>
      </c>
      <c r="S27" s="311" t="s">
        <v>180</v>
      </c>
      <c r="T27" s="311" t="s">
        <v>180</v>
      </c>
      <c r="U27" s="312" t="s">
        <v>180</v>
      </c>
      <c r="V27" s="281">
        <f>V25</f>
        <v>0</v>
      </c>
      <c r="W27" s="311" t="s">
        <v>180</v>
      </c>
      <c r="X27" s="311" t="s">
        <v>180</v>
      </c>
      <c r="Y27" s="312" t="s">
        <v>180</v>
      </c>
    </row>
    <row r="28" spans="1:25" ht="12.75">
      <c r="A28" s="313"/>
      <c r="B28" s="313"/>
      <c r="C28" s="314"/>
      <c r="D28" s="314"/>
      <c r="E28" s="315"/>
      <c r="F28" s="313"/>
      <c r="G28" s="314"/>
      <c r="H28" s="315"/>
      <c r="I28" s="313"/>
      <c r="J28" s="313"/>
      <c r="K28" s="314"/>
      <c r="L28" s="315"/>
      <c r="M28" s="313"/>
      <c r="N28" s="313"/>
      <c r="O28" s="314"/>
      <c r="P28" s="315"/>
      <c r="Q28" s="313"/>
      <c r="R28" s="313"/>
      <c r="S28" s="314"/>
      <c r="T28" s="315"/>
      <c r="U28" s="313"/>
      <c r="V28" s="313"/>
      <c r="W28" s="314"/>
      <c r="X28" s="315"/>
      <c r="Y28" s="313"/>
    </row>
    <row r="30" spans="1:25" ht="12.75">
      <c r="A30" s="316"/>
      <c r="B30" s="427" t="s">
        <v>6</v>
      </c>
      <c r="C30" s="427"/>
      <c r="D30" s="427"/>
      <c r="E30" s="427"/>
      <c r="F30" s="427" t="s">
        <v>7</v>
      </c>
      <c r="G30" s="427"/>
      <c r="H30" s="427"/>
      <c r="I30" s="427" t="s">
        <v>6</v>
      </c>
      <c r="J30" s="427" t="s">
        <v>8</v>
      </c>
      <c r="K30" s="427"/>
      <c r="L30" s="427"/>
      <c r="M30" s="427" t="s">
        <v>6</v>
      </c>
      <c r="N30" s="427" t="s">
        <v>9</v>
      </c>
      <c r="O30" s="427"/>
      <c r="P30" s="427"/>
      <c r="Q30" s="427" t="s">
        <v>6</v>
      </c>
      <c r="R30" s="427" t="s">
        <v>10</v>
      </c>
      <c r="S30" s="427"/>
      <c r="T30" s="427"/>
      <c r="U30" s="427" t="s">
        <v>6</v>
      </c>
      <c r="V30" s="427" t="s">
        <v>11</v>
      </c>
      <c r="W30" s="427"/>
      <c r="X30" s="427"/>
      <c r="Y30" s="427" t="s">
        <v>6</v>
      </c>
    </row>
    <row r="31" spans="1:25" ht="38.25">
      <c r="A31" s="267" t="s">
        <v>53</v>
      </c>
      <c r="B31" s="268" t="s">
        <v>171</v>
      </c>
      <c r="C31" s="268" t="s">
        <v>172</v>
      </c>
      <c r="D31" s="268" t="s">
        <v>173</v>
      </c>
      <c r="E31" s="268" t="s">
        <v>174</v>
      </c>
      <c r="F31" s="268" t="s">
        <v>171</v>
      </c>
      <c r="G31" s="268" t="s">
        <v>172</v>
      </c>
      <c r="H31" s="268" t="s">
        <v>173</v>
      </c>
      <c r="I31" s="268" t="s">
        <v>174</v>
      </c>
      <c r="J31" s="268" t="s">
        <v>171</v>
      </c>
      <c r="K31" s="268" t="s">
        <v>172</v>
      </c>
      <c r="L31" s="268" t="s">
        <v>173</v>
      </c>
      <c r="M31" s="268" t="s">
        <v>174</v>
      </c>
      <c r="N31" s="268" t="s">
        <v>171</v>
      </c>
      <c r="O31" s="268" t="s">
        <v>172</v>
      </c>
      <c r="P31" s="268" t="s">
        <v>173</v>
      </c>
      <c r="Q31" s="268" t="s">
        <v>174</v>
      </c>
      <c r="R31" s="268" t="s">
        <v>171</v>
      </c>
      <c r="S31" s="268" t="s">
        <v>172</v>
      </c>
      <c r="T31" s="268" t="s">
        <v>173</v>
      </c>
      <c r="U31" s="268" t="s">
        <v>174</v>
      </c>
      <c r="V31" s="268" t="s">
        <v>171</v>
      </c>
      <c r="W31" s="268" t="s">
        <v>172</v>
      </c>
      <c r="X31" s="268" t="s">
        <v>173</v>
      </c>
      <c r="Y31" s="268" t="s">
        <v>174</v>
      </c>
    </row>
    <row r="32" spans="1:25" ht="12.75">
      <c r="A32" s="269" t="s">
        <v>181</v>
      </c>
      <c r="B32" s="317"/>
      <c r="C32" s="317"/>
      <c r="D32" s="273"/>
      <c r="E32" s="318">
        <f>SUM(B32:D32)</f>
        <v>0</v>
      </c>
      <c r="F32" s="275"/>
      <c r="G32" s="273"/>
      <c r="H32" s="277"/>
      <c r="I32" s="274">
        <f aca="true" t="shared" si="2" ref="I32:I37">SUM(G32:H32)</f>
        <v>0</v>
      </c>
      <c r="J32" s="275"/>
      <c r="K32" s="273"/>
      <c r="L32" s="277"/>
      <c r="M32" s="274">
        <f aca="true" t="shared" si="3" ref="M32:M37">SUM(K32:L32)</f>
        <v>0</v>
      </c>
      <c r="N32" s="275"/>
      <c r="O32" s="273"/>
      <c r="P32" s="277"/>
      <c r="Q32" s="274">
        <f aca="true" t="shared" si="4" ref="Q32:Q37">SUM(O32:P32)</f>
        <v>0</v>
      </c>
      <c r="R32" s="275"/>
      <c r="S32" s="273"/>
      <c r="T32" s="277"/>
      <c r="U32" s="274">
        <f aca="true" t="shared" si="5" ref="U32:U37">SUM(S32:T32)</f>
        <v>0</v>
      </c>
      <c r="V32" s="275"/>
      <c r="W32" s="273"/>
      <c r="X32" s="277"/>
      <c r="Y32" s="274">
        <f aca="true" t="shared" si="6" ref="Y32:Y37">SUM(W32:X32)</f>
        <v>0</v>
      </c>
    </row>
    <row r="33" spans="1:25" ht="12.75">
      <c r="A33" s="269" t="s">
        <v>175</v>
      </c>
      <c r="B33" s="317"/>
      <c r="C33" s="317"/>
      <c r="D33" s="273"/>
      <c r="E33" s="318">
        <f>SUM(B33:D33)</f>
        <v>0</v>
      </c>
      <c r="F33" s="275"/>
      <c r="G33" s="273"/>
      <c r="H33" s="277"/>
      <c r="I33" s="274">
        <f t="shared" si="2"/>
        <v>0</v>
      </c>
      <c r="J33" s="275"/>
      <c r="K33" s="273"/>
      <c r="L33" s="277"/>
      <c r="M33" s="274">
        <f t="shared" si="3"/>
        <v>0</v>
      </c>
      <c r="N33" s="275"/>
      <c r="O33" s="273"/>
      <c r="P33" s="277"/>
      <c r="Q33" s="274">
        <f t="shared" si="4"/>
        <v>0</v>
      </c>
      <c r="R33" s="275"/>
      <c r="S33" s="273"/>
      <c r="T33" s="277"/>
      <c r="U33" s="274">
        <f t="shared" si="5"/>
        <v>0</v>
      </c>
      <c r="V33" s="275"/>
      <c r="W33" s="273"/>
      <c r="X33" s="277"/>
      <c r="Y33" s="274">
        <f t="shared" si="6"/>
        <v>0</v>
      </c>
    </row>
    <row r="34" spans="1:25" ht="12.75">
      <c r="A34" s="269" t="s">
        <v>182</v>
      </c>
      <c r="B34" s="317"/>
      <c r="C34" s="273"/>
      <c r="D34" s="273"/>
      <c r="E34" s="318">
        <f>SUM(B34:D34)</f>
        <v>0</v>
      </c>
      <c r="F34" s="275"/>
      <c r="G34" s="273"/>
      <c r="H34" s="277"/>
      <c r="I34" s="274">
        <f t="shared" si="2"/>
        <v>0</v>
      </c>
      <c r="J34" s="275"/>
      <c r="K34" s="273"/>
      <c r="L34" s="277"/>
      <c r="M34" s="274">
        <f t="shared" si="3"/>
        <v>0</v>
      </c>
      <c r="N34" s="275"/>
      <c r="O34" s="273"/>
      <c r="P34" s="277"/>
      <c r="Q34" s="274">
        <f t="shared" si="4"/>
        <v>0</v>
      </c>
      <c r="R34" s="275"/>
      <c r="S34" s="273"/>
      <c r="T34" s="277"/>
      <c r="U34" s="274">
        <f t="shared" si="5"/>
        <v>0</v>
      </c>
      <c r="V34" s="275"/>
      <c r="W34" s="273"/>
      <c r="X34" s="277"/>
      <c r="Y34" s="274">
        <f t="shared" si="6"/>
        <v>0</v>
      </c>
    </row>
    <row r="35" spans="1:25" ht="12.75">
      <c r="A35" s="269" t="s">
        <v>183</v>
      </c>
      <c r="B35" s="317"/>
      <c r="C35" s="273"/>
      <c r="D35" s="273"/>
      <c r="E35" s="318">
        <f>SUM(B35:D35)</f>
        <v>0</v>
      </c>
      <c r="F35" s="275"/>
      <c r="G35" s="319"/>
      <c r="H35" s="319"/>
      <c r="I35" s="274">
        <f t="shared" si="2"/>
        <v>0</v>
      </c>
      <c r="J35" s="275"/>
      <c r="K35" s="319"/>
      <c r="L35" s="319"/>
      <c r="M35" s="274">
        <f t="shared" si="3"/>
        <v>0</v>
      </c>
      <c r="N35" s="275"/>
      <c r="O35" s="319"/>
      <c r="P35" s="319"/>
      <c r="Q35" s="274">
        <f t="shared" si="4"/>
        <v>0</v>
      </c>
      <c r="R35" s="275"/>
      <c r="S35" s="319"/>
      <c r="T35" s="319"/>
      <c r="U35" s="274">
        <f t="shared" si="5"/>
        <v>0</v>
      </c>
      <c r="V35" s="275"/>
      <c r="W35" s="319"/>
      <c r="X35" s="319"/>
      <c r="Y35" s="274">
        <f t="shared" si="6"/>
        <v>0</v>
      </c>
    </row>
    <row r="36" spans="1:25" ht="12.75">
      <c r="A36" s="269" t="s">
        <v>184</v>
      </c>
      <c r="B36" s="317"/>
      <c r="C36" s="273"/>
      <c r="D36" s="273"/>
      <c r="E36" s="318">
        <f>SUM(B36:D36)</f>
        <v>0</v>
      </c>
      <c r="F36" s="275"/>
      <c r="G36" s="319"/>
      <c r="H36" s="319"/>
      <c r="I36" s="274">
        <f t="shared" si="2"/>
        <v>0</v>
      </c>
      <c r="J36" s="275"/>
      <c r="K36" s="319"/>
      <c r="L36" s="319"/>
      <c r="M36" s="274">
        <f t="shared" si="3"/>
        <v>0</v>
      </c>
      <c r="N36" s="275"/>
      <c r="O36" s="319"/>
      <c r="P36" s="319"/>
      <c r="Q36" s="274">
        <f t="shared" si="4"/>
        <v>0</v>
      </c>
      <c r="R36" s="275"/>
      <c r="S36" s="319"/>
      <c r="T36" s="319"/>
      <c r="U36" s="274">
        <f t="shared" si="5"/>
        <v>0</v>
      </c>
      <c r="V36" s="275"/>
      <c r="W36" s="319"/>
      <c r="X36" s="319"/>
      <c r="Y36" s="274">
        <f t="shared" si="6"/>
        <v>0</v>
      </c>
    </row>
    <row r="37" spans="1:25" ht="12.75">
      <c r="A37" s="269"/>
      <c r="B37" s="275"/>
      <c r="C37" s="273"/>
      <c r="D37" s="273"/>
      <c r="E37" s="310"/>
      <c r="F37" s="275"/>
      <c r="G37" s="273"/>
      <c r="H37" s="273"/>
      <c r="I37" s="274">
        <f t="shared" si="2"/>
        <v>0</v>
      </c>
      <c r="J37" s="275"/>
      <c r="K37" s="273"/>
      <c r="L37" s="273"/>
      <c r="M37" s="274">
        <f t="shared" si="3"/>
        <v>0</v>
      </c>
      <c r="N37" s="275"/>
      <c r="O37" s="273"/>
      <c r="P37" s="273"/>
      <c r="Q37" s="274">
        <f t="shared" si="4"/>
        <v>0</v>
      </c>
      <c r="R37" s="275"/>
      <c r="S37" s="273"/>
      <c r="T37" s="273"/>
      <c r="U37" s="274">
        <f t="shared" si="5"/>
        <v>0</v>
      </c>
      <c r="V37" s="275"/>
      <c r="W37" s="273"/>
      <c r="X37" s="273"/>
      <c r="Y37" s="274">
        <f t="shared" si="6"/>
        <v>0</v>
      </c>
    </row>
    <row r="38" spans="1:25" s="264" customFormat="1" ht="12.75">
      <c r="A38" s="278" t="s">
        <v>71</v>
      </c>
      <c r="B38" s="320"/>
      <c r="C38" s="281">
        <f>SUM(C32:C37)</f>
        <v>0</v>
      </c>
      <c r="D38" s="281">
        <f>SUM(D32:D37)</f>
        <v>0</v>
      </c>
      <c r="E38" s="281">
        <f>SUM(E32:E37)</f>
        <v>0</v>
      </c>
      <c r="F38" s="281"/>
      <c r="G38" s="274">
        <f>SUM(G32:G37)</f>
        <v>0</v>
      </c>
      <c r="H38" s="274">
        <f>SUM(H32:H37)</f>
        <v>0</v>
      </c>
      <c r="I38" s="274">
        <f>SUM(I32:I37)</f>
        <v>0</v>
      </c>
      <c r="J38" s="281"/>
      <c r="K38" s="274">
        <f>SUM(K32:K37)</f>
        <v>0</v>
      </c>
      <c r="L38" s="274">
        <f>SUM(L32:L37)</f>
        <v>0</v>
      </c>
      <c r="M38" s="274">
        <f>SUM(M32:M37)</f>
        <v>0</v>
      </c>
      <c r="N38" s="281"/>
      <c r="O38" s="274">
        <f>SUM(O32:O37)</f>
        <v>0</v>
      </c>
      <c r="P38" s="274">
        <f>SUM(P32:P37)</f>
        <v>0</v>
      </c>
      <c r="Q38" s="274">
        <f>SUM(Q32:Q37)</f>
        <v>0</v>
      </c>
      <c r="R38" s="281"/>
      <c r="S38" s="274">
        <f>SUM(S32:S37)</f>
        <v>0</v>
      </c>
      <c r="T38" s="274">
        <f>SUM(T32:T37)</f>
        <v>0</v>
      </c>
      <c r="U38" s="274">
        <f>SUM(U32:U37)</f>
        <v>0</v>
      </c>
      <c r="V38" s="281"/>
      <c r="W38" s="274">
        <f>SUM(W32:W37)</f>
        <v>0</v>
      </c>
      <c r="X38" s="274">
        <f>SUM(X32:X37)</f>
        <v>0</v>
      </c>
      <c r="Y38" s="274">
        <f>SUM(Y32:Y37)</f>
        <v>0</v>
      </c>
    </row>
    <row r="39" spans="1:25" ht="3.75" customHeight="1">
      <c r="A39" s="278"/>
      <c r="B39" s="281"/>
      <c r="C39" s="275"/>
      <c r="D39" s="275"/>
      <c r="E39" s="290"/>
      <c r="F39" s="281"/>
      <c r="G39" s="275"/>
      <c r="H39" s="284"/>
      <c r="I39" s="274"/>
      <c r="J39" s="281"/>
      <c r="K39" s="275"/>
      <c r="L39" s="284"/>
      <c r="M39" s="274"/>
      <c r="N39" s="281"/>
      <c r="O39" s="275"/>
      <c r="P39" s="284"/>
      <c r="Q39" s="274"/>
      <c r="R39" s="281"/>
      <c r="S39" s="275"/>
      <c r="T39" s="284"/>
      <c r="U39" s="274"/>
      <c r="V39" s="281"/>
      <c r="W39" s="275"/>
      <c r="X39" s="284"/>
      <c r="Y39" s="274"/>
    </row>
    <row r="40" spans="1:25" ht="12.75">
      <c r="A40" s="285" t="s">
        <v>22</v>
      </c>
      <c r="B40" s="288"/>
      <c r="C40" s="286"/>
      <c r="D40" s="286"/>
      <c r="E40" s="287"/>
      <c r="F40" s="288"/>
      <c r="G40" s="286"/>
      <c r="H40" s="287"/>
      <c r="I40" s="274">
        <f>SUM(G40:H40)</f>
        <v>0</v>
      </c>
      <c r="J40" s="288"/>
      <c r="K40" s="286"/>
      <c r="L40" s="287"/>
      <c r="M40" s="274">
        <f>SUM(K40:L40)</f>
        <v>0</v>
      </c>
      <c r="N40" s="288"/>
      <c r="O40" s="286"/>
      <c r="P40" s="287"/>
      <c r="Q40" s="274">
        <f>SUM(O40:P40)</f>
        <v>0</v>
      </c>
      <c r="R40" s="288"/>
      <c r="S40" s="286"/>
      <c r="T40" s="287"/>
      <c r="U40" s="274">
        <f>SUM(S40:T40)</f>
        <v>0</v>
      </c>
      <c r="V40" s="288"/>
      <c r="W40" s="286"/>
      <c r="X40" s="287"/>
      <c r="Y40" s="274">
        <f>SUM(W40:X40)</f>
        <v>0</v>
      </c>
    </row>
    <row r="41" spans="1:25" ht="12.75">
      <c r="A41" s="269" t="s">
        <v>12</v>
      </c>
      <c r="B41" s="317"/>
      <c r="C41" s="317"/>
      <c r="D41" s="273"/>
      <c r="E41" s="318">
        <f>SUM(B41:D41)</f>
        <v>0</v>
      </c>
      <c r="F41" s="275"/>
      <c r="G41" s="273"/>
      <c r="H41" s="273"/>
      <c r="I41" s="274">
        <f>SUM(G41:H41)</f>
        <v>0</v>
      </c>
      <c r="J41" s="275"/>
      <c r="K41" s="273"/>
      <c r="L41" s="273"/>
      <c r="M41" s="274">
        <f>SUM(K41:L41)</f>
        <v>0</v>
      </c>
      <c r="N41" s="275"/>
      <c r="O41" s="273"/>
      <c r="P41" s="273"/>
      <c r="Q41" s="274">
        <f>SUM(O41:P41)</f>
        <v>0</v>
      </c>
      <c r="R41" s="275"/>
      <c r="S41" s="273"/>
      <c r="T41" s="273"/>
      <c r="U41" s="274">
        <f>SUM(S41:T41)</f>
        <v>0</v>
      </c>
      <c r="V41" s="275"/>
      <c r="W41" s="273"/>
      <c r="X41" s="273"/>
      <c r="Y41" s="274">
        <f>SUM(W41:X41)</f>
        <v>0</v>
      </c>
    </row>
    <row r="42" spans="1:25" ht="12.75">
      <c r="A42" s="269" t="s">
        <v>14</v>
      </c>
      <c r="B42" s="317"/>
      <c r="C42" s="317"/>
      <c r="D42" s="273"/>
      <c r="E42" s="318">
        <f>SUM(B42:D42)</f>
        <v>0</v>
      </c>
      <c r="F42" s="275"/>
      <c r="G42" s="273"/>
      <c r="H42" s="273"/>
      <c r="I42" s="274">
        <f>SUM(G42:H42)</f>
        <v>0</v>
      </c>
      <c r="J42" s="275"/>
      <c r="K42" s="273"/>
      <c r="L42" s="273"/>
      <c r="M42" s="274">
        <f>SUM(K42:L42)</f>
        <v>0</v>
      </c>
      <c r="N42" s="275"/>
      <c r="O42" s="273"/>
      <c r="P42" s="273"/>
      <c r="Q42" s="274">
        <f>SUM(O42:P42)</f>
        <v>0</v>
      </c>
      <c r="R42" s="275"/>
      <c r="S42" s="273"/>
      <c r="T42" s="273"/>
      <c r="U42" s="274">
        <f>SUM(S42:T42)</f>
        <v>0</v>
      </c>
      <c r="V42" s="275"/>
      <c r="W42" s="273"/>
      <c r="X42" s="273"/>
      <c r="Y42" s="274">
        <f>SUM(W42:X42)</f>
        <v>0</v>
      </c>
    </row>
    <row r="43" spans="1:25" ht="12.75">
      <c r="A43" s="269" t="s">
        <v>28</v>
      </c>
      <c r="B43" s="317"/>
      <c r="C43" s="317"/>
      <c r="D43" s="273"/>
      <c r="E43" s="318">
        <f>SUM(B43:D43)</f>
        <v>0</v>
      </c>
      <c r="F43" s="275"/>
      <c r="G43" s="273"/>
      <c r="H43" s="273"/>
      <c r="I43" s="274">
        <f>SUM(G43:H43)</f>
        <v>0</v>
      </c>
      <c r="J43" s="275"/>
      <c r="K43" s="273"/>
      <c r="L43" s="273"/>
      <c r="M43" s="274">
        <f>SUM(K43:L43)</f>
        <v>0</v>
      </c>
      <c r="N43" s="275"/>
      <c r="O43" s="273"/>
      <c r="P43" s="273"/>
      <c r="Q43" s="274">
        <f>SUM(O43:P43)</f>
        <v>0</v>
      </c>
      <c r="R43" s="275"/>
      <c r="S43" s="273"/>
      <c r="T43" s="273"/>
      <c r="U43" s="274">
        <f>SUM(S43:T43)</f>
        <v>0</v>
      </c>
      <c r="V43" s="275"/>
      <c r="W43" s="273"/>
      <c r="X43" s="273"/>
      <c r="Y43" s="274">
        <f>SUM(W43:X43)</f>
        <v>0</v>
      </c>
    </row>
    <row r="44" spans="1:25" ht="12.75">
      <c r="A44" s="269"/>
      <c r="B44" s="275"/>
      <c r="C44" s="273"/>
      <c r="D44" s="273"/>
      <c r="E44" s="310"/>
      <c r="F44" s="275"/>
      <c r="G44" s="273"/>
      <c r="H44" s="273"/>
      <c r="I44" s="274">
        <f>SUM(G44:H44)</f>
        <v>0</v>
      </c>
      <c r="J44" s="275"/>
      <c r="K44" s="273"/>
      <c r="L44" s="273"/>
      <c r="M44" s="274">
        <f>SUM(K44:L44)</f>
        <v>0</v>
      </c>
      <c r="N44" s="275"/>
      <c r="O44" s="273"/>
      <c r="P44" s="273"/>
      <c r="Q44" s="274">
        <f>SUM(O44:P44)</f>
        <v>0</v>
      </c>
      <c r="R44" s="275"/>
      <c r="S44" s="273"/>
      <c r="T44" s="273"/>
      <c r="U44" s="274">
        <f>SUM(S44:T44)</f>
        <v>0</v>
      </c>
      <c r="V44" s="275"/>
      <c r="W44" s="273"/>
      <c r="X44" s="273"/>
      <c r="Y44" s="274">
        <f>SUM(W44:X44)</f>
        <v>0</v>
      </c>
    </row>
    <row r="45" spans="1:25" s="264" customFormat="1" ht="12.75">
      <c r="A45" s="278" t="s">
        <v>71</v>
      </c>
      <c r="B45" s="320"/>
      <c r="C45" s="281">
        <f>SUM(C40:C44)</f>
        <v>0</v>
      </c>
      <c r="D45" s="281">
        <f>SUM(D41:D44)</f>
        <v>0</v>
      </c>
      <c r="E45" s="281">
        <f>SUM(E41:E44)</f>
        <v>0</v>
      </c>
      <c r="F45" s="281"/>
      <c r="G45" s="290">
        <f>SUM(G40:G44)</f>
        <v>0</v>
      </c>
      <c r="H45" s="290">
        <f>SUM(H40:H44)</f>
        <v>0</v>
      </c>
      <c r="I45" s="274">
        <f>SUM(I40:I44)</f>
        <v>0</v>
      </c>
      <c r="J45" s="281"/>
      <c r="K45" s="290">
        <f>SUM(K40:K44)</f>
        <v>0</v>
      </c>
      <c r="L45" s="290">
        <f>SUM(L40:L44)</f>
        <v>0</v>
      </c>
      <c r="M45" s="274">
        <f>SUM(M40:M44)</f>
        <v>0</v>
      </c>
      <c r="N45" s="281"/>
      <c r="O45" s="290">
        <f>SUM(O40:O44)</f>
        <v>0</v>
      </c>
      <c r="P45" s="290">
        <f>SUM(P40:P44)</f>
        <v>0</v>
      </c>
      <c r="Q45" s="274">
        <f>SUM(Q40:Q44)</f>
        <v>0</v>
      </c>
      <c r="R45" s="281"/>
      <c r="S45" s="290">
        <f>SUM(S40:S44)</f>
        <v>0</v>
      </c>
      <c r="T45" s="290">
        <f>SUM(T40:T44)</f>
        <v>0</v>
      </c>
      <c r="U45" s="274">
        <f>SUM(U40:U44)</f>
        <v>0</v>
      </c>
      <c r="V45" s="281"/>
      <c r="W45" s="290">
        <f>SUM(W40:W44)</f>
        <v>0</v>
      </c>
      <c r="X45" s="290">
        <f>SUM(X40:X44)</f>
        <v>0</v>
      </c>
      <c r="Y45" s="274">
        <f>SUM(Y40:Y44)</f>
        <v>0</v>
      </c>
    </row>
    <row r="46" spans="1:25" ht="3.75" customHeight="1">
      <c r="A46" s="278"/>
      <c r="B46" s="281"/>
      <c r="C46" s="275"/>
      <c r="D46" s="275"/>
      <c r="E46" s="290"/>
      <c r="F46" s="281"/>
      <c r="G46" s="275"/>
      <c r="H46" s="284"/>
      <c r="I46" s="274">
        <f>SUM(I40:I44)</f>
        <v>0</v>
      </c>
      <c r="J46" s="281"/>
      <c r="K46" s="275"/>
      <c r="L46" s="284"/>
      <c r="M46" s="274">
        <f>SUM(M40:M44)</f>
        <v>0</v>
      </c>
      <c r="N46" s="281"/>
      <c r="O46" s="275"/>
      <c r="P46" s="284"/>
      <c r="Q46" s="274">
        <f>SUM(Q40:Q44)</f>
        <v>0</v>
      </c>
      <c r="R46" s="281"/>
      <c r="S46" s="275"/>
      <c r="T46" s="284"/>
      <c r="U46" s="274">
        <f>SUM(U40:U44)</f>
        <v>0</v>
      </c>
      <c r="V46" s="281"/>
      <c r="W46" s="275"/>
      <c r="X46" s="284"/>
      <c r="Y46" s="274">
        <f>SUM(Y40:Y44)</f>
        <v>0</v>
      </c>
    </row>
    <row r="47" spans="1:25" ht="17.25" customHeight="1">
      <c r="A47" s="278" t="s">
        <v>174</v>
      </c>
      <c r="B47" s="281"/>
      <c r="C47" s="281">
        <f>C38+C45</f>
        <v>0</v>
      </c>
      <c r="D47" s="281">
        <f>D38+D45</f>
        <v>0</v>
      </c>
      <c r="E47" s="281">
        <f>E38+E45</f>
        <v>0</v>
      </c>
      <c r="F47" s="281"/>
      <c r="G47" s="274">
        <f>G38+G45</f>
        <v>0</v>
      </c>
      <c r="H47" s="290">
        <f>H38+H45</f>
        <v>0</v>
      </c>
      <c r="I47" s="274">
        <f>I38+I45</f>
        <v>0</v>
      </c>
      <c r="J47" s="281"/>
      <c r="K47" s="274">
        <f>K38+K45</f>
        <v>0</v>
      </c>
      <c r="L47" s="290">
        <f>L38+L45</f>
        <v>0</v>
      </c>
      <c r="M47" s="274">
        <f>M38+M45</f>
        <v>0</v>
      </c>
      <c r="N47" s="281"/>
      <c r="O47" s="274">
        <f>O38+O45</f>
        <v>0</v>
      </c>
      <c r="P47" s="290">
        <f>P38+P45</f>
        <v>0</v>
      </c>
      <c r="Q47" s="274">
        <f>Q38+Q45</f>
        <v>0</v>
      </c>
      <c r="R47" s="281"/>
      <c r="S47" s="274">
        <f>S38+S45</f>
        <v>0</v>
      </c>
      <c r="T47" s="290">
        <f>T38+T45</f>
        <v>0</v>
      </c>
      <c r="U47" s="274">
        <f>U38+U45</f>
        <v>0</v>
      </c>
      <c r="V47" s="281"/>
      <c r="W47" s="274">
        <f>W38+W45</f>
        <v>0</v>
      </c>
      <c r="X47" s="290">
        <f>X38+X45</f>
        <v>0</v>
      </c>
      <c r="Y47" s="274">
        <f>Y38+Y45</f>
        <v>0</v>
      </c>
    </row>
    <row r="48" spans="1:25" ht="17.25" customHeight="1">
      <c r="A48" s="291"/>
      <c r="B48" s="297"/>
      <c r="C48" s="295"/>
      <c r="D48" s="295"/>
      <c r="E48" s="321"/>
      <c r="F48" s="297"/>
      <c r="G48" s="295"/>
      <c r="H48" s="296"/>
      <c r="I48" s="297"/>
      <c r="J48" s="297"/>
      <c r="K48" s="295"/>
      <c r="L48" s="296"/>
      <c r="M48" s="297"/>
      <c r="N48" s="297"/>
      <c r="O48" s="295"/>
      <c r="P48" s="296"/>
      <c r="Q48" s="297"/>
      <c r="R48" s="297"/>
      <c r="S48" s="295"/>
      <c r="T48" s="296"/>
      <c r="U48" s="297"/>
      <c r="V48" s="297"/>
      <c r="W48" s="295"/>
      <c r="X48" s="296"/>
      <c r="Y48" s="297"/>
    </row>
    <row r="49" spans="1:25" ht="12.75">
      <c r="A49" s="267" t="s">
        <v>77</v>
      </c>
      <c r="B49" s="322"/>
      <c r="C49" s="302"/>
      <c r="D49" s="302"/>
      <c r="E49" s="323"/>
      <c r="F49" s="303"/>
      <c r="G49" s="302"/>
      <c r="H49" s="302"/>
      <c r="I49" s="303"/>
      <c r="J49" s="303"/>
      <c r="K49" s="302"/>
      <c r="L49" s="302"/>
      <c r="M49" s="303"/>
      <c r="N49" s="303"/>
      <c r="O49" s="302"/>
      <c r="P49" s="302"/>
      <c r="Q49" s="303"/>
      <c r="R49" s="303"/>
      <c r="S49" s="302"/>
      <c r="T49" s="302"/>
      <c r="U49" s="303"/>
      <c r="V49" s="303"/>
      <c r="W49" s="302"/>
      <c r="X49" s="302"/>
      <c r="Y49" s="304"/>
    </row>
    <row r="50" spans="1:25" ht="12.75">
      <c r="A50" s="305" t="s">
        <v>178</v>
      </c>
      <c r="B50" s="275"/>
      <c r="C50" s="317"/>
      <c r="D50" s="317"/>
      <c r="E50" s="310"/>
      <c r="F50" s="275"/>
      <c r="G50" s="317"/>
      <c r="H50" s="317"/>
      <c r="I50" s="310"/>
      <c r="J50" s="275"/>
      <c r="K50" s="317"/>
      <c r="L50" s="317"/>
      <c r="M50" s="310"/>
      <c r="N50" s="275"/>
      <c r="O50" s="317"/>
      <c r="P50" s="317"/>
      <c r="Q50" s="310"/>
      <c r="R50" s="275"/>
      <c r="S50" s="317"/>
      <c r="T50" s="317"/>
      <c r="U50" s="310"/>
      <c r="V50" s="275"/>
      <c r="W50" s="317"/>
      <c r="X50" s="317"/>
      <c r="Y50" s="310"/>
    </row>
    <row r="51" spans="1:25" ht="12.75">
      <c r="A51" s="269"/>
      <c r="B51" s="275"/>
      <c r="C51" s="273"/>
      <c r="D51" s="273"/>
      <c r="E51" s="310"/>
      <c r="F51" s="275"/>
      <c r="G51" s="273"/>
      <c r="H51" s="273"/>
      <c r="I51" s="310"/>
      <c r="J51" s="275"/>
      <c r="K51" s="273"/>
      <c r="L51" s="273"/>
      <c r="M51" s="310"/>
      <c r="N51" s="275"/>
      <c r="O51" s="273"/>
      <c r="P51" s="273"/>
      <c r="Q51" s="310"/>
      <c r="R51" s="275"/>
      <c r="S51" s="273"/>
      <c r="T51" s="273"/>
      <c r="U51" s="310"/>
      <c r="V51" s="275"/>
      <c r="W51" s="273"/>
      <c r="X51" s="273"/>
      <c r="Y51" s="310"/>
    </row>
    <row r="52" spans="1:25" s="264" customFormat="1" ht="12.75">
      <c r="A52" s="308" t="s">
        <v>71</v>
      </c>
      <c r="B52" s="281">
        <f>SUM(B50:B51)</f>
        <v>0</v>
      </c>
      <c r="C52" s="281"/>
      <c r="D52" s="281"/>
      <c r="E52" s="281"/>
      <c r="F52" s="281">
        <f>SUM(F50:F51)</f>
        <v>0</v>
      </c>
      <c r="G52" s="281"/>
      <c r="H52" s="281"/>
      <c r="I52" s="281"/>
      <c r="J52" s="281">
        <f>SUM(J50:J51)</f>
        <v>0</v>
      </c>
      <c r="K52" s="281"/>
      <c r="L52" s="281"/>
      <c r="M52" s="281"/>
      <c r="N52" s="281">
        <f>SUM(N50:N51)</f>
        <v>0</v>
      </c>
      <c r="O52" s="281"/>
      <c r="P52" s="281"/>
      <c r="Q52" s="281"/>
      <c r="R52" s="281">
        <f>SUM(R50:R51)</f>
        <v>0</v>
      </c>
      <c r="S52" s="281"/>
      <c r="T52" s="281"/>
      <c r="U52" s="281"/>
      <c r="V52" s="281">
        <f>SUM(V50:V51)</f>
        <v>0</v>
      </c>
      <c r="W52" s="281"/>
      <c r="X52" s="281"/>
      <c r="Y52" s="274"/>
    </row>
    <row r="53" spans="1:25" ht="3.75" customHeight="1">
      <c r="A53" s="278"/>
      <c r="B53" s="275"/>
      <c r="C53" s="275"/>
      <c r="D53" s="275"/>
      <c r="E53" s="290"/>
      <c r="F53" s="275"/>
      <c r="G53" s="275"/>
      <c r="H53" s="275"/>
      <c r="I53" s="290"/>
      <c r="J53" s="275"/>
      <c r="K53" s="275"/>
      <c r="L53" s="275"/>
      <c r="M53" s="290"/>
      <c r="N53" s="275"/>
      <c r="O53" s="275"/>
      <c r="P53" s="275"/>
      <c r="Q53" s="290"/>
      <c r="R53" s="275"/>
      <c r="S53" s="275"/>
      <c r="T53" s="275"/>
      <c r="U53" s="290"/>
      <c r="V53" s="275"/>
      <c r="W53" s="275"/>
      <c r="X53" s="275"/>
      <c r="Y53" s="290"/>
    </row>
    <row r="54" spans="1:25" s="325" customFormat="1" ht="12.75">
      <c r="A54" s="278" t="s">
        <v>179</v>
      </c>
      <c r="B54" s="324">
        <f>B52</f>
        <v>0</v>
      </c>
      <c r="C54" s="324" t="s">
        <v>180</v>
      </c>
      <c r="D54" s="324" t="s">
        <v>180</v>
      </c>
      <c r="E54" s="324" t="s">
        <v>180</v>
      </c>
      <c r="F54" s="324">
        <f>F52</f>
        <v>0</v>
      </c>
      <c r="G54" s="324" t="s">
        <v>180</v>
      </c>
      <c r="H54" s="324" t="s">
        <v>180</v>
      </c>
      <c r="I54" s="324" t="s">
        <v>180</v>
      </c>
      <c r="J54" s="324">
        <f>J52</f>
        <v>0</v>
      </c>
      <c r="K54" s="324" t="s">
        <v>180</v>
      </c>
      <c r="L54" s="324" t="s">
        <v>180</v>
      </c>
      <c r="M54" s="324" t="s">
        <v>180</v>
      </c>
      <c r="N54" s="324">
        <f>N52</f>
        <v>0</v>
      </c>
      <c r="O54" s="324" t="s">
        <v>180</v>
      </c>
      <c r="P54" s="324" t="s">
        <v>180</v>
      </c>
      <c r="Q54" s="324" t="s">
        <v>180</v>
      </c>
      <c r="R54" s="324">
        <f>R52</f>
        <v>0</v>
      </c>
      <c r="S54" s="324" t="s">
        <v>180</v>
      </c>
      <c r="T54" s="324" t="s">
        <v>180</v>
      </c>
      <c r="U54" s="324" t="s">
        <v>180</v>
      </c>
      <c r="V54" s="324">
        <f>V52</f>
        <v>0</v>
      </c>
      <c r="W54" s="324" t="s">
        <v>180</v>
      </c>
      <c r="X54" s="324" t="s">
        <v>180</v>
      </c>
      <c r="Y54" s="324" t="s">
        <v>180</v>
      </c>
    </row>
    <row r="55" spans="1:25" s="331" customFormat="1" ht="12.75">
      <c r="A55" s="313"/>
      <c r="B55" s="326"/>
      <c r="C55" s="326"/>
      <c r="D55" s="326"/>
      <c r="E55" s="327"/>
      <c r="F55" s="328"/>
      <c r="G55" s="329"/>
      <c r="H55" s="330"/>
      <c r="I55" s="328"/>
      <c r="J55" s="328"/>
      <c r="K55" s="329"/>
      <c r="L55" s="330"/>
      <c r="M55" s="328"/>
      <c r="N55" s="328"/>
      <c r="O55" s="329"/>
      <c r="P55" s="330"/>
      <c r="Q55" s="328"/>
      <c r="R55" s="328"/>
      <c r="S55" s="329"/>
      <c r="T55" s="330"/>
      <c r="U55" s="328"/>
      <c r="V55" s="328"/>
      <c r="W55" s="329"/>
      <c r="X55" s="330"/>
      <c r="Y55" s="328"/>
    </row>
    <row r="56" spans="1:25" ht="12.75">
      <c r="A56" s="313" t="s">
        <v>25</v>
      </c>
      <c r="B56" s="313"/>
      <c r="C56" s="315"/>
      <c r="D56" s="315"/>
      <c r="E56" s="315"/>
      <c r="F56" s="313"/>
      <c r="G56" s="315"/>
      <c r="H56" s="315"/>
      <c r="I56" s="313"/>
      <c r="J56" s="313"/>
      <c r="K56" s="315"/>
      <c r="L56" s="315"/>
      <c r="M56" s="313"/>
      <c r="N56" s="313"/>
      <c r="O56" s="315"/>
      <c r="P56" s="315"/>
      <c r="Q56" s="313"/>
      <c r="R56" s="313"/>
      <c r="S56" s="315"/>
      <c r="T56" s="315"/>
      <c r="U56" s="313"/>
      <c r="V56" s="313"/>
      <c r="W56" s="315"/>
      <c r="X56" s="315"/>
      <c r="Y56" s="313"/>
    </row>
    <row r="57" spans="1:25" ht="12.75">
      <c r="A57" s="313"/>
      <c r="B57" s="313" t="s">
        <v>185</v>
      </c>
      <c r="C57" s="315"/>
      <c r="D57" s="315"/>
      <c r="E57" s="315"/>
      <c r="F57" s="313"/>
      <c r="G57" s="315"/>
      <c r="H57" s="315"/>
      <c r="I57" s="313"/>
      <c r="J57" s="313"/>
      <c r="K57" s="315"/>
      <c r="L57" s="315"/>
      <c r="M57" s="313"/>
      <c r="N57" s="313"/>
      <c r="O57" s="315"/>
      <c r="P57" s="315"/>
      <c r="Q57" s="313"/>
      <c r="R57" s="313"/>
      <c r="S57" s="315"/>
      <c r="T57" s="315"/>
      <c r="U57" s="313"/>
      <c r="V57" s="313"/>
      <c r="W57" s="315"/>
      <c r="X57" s="315"/>
      <c r="Y57" s="313"/>
    </row>
    <row r="58" spans="1:25" ht="12.75">
      <c r="A58" s="313"/>
      <c r="B58" s="313" t="s">
        <v>186</v>
      </c>
      <c r="C58" s="315"/>
      <c r="D58" s="315"/>
      <c r="E58" s="315"/>
      <c r="F58" s="313"/>
      <c r="G58" s="315"/>
      <c r="H58" s="315"/>
      <c r="I58" s="313"/>
      <c r="J58" s="313"/>
      <c r="K58" s="315"/>
      <c r="L58" s="315"/>
      <c r="M58" s="313"/>
      <c r="N58" s="313"/>
      <c r="O58" s="315"/>
      <c r="P58" s="315"/>
      <c r="Q58" s="313"/>
      <c r="R58" s="313"/>
      <c r="S58" s="315"/>
      <c r="T58" s="315"/>
      <c r="U58" s="313"/>
      <c r="V58" s="313"/>
      <c r="W58" s="315"/>
      <c r="X58" s="315"/>
      <c r="Y58" s="313"/>
    </row>
    <row r="60" spans="1:25" ht="12.75">
      <c r="A60" s="313" t="s">
        <v>171</v>
      </c>
      <c r="B60" s="313" t="s">
        <v>187</v>
      </c>
      <c r="D60" s="315"/>
      <c r="G60" s="315"/>
      <c r="I60" s="313"/>
      <c r="K60" s="315"/>
      <c r="M60" s="313"/>
      <c r="N60" s="332"/>
      <c r="O60" s="315"/>
      <c r="P60" s="315"/>
      <c r="Q60" s="332"/>
      <c r="R60" s="332"/>
      <c r="S60" s="315"/>
      <c r="T60" s="315"/>
      <c r="U60" s="332"/>
      <c r="V60" s="332"/>
      <c r="W60" s="315"/>
      <c r="X60" s="315"/>
      <c r="Y60" s="332"/>
    </row>
    <row r="61" spans="1:25" ht="12.75">
      <c r="A61" s="313" t="s">
        <v>188</v>
      </c>
      <c r="B61" s="313" t="s">
        <v>189</v>
      </c>
      <c r="D61" s="315"/>
      <c r="G61" s="315"/>
      <c r="I61" s="313"/>
      <c r="K61" s="315"/>
      <c r="M61" s="313"/>
      <c r="N61" s="332"/>
      <c r="O61" s="315"/>
      <c r="P61" s="315"/>
      <c r="Q61" s="332"/>
      <c r="R61" s="332"/>
      <c r="S61" s="315"/>
      <c r="T61" s="315"/>
      <c r="U61" s="332"/>
      <c r="V61" s="332"/>
      <c r="W61" s="315"/>
      <c r="X61" s="315"/>
      <c r="Y61" s="332"/>
    </row>
    <row r="62" spans="1:13" ht="12.75">
      <c r="A62" s="313" t="s">
        <v>173</v>
      </c>
      <c r="B62" s="313" t="s">
        <v>190</v>
      </c>
      <c r="D62" s="315"/>
      <c r="G62" s="315"/>
      <c r="I62" s="313"/>
      <c r="K62" s="315"/>
      <c r="M62" s="313"/>
    </row>
    <row r="63" spans="1:25" ht="12.75">
      <c r="A63" s="313" t="s">
        <v>174</v>
      </c>
      <c r="B63" s="313" t="s">
        <v>191</v>
      </c>
      <c r="D63" s="315"/>
      <c r="F63" s="333"/>
      <c r="I63" s="333"/>
      <c r="J63" s="333"/>
      <c r="M63" s="333"/>
      <c r="N63" s="333"/>
      <c r="Q63" s="333"/>
      <c r="R63" s="333"/>
      <c r="U63" s="333"/>
      <c r="V63" s="333"/>
      <c r="Y63" s="333"/>
    </row>
    <row r="64" spans="1:25" ht="12.75">
      <c r="A64" s="313" t="s">
        <v>192</v>
      </c>
      <c r="B64" s="313" t="s">
        <v>193</v>
      </c>
      <c r="D64" s="315"/>
      <c r="G64" s="315"/>
      <c r="I64" s="313"/>
      <c r="K64" s="315"/>
      <c r="M64" s="313"/>
      <c r="N64" s="332"/>
      <c r="O64" s="315"/>
      <c r="P64" s="315"/>
      <c r="Q64" s="332"/>
      <c r="R64" s="332"/>
      <c r="S64" s="315"/>
      <c r="T64" s="315"/>
      <c r="U64" s="332"/>
      <c r="V64" s="332"/>
      <c r="W64" s="315"/>
      <c r="X64" s="315"/>
      <c r="Y64" s="332"/>
    </row>
    <row r="65" spans="1:25" ht="12.75">
      <c r="A65" s="333"/>
      <c r="B65" s="333"/>
      <c r="F65" s="333"/>
      <c r="I65" s="333"/>
      <c r="J65" s="333"/>
      <c r="M65" s="333"/>
      <c r="N65" s="333"/>
      <c r="Q65" s="333"/>
      <c r="R65" s="333"/>
      <c r="U65" s="333"/>
      <c r="V65" s="333"/>
      <c r="Y65" s="333"/>
    </row>
    <row r="66" spans="1:25" ht="12.75">
      <c r="A66" s="333"/>
      <c r="B66" s="333"/>
      <c r="F66" s="333"/>
      <c r="I66" s="333"/>
      <c r="J66" s="333"/>
      <c r="M66" s="333"/>
      <c r="N66" s="333"/>
      <c r="Q66" s="333"/>
      <c r="R66" s="333"/>
      <c r="U66" s="333"/>
      <c r="V66" s="333"/>
      <c r="Y66" s="333"/>
    </row>
    <row r="67" spans="1:25" ht="12.75">
      <c r="A67" s="333"/>
      <c r="B67" s="333"/>
      <c r="F67" s="333"/>
      <c r="I67" s="333"/>
      <c r="J67" s="333"/>
      <c r="M67" s="333"/>
      <c r="N67" s="333"/>
      <c r="Q67" s="333"/>
      <c r="R67" s="333"/>
      <c r="U67" s="333"/>
      <c r="V67" s="333"/>
      <c r="Y67" s="333"/>
    </row>
    <row r="68" spans="1:25" ht="12.75">
      <c r="A68" s="333"/>
      <c r="B68" s="333"/>
      <c r="F68" s="333"/>
      <c r="I68" s="333"/>
      <c r="J68" s="333"/>
      <c r="M68" s="333"/>
      <c r="N68" s="333"/>
      <c r="Q68" s="333"/>
      <c r="R68" s="333"/>
      <c r="U68" s="333"/>
      <c r="V68" s="333"/>
      <c r="Y68" s="333"/>
    </row>
  </sheetData>
  <sheetProtection/>
  <mergeCells count="12">
    <mergeCell ref="V3:Y3"/>
    <mergeCell ref="R30:U30"/>
    <mergeCell ref="V30:Y30"/>
    <mergeCell ref="B3:E3"/>
    <mergeCell ref="F3:I3"/>
    <mergeCell ref="B30:E30"/>
    <mergeCell ref="F30:I30"/>
    <mergeCell ref="J30:M30"/>
    <mergeCell ref="N30:Q30"/>
    <mergeCell ref="J3:M3"/>
    <mergeCell ref="N3:Q3"/>
    <mergeCell ref="R3:U3"/>
  </mergeCells>
  <printOptions horizontalCentered="1" verticalCentered="1"/>
  <pageMargins left="0" right="0" top="1" bottom="1" header="0.5" footer="0.5"/>
  <pageSetup cellComments="asDisplayed" fitToHeight="1" fitToWidth="1" horizontalDpi="600" verticalDpi="600" orientation="landscape" scale="44" r:id="rId1"/>
  <headerFooter alignWithMargins="0">
    <oddHeader>&amp;C&amp;"Arial,Bold"San Diego Gas and Electric
Program Subscription Statistics
December 2010</oddHeader>
    <oddFooter>&amp;L&amp;F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85"/>
  <sheetViews>
    <sheetView showGridLines="0" zoomScale="85" zoomScaleNormal="85" zoomScalePageLayoutView="0" workbookViewId="0" topLeftCell="A1">
      <pane xSplit="1" topLeftCell="B1" activePane="topRight" state="frozen"/>
      <selection pane="topLeft" activeCell="A1" sqref="A1"/>
      <selection pane="topRight" activeCell="B52" sqref="B52"/>
    </sheetView>
  </sheetViews>
  <sheetFormatPr defaultColWidth="9.140625" defaultRowHeight="12.75"/>
  <cols>
    <col min="1" max="1" width="60.00390625" style="0" customWidth="1"/>
    <col min="2" max="2" width="13.57421875" style="0" customWidth="1"/>
    <col min="3" max="3" width="13.00390625" style="0" customWidth="1"/>
    <col min="4" max="5" width="10.7109375" style="0" customWidth="1"/>
    <col min="6" max="6" width="11.28125" style="0" customWidth="1"/>
    <col min="7" max="7" width="10.7109375" style="0" customWidth="1"/>
    <col min="8" max="10" width="11.7109375" style="0" bestFit="1" customWidth="1"/>
    <col min="11" max="11" width="12.00390625" style="0" customWidth="1"/>
    <col min="12" max="12" width="10.7109375" style="0" customWidth="1"/>
    <col min="13" max="13" width="11.8515625" style="0" customWidth="1"/>
    <col min="14" max="14" width="11.7109375" style="0" customWidth="1"/>
    <col min="15" max="15" width="14.28125" style="0" bestFit="1" customWidth="1"/>
    <col min="16" max="16" width="14.28125" style="0" customWidth="1"/>
    <col min="17" max="17" width="13.140625" style="22" bestFit="1" customWidth="1"/>
    <col min="18" max="18" width="14.7109375" style="22" customWidth="1"/>
    <col min="19" max="19" width="13.421875" style="0" bestFit="1" customWidth="1"/>
  </cols>
  <sheetData>
    <row r="1" s="22" customFormat="1" ht="12.75">
      <c r="A1" s="91" t="s">
        <v>75</v>
      </c>
    </row>
    <row r="2" s="22" customFormat="1" ht="13.5" thickBot="1"/>
    <row r="3" spans="1:19" s="22" customFormat="1" ht="12.75">
      <c r="A3" s="37"/>
      <c r="B3" s="63"/>
      <c r="C3" s="38"/>
      <c r="D3" s="38"/>
      <c r="E3" s="38"/>
      <c r="F3" s="38"/>
      <c r="G3" s="38"/>
      <c r="H3" s="38"/>
      <c r="I3" s="38"/>
      <c r="J3" s="38"/>
      <c r="K3" s="38"/>
      <c r="L3" s="38"/>
      <c r="M3" s="38"/>
      <c r="N3" s="39"/>
      <c r="O3" s="39"/>
      <c r="P3" s="39"/>
      <c r="Q3" s="49"/>
      <c r="R3" s="49"/>
      <c r="S3" s="49"/>
    </row>
    <row r="4" spans="1:19" s="22" customFormat="1" ht="7.5" customHeight="1">
      <c r="A4" s="40"/>
      <c r="B4" s="64"/>
      <c r="C4" s="41"/>
      <c r="D4" s="41"/>
      <c r="E4" s="41"/>
      <c r="F4" s="41"/>
      <c r="G4" s="41"/>
      <c r="H4" s="41"/>
      <c r="I4" s="41"/>
      <c r="J4" s="41"/>
      <c r="K4" s="41"/>
      <c r="L4" s="41"/>
      <c r="M4" s="41"/>
      <c r="N4" s="42"/>
      <c r="O4" s="42"/>
      <c r="P4" s="42"/>
      <c r="Q4" s="50"/>
      <c r="R4" s="50"/>
      <c r="S4" s="50"/>
    </row>
    <row r="5" spans="1:19" s="22" customFormat="1" ht="57.75" customHeight="1">
      <c r="A5" s="43" t="s">
        <v>18</v>
      </c>
      <c r="B5" s="18" t="s">
        <v>58</v>
      </c>
      <c r="C5" s="44" t="s">
        <v>0</v>
      </c>
      <c r="D5" s="44" t="s">
        <v>1</v>
      </c>
      <c r="E5" s="44" t="s">
        <v>2</v>
      </c>
      <c r="F5" s="44" t="s">
        <v>3</v>
      </c>
      <c r="G5" s="44" t="s">
        <v>4</v>
      </c>
      <c r="H5" s="44" t="s">
        <v>5</v>
      </c>
      <c r="I5" s="44" t="s">
        <v>6</v>
      </c>
      <c r="J5" s="44" t="s">
        <v>7</v>
      </c>
      <c r="K5" s="44" t="s">
        <v>8</v>
      </c>
      <c r="L5" s="44" t="s">
        <v>9</v>
      </c>
      <c r="M5" s="44" t="s">
        <v>10</v>
      </c>
      <c r="N5" s="44" t="s">
        <v>11</v>
      </c>
      <c r="O5" s="17" t="s">
        <v>62</v>
      </c>
      <c r="P5" s="17" t="s">
        <v>143</v>
      </c>
      <c r="Q5" s="17" t="s">
        <v>60</v>
      </c>
      <c r="R5" s="17" t="s">
        <v>73</v>
      </c>
      <c r="S5" s="17" t="s">
        <v>59</v>
      </c>
    </row>
    <row r="6" spans="1:19" s="22" customFormat="1" ht="12.75">
      <c r="A6" s="33" t="s">
        <v>36</v>
      </c>
      <c r="B6" s="65"/>
      <c r="C6" s="12"/>
      <c r="D6" s="12"/>
      <c r="E6" s="12"/>
      <c r="F6" s="12"/>
      <c r="G6" s="12"/>
      <c r="H6" s="12"/>
      <c r="I6" s="12"/>
      <c r="J6" s="12"/>
      <c r="K6" s="12"/>
      <c r="L6" s="12"/>
      <c r="M6" s="12"/>
      <c r="N6" s="12"/>
      <c r="O6" s="45"/>
      <c r="P6" s="45" t="s">
        <v>13</v>
      </c>
      <c r="Q6" s="19"/>
      <c r="R6" s="19"/>
      <c r="S6" s="19"/>
    </row>
    <row r="7" spans="1:19" s="22" customFormat="1" ht="12.75">
      <c r="A7" s="26" t="s">
        <v>144</v>
      </c>
      <c r="B7" s="72">
        <v>644924</v>
      </c>
      <c r="C7" s="12">
        <v>46126</v>
      </c>
      <c r="D7" s="12">
        <v>46758</v>
      </c>
      <c r="E7" s="12">
        <v>51256</v>
      </c>
      <c r="F7" s="12">
        <v>32992</v>
      </c>
      <c r="G7" s="12">
        <v>44584</v>
      </c>
      <c r="H7" s="12">
        <v>48733</v>
      </c>
      <c r="I7" s="12">
        <v>49065</v>
      </c>
      <c r="J7" s="53">
        <v>52135</v>
      </c>
      <c r="K7" s="12">
        <v>51108</v>
      </c>
      <c r="L7" s="12">
        <v>11283</v>
      </c>
      <c r="M7" s="12">
        <v>108614</v>
      </c>
      <c r="N7" s="46">
        <f>125437+2</f>
        <v>125439</v>
      </c>
      <c r="O7" s="13">
        <f>SUM(C7:N7)</f>
        <v>668093</v>
      </c>
      <c r="P7" s="13">
        <f>+B7+O7</f>
        <v>1313017</v>
      </c>
      <c r="Q7" s="379">
        <v>1475423</v>
      </c>
      <c r="R7" s="379"/>
      <c r="S7" s="380">
        <f>+P7/Q7</f>
        <v>0.889925804328657</v>
      </c>
    </row>
    <row r="8" spans="1:19" s="22" customFormat="1" ht="12.75">
      <c r="A8" s="27" t="s">
        <v>145</v>
      </c>
      <c r="B8" s="72">
        <v>112370</v>
      </c>
      <c r="C8" s="12">
        <v>7729</v>
      </c>
      <c r="D8" s="12">
        <v>7125</v>
      </c>
      <c r="E8" s="12">
        <v>146</v>
      </c>
      <c r="F8" s="12">
        <v>-1839</v>
      </c>
      <c r="G8" s="12">
        <v>8040</v>
      </c>
      <c r="H8" s="12">
        <v>4146</v>
      </c>
      <c r="I8" s="12">
        <v>-1447</v>
      </c>
      <c r="J8" s="53">
        <v>5916</v>
      </c>
      <c r="K8" s="12">
        <v>5973</v>
      </c>
      <c r="L8" s="12">
        <v>3783</v>
      </c>
      <c r="M8" s="12">
        <v>50554</v>
      </c>
      <c r="N8" s="46">
        <v>2988</v>
      </c>
      <c r="O8" s="13">
        <f>SUM(C8:N8)</f>
        <v>93114</v>
      </c>
      <c r="P8" s="13">
        <f>+B8+O8</f>
        <v>205484</v>
      </c>
      <c r="Q8" s="379">
        <v>328541</v>
      </c>
      <c r="R8" s="379"/>
      <c r="S8" s="380">
        <f>+P8/Q8</f>
        <v>0.6254440085103533</v>
      </c>
    </row>
    <row r="9" spans="1:19" s="22" customFormat="1" ht="12.75">
      <c r="A9" s="27" t="s">
        <v>146</v>
      </c>
      <c r="B9" s="72">
        <v>0</v>
      </c>
      <c r="C9" s="12">
        <v>0</v>
      </c>
      <c r="D9" s="12">
        <v>0</v>
      </c>
      <c r="E9" s="12">
        <v>0</v>
      </c>
      <c r="F9" s="12">
        <v>0</v>
      </c>
      <c r="G9" s="12">
        <v>0</v>
      </c>
      <c r="H9" s="12">
        <v>0</v>
      </c>
      <c r="I9" s="12">
        <v>0</v>
      </c>
      <c r="J9" s="53">
        <v>0</v>
      </c>
      <c r="K9" s="12">
        <v>0</v>
      </c>
      <c r="L9" s="12">
        <v>0</v>
      </c>
      <c r="M9" s="12">
        <v>0</v>
      </c>
      <c r="N9" s="12">
        <v>0</v>
      </c>
      <c r="O9" s="13">
        <f>SUM(C9:N9)</f>
        <v>0</v>
      </c>
      <c r="P9" s="13">
        <f>+B9+O9</f>
        <v>0</v>
      </c>
      <c r="Q9" s="379">
        <v>0</v>
      </c>
      <c r="R9" s="379"/>
      <c r="S9" s="380">
        <v>0</v>
      </c>
    </row>
    <row r="10" spans="1:19" s="22" customFormat="1" ht="12.75">
      <c r="A10" s="27" t="s">
        <v>147</v>
      </c>
      <c r="B10" s="72">
        <v>0</v>
      </c>
      <c r="C10" s="12">
        <v>0</v>
      </c>
      <c r="D10" s="12">
        <v>0</v>
      </c>
      <c r="E10" s="12">
        <v>0</v>
      </c>
      <c r="F10" s="12">
        <v>0</v>
      </c>
      <c r="G10" s="12">
        <v>0</v>
      </c>
      <c r="H10" s="12">
        <v>0</v>
      </c>
      <c r="I10" s="12">
        <v>0</v>
      </c>
      <c r="J10" s="12">
        <v>0</v>
      </c>
      <c r="K10" s="12">
        <v>0</v>
      </c>
      <c r="L10" s="12">
        <v>0</v>
      </c>
      <c r="M10" s="12">
        <v>0</v>
      </c>
      <c r="N10" s="12">
        <v>0</v>
      </c>
      <c r="O10" s="13">
        <f>SUM(C10:N10)</f>
        <v>0</v>
      </c>
      <c r="P10" s="13">
        <f>+B10+O10</f>
        <v>0</v>
      </c>
      <c r="Q10" s="379">
        <v>0</v>
      </c>
      <c r="R10" s="379"/>
      <c r="S10" s="380">
        <v>0</v>
      </c>
    </row>
    <row r="11" spans="1:19" s="22" customFormat="1" ht="12.75">
      <c r="A11" s="26" t="s">
        <v>148</v>
      </c>
      <c r="B11" s="72">
        <v>0</v>
      </c>
      <c r="C11" s="12">
        <v>0</v>
      </c>
      <c r="D11" s="12">
        <v>0</v>
      </c>
      <c r="E11" s="12">
        <v>0</v>
      </c>
      <c r="F11" s="12">
        <v>0</v>
      </c>
      <c r="G11" s="12">
        <v>0</v>
      </c>
      <c r="H11" s="12">
        <v>0</v>
      </c>
      <c r="I11" s="12">
        <v>0</v>
      </c>
      <c r="J11" s="53">
        <v>0</v>
      </c>
      <c r="K11" s="12">
        <v>0</v>
      </c>
      <c r="L11" s="12">
        <v>0</v>
      </c>
      <c r="M11" s="12">
        <v>0</v>
      </c>
      <c r="N11" s="46">
        <v>0</v>
      </c>
      <c r="O11" s="13">
        <f>SUM(C11:N11)</f>
        <v>0</v>
      </c>
      <c r="P11" s="13">
        <f>+B11+O11</f>
        <v>0</v>
      </c>
      <c r="Q11" s="379">
        <v>0</v>
      </c>
      <c r="R11" s="379"/>
      <c r="S11" s="380">
        <v>0</v>
      </c>
    </row>
    <row r="12" spans="1:19" s="22" customFormat="1" ht="12.75">
      <c r="A12" s="71" t="s">
        <v>29</v>
      </c>
      <c r="B12" s="73">
        <f aca="true" t="shared" si="0" ref="B12:Q12">SUM(B7:B11)</f>
        <v>757294</v>
      </c>
      <c r="C12" s="25">
        <f t="shared" si="0"/>
        <v>53855</v>
      </c>
      <c r="D12" s="25">
        <f t="shared" si="0"/>
        <v>53883</v>
      </c>
      <c r="E12" s="25">
        <f t="shared" si="0"/>
        <v>51402</v>
      </c>
      <c r="F12" s="25">
        <f t="shared" si="0"/>
        <v>31153</v>
      </c>
      <c r="G12" s="25">
        <f t="shared" si="0"/>
        <v>52624</v>
      </c>
      <c r="H12" s="25">
        <f t="shared" si="0"/>
        <v>52879</v>
      </c>
      <c r="I12" s="25">
        <f t="shared" si="0"/>
        <v>47618</v>
      </c>
      <c r="J12" s="25">
        <f t="shared" si="0"/>
        <v>58051</v>
      </c>
      <c r="K12" s="25">
        <f t="shared" si="0"/>
        <v>57081</v>
      </c>
      <c r="L12" s="25">
        <f t="shared" si="0"/>
        <v>15066</v>
      </c>
      <c r="M12" s="25">
        <f t="shared" si="0"/>
        <v>159168</v>
      </c>
      <c r="N12" s="25">
        <f t="shared" si="0"/>
        <v>128427</v>
      </c>
      <c r="O12" s="10">
        <f t="shared" si="0"/>
        <v>761207</v>
      </c>
      <c r="P12" s="10">
        <f t="shared" si="0"/>
        <v>1518501</v>
      </c>
      <c r="Q12" s="10">
        <f t="shared" si="0"/>
        <v>1803964</v>
      </c>
      <c r="R12" s="10"/>
      <c r="S12" s="381">
        <f>+P12/Q12</f>
        <v>0.8417579286504608</v>
      </c>
    </row>
    <row r="13" spans="1:19" ht="12.75">
      <c r="A13" s="60"/>
      <c r="B13" s="2"/>
      <c r="O13" s="58"/>
      <c r="P13" s="58"/>
      <c r="Q13" s="61"/>
      <c r="R13" s="61"/>
      <c r="S13" s="58"/>
    </row>
    <row r="14" spans="1:19" ht="12.75">
      <c r="A14" s="33" t="s">
        <v>37</v>
      </c>
      <c r="B14" s="65"/>
      <c r="O14" s="7"/>
      <c r="P14" s="7"/>
      <c r="Q14" s="19"/>
      <c r="R14" s="19"/>
      <c r="S14" s="7"/>
    </row>
    <row r="15" spans="1:19" s="22" customFormat="1" ht="12.75">
      <c r="A15" s="34" t="s">
        <v>149</v>
      </c>
      <c r="B15" s="72">
        <v>0</v>
      </c>
      <c r="C15" s="12">
        <v>0</v>
      </c>
      <c r="D15" s="12">
        <v>0</v>
      </c>
      <c r="E15" s="12">
        <v>0</v>
      </c>
      <c r="F15" s="12">
        <v>0</v>
      </c>
      <c r="G15" s="12">
        <v>0</v>
      </c>
      <c r="H15" s="12">
        <v>0</v>
      </c>
      <c r="I15" s="12">
        <v>0</v>
      </c>
      <c r="J15" s="53">
        <v>0</v>
      </c>
      <c r="K15" s="12">
        <v>0</v>
      </c>
      <c r="L15" s="12">
        <v>0</v>
      </c>
      <c r="M15" s="12">
        <v>0</v>
      </c>
      <c r="N15" s="46">
        <v>0</v>
      </c>
      <c r="O15" s="13">
        <f>SUM(C15:N15)</f>
        <v>0</v>
      </c>
      <c r="P15" s="13">
        <f>B15+O15</f>
        <v>0</v>
      </c>
      <c r="Q15" s="13">
        <v>0</v>
      </c>
      <c r="R15" s="13"/>
      <c r="S15" s="380">
        <v>0</v>
      </c>
    </row>
    <row r="16" spans="1:19" s="22" customFormat="1" ht="12.75">
      <c r="A16" s="34" t="s">
        <v>150</v>
      </c>
      <c r="B16" s="72">
        <v>1360998</v>
      </c>
      <c r="C16" s="12">
        <v>11849</v>
      </c>
      <c r="D16" s="12">
        <v>21250</v>
      </c>
      <c r="E16" s="12">
        <v>75177</v>
      </c>
      <c r="F16" s="12">
        <v>-31983</v>
      </c>
      <c r="G16" s="12">
        <v>16477</v>
      </c>
      <c r="H16" s="12">
        <v>240003</v>
      </c>
      <c r="I16" s="12">
        <v>239095</v>
      </c>
      <c r="J16" s="53">
        <v>419160</v>
      </c>
      <c r="K16" s="12">
        <v>153482</v>
      </c>
      <c r="L16" s="12">
        <v>95332</v>
      </c>
      <c r="M16" s="12">
        <v>138056</v>
      </c>
      <c r="N16" s="46">
        <v>361102</v>
      </c>
      <c r="O16" s="13">
        <f>SUM(C16:N16)</f>
        <v>1739000</v>
      </c>
      <c r="P16" s="13">
        <f>B16+O16</f>
        <v>3099998</v>
      </c>
      <c r="Q16" s="13">
        <v>6426173</v>
      </c>
      <c r="R16" s="13"/>
      <c r="S16" s="380">
        <f>+P16/Q16</f>
        <v>0.4824018898962104</v>
      </c>
    </row>
    <row r="17" spans="1:19" s="22" customFormat="1" ht="12.75">
      <c r="A17" s="34" t="s">
        <v>151</v>
      </c>
      <c r="B17" s="72">
        <v>166363</v>
      </c>
      <c r="C17" s="12">
        <v>8317</v>
      </c>
      <c r="D17" s="12">
        <v>8987</v>
      </c>
      <c r="E17" s="12">
        <v>-68609</v>
      </c>
      <c r="F17" s="12">
        <v>24531</v>
      </c>
      <c r="G17" s="12">
        <v>-311</v>
      </c>
      <c r="H17" s="12">
        <v>259</v>
      </c>
      <c r="I17" s="12">
        <v>2</v>
      </c>
      <c r="J17" s="53">
        <v>101</v>
      </c>
      <c r="K17" s="12">
        <v>-4654</v>
      </c>
      <c r="L17" s="12">
        <v>31</v>
      </c>
      <c r="M17" s="12">
        <v>31</v>
      </c>
      <c r="N17" s="46">
        <v>0</v>
      </c>
      <c r="O17" s="13">
        <f>SUM(C17:N17)</f>
        <v>-31315</v>
      </c>
      <c r="P17" s="13">
        <f>B17+O17</f>
        <v>135048</v>
      </c>
      <c r="Q17" s="13">
        <v>328000</v>
      </c>
      <c r="R17" s="13"/>
      <c r="S17" s="380">
        <f>+P17/Q17</f>
        <v>0.41173170731707315</v>
      </c>
    </row>
    <row r="18" spans="1:19" ht="12.75">
      <c r="A18" s="34" t="s">
        <v>113</v>
      </c>
      <c r="B18" s="72">
        <v>114046</v>
      </c>
      <c r="C18" s="12">
        <v>2325</v>
      </c>
      <c r="D18" s="12">
        <v>2516</v>
      </c>
      <c r="E18" s="12">
        <v>-22114</v>
      </c>
      <c r="F18" s="12">
        <v>9925</v>
      </c>
      <c r="G18" s="12">
        <v>6854</v>
      </c>
      <c r="H18" s="12">
        <v>-10979</v>
      </c>
      <c r="I18" s="12">
        <v>3284</v>
      </c>
      <c r="J18" s="12">
        <v>172</v>
      </c>
      <c r="K18" s="12">
        <v>-1982</v>
      </c>
      <c r="L18" s="12">
        <v>757</v>
      </c>
      <c r="M18" s="12">
        <v>119</v>
      </c>
      <c r="N18" s="12">
        <v>0</v>
      </c>
      <c r="O18" s="13">
        <f>SUM(C18:N18)</f>
        <v>-9123</v>
      </c>
      <c r="P18" s="13">
        <f>B18+O18</f>
        <v>104923</v>
      </c>
      <c r="Q18" s="13">
        <v>492000</v>
      </c>
      <c r="R18" s="13"/>
      <c r="S18" s="380">
        <f>+P18/Q18</f>
        <v>0.21325813008130082</v>
      </c>
    </row>
    <row r="19" spans="1:19" s="22" customFormat="1" ht="12.75">
      <c r="A19" s="31" t="s">
        <v>30</v>
      </c>
      <c r="B19" s="73">
        <f aca="true" t="shared" si="1" ref="B19:Q19">SUM(B15:B18)</f>
        <v>1641407</v>
      </c>
      <c r="C19" s="25">
        <f t="shared" si="1"/>
        <v>22491</v>
      </c>
      <c r="D19" s="25">
        <f t="shared" si="1"/>
        <v>32753</v>
      </c>
      <c r="E19" s="25">
        <f t="shared" si="1"/>
        <v>-15546</v>
      </c>
      <c r="F19" s="25">
        <f t="shared" si="1"/>
        <v>2473</v>
      </c>
      <c r="G19" s="25">
        <f t="shared" si="1"/>
        <v>23020</v>
      </c>
      <c r="H19" s="25">
        <f t="shared" si="1"/>
        <v>229283</v>
      </c>
      <c r="I19" s="25">
        <f t="shared" si="1"/>
        <v>242381</v>
      </c>
      <c r="J19" s="25">
        <f t="shared" si="1"/>
        <v>419433</v>
      </c>
      <c r="K19" s="25">
        <f t="shared" si="1"/>
        <v>146846</v>
      </c>
      <c r="L19" s="25">
        <f t="shared" si="1"/>
        <v>96120</v>
      </c>
      <c r="M19" s="25">
        <f t="shared" si="1"/>
        <v>138206</v>
      </c>
      <c r="N19" s="25">
        <f t="shared" si="1"/>
        <v>361102</v>
      </c>
      <c r="O19" s="10">
        <f t="shared" si="1"/>
        <v>1698562</v>
      </c>
      <c r="P19" s="10">
        <f t="shared" si="1"/>
        <v>3339969</v>
      </c>
      <c r="Q19" s="10">
        <f t="shared" si="1"/>
        <v>7246173</v>
      </c>
      <c r="R19" s="10"/>
      <c r="S19" s="381">
        <f>+P19/Q19</f>
        <v>0.4609286860802247</v>
      </c>
    </row>
    <row r="20" spans="1:19" s="22" customFormat="1" ht="12.75">
      <c r="A20" s="57"/>
      <c r="B20" s="67"/>
      <c r="C20" s="53"/>
      <c r="D20" s="53"/>
      <c r="E20" s="53"/>
      <c r="F20" s="53"/>
      <c r="G20" s="53"/>
      <c r="H20" s="53"/>
      <c r="I20" s="53"/>
      <c r="J20" s="53"/>
      <c r="K20" s="53"/>
      <c r="L20" s="53"/>
      <c r="M20" s="53"/>
      <c r="N20" s="53"/>
      <c r="O20" s="13"/>
      <c r="P20" s="13"/>
      <c r="Q20" s="13"/>
      <c r="R20" s="13"/>
      <c r="S20" s="13"/>
    </row>
    <row r="21" spans="1:19" s="22" customFormat="1" ht="12.75">
      <c r="A21" s="33" t="s">
        <v>38</v>
      </c>
      <c r="B21" s="65"/>
      <c r="C21" s="53"/>
      <c r="D21" s="53"/>
      <c r="E21" s="53"/>
      <c r="F21" s="53"/>
      <c r="G21" s="53"/>
      <c r="H21" s="53"/>
      <c r="I21" s="53"/>
      <c r="J21" s="53"/>
      <c r="K21" s="53"/>
      <c r="L21" s="53"/>
      <c r="M21" s="53"/>
      <c r="N21" s="53"/>
      <c r="O21" s="13"/>
      <c r="P21" s="13"/>
      <c r="Q21" s="13"/>
      <c r="R21" s="13"/>
      <c r="S21" s="13"/>
    </row>
    <row r="22" spans="1:19" s="22" customFormat="1" ht="12.75">
      <c r="A22" s="34"/>
      <c r="B22" s="72">
        <v>0</v>
      </c>
      <c r="C22" s="12">
        <v>0</v>
      </c>
      <c r="D22" s="12">
        <v>0</v>
      </c>
      <c r="E22" s="12">
        <v>0</v>
      </c>
      <c r="F22" s="12">
        <v>0</v>
      </c>
      <c r="G22" s="12">
        <v>0</v>
      </c>
      <c r="H22" s="12">
        <v>0</v>
      </c>
      <c r="I22" s="12">
        <v>0</v>
      </c>
      <c r="J22" s="53">
        <v>0</v>
      </c>
      <c r="K22" s="12">
        <v>0</v>
      </c>
      <c r="L22" s="12">
        <v>0</v>
      </c>
      <c r="M22" s="12">
        <v>0</v>
      </c>
      <c r="N22" s="46">
        <v>0</v>
      </c>
      <c r="O22" s="13">
        <f>SUM(C22:N22)</f>
        <v>0</v>
      </c>
      <c r="P22" s="13">
        <f>B22+O22</f>
        <v>0</v>
      </c>
      <c r="Q22" s="78">
        <v>0</v>
      </c>
      <c r="R22" s="78"/>
      <c r="S22" s="382">
        <v>0</v>
      </c>
    </row>
    <row r="23" spans="1:19" s="22" customFormat="1" ht="12.75">
      <c r="A23" s="31" t="s">
        <v>39</v>
      </c>
      <c r="B23" s="73">
        <f aca="true" t="shared" si="2" ref="B23:Q23">SUM(B22:B22)</f>
        <v>0</v>
      </c>
      <c r="C23" s="25">
        <f t="shared" si="2"/>
        <v>0</v>
      </c>
      <c r="D23" s="25">
        <f t="shared" si="2"/>
        <v>0</v>
      </c>
      <c r="E23" s="25">
        <f t="shared" si="2"/>
        <v>0</v>
      </c>
      <c r="F23" s="25">
        <f t="shared" si="2"/>
        <v>0</v>
      </c>
      <c r="G23" s="25">
        <f t="shared" si="2"/>
        <v>0</v>
      </c>
      <c r="H23" s="25">
        <f t="shared" si="2"/>
        <v>0</v>
      </c>
      <c r="I23" s="25">
        <f t="shared" si="2"/>
        <v>0</v>
      </c>
      <c r="J23" s="25">
        <f t="shared" si="2"/>
        <v>0</v>
      </c>
      <c r="K23" s="25">
        <f t="shared" si="2"/>
        <v>0</v>
      </c>
      <c r="L23" s="25">
        <f t="shared" si="2"/>
        <v>0</v>
      </c>
      <c r="M23" s="25">
        <f t="shared" si="2"/>
        <v>0</v>
      </c>
      <c r="N23" s="25">
        <f t="shared" si="2"/>
        <v>0</v>
      </c>
      <c r="O23" s="10">
        <f t="shared" si="2"/>
        <v>0</v>
      </c>
      <c r="P23" s="10">
        <f t="shared" si="2"/>
        <v>0</v>
      </c>
      <c r="Q23" s="10">
        <f t="shared" si="2"/>
        <v>0</v>
      </c>
      <c r="R23" s="10"/>
      <c r="S23" s="381">
        <v>0</v>
      </c>
    </row>
    <row r="24" spans="1:19" s="22" customFormat="1" ht="12.75">
      <c r="A24" s="34"/>
      <c r="B24" s="66"/>
      <c r="C24" s="12"/>
      <c r="D24" s="12"/>
      <c r="E24" s="12"/>
      <c r="F24" s="12"/>
      <c r="G24" s="12"/>
      <c r="H24" s="12"/>
      <c r="I24" s="12"/>
      <c r="J24" s="53"/>
      <c r="K24" s="12"/>
      <c r="L24" s="12"/>
      <c r="M24" s="12"/>
      <c r="N24" s="12"/>
      <c r="O24" s="30"/>
      <c r="P24" s="30"/>
      <c r="Q24" s="383"/>
      <c r="R24" s="383"/>
      <c r="S24" s="383"/>
    </row>
    <row r="25" spans="1:19" ht="12.75">
      <c r="A25" s="33" t="s">
        <v>40</v>
      </c>
      <c r="B25" s="65"/>
      <c r="O25" s="7"/>
      <c r="P25" s="7"/>
      <c r="Q25" s="19"/>
      <c r="R25" s="19"/>
      <c r="S25" s="7"/>
    </row>
    <row r="26" spans="1:19" s="22" customFormat="1" ht="12.75">
      <c r="A26" s="34" t="s">
        <v>152</v>
      </c>
      <c r="B26" s="72">
        <v>1013895</v>
      </c>
      <c r="C26" s="12">
        <v>198239</v>
      </c>
      <c r="D26" s="12">
        <v>92694</v>
      </c>
      <c r="E26" s="12">
        <v>190848</v>
      </c>
      <c r="F26" s="12">
        <v>81889</v>
      </c>
      <c r="G26" s="12">
        <v>139890</v>
      </c>
      <c r="H26" s="12">
        <v>84562</v>
      </c>
      <c r="I26" s="12">
        <v>93054</v>
      </c>
      <c r="J26" s="53">
        <v>74656</v>
      </c>
      <c r="K26" s="12">
        <v>107706</v>
      </c>
      <c r="L26" s="12">
        <v>239990</v>
      </c>
      <c r="M26" s="12">
        <v>118908</v>
      </c>
      <c r="N26" s="12">
        <v>168436</v>
      </c>
      <c r="O26" s="13">
        <f>SUM(C26:N26)</f>
        <v>1590872</v>
      </c>
      <c r="P26" s="13">
        <f>B26+O26</f>
        <v>2604767</v>
      </c>
      <c r="Q26" s="13">
        <v>10011326</v>
      </c>
      <c r="R26" s="13"/>
      <c r="S26" s="380">
        <f>P26/Q26</f>
        <v>0.26018201784658695</v>
      </c>
    </row>
    <row r="27" spans="1:19" ht="12.75">
      <c r="A27" s="34" t="s">
        <v>153</v>
      </c>
      <c r="B27" s="72">
        <v>1818673</v>
      </c>
      <c r="C27" s="12">
        <v>53992</v>
      </c>
      <c r="D27" s="12">
        <v>49853</v>
      </c>
      <c r="E27" s="12">
        <v>58440</v>
      </c>
      <c r="F27" s="12">
        <v>69220</v>
      </c>
      <c r="G27" s="12">
        <v>43230</v>
      </c>
      <c r="H27" s="12">
        <v>37927</v>
      </c>
      <c r="I27" s="12">
        <v>52911</v>
      </c>
      <c r="J27" s="12">
        <v>99063</v>
      </c>
      <c r="K27" s="12">
        <v>82470</v>
      </c>
      <c r="L27" s="12">
        <v>182890</v>
      </c>
      <c r="M27" s="12">
        <v>87252</v>
      </c>
      <c r="N27" s="12">
        <v>97004</v>
      </c>
      <c r="O27" s="13">
        <f>SUM(C27:N27)</f>
        <v>914252</v>
      </c>
      <c r="P27" s="13">
        <f>B27+O27</f>
        <v>2732925</v>
      </c>
      <c r="Q27" s="13">
        <v>12662841</v>
      </c>
      <c r="R27" s="13"/>
      <c r="S27" s="380">
        <f>P27/Q27</f>
        <v>0.21582242089275228</v>
      </c>
    </row>
    <row r="28" spans="1:19" s="22" customFormat="1" ht="12.75">
      <c r="A28" s="34" t="s">
        <v>154</v>
      </c>
      <c r="B28" s="72">
        <v>148726</v>
      </c>
      <c r="C28" s="48">
        <v>10633</v>
      </c>
      <c r="D28" s="48">
        <v>128940</v>
      </c>
      <c r="E28" s="48">
        <v>100869</v>
      </c>
      <c r="F28" s="48">
        <v>24436</v>
      </c>
      <c r="G28" s="48">
        <v>98615</v>
      </c>
      <c r="H28" s="48">
        <v>6653</v>
      </c>
      <c r="I28" s="48">
        <v>6137</v>
      </c>
      <c r="J28" s="48">
        <v>87914</v>
      </c>
      <c r="K28" s="48">
        <v>34927</v>
      </c>
      <c r="L28" s="48">
        <v>32929</v>
      </c>
      <c r="M28" s="48">
        <v>18802</v>
      </c>
      <c r="N28" s="48">
        <v>82145</v>
      </c>
      <c r="O28" s="13">
        <f>SUM(C28:N28)</f>
        <v>633000</v>
      </c>
      <c r="P28" s="13">
        <f>B28+O28</f>
        <v>781726</v>
      </c>
      <c r="Q28" s="13">
        <v>2142495</v>
      </c>
      <c r="R28" s="13"/>
      <c r="S28" s="380">
        <f>P28/Q28</f>
        <v>0.36486712921150344</v>
      </c>
    </row>
    <row r="29" spans="1:19" s="22" customFormat="1" ht="12.75">
      <c r="A29" s="26" t="s">
        <v>126</v>
      </c>
      <c r="B29" s="72">
        <v>270479</v>
      </c>
      <c r="C29" s="12">
        <v>667</v>
      </c>
      <c r="D29" s="12">
        <v>719</v>
      </c>
      <c r="E29" s="12">
        <v>13536</v>
      </c>
      <c r="F29" s="12">
        <v>12784</v>
      </c>
      <c r="G29" s="12">
        <v>2333</v>
      </c>
      <c r="H29" s="12">
        <v>17641</v>
      </c>
      <c r="I29" s="12">
        <v>-9326</v>
      </c>
      <c r="J29" s="53">
        <v>8504</v>
      </c>
      <c r="K29" s="12">
        <v>14604</v>
      </c>
      <c r="L29" s="12">
        <f>-26158</f>
        <v>-26158</v>
      </c>
      <c r="M29" s="12">
        <v>111735</v>
      </c>
      <c r="N29" s="46">
        <v>4362</v>
      </c>
      <c r="O29" s="13">
        <f>SUM(C29:N29)</f>
        <v>151401</v>
      </c>
      <c r="P29" s="170">
        <f>B29+O29</f>
        <v>421880</v>
      </c>
      <c r="Q29" s="78">
        <v>308371</v>
      </c>
      <c r="R29" s="78"/>
      <c r="S29" s="380">
        <f>P29/Q29</f>
        <v>1.3680923303423473</v>
      </c>
    </row>
    <row r="30" spans="1:19" s="22" customFormat="1" ht="12.75">
      <c r="A30" s="31" t="s">
        <v>41</v>
      </c>
      <c r="B30" s="73">
        <f aca="true" t="shared" si="3" ref="B30:Q30">SUM(B26:B29)</f>
        <v>3251773</v>
      </c>
      <c r="C30" s="25">
        <f t="shared" si="3"/>
        <v>263531</v>
      </c>
      <c r="D30" s="25">
        <f t="shared" si="3"/>
        <v>272206</v>
      </c>
      <c r="E30" s="25">
        <f t="shared" si="3"/>
        <v>363693</v>
      </c>
      <c r="F30" s="25">
        <f t="shared" si="3"/>
        <v>188329</v>
      </c>
      <c r="G30" s="25">
        <f t="shared" si="3"/>
        <v>284068</v>
      </c>
      <c r="H30" s="25">
        <f t="shared" si="3"/>
        <v>146783</v>
      </c>
      <c r="I30" s="25">
        <f t="shared" si="3"/>
        <v>142776</v>
      </c>
      <c r="J30" s="25">
        <f t="shared" si="3"/>
        <v>270137</v>
      </c>
      <c r="K30" s="25">
        <f t="shared" si="3"/>
        <v>239707</v>
      </c>
      <c r="L30" s="25">
        <f t="shared" si="3"/>
        <v>429651</v>
      </c>
      <c r="M30" s="25">
        <f t="shared" si="3"/>
        <v>336697</v>
      </c>
      <c r="N30" s="25">
        <f t="shared" si="3"/>
        <v>351947</v>
      </c>
      <c r="O30" s="10">
        <f t="shared" si="3"/>
        <v>3289525</v>
      </c>
      <c r="P30" s="10">
        <f t="shared" si="3"/>
        <v>6541298</v>
      </c>
      <c r="Q30" s="10">
        <f t="shared" si="3"/>
        <v>25125033</v>
      </c>
      <c r="R30" s="10"/>
      <c r="S30" s="75">
        <f>P30/Q30</f>
        <v>0.260349827202217</v>
      </c>
    </row>
    <row r="31" spans="1:19" s="22" customFormat="1" ht="12.75">
      <c r="A31" s="26"/>
      <c r="B31" s="34"/>
      <c r="C31" s="12"/>
      <c r="D31" s="12"/>
      <c r="E31" s="12"/>
      <c r="F31" s="12"/>
      <c r="G31" s="12"/>
      <c r="H31" s="12"/>
      <c r="I31" s="12"/>
      <c r="J31" s="53"/>
      <c r="K31" s="12"/>
      <c r="L31" s="12"/>
      <c r="M31" s="12"/>
      <c r="N31" s="46"/>
      <c r="O31" s="13"/>
      <c r="P31" s="13"/>
      <c r="Q31" s="384"/>
      <c r="R31" s="384"/>
      <c r="S31" s="384"/>
    </row>
    <row r="32" spans="1:19" s="22" customFormat="1" ht="12.75">
      <c r="A32" s="33" t="s">
        <v>42</v>
      </c>
      <c r="B32" s="33"/>
      <c r="C32" s="12"/>
      <c r="D32" s="12"/>
      <c r="E32" s="12"/>
      <c r="F32" s="12"/>
      <c r="G32" s="12"/>
      <c r="H32" s="12"/>
      <c r="I32" s="12"/>
      <c r="J32" s="53"/>
      <c r="K32" s="12"/>
      <c r="L32" s="12"/>
      <c r="M32" s="12"/>
      <c r="N32" s="46"/>
      <c r="O32" s="13"/>
      <c r="P32" s="13"/>
      <c r="Q32" s="384"/>
      <c r="R32" s="384"/>
      <c r="S32" s="384"/>
    </row>
    <row r="33" spans="1:19" s="22" customFormat="1" ht="12.75">
      <c r="A33" s="26" t="s">
        <v>35</v>
      </c>
      <c r="B33" s="72">
        <v>672735</v>
      </c>
      <c r="C33" s="12">
        <v>-166</v>
      </c>
      <c r="D33" s="12">
        <v>115060</v>
      </c>
      <c r="E33" s="12">
        <v>6381</v>
      </c>
      <c r="F33" s="12">
        <v>10792</v>
      </c>
      <c r="G33" s="12">
        <v>4391</v>
      </c>
      <c r="H33" s="12">
        <v>3346</v>
      </c>
      <c r="I33" s="12">
        <v>159511</v>
      </c>
      <c r="J33" s="53">
        <v>15628</v>
      </c>
      <c r="K33" s="12">
        <v>14616</v>
      </c>
      <c r="L33" s="12">
        <v>-11970</v>
      </c>
      <c r="M33" s="12">
        <v>10488</v>
      </c>
      <c r="N33" s="46">
        <v>1604</v>
      </c>
      <c r="O33" s="13">
        <f>SUM(C33:N33)</f>
        <v>329681</v>
      </c>
      <c r="P33" s="13">
        <f>B33+O33</f>
        <v>1002416</v>
      </c>
      <c r="Q33" s="13">
        <v>3756000</v>
      </c>
      <c r="R33" s="13"/>
      <c r="S33" s="76">
        <f>P33/Q33</f>
        <v>0.2668839190628328</v>
      </c>
    </row>
    <row r="34" spans="1:19" s="22" customFormat="1" ht="12.75">
      <c r="A34" s="26" t="s">
        <v>224</v>
      </c>
      <c r="B34" s="72">
        <v>0</v>
      </c>
      <c r="C34" s="12">
        <v>0</v>
      </c>
      <c r="D34" s="12">
        <v>0</v>
      </c>
      <c r="E34" s="12">
        <v>0</v>
      </c>
      <c r="F34" s="12">
        <v>0</v>
      </c>
      <c r="G34" s="12">
        <v>0</v>
      </c>
      <c r="H34" s="12">
        <v>0</v>
      </c>
      <c r="I34" s="12">
        <v>0</v>
      </c>
      <c r="J34" s="53">
        <v>0</v>
      </c>
      <c r="K34" s="12">
        <v>0</v>
      </c>
      <c r="L34" s="12">
        <v>165955</v>
      </c>
      <c r="M34" s="12">
        <v>1464</v>
      </c>
      <c r="N34" s="46">
        <v>-534</v>
      </c>
      <c r="O34" s="13">
        <f>SUM(C34:N34)</f>
        <v>166885</v>
      </c>
      <c r="P34" s="13">
        <f>B34+O34</f>
        <v>166885</v>
      </c>
      <c r="Q34" s="13">
        <v>0</v>
      </c>
      <c r="R34" s="13"/>
      <c r="S34" s="76">
        <v>0</v>
      </c>
    </row>
    <row r="35" spans="1:19" s="22" customFormat="1" ht="12.75">
      <c r="A35" s="26" t="s">
        <v>155</v>
      </c>
      <c r="B35" s="72">
        <v>21581</v>
      </c>
      <c r="C35" s="12">
        <v>8484</v>
      </c>
      <c r="D35" s="12">
        <v>7903</v>
      </c>
      <c r="E35" s="12">
        <v>12913</v>
      </c>
      <c r="F35" s="12">
        <v>11415</v>
      </c>
      <c r="G35" s="12">
        <v>14574</v>
      </c>
      <c r="H35" s="12">
        <v>7977</v>
      </c>
      <c r="I35" s="12">
        <v>8330</v>
      </c>
      <c r="J35" s="12">
        <v>13421</v>
      </c>
      <c r="K35" s="12">
        <v>23377</v>
      </c>
      <c r="L35" s="12">
        <v>8444</v>
      </c>
      <c r="M35" s="12">
        <v>12251</v>
      </c>
      <c r="N35" s="46">
        <v>90581</v>
      </c>
      <c r="O35" s="13">
        <f>SUM(C35:N35)</f>
        <v>219670</v>
      </c>
      <c r="P35" s="13">
        <f>B35+O35</f>
        <v>241251</v>
      </c>
      <c r="Q35" s="13">
        <v>1689671</v>
      </c>
      <c r="R35" s="13"/>
      <c r="S35" s="76">
        <f>P35/Q35</f>
        <v>0.14277986661308623</v>
      </c>
    </row>
    <row r="36" spans="1:19" s="22" customFormat="1" ht="12.75">
      <c r="A36" s="31" t="s">
        <v>43</v>
      </c>
      <c r="B36" s="73">
        <f aca="true" t="shared" si="4" ref="B36:Q36">SUM(B33:B35)</f>
        <v>694316</v>
      </c>
      <c r="C36" s="25">
        <f t="shared" si="4"/>
        <v>8318</v>
      </c>
      <c r="D36" s="25">
        <f t="shared" si="4"/>
        <v>122963</v>
      </c>
      <c r="E36" s="25">
        <f t="shared" si="4"/>
        <v>19294</v>
      </c>
      <c r="F36" s="25">
        <f t="shared" si="4"/>
        <v>22207</v>
      </c>
      <c r="G36" s="25">
        <f t="shared" si="4"/>
        <v>18965</v>
      </c>
      <c r="H36" s="25">
        <f t="shared" si="4"/>
        <v>11323</v>
      </c>
      <c r="I36" s="25">
        <f t="shared" si="4"/>
        <v>167841</v>
      </c>
      <c r="J36" s="25">
        <f t="shared" si="4"/>
        <v>29049</v>
      </c>
      <c r="K36" s="25">
        <f t="shared" si="4"/>
        <v>37993</v>
      </c>
      <c r="L36" s="25">
        <f t="shared" si="4"/>
        <v>162429</v>
      </c>
      <c r="M36" s="25">
        <f t="shared" si="4"/>
        <v>24203</v>
      </c>
      <c r="N36" s="25">
        <f t="shared" si="4"/>
        <v>91651</v>
      </c>
      <c r="O36" s="10">
        <f t="shared" si="4"/>
        <v>716236</v>
      </c>
      <c r="P36" s="10">
        <f t="shared" si="4"/>
        <v>1410552</v>
      </c>
      <c r="Q36" s="10">
        <f t="shared" si="4"/>
        <v>5445671</v>
      </c>
      <c r="R36" s="10"/>
      <c r="S36" s="75">
        <f>P36/Q36</f>
        <v>0.259022625494636</v>
      </c>
    </row>
    <row r="37" spans="1:19" s="22" customFormat="1" ht="12.75">
      <c r="A37" s="26"/>
      <c r="B37" s="34"/>
      <c r="C37" s="12"/>
      <c r="D37" s="12"/>
      <c r="E37" s="12"/>
      <c r="F37" s="12"/>
      <c r="G37" s="12"/>
      <c r="H37" s="12"/>
      <c r="I37" s="12"/>
      <c r="J37" s="53"/>
      <c r="K37" s="12"/>
      <c r="L37" s="12"/>
      <c r="M37" s="12"/>
      <c r="N37" s="46"/>
      <c r="O37" s="13"/>
      <c r="P37" s="13"/>
      <c r="Q37" s="384"/>
      <c r="R37" s="384"/>
      <c r="S37" s="384"/>
    </row>
    <row r="38" spans="1:19" s="22" customFormat="1" ht="12.75">
      <c r="A38" s="33" t="s">
        <v>44</v>
      </c>
      <c r="B38" s="33"/>
      <c r="C38" s="12"/>
      <c r="D38" s="12"/>
      <c r="E38" s="12"/>
      <c r="F38" s="12"/>
      <c r="G38" s="12"/>
      <c r="H38" s="12"/>
      <c r="I38" s="12"/>
      <c r="J38" s="53"/>
      <c r="K38" s="12"/>
      <c r="L38" s="12"/>
      <c r="M38" s="12"/>
      <c r="N38" s="46"/>
      <c r="O38" s="13"/>
      <c r="P38" s="13"/>
      <c r="Q38" s="384"/>
      <c r="R38" s="384"/>
      <c r="S38" s="384"/>
    </row>
    <row r="39" spans="1:19" s="22" customFormat="1" ht="12.75">
      <c r="A39" s="34" t="s">
        <v>156</v>
      </c>
      <c r="B39" s="72">
        <v>123861</v>
      </c>
      <c r="C39" s="48">
        <v>28302</v>
      </c>
      <c r="D39" s="48">
        <v>-1879</v>
      </c>
      <c r="E39" s="48">
        <v>438</v>
      </c>
      <c r="F39" s="48">
        <v>737</v>
      </c>
      <c r="G39" s="48">
        <v>545</v>
      </c>
      <c r="H39" s="48">
        <v>-700</v>
      </c>
      <c r="I39" s="48">
        <v>-550</v>
      </c>
      <c r="J39" s="48">
        <v>979</v>
      </c>
      <c r="K39" s="48">
        <v>939</v>
      </c>
      <c r="L39" s="48">
        <v>-675</v>
      </c>
      <c r="M39" s="48">
        <v>37611</v>
      </c>
      <c r="N39" s="48">
        <v>-211</v>
      </c>
      <c r="O39" s="13">
        <f>SUM(C39:N39)</f>
        <v>65536</v>
      </c>
      <c r="P39" s="13">
        <f>B39+O39</f>
        <v>189397</v>
      </c>
      <c r="Q39" s="384">
        <v>1253886</v>
      </c>
      <c r="R39" s="384"/>
      <c r="S39" s="384">
        <f>P39/Q39</f>
        <v>0.1510480219094878</v>
      </c>
    </row>
    <row r="40" spans="1:19" s="22" customFormat="1" ht="12.75">
      <c r="A40" s="31" t="s">
        <v>45</v>
      </c>
      <c r="B40" s="73">
        <f aca="true" t="shared" si="5" ref="B40:Q40">SUM(B39)</f>
        <v>123861</v>
      </c>
      <c r="C40" s="25">
        <f t="shared" si="5"/>
        <v>28302</v>
      </c>
      <c r="D40" s="25">
        <f t="shared" si="5"/>
        <v>-1879</v>
      </c>
      <c r="E40" s="25">
        <f t="shared" si="5"/>
        <v>438</v>
      </c>
      <c r="F40" s="25">
        <f t="shared" si="5"/>
        <v>737</v>
      </c>
      <c r="G40" s="25">
        <f t="shared" si="5"/>
        <v>545</v>
      </c>
      <c r="H40" s="25">
        <f t="shared" si="5"/>
        <v>-700</v>
      </c>
      <c r="I40" s="25">
        <f t="shared" si="5"/>
        <v>-550</v>
      </c>
      <c r="J40" s="25">
        <f t="shared" si="5"/>
        <v>979</v>
      </c>
      <c r="K40" s="25">
        <f t="shared" si="5"/>
        <v>939</v>
      </c>
      <c r="L40" s="25">
        <f t="shared" si="5"/>
        <v>-675</v>
      </c>
      <c r="M40" s="25">
        <f t="shared" si="5"/>
        <v>37611</v>
      </c>
      <c r="N40" s="25">
        <f t="shared" si="5"/>
        <v>-211</v>
      </c>
      <c r="O40" s="10">
        <f t="shared" si="5"/>
        <v>65536</v>
      </c>
      <c r="P40" s="10">
        <f t="shared" si="5"/>
        <v>189397</v>
      </c>
      <c r="Q40" s="10">
        <f t="shared" si="5"/>
        <v>1253886</v>
      </c>
      <c r="R40" s="10"/>
      <c r="S40" s="10">
        <f>P40/Q40</f>
        <v>0.1510480219094878</v>
      </c>
    </row>
    <row r="41" spans="1:19" s="22" customFormat="1" ht="12.75">
      <c r="A41" s="26"/>
      <c r="B41" s="72"/>
      <c r="C41" s="12"/>
      <c r="D41" s="12"/>
      <c r="E41" s="12"/>
      <c r="F41" s="12"/>
      <c r="G41" s="12"/>
      <c r="H41" s="12"/>
      <c r="I41" s="12"/>
      <c r="J41" s="53"/>
      <c r="K41" s="12"/>
      <c r="L41" s="12"/>
      <c r="M41" s="12"/>
      <c r="N41" s="46"/>
      <c r="O41" s="13"/>
      <c r="P41" s="13"/>
      <c r="Q41" s="20"/>
      <c r="R41" s="20"/>
      <c r="S41" s="20"/>
    </row>
    <row r="42" spans="1:19" s="22" customFormat="1" ht="12.75">
      <c r="A42" s="33" t="s">
        <v>157</v>
      </c>
      <c r="B42" s="33"/>
      <c r="C42" s="12"/>
      <c r="D42" s="12"/>
      <c r="E42" s="12"/>
      <c r="F42" s="12"/>
      <c r="G42" s="12"/>
      <c r="H42" s="12"/>
      <c r="I42" s="12"/>
      <c r="J42" s="53"/>
      <c r="K42" s="12"/>
      <c r="L42" s="12"/>
      <c r="M42" s="12"/>
      <c r="N42" s="46"/>
      <c r="O42" s="13"/>
      <c r="P42" s="13"/>
      <c r="Q42" s="384"/>
      <c r="R42" s="384"/>
      <c r="S42" s="384"/>
    </row>
    <row r="43" spans="1:19" s="22" customFormat="1" ht="12.75">
      <c r="A43" s="34" t="s">
        <v>158</v>
      </c>
      <c r="B43" s="72">
        <v>961342</v>
      </c>
      <c r="C43" s="48">
        <v>107369</v>
      </c>
      <c r="D43" s="48">
        <v>63693</v>
      </c>
      <c r="E43" s="48">
        <v>165693</v>
      </c>
      <c r="F43" s="48">
        <v>138203</v>
      </c>
      <c r="G43" s="48">
        <v>132937</v>
      </c>
      <c r="H43" s="48">
        <v>142664</v>
      </c>
      <c r="I43" s="48">
        <v>363446</v>
      </c>
      <c r="J43" s="48">
        <v>51737</v>
      </c>
      <c r="K43" s="48">
        <v>51311</v>
      </c>
      <c r="L43" s="48">
        <v>-155938</v>
      </c>
      <c r="M43" s="48">
        <v>89676</v>
      </c>
      <c r="N43" s="48">
        <v>16503</v>
      </c>
      <c r="O43" s="13">
        <f>SUM(C43:N43)</f>
        <v>1167294</v>
      </c>
      <c r="P43" s="13">
        <f>B43+O43</f>
        <v>2128636</v>
      </c>
      <c r="Q43" s="13">
        <v>4105832</v>
      </c>
      <c r="R43" s="13"/>
      <c r="S43" s="76">
        <f>P43/Q43</f>
        <v>0.5184420599771252</v>
      </c>
    </row>
    <row r="44" spans="1:19" s="22" customFormat="1" ht="12.75">
      <c r="A44" s="31" t="s">
        <v>46</v>
      </c>
      <c r="B44" s="73">
        <f>SUM(B43)</f>
        <v>961342</v>
      </c>
      <c r="C44" s="25">
        <f aca="true" t="shared" si="6" ref="C44:O44">SUM(C43:C43)</f>
        <v>107369</v>
      </c>
      <c r="D44" s="25">
        <f t="shared" si="6"/>
        <v>63693</v>
      </c>
      <c r="E44" s="25">
        <f t="shared" si="6"/>
        <v>165693</v>
      </c>
      <c r="F44" s="25">
        <f t="shared" si="6"/>
        <v>138203</v>
      </c>
      <c r="G44" s="25">
        <f t="shared" si="6"/>
        <v>132937</v>
      </c>
      <c r="H44" s="25">
        <f t="shared" si="6"/>
        <v>142664</v>
      </c>
      <c r="I44" s="25">
        <f t="shared" si="6"/>
        <v>363446</v>
      </c>
      <c r="J44" s="25">
        <f t="shared" si="6"/>
        <v>51737</v>
      </c>
      <c r="K44" s="25">
        <f t="shared" si="6"/>
        <v>51311</v>
      </c>
      <c r="L44" s="25">
        <f t="shared" si="6"/>
        <v>-155938</v>
      </c>
      <c r="M44" s="25">
        <f t="shared" si="6"/>
        <v>89676</v>
      </c>
      <c r="N44" s="25">
        <f t="shared" si="6"/>
        <v>16503</v>
      </c>
      <c r="O44" s="10">
        <f t="shared" si="6"/>
        <v>1167294</v>
      </c>
      <c r="P44" s="10">
        <f>SUM(P43)</f>
        <v>2128636</v>
      </c>
      <c r="Q44" s="10">
        <f>SUM(Q43:Q43)</f>
        <v>4105832</v>
      </c>
      <c r="R44" s="10"/>
      <c r="S44" s="75">
        <f>P44/Q44</f>
        <v>0.5184420599771252</v>
      </c>
    </row>
    <row r="45" spans="1:19" s="22" customFormat="1" ht="12.75">
      <c r="A45" s="34"/>
      <c r="B45" s="66"/>
      <c r="C45" s="48"/>
      <c r="D45" s="48"/>
      <c r="E45" s="48"/>
      <c r="F45" s="48"/>
      <c r="G45" s="48"/>
      <c r="H45" s="48"/>
      <c r="I45" s="48"/>
      <c r="J45" s="48"/>
      <c r="K45" s="48"/>
      <c r="L45" s="48"/>
      <c r="M45" s="48"/>
      <c r="N45" s="48"/>
      <c r="O45" s="13"/>
      <c r="P45" s="13"/>
      <c r="Q45" s="13"/>
      <c r="R45" s="13"/>
      <c r="S45" s="76"/>
    </row>
    <row r="46" spans="1:19" s="22" customFormat="1" ht="12.75">
      <c r="A46" s="33" t="s">
        <v>47</v>
      </c>
      <c r="B46" s="33"/>
      <c r="C46" s="12"/>
      <c r="D46" s="12"/>
      <c r="E46" s="12"/>
      <c r="F46" s="12"/>
      <c r="G46" s="12"/>
      <c r="H46" s="12"/>
      <c r="I46" s="12"/>
      <c r="J46" s="53"/>
      <c r="K46" s="12"/>
      <c r="L46" s="12"/>
      <c r="M46" s="12"/>
      <c r="N46" s="46"/>
      <c r="O46" s="13"/>
      <c r="P46" s="13"/>
      <c r="Q46" s="384"/>
      <c r="R46" s="384"/>
      <c r="S46" s="385"/>
    </row>
    <row r="47" spans="1:19" s="22" customFormat="1" ht="12.75">
      <c r="A47" s="34"/>
      <c r="B47" s="72">
        <v>0</v>
      </c>
      <c r="C47" s="48">
        <v>0</v>
      </c>
      <c r="D47" s="48">
        <v>0</v>
      </c>
      <c r="E47" s="48">
        <v>0</v>
      </c>
      <c r="F47" s="48">
        <v>0</v>
      </c>
      <c r="G47" s="48">
        <v>0</v>
      </c>
      <c r="H47" s="48">
        <v>0</v>
      </c>
      <c r="I47" s="48">
        <v>0</v>
      </c>
      <c r="J47" s="48">
        <v>0</v>
      </c>
      <c r="K47" s="48">
        <v>0</v>
      </c>
      <c r="L47" s="48">
        <v>0</v>
      </c>
      <c r="M47" s="48">
        <v>0</v>
      </c>
      <c r="N47" s="48">
        <v>0</v>
      </c>
      <c r="O47" s="13">
        <f>SUM(C47:N47)</f>
        <v>0</v>
      </c>
      <c r="P47" s="13">
        <f>B47+O47</f>
        <v>0</v>
      </c>
      <c r="Q47" s="13">
        <v>0</v>
      </c>
      <c r="R47" s="13"/>
      <c r="S47" s="76">
        <v>0</v>
      </c>
    </row>
    <row r="48" spans="1:19" s="22" customFormat="1" ht="12.75">
      <c r="A48" s="31" t="s">
        <v>48</v>
      </c>
      <c r="B48" s="73">
        <f aca="true" t="shared" si="7" ref="B48:Q48">SUM(B47:B47)</f>
        <v>0</v>
      </c>
      <c r="C48" s="25">
        <f t="shared" si="7"/>
        <v>0</v>
      </c>
      <c r="D48" s="25">
        <f t="shared" si="7"/>
        <v>0</v>
      </c>
      <c r="E48" s="25">
        <f t="shared" si="7"/>
        <v>0</v>
      </c>
      <c r="F48" s="25">
        <f t="shared" si="7"/>
        <v>0</v>
      </c>
      <c r="G48" s="25">
        <f t="shared" si="7"/>
        <v>0</v>
      </c>
      <c r="H48" s="25">
        <f t="shared" si="7"/>
        <v>0</v>
      </c>
      <c r="I48" s="25">
        <f t="shared" si="7"/>
        <v>0</v>
      </c>
      <c r="J48" s="25">
        <f t="shared" si="7"/>
        <v>0</v>
      </c>
      <c r="K48" s="25">
        <f t="shared" si="7"/>
        <v>0</v>
      </c>
      <c r="L48" s="25">
        <f t="shared" si="7"/>
        <v>0</v>
      </c>
      <c r="M48" s="25">
        <f t="shared" si="7"/>
        <v>0</v>
      </c>
      <c r="N48" s="25">
        <f t="shared" si="7"/>
        <v>0</v>
      </c>
      <c r="O48" s="10">
        <f t="shared" si="7"/>
        <v>0</v>
      </c>
      <c r="P48" s="10">
        <f t="shared" si="7"/>
        <v>0</v>
      </c>
      <c r="Q48" s="10">
        <f t="shared" si="7"/>
        <v>0</v>
      </c>
      <c r="R48" s="10"/>
      <c r="S48" s="75">
        <v>0</v>
      </c>
    </row>
    <row r="49" spans="1:19" s="22" customFormat="1" ht="12.75">
      <c r="A49" s="34"/>
      <c r="B49" s="66"/>
      <c r="C49" s="48"/>
      <c r="D49" s="48"/>
      <c r="E49" s="48"/>
      <c r="F49" s="48"/>
      <c r="G49" s="48"/>
      <c r="H49" s="48"/>
      <c r="I49" s="48"/>
      <c r="J49" s="48"/>
      <c r="K49" s="48"/>
      <c r="L49" s="48"/>
      <c r="M49" s="48"/>
      <c r="N49" s="48"/>
      <c r="O49" s="13"/>
      <c r="P49" s="13"/>
      <c r="Q49" s="13"/>
      <c r="R49" s="13"/>
      <c r="S49" s="76"/>
    </row>
    <row r="50" spans="1:19" s="22" customFormat="1" ht="12.75">
      <c r="A50" s="33" t="s">
        <v>49</v>
      </c>
      <c r="B50" s="33"/>
      <c r="C50" s="12"/>
      <c r="D50" s="12"/>
      <c r="E50" s="12"/>
      <c r="F50" s="12"/>
      <c r="G50" s="12"/>
      <c r="H50" s="12"/>
      <c r="I50" s="12"/>
      <c r="J50" s="53"/>
      <c r="K50" s="12"/>
      <c r="L50" s="12"/>
      <c r="M50" s="12"/>
      <c r="N50" s="46"/>
      <c r="O50" s="13"/>
      <c r="P50" s="13"/>
      <c r="Q50" s="384"/>
      <c r="R50" s="384"/>
      <c r="S50" s="385"/>
    </row>
    <row r="51" spans="1:19" s="22" customFormat="1" ht="12.75">
      <c r="A51" s="26" t="s">
        <v>120</v>
      </c>
      <c r="B51" s="72">
        <v>1091664</v>
      </c>
      <c r="C51" s="12">
        <v>46354</v>
      </c>
      <c r="D51" s="12">
        <v>60802</v>
      </c>
      <c r="E51" s="12">
        <v>55641</v>
      </c>
      <c r="F51" s="12">
        <v>27542</v>
      </c>
      <c r="G51" s="12">
        <v>15789</v>
      </c>
      <c r="H51" s="12">
        <v>69636</v>
      </c>
      <c r="I51" s="12">
        <v>40018</v>
      </c>
      <c r="J51" s="53">
        <v>97060</v>
      </c>
      <c r="K51" s="12">
        <v>112781</v>
      </c>
      <c r="L51" s="12">
        <v>162564</v>
      </c>
      <c r="M51" s="12">
        <v>-137101</v>
      </c>
      <c r="N51" s="46">
        <v>83240</v>
      </c>
      <c r="O51" s="13">
        <f>SUM(C51:N51)</f>
        <v>634326</v>
      </c>
      <c r="P51" s="13">
        <f>B51+O51</f>
        <v>1725990</v>
      </c>
      <c r="Q51" s="13">
        <v>6029209</v>
      </c>
      <c r="R51" s="13"/>
      <c r="S51" s="76">
        <f>P51/Q51</f>
        <v>0.28627138319471096</v>
      </c>
    </row>
    <row r="52" spans="1:19" s="22" customFormat="1" ht="12.75">
      <c r="A52" s="31" t="s">
        <v>51</v>
      </c>
      <c r="B52" s="73">
        <f aca="true" t="shared" si="8" ref="B52:Q52">SUM(B51:B51)</f>
        <v>1091664</v>
      </c>
      <c r="C52" s="25">
        <f t="shared" si="8"/>
        <v>46354</v>
      </c>
      <c r="D52" s="25">
        <f t="shared" si="8"/>
        <v>60802</v>
      </c>
      <c r="E52" s="25">
        <f t="shared" si="8"/>
        <v>55641</v>
      </c>
      <c r="F52" s="25">
        <f t="shared" si="8"/>
        <v>27542</v>
      </c>
      <c r="G52" s="25">
        <f t="shared" si="8"/>
        <v>15789</v>
      </c>
      <c r="H52" s="25">
        <f t="shared" si="8"/>
        <v>69636</v>
      </c>
      <c r="I52" s="25">
        <f t="shared" si="8"/>
        <v>40018</v>
      </c>
      <c r="J52" s="25">
        <f t="shared" si="8"/>
        <v>97060</v>
      </c>
      <c r="K52" s="25">
        <f t="shared" si="8"/>
        <v>112781</v>
      </c>
      <c r="L52" s="25">
        <f t="shared" si="8"/>
        <v>162564</v>
      </c>
      <c r="M52" s="25">
        <f t="shared" si="8"/>
        <v>-137101</v>
      </c>
      <c r="N52" s="25">
        <f t="shared" si="8"/>
        <v>83240</v>
      </c>
      <c r="O52" s="10">
        <f t="shared" si="8"/>
        <v>634326</v>
      </c>
      <c r="P52" s="10">
        <f t="shared" si="8"/>
        <v>1725990</v>
      </c>
      <c r="Q52" s="10">
        <f t="shared" si="8"/>
        <v>6029209</v>
      </c>
      <c r="R52" s="10"/>
      <c r="S52" s="75">
        <f>P52/Q52</f>
        <v>0.28627138319471096</v>
      </c>
    </row>
    <row r="53" spans="1:19" s="22" customFormat="1" ht="12.75">
      <c r="A53" s="47"/>
      <c r="B53" s="67"/>
      <c r="C53" s="12"/>
      <c r="D53" s="12"/>
      <c r="E53" s="12"/>
      <c r="F53" s="12"/>
      <c r="G53" s="12"/>
      <c r="H53" s="12"/>
      <c r="I53" s="12"/>
      <c r="J53" s="12"/>
      <c r="K53" s="12"/>
      <c r="L53" s="12"/>
      <c r="M53" s="12"/>
      <c r="N53" s="12"/>
      <c r="O53" s="13"/>
      <c r="P53" s="13"/>
      <c r="Q53" s="13"/>
      <c r="R53" s="13"/>
      <c r="S53" s="76"/>
    </row>
    <row r="54" spans="1:19" s="22" customFormat="1" ht="12.75">
      <c r="A54" s="33" t="s">
        <v>50</v>
      </c>
      <c r="B54" s="65"/>
      <c r="C54" s="12"/>
      <c r="D54" s="12"/>
      <c r="E54" s="12"/>
      <c r="F54" s="12"/>
      <c r="G54" s="12"/>
      <c r="H54" s="12"/>
      <c r="I54" s="12"/>
      <c r="J54" s="12"/>
      <c r="K54" s="12"/>
      <c r="L54" s="12"/>
      <c r="M54" s="12"/>
      <c r="N54" s="12"/>
      <c r="O54" s="13"/>
      <c r="P54" s="13"/>
      <c r="Q54" s="13"/>
      <c r="R54" s="13"/>
      <c r="S54" s="76"/>
    </row>
    <row r="55" spans="1:19" ht="12.75">
      <c r="A55" s="34"/>
      <c r="B55" s="72">
        <v>0</v>
      </c>
      <c r="C55" s="48">
        <v>0</v>
      </c>
      <c r="D55" s="48">
        <v>0</v>
      </c>
      <c r="E55" s="48">
        <v>0</v>
      </c>
      <c r="F55" s="48">
        <v>0</v>
      </c>
      <c r="G55" s="48">
        <v>0</v>
      </c>
      <c r="H55" s="48">
        <v>0</v>
      </c>
      <c r="I55" s="48">
        <v>0</v>
      </c>
      <c r="J55" s="48">
        <v>0</v>
      </c>
      <c r="K55" s="48">
        <v>0</v>
      </c>
      <c r="L55" s="48">
        <v>0</v>
      </c>
      <c r="M55" s="48">
        <v>0</v>
      </c>
      <c r="N55" s="48">
        <v>0</v>
      </c>
      <c r="O55" s="13">
        <f>SUM(C55:N55)</f>
        <v>0</v>
      </c>
      <c r="P55" s="13">
        <f>B55+O55</f>
        <v>0</v>
      </c>
      <c r="Q55" s="13">
        <v>0</v>
      </c>
      <c r="R55" s="13"/>
      <c r="S55" s="76">
        <v>0</v>
      </c>
    </row>
    <row r="56" spans="1:19" s="22" customFormat="1" ht="12.75">
      <c r="A56" s="31" t="s">
        <v>52</v>
      </c>
      <c r="B56" s="73">
        <f aca="true" t="shared" si="9" ref="B56:Q56">SUM(B55:B55)</f>
        <v>0</v>
      </c>
      <c r="C56" s="11">
        <f t="shared" si="9"/>
        <v>0</v>
      </c>
      <c r="D56" s="11">
        <f t="shared" si="9"/>
        <v>0</v>
      </c>
      <c r="E56" s="11">
        <f t="shared" si="9"/>
        <v>0</v>
      </c>
      <c r="F56" s="11">
        <f t="shared" si="9"/>
        <v>0</v>
      </c>
      <c r="G56" s="11">
        <f t="shared" si="9"/>
        <v>0</v>
      </c>
      <c r="H56" s="11">
        <f t="shared" si="9"/>
        <v>0</v>
      </c>
      <c r="I56" s="11">
        <f t="shared" si="9"/>
        <v>0</v>
      </c>
      <c r="J56" s="11">
        <f t="shared" si="9"/>
        <v>0</v>
      </c>
      <c r="K56" s="11">
        <f t="shared" si="9"/>
        <v>0</v>
      </c>
      <c r="L56" s="11">
        <f t="shared" si="9"/>
        <v>0</v>
      </c>
      <c r="M56" s="11">
        <f t="shared" si="9"/>
        <v>0</v>
      </c>
      <c r="N56" s="11">
        <f t="shared" si="9"/>
        <v>0</v>
      </c>
      <c r="O56" s="10">
        <f t="shared" si="9"/>
        <v>0</v>
      </c>
      <c r="P56" s="10">
        <f t="shared" si="9"/>
        <v>0</v>
      </c>
      <c r="Q56" s="10">
        <f t="shared" si="9"/>
        <v>0</v>
      </c>
      <c r="R56" s="10"/>
      <c r="S56" s="75">
        <v>0</v>
      </c>
    </row>
    <row r="57" spans="1:19" s="22" customFormat="1" ht="12.75">
      <c r="A57" s="57"/>
      <c r="B57" s="67"/>
      <c r="C57" s="12"/>
      <c r="D57" s="12"/>
      <c r="E57" s="12"/>
      <c r="F57" s="12"/>
      <c r="G57" s="12"/>
      <c r="H57" s="12"/>
      <c r="I57" s="12"/>
      <c r="J57" s="12"/>
      <c r="K57" s="12"/>
      <c r="L57" s="12"/>
      <c r="M57" s="12"/>
      <c r="N57" s="12"/>
      <c r="O57" s="13"/>
      <c r="P57" s="13"/>
      <c r="Q57" s="13"/>
      <c r="R57" s="13"/>
      <c r="S57" s="76"/>
    </row>
    <row r="58" spans="1:19" s="22" customFormat="1" ht="12.75">
      <c r="A58" s="33" t="s">
        <v>159</v>
      </c>
      <c r="B58" s="171"/>
      <c r="O58" s="19"/>
      <c r="P58" s="19"/>
      <c r="Q58" s="19"/>
      <c r="R58" s="19"/>
      <c r="S58" s="19"/>
    </row>
    <row r="59" spans="1:19" s="22" customFormat="1" ht="12.75">
      <c r="A59" s="34"/>
      <c r="B59" s="171"/>
      <c r="C59" s="386"/>
      <c r="D59" s="386"/>
      <c r="E59" s="386"/>
      <c r="F59" s="386"/>
      <c r="G59" s="386"/>
      <c r="H59" s="386"/>
      <c r="I59" s="386"/>
      <c r="J59" s="386"/>
      <c r="K59" s="386"/>
      <c r="L59" s="386"/>
      <c r="M59" s="386"/>
      <c r="N59" s="386"/>
      <c r="O59" s="13"/>
      <c r="P59" s="13"/>
      <c r="Q59" s="384"/>
      <c r="R59" s="384"/>
      <c r="S59" s="76"/>
    </row>
    <row r="60" spans="1:19" s="22" customFormat="1" ht="12.75">
      <c r="A60" s="31" t="s">
        <v>160</v>
      </c>
      <c r="B60" s="73">
        <f aca="true" t="shared" si="10" ref="B60:N60">SUM(B59:B59)</f>
        <v>0</v>
      </c>
      <c r="C60" s="387">
        <f t="shared" si="10"/>
        <v>0</v>
      </c>
      <c r="D60" s="387">
        <f t="shared" si="10"/>
        <v>0</v>
      </c>
      <c r="E60" s="387">
        <f t="shared" si="10"/>
        <v>0</v>
      </c>
      <c r="F60" s="387">
        <f t="shared" si="10"/>
        <v>0</v>
      </c>
      <c r="G60" s="387">
        <f t="shared" si="10"/>
        <v>0</v>
      </c>
      <c r="H60" s="387">
        <f t="shared" si="10"/>
        <v>0</v>
      </c>
      <c r="I60" s="387">
        <f t="shared" si="10"/>
        <v>0</v>
      </c>
      <c r="J60" s="387">
        <f t="shared" si="10"/>
        <v>0</v>
      </c>
      <c r="K60" s="387">
        <f t="shared" si="10"/>
        <v>0</v>
      </c>
      <c r="L60" s="387">
        <f t="shared" si="10"/>
        <v>0</v>
      </c>
      <c r="M60" s="387">
        <f t="shared" si="10"/>
        <v>0</v>
      </c>
      <c r="N60" s="387">
        <f t="shared" si="10"/>
        <v>0</v>
      </c>
      <c r="O60" s="388">
        <f>SUM(C60:N60)</f>
        <v>0</v>
      </c>
      <c r="P60" s="388">
        <f>B60+O60</f>
        <v>0</v>
      </c>
      <c r="Q60" s="388">
        <f>SUM(Q59:Q59)</f>
        <v>0</v>
      </c>
      <c r="R60" s="388"/>
      <c r="S60" s="75">
        <v>0</v>
      </c>
    </row>
    <row r="61" spans="1:19" s="22" customFormat="1" ht="12.75">
      <c r="A61" s="32"/>
      <c r="B61" s="70"/>
      <c r="C61" s="12"/>
      <c r="D61" s="386"/>
      <c r="E61" s="386"/>
      <c r="F61" s="386"/>
      <c r="G61" s="386"/>
      <c r="H61" s="386"/>
      <c r="I61" s="386"/>
      <c r="J61" s="386"/>
      <c r="K61" s="386"/>
      <c r="L61" s="386"/>
      <c r="M61" s="386"/>
      <c r="N61" s="12"/>
      <c r="O61" s="13"/>
      <c r="P61" s="13"/>
      <c r="Q61" s="13"/>
      <c r="R61" s="13"/>
      <c r="S61" s="76"/>
    </row>
    <row r="62" spans="1:19" ht="15" customHeight="1" thickBot="1">
      <c r="A62" s="35" t="s">
        <v>27</v>
      </c>
      <c r="B62" s="74">
        <f>B12+B19+B23+B30+B36+B40+B44+B48+B52+B56+B60</f>
        <v>8521657</v>
      </c>
      <c r="C62" s="14">
        <f aca="true" t="shared" si="11" ref="C62:N62">+C12+C19+C23+C30+C36+C40+C44+C48+C52+C56+C60</f>
        <v>530220</v>
      </c>
      <c r="D62" s="14">
        <f t="shared" si="11"/>
        <v>604421</v>
      </c>
      <c r="E62" s="14">
        <f t="shared" si="11"/>
        <v>640615</v>
      </c>
      <c r="F62" s="14">
        <f t="shared" si="11"/>
        <v>410644</v>
      </c>
      <c r="G62" s="14">
        <f t="shared" si="11"/>
        <v>527948</v>
      </c>
      <c r="H62" s="14">
        <f t="shared" si="11"/>
        <v>651868</v>
      </c>
      <c r="I62" s="14">
        <f t="shared" si="11"/>
        <v>1003530</v>
      </c>
      <c r="J62" s="14">
        <f t="shared" si="11"/>
        <v>926446</v>
      </c>
      <c r="K62" s="14">
        <f t="shared" si="11"/>
        <v>646658</v>
      </c>
      <c r="L62" s="14">
        <f t="shared" si="11"/>
        <v>709217</v>
      </c>
      <c r="M62" s="14">
        <f t="shared" si="11"/>
        <v>648460</v>
      </c>
      <c r="N62" s="14">
        <f t="shared" si="11"/>
        <v>1032659</v>
      </c>
      <c r="O62" s="16">
        <f>O12+O19+O23+O30+O36+O40+O44+O48+O52+O56+O60</f>
        <v>8332686</v>
      </c>
      <c r="P62" s="16">
        <f>P12+P19+P23+P30+P36+P40+P44+P48+P52+P56+P60</f>
        <v>16854343</v>
      </c>
      <c r="Q62" s="16">
        <f>Q12+Q19+Q23+Q30+Q36+Q40+Q44+Q48+Q52+Q56+Q60</f>
        <v>51009768</v>
      </c>
      <c r="R62" s="16"/>
      <c r="S62" s="77">
        <f>P62/Q62</f>
        <v>0.33041402972073897</v>
      </c>
    </row>
    <row r="63" spans="1:19" ht="15" customHeight="1" thickBot="1" thickTop="1">
      <c r="A63" s="54"/>
      <c r="B63" s="68"/>
      <c r="C63" s="12"/>
      <c r="D63" s="12"/>
      <c r="E63" s="12"/>
      <c r="F63" s="12"/>
      <c r="G63" s="12"/>
      <c r="H63" s="12"/>
      <c r="I63" s="12"/>
      <c r="J63" s="12"/>
      <c r="K63" s="12"/>
      <c r="L63" s="12"/>
      <c r="M63" s="12"/>
      <c r="N63" s="12"/>
      <c r="O63" s="12"/>
      <c r="P63" s="12"/>
      <c r="Q63" s="12"/>
      <c r="R63" s="12"/>
      <c r="S63" s="12"/>
    </row>
    <row r="64" spans="1:19" ht="32.25" customHeight="1" thickBot="1">
      <c r="A64" s="55"/>
      <c r="B64" s="55"/>
      <c r="C64" s="56"/>
      <c r="D64" s="12"/>
      <c r="E64" s="12"/>
      <c r="F64" s="12"/>
      <c r="G64" s="12"/>
      <c r="H64" s="12"/>
      <c r="I64" s="12"/>
      <c r="J64" s="12"/>
      <c r="K64" s="12"/>
      <c r="L64" s="12"/>
      <c r="M64" s="12"/>
      <c r="N64" s="12"/>
      <c r="O64" s="12"/>
      <c r="P64" s="12"/>
      <c r="Q64" s="12"/>
      <c r="R64" s="12"/>
      <c r="S64" s="12"/>
    </row>
    <row r="65" spans="1:19" ht="15" customHeight="1">
      <c r="A65" s="54"/>
      <c r="B65" s="68"/>
      <c r="C65" s="12"/>
      <c r="D65" s="12"/>
      <c r="E65" s="12"/>
      <c r="F65" s="12"/>
      <c r="G65" s="12"/>
      <c r="H65" s="12"/>
      <c r="I65" s="12"/>
      <c r="J65" s="12"/>
      <c r="K65" s="12"/>
      <c r="L65" s="12"/>
      <c r="M65" s="12"/>
      <c r="N65" s="12"/>
      <c r="O65" s="12"/>
      <c r="P65" s="12"/>
      <c r="Q65" s="12"/>
      <c r="R65" s="12"/>
      <c r="S65" s="12"/>
    </row>
    <row r="66" spans="1:19" ht="15" customHeight="1">
      <c r="A66" s="54"/>
      <c r="B66" s="68"/>
      <c r="C66" s="12"/>
      <c r="D66" s="12"/>
      <c r="E66" s="12"/>
      <c r="F66" s="12"/>
      <c r="G66" s="12"/>
      <c r="H66" s="12"/>
      <c r="I66" s="12"/>
      <c r="J66" s="12"/>
      <c r="K66" s="12"/>
      <c r="L66" s="12"/>
      <c r="M66" s="12"/>
      <c r="N66" s="12"/>
      <c r="O66" s="12"/>
      <c r="P66" s="12"/>
      <c r="Q66" s="12"/>
      <c r="R66" s="12"/>
      <c r="S66" s="12"/>
    </row>
    <row r="67" spans="1:19" ht="10.5" customHeight="1" thickBot="1">
      <c r="A67" s="36"/>
      <c r="B67" s="69"/>
      <c r="C67" s="5"/>
      <c r="D67" s="5"/>
      <c r="E67" s="5"/>
      <c r="F67" s="5"/>
      <c r="G67" s="5"/>
      <c r="H67" s="5"/>
      <c r="I67" s="5"/>
      <c r="J67" s="5"/>
      <c r="K67" s="5"/>
      <c r="L67" s="5"/>
      <c r="M67" s="5"/>
      <c r="N67" s="5"/>
      <c r="O67" s="5"/>
      <c r="P67" s="5"/>
      <c r="Q67" s="59"/>
      <c r="R67" s="59"/>
      <c r="S67" s="8"/>
    </row>
    <row r="68" ht="12.75">
      <c r="A68" t="s">
        <v>74</v>
      </c>
    </row>
    <row r="69" spans="15:16" s="22" customFormat="1" ht="12.75">
      <c r="O69" s="51"/>
      <c r="P69" s="51"/>
    </row>
    <row r="70" spans="15:16" s="22" customFormat="1" ht="12.75">
      <c r="O70" s="51"/>
      <c r="P70" s="51"/>
    </row>
    <row r="71" spans="14:19" s="22" customFormat="1" ht="12.75">
      <c r="N71" s="51"/>
      <c r="O71" s="51"/>
      <c r="P71" s="51"/>
      <c r="Q71" s="51"/>
      <c r="R71" s="51"/>
      <c r="S71" s="51"/>
    </row>
    <row r="72" spans="1:15" s="22" customFormat="1" ht="12.75">
      <c r="A72" s="52"/>
      <c r="B72" s="52"/>
      <c r="O72" s="22" t="s">
        <v>13</v>
      </c>
    </row>
    <row r="73" spans="1:5" s="22" customFormat="1" ht="12.75">
      <c r="A73" s="21"/>
      <c r="B73" s="21"/>
      <c r="E73" s="389"/>
    </row>
    <row r="74" spans="1:14" ht="12.75">
      <c r="A74" s="21"/>
      <c r="B74" s="21"/>
      <c r="C74" s="22"/>
      <c r="D74" s="22"/>
      <c r="E74" s="22"/>
      <c r="F74" s="22"/>
      <c r="G74" s="22"/>
      <c r="H74" s="22"/>
      <c r="I74" s="22"/>
      <c r="J74" s="22"/>
      <c r="K74" s="22"/>
      <c r="N74" s="24"/>
    </row>
    <row r="75" spans="1:7" ht="12.75">
      <c r="A75" s="21"/>
      <c r="B75" s="21"/>
      <c r="C75" s="22"/>
      <c r="D75" s="22"/>
      <c r="E75" s="9"/>
      <c r="F75" s="390"/>
      <c r="G75" s="24"/>
    </row>
    <row r="76" spans="5:7" ht="12.75">
      <c r="E76" s="9"/>
      <c r="F76" s="390"/>
      <c r="G76" s="24"/>
    </row>
    <row r="77" spans="5:7" ht="12.75">
      <c r="E77" s="9"/>
      <c r="F77" s="390"/>
      <c r="G77" s="24"/>
    </row>
    <row r="78" spans="5:7" ht="12.75">
      <c r="E78" s="9"/>
      <c r="F78" s="390"/>
      <c r="G78" s="24"/>
    </row>
    <row r="79" spans="5:6" ht="12.75">
      <c r="E79" s="1"/>
      <c r="F79" s="391"/>
    </row>
    <row r="80" spans="5:7" ht="12.75">
      <c r="E80" s="29"/>
      <c r="F80" s="390"/>
      <c r="G80" s="24"/>
    </row>
    <row r="81" spans="5:7" ht="12.75">
      <c r="E81" s="29"/>
      <c r="F81" s="390"/>
      <c r="G81" s="24"/>
    </row>
    <row r="82" spans="5:7" ht="12.75">
      <c r="E82" s="29"/>
      <c r="F82" s="390"/>
      <c r="G82" s="24"/>
    </row>
    <row r="83" spans="5:7" ht="12.75">
      <c r="E83" s="29"/>
      <c r="F83" s="390"/>
      <c r="G83" s="24"/>
    </row>
    <row r="84" spans="5:7" ht="12.75">
      <c r="E84" s="29"/>
      <c r="F84" s="390"/>
      <c r="G84" s="24"/>
    </row>
    <row r="85" spans="5:7" ht="12.75">
      <c r="E85" s="1"/>
      <c r="F85" s="28"/>
      <c r="G85" s="24"/>
    </row>
  </sheetData>
  <sheetProtection/>
  <printOptions horizontalCentered="1"/>
  <pageMargins left="0.5" right="0.5" top="0.57" bottom="0.51" header="0.26" footer="0.25"/>
  <pageSetup fitToHeight="1" fitToWidth="1" horizontalDpi="600" verticalDpi="600" orientation="landscape" scale="46" r:id="rId2"/>
  <headerFooter alignWithMargins="0">
    <oddHeader>&amp;C&amp;"Arial,Bold"SDGE Demand Response Programs and Activities
Incremental Cost 
2010 Funding
&amp;"Arial,Regular"
</oddHeader>
    <oddFooter>&amp;L&amp;F&amp;R&amp;D</oddFooter>
  </headerFooter>
  <drawing r:id="rId1"/>
</worksheet>
</file>

<file path=xl/worksheets/sheet6.xml><?xml version="1.0" encoding="utf-8"?>
<worksheet xmlns="http://schemas.openxmlformats.org/spreadsheetml/2006/main" xmlns:r="http://schemas.openxmlformats.org/officeDocument/2006/relationships">
  <dimension ref="A1:E26"/>
  <sheetViews>
    <sheetView zoomScalePageLayoutView="0" workbookViewId="0" topLeftCell="A1">
      <selection activeCell="C19" sqref="C19"/>
    </sheetView>
  </sheetViews>
  <sheetFormatPr defaultColWidth="9.140625" defaultRowHeight="12.75"/>
  <cols>
    <col min="1" max="1" width="18.7109375" style="79" customWidth="1"/>
    <col min="2" max="2" width="11.8515625" style="79" customWidth="1"/>
    <col min="3" max="3" width="58.421875" style="79" customWidth="1"/>
    <col min="4" max="4" width="10.8515625" style="79" customWidth="1"/>
    <col min="5" max="5" width="78.140625" style="79" customWidth="1"/>
    <col min="6" max="16384" width="9.140625" style="79" customWidth="1"/>
  </cols>
  <sheetData>
    <row r="1" spans="1:3" ht="12.75">
      <c r="A1" s="81" t="s">
        <v>63</v>
      </c>
      <c r="B1" s="80"/>
      <c r="C1" s="80"/>
    </row>
    <row r="3" spans="1:2" s="81" customFormat="1" ht="12.75">
      <c r="A3" s="81" t="s">
        <v>64</v>
      </c>
      <c r="B3" s="81" t="s">
        <v>65</v>
      </c>
    </row>
    <row r="4" s="81" customFormat="1" ht="12.75">
      <c r="B4" s="81" t="s">
        <v>66</v>
      </c>
    </row>
    <row r="7" spans="1:5" s="82" customFormat="1" ht="12.75">
      <c r="A7" s="83" t="s">
        <v>70</v>
      </c>
      <c r="B7" s="83" t="s">
        <v>67</v>
      </c>
      <c r="C7" s="83" t="s">
        <v>69</v>
      </c>
      <c r="D7" s="83" t="s">
        <v>19</v>
      </c>
      <c r="E7" s="83" t="s">
        <v>68</v>
      </c>
    </row>
    <row r="8" spans="1:5" ht="12.75">
      <c r="A8" s="84"/>
      <c r="B8" s="85"/>
      <c r="C8" s="84"/>
      <c r="D8" s="86"/>
      <c r="E8" s="84"/>
    </row>
    <row r="9" spans="1:5" ht="12.75">
      <c r="A9" s="87"/>
      <c r="B9" s="88"/>
      <c r="C9" s="84"/>
      <c r="D9" s="86"/>
      <c r="E9" s="84"/>
    </row>
    <row r="10" spans="1:5" ht="12.75">
      <c r="A10" s="89" t="s">
        <v>71</v>
      </c>
      <c r="B10" s="90">
        <f>SUM(B8:B9)</f>
        <v>0</v>
      </c>
      <c r="C10" s="87"/>
      <c r="D10" s="87"/>
      <c r="E10" s="87"/>
    </row>
    <row r="11" spans="1:5" ht="12.75">
      <c r="A11" s="87"/>
      <c r="B11" s="87"/>
      <c r="C11" s="87"/>
      <c r="D11" s="87"/>
      <c r="E11" s="87"/>
    </row>
    <row r="13" spans="1:2" ht="12.75">
      <c r="A13" s="80" t="s">
        <v>25</v>
      </c>
      <c r="B13" s="80" t="s">
        <v>72</v>
      </c>
    </row>
    <row r="26" ht="12.75">
      <c r="C26" s="80"/>
    </row>
  </sheetData>
  <sheetProtection/>
  <printOptions/>
  <pageMargins left="0.75" right="0.75" top="1" bottom="1" header="0.5" footer="0.5"/>
  <pageSetup horizontalDpi="600" verticalDpi="600" orientation="portrait" scale="50" r:id="rId1"/>
  <headerFooter alignWithMargins="0">
    <oddHeader>&amp;C&amp;"Arial,Bold"SDGE
FUND SHIFTING
2010</oddHeader>
  </headerFooter>
</worksheet>
</file>

<file path=xl/worksheets/sheet7.xml><?xml version="1.0" encoding="utf-8"?>
<worksheet xmlns="http://schemas.openxmlformats.org/spreadsheetml/2006/main" xmlns:r="http://schemas.openxmlformats.org/officeDocument/2006/relationships">
  <dimension ref="A1:G76"/>
  <sheetViews>
    <sheetView zoomScaleSheetLayoutView="75" zoomScalePageLayoutView="0" workbookViewId="0" topLeftCell="A40">
      <selection activeCell="C74" sqref="C74"/>
    </sheetView>
  </sheetViews>
  <sheetFormatPr defaultColWidth="9.140625" defaultRowHeight="12.75"/>
  <cols>
    <col min="1" max="1" width="60.00390625" style="348" customWidth="1"/>
    <col min="2" max="2" width="10.7109375" style="348" customWidth="1"/>
    <col min="3" max="3" width="17.57421875" style="349" customWidth="1"/>
    <col min="4" max="4" width="34.57421875" style="348" customWidth="1"/>
    <col min="5" max="5" width="17.28125" style="348" customWidth="1"/>
    <col min="6" max="6" width="33.8515625" style="348" customWidth="1"/>
    <col min="7" max="7" width="16.00390625" style="348" customWidth="1"/>
    <col min="8" max="16384" width="9.140625" style="350" customWidth="1"/>
  </cols>
  <sheetData>
    <row r="1" ht="12.75">
      <c r="A1" s="347" t="s">
        <v>76</v>
      </c>
    </row>
    <row r="2" ht="12.75">
      <c r="A2" s="347"/>
    </row>
    <row r="3" spans="1:7" ht="25.5">
      <c r="A3" s="92" t="s">
        <v>70</v>
      </c>
      <c r="B3" s="351" t="s">
        <v>33</v>
      </c>
      <c r="C3" s="352" t="s">
        <v>19</v>
      </c>
      <c r="D3" s="353" t="s">
        <v>26</v>
      </c>
      <c r="E3" s="353" t="s">
        <v>211</v>
      </c>
      <c r="F3" s="353" t="s">
        <v>24</v>
      </c>
      <c r="G3" s="353" t="s">
        <v>212</v>
      </c>
    </row>
    <row r="4" spans="1:7" ht="12.75">
      <c r="A4" s="354" t="s">
        <v>196</v>
      </c>
      <c r="B4" s="355" t="s">
        <v>89</v>
      </c>
      <c r="C4" s="356" t="s">
        <v>197</v>
      </c>
      <c r="D4" s="354" t="s">
        <v>196</v>
      </c>
      <c r="E4" s="355" t="s">
        <v>89</v>
      </c>
      <c r="F4" s="355" t="s">
        <v>89</v>
      </c>
      <c r="G4" s="357" t="s">
        <v>196</v>
      </c>
    </row>
    <row r="5" spans="1:7" ht="12.75">
      <c r="A5" s="354" t="s">
        <v>196</v>
      </c>
      <c r="B5" s="355" t="s">
        <v>89</v>
      </c>
      <c r="C5" s="356" t="s">
        <v>198</v>
      </c>
      <c r="D5" s="354" t="s">
        <v>196</v>
      </c>
      <c r="E5" s="355" t="s">
        <v>89</v>
      </c>
      <c r="F5" s="355" t="s">
        <v>89</v>
      </c>
      <c r="G5" s="357" t="s">
        <v>196</v>
      </c>
    </row>
    <row r="6" spans="1:7" ht="12.75">
      <c r="A6" s="354" t="s">
        <v>196</v>
      </c>
      <c r="B6" s="355" t="s">
        <v>89</v>
      </c>
      <c r="C6" s="356" t="s">
        <v>199</v>
      </c>
      <c r="D6" s="354" t="s">
        <v>196</v>
      </c>
      <c r="E6" s="355" t="s">
        <v>89</v>
      </c>
      <c r="F6" s="355" t="s">
        <v>89</v>
      </c>
      <c r="G6" s="357" t="s">
        <v>196</v>
      </c>
    </row>
    <row r="7" spans="1:7" ht="12.75">
      <c r="A7" s="354" t="s">
        <v>196</v>
      </c>
      <c r="B7" s="355" t="s">
        <v>89</v>
      </c>
      <c r="C7" s="356" t="s">
        <v>200</v>
      </c>
      <c r="D7" s="354" t="s">
        <v>196</v>
      </c>
      <c r="E7" s="355" t="s">
        <v>89</v>
      </c>
      <c r="F7" s="355" t="s">
        <v>89</v>
      </c>
      <c r="G7" s="357" t="s">
        <v>196</v>
      </c>
    </row>
    <row r="8" spans="1:7" ht="12.75">
      <c r="A8" s="354" t="s">
        <v>196</v>
      </c>
      <c r="B8" s="355" t="s">
        <v>89</v>
      </c>
      <c r="C8" s="356" t="s">
        <v>201</v>
      </c>
      <c r="D8" s="354" t="s">
        <v>196</v>
      </c>
      <c r="E8" s="355" t="s">
        <v>89</v>
      </c>
      <c r="F8" s="355" t="s">
        <v>89</v>
      </c>
      <c r="G8" s="357" t="s">
        <v>196</v>
      </c>
    </row>
    <row r="9" spans="1:7" ht="12.75">
      <c r="A9" s="354" t="s">
        <v>196</v>
      </c>
      <c r="B9" s="355" t="s">
        <v>89</v>
      </c>
      <c r="C9" s="356" t="s">
        <v>202</v>
      </c>
      <c r="D9" s="354" t="s">
        <v>196</v>
      </c>
      <c r="E9" s="355" t="s">
        <v>89</v>
      </c>
      <c r="F9" s="355" t="s">
        <v>89</v>
      </c>
      <c r="G9" s="357" t="s">
        <v>196</v>
      </c>
    </row>
    <row r="10" spans="1:7" ht="12.75">
      <c r="A10" s="354"/>
      <c r="B10" s="355"/>
      <c r="C10" s="356"/>
      <c r="D10" s="354"/>
      <c r="E10" s="355"/>
      <c r="F10" s="355"/>
      <c r="G10" s="357"/>
    </row>
    <row r="11" spans="1:7" ht="12.75">
      <c r="A11" s="354" t="s">
        <v>203</v>
      </c>
      <c r="B11" s="92">
        <v>1</v>
      </c>
      <c r="C11" s="358">
        <v>40373</v>
      </c>
      <c r="D11" s="354" t="s">
        <v>204</v>
      </c>
      <c r="E11" s="359">
        <v>10000</v>
      </c>
      <c r="F11" s="354" t="s">
        <v>205</v>
      </c>
      <c r="G11" s="354">
        <v>4</v>
      </c>
    </row>
    <row r="12" spans="1:7" ht="12.75">
      <c r="A12" s="365" t="s">
        <v>206</v>
      </c>
      <c r="B12" s="366">
        <v>2</v>
      </c>
      <c r="C12" s="367">
        <v>40373</v>
      </c>
      <c r="D12" s="365" t="s">
        <v>207</v>
      </c>
      <c r="E12" s="368">
        <v>9600</v>
      </c>
      <c r="F12" s="365" t="s">
        <v>205</v>
      </c>
      <c r="G12" s="365">
        <v>4</v>
      </c>
    </row>
    <row r="13" spans="1:7" ht="12.75">
      <c r="A13" s="354"/>
      <c r="B13" s="92"/>
      <c r="C13" s="358"/>
      <c r="D13" s="354"/>
      <c r="E13" s="359"/>
      <c r="F13" s="354"/>
      <c r="G13" s="354"/>
    </row>
    <row r="14" spans="1:7" ht="12.75">
      <c r="A14" s="354" t="s">
        <v>203</v>
      </c>
      <c r="B14" s="92">
        <v>3</v>
      </c>
      <c r="C14" s="358">
        <v>40374</v>
      </c>
      <c r="D14" s="354" t="s">
        <v>204</v>
      </c>
      <c r="E14" s="359">
        <v>11000</v>
      </c>
      <c r="F14" s="354" t="s">
        <v>205</v>
      </c>
      <c r="G14" s="354">
        <v>8</v>
      </c>
    </row>
    <row r="15" spans="1:7" ht="12.75">
      <c r="A15" s="365" t="s">
        <v>206</v>
      </c>
      <c r="B15" s="366">
        <v>4</v>
      </c>
      <c r="C15" s="367">
        <v>40374</v>
      </c>
      <c r="D15" s="365" t="s">
        <v>207</v>
      </c>
      <c r="E15" s="368">
        <v>7800</v>
      </c>
      <c r="F15" s="365" t="s">
        <v>205</v>
      </c>
      <c r="G15" s="365">
        <v>8</v>
      </c>
    </row>
    <row r="16" spans="1:7" ht="12.75">
      <c r="A16" s="371" t="s">
        <v>208</v>
      </c>
      <c r="B16" s="372">
        <v>5</v>
      </c>
      <c r="C16" s="373">
        <v>40374</v>
      </c>
      <c r="D16" s="371" t="s">
        <v>207</v>
      </c>
      <c r="E16" s="374">
        <v>9500</v>
      </c>
      <c r="F16" s="371" t="s">
        <v>209</v>
      </c>
      <c r="G16" s="371">
        <v>5</v>
      </c>
    </row>
    <row r="17" spans="1:7" ht="12.75">
      <c r="A17" s="354"/>
      <c r="B17" s="92"/>
      <c r="C17" s="358"/>
      <c r="D17" s="354"/>
      <c r="E17" s="359"/>
      <c r="F17" s="354"/>
      <c r="G17" s="354"/>
    </row>
    <row r="18" spans="1:7" ht="12.75">
      <c r="A18" s="354" t="s">
        <v>210</v>
      </c>
      <c r="B18" s="92">
        <v>6</v>
      </c>
      <c r="C18" s="358">
        <v>40375</v>
      </c>
      <c r="D18" s="354" t="s">
        <v>204</v>
      </c>
      <c r="E18" s="359">
        <v>11700</v>
      </c>
      <c r="F18" s="354" t="s">
        <v>205</v>
      </c>
      <c r="G18" s="354">
        <v>4</v>
      </c>
    </row>
    <row r="19" spans="1:7" ht="12.75">
      <c r="A19" s="365" t="s">
        <v>206</v>
      </c>
      <c r="B19" s="366">
        <v>7</v>
      </c>
      <c r="C19" s="367">
        <v>40375</v>
      </c>
      <c r="D19" s="365" t="s">
        <v>207</v>
      </c>
      <c r="E19" s="368">
        <v>8100</v>
      </c>
      <c r="F19" s="365" t="s">
        <v>209</v>
      </c>
      <c r="G19" s="365">
        <v>13</v>
      </c>
    </row>
    <row r="20" spans="1:7" ht="12.75">
      <c r="A20" s="354" t="s">
        <v>203</v>
      </c>
      <c r="B20" s="92">
        <v>8</v>
      </c>
      <c r="C20" s="358">
        <v>40375</v>
      </c>
      <c r="D20" s="354" t="s">
        <v>204</v>
      </c>
      <c r="E20" s="359">
        <v>11700</v>
      </c>
      <c r="F20" s="354" t="s">
        <v>205</v>
      </c>
      <c r="G20" s="354">
        <v>12</v>
      </c>
    </row>
    <row r="21" spans="1:7" ht="12.75">
      <c r="A21" s="371" t="s">
        <v>208</v>
      </c>
      <c r="B21" s="372">
        <v>9</v>
      </c>
      <c r="C21" s="373">
        <v>40375</v>
      </c>
      <c r="D21" s="371" t="s">
        <v>207</v>
      </c>
      <c r="E21" s="374">
        <v>16420</v>
      </c>
      <c r="F21" s="371" t="s">
        <v>205</v>
      </c>
      <c r="G21" s="371">
        <v>9</v>
      </c>
    </row>
    <row r="22" spans="1:7" ht="12.75">
      <c r="A22" s="354"/>
      <c r="B22" s="92"/>
      <c r="C22" s="358"/>
      <c r="D22" s="354"/>
      <c r="E22" s="359"/>
      <c r="F22" s="354"/>
      <c r="G22" s="354"/>
    </row>
    <row r="23" spans="1:7" ht="12.75">
      <c r="A23" s="371" t="s">
        <v>208</v>
      </c>
      <c r="B23" s="372">
        <v>10</v>
      </c>
      <c r="C23" s="373">
        <v>40407</v>
      </c>
      <c r="D23" s="371" t="s">
        <v>207</v>
      </c>
      <c r="E23" s="374">
        <v>9000</v>
      </c>
      <c r="F23" s="371" t="s">
        <v>205</v>
      </c>
      <c r="G23" s="371">
        <v>13</v>
      </c>
    </row>
    <row r="24" spans="1:7" ht="12.75">
      <c r="A24" s="365" t="s">
        <v>206</v>
      </c>
      <c r="B24" s="366">
        <v>11</v>
      </c>
      <c r="C24" s="367">
        <v>40407</v>
      </c>
      <c r="D24" s="365" t="s">
        <v>207</v>
      </c>
      <c r="E24" s="369">
        <v>8900</v>
      </c>
      <c r="F24" s="370" t="s">
        <v>209</v>
      </c>
      <c r="G24" s="365">
        <v>18</v>
      </c>
    </row>
    <row r="25" spans="1:7" ht="12.75">
      <c r="A25" s="354"/>
      <c r="B25" s="92"/>
      <c r="C25" s="360"/>
      <c r="D25" s="355"/>
      <c r="E25" s="361"/>
      <c r="F25" s="362"/>
      <c r="G25" s="355"/>
    </row>
    <row r="26" spans="1:7" ht="12.75">
      <c r="A26" s="354" t="s">
        <v>203</v>
      </c>
      <c r="B26" s="92">
        <v>12</v>
      </c>
      <c r="C26" s="360">
        <v>40408</v>
      </c>
      <c r="D26" s="355" t="s">
        <v>204</v>
      </c>
      <c r="E26" s="361">
        <v>10500</v>
      </c>
      <c r="F26" s="354" t="s">
        <v>205</v>
      </c>
      <c r="G26" s="355">
        <v>16</v>
      </c>
    </row>
    <row r="27" spans="1:7" ht="12.75">
      <c r="A27" s="371" t="s">
        <v>208</v>
      </c>
      <c r="B27" s="372">
        <v>13</v>
      </c>
      <c r="C27" s="373">
        <v>40408</v>
      </c>
      <c r="D27" s="371" t="s">
        <v>207</v>
      </c>
      <c r="E27" s="375">
        <v>16000</v>
      </c>
      <c r="F27" s="371" t="s">
        <v>205</v>
      </c>
      <c r="G27" s="371">
        <v>17</v>
      </c>
    </row>
    <row r="28" spans="1:7" ht="12.75">
      <c r="A28" s="365" t="s">
        <v>206</v>
      </c>
      <c r="B28" s="366">
        <v>14</v>
      </c>
      <c r="C28" s="367">
        <v>40408</v>
      </c>
      <c r="D28" s="365" t="s">
        <v>207</v>
      </c>
      <c r="E28" s="369">
        <v>9800</v>
      </c>
      <c r="F28" s="370" t="s">
        <v>209</v>
      </c>
      <c r="G28" s="365">
        <v>23</v>
      </c>
    </row>
    <row r="29" spans="1:7" ht="12.75">
      <c r="A29" s="354"/>
      <c r="B29" s="92"/>
      <c r="C29" s="360"/>
      <c r="D29" s="355"/>
      <c r="E29" s="361"/>
      <c r="F29" s="362"/>
      <c r="G29" s="355"/>
    </row>
    <row r="30" spans="1:7" ht="12.75">
      <c r="A30" s="354" t="s">
        <v>210</v>
      </c>
      <c r="B30" s="92">
        <v>15</v>
      </c>
      <c r="C30" s="360">
        <v>40409</v>
      </c>
      <c r="D30" s="355" t="s">
        <v>204</v>
      </c>
      <c r="E30" s="361">
        <v>10800</v>
      </c>
      <c r="F30" s="354" t="s">
        <v>205</v>
      </c>
      <c r="G30" s="355">
        <v>8</v>
      </c>
    </row>
    <row r="31" spans="1:7" ht="12.75">
      <c r="A31" s="354" t="s">
        <v>203</v>
      </c>
      <c r="B31" s="92">
        <v>16</v>
      </c>
      <c r="C31" s="360">
        <v>40409</v>
      </c>
      <c r="D31" s="355" t="s">
        <v>204</v>
      </c>
      <c r="E31" s="361">
        <v>9900</v>
      </c>
      <c r="F31" s="354" t="s">
        <v>205</v>
      </c>
      <c r="G31" s="355">
        <v>20</v>
      </c>
    </row>
    <row r="32" spans="1:7" ht="12.75">
      <c r="A32" s="371" t="s">
        <v>208</v>
      </c>
      <c r="B32" s="372">
        <v>17</v>
      </c>
      <c r="C32" s="373">
        <v>40409</v>
      </c>
      <c r="D32" s="371" t="s">
        <v>207</v>
      </c>
      <c r="E32" s="375">
        <v>16000</v>
      </c>
      <c r="F32" s="371" t="s">
        <v>205</v>
      </c>
      <c r="G32" s="371">
        <v>21</v>
      </c>
    </row>
    <row r="33" spans="1:7" ht="12.75">
      <c r="A33" s="365" t="s">
        <v>206</v>
      </c>
      <c r="B33" s="366">
        <v>18</v>
      </c>
      <c r="C33" s="367">
        <v>40409</v>
      </c>
      <c r="D33" s="365" t="s">
        <v>207</v>
      </c>
      <c r="E33" s="369">
        <v>10200</v>
      </c>
      <c r="F33" s="370" t="s">
        <v>209</v>
      </c>
      <c r="G33" s="365">
        <v>28</v>
      </c>
    </row>
    <row r="34" spans="1:7" ht="12.75">
      <c r="A34" s="354"/>
      <c r="B34" s="92"/>
      <c r="C34" s="360"/>
      <c r="D34" s="355"/>
      <c r="E34" s="361"/>
      <c r="F34" s="362"/>
      <c r="G34" s="355"/>
    </row>
    <row r="35" spans="1:7" ht="12.75">
      <c r="A35" s="354" t="s">
        <v>213</v>
      </c>
      <c r="B35" s="92">
        <v>19</v>
      </c>
      <c r="C35" s="360">
        <v>40410</v>
      </c>
      <c r="D35" s="355" t="s">
        <v>204</v>
      </c>
      <c r="E35" s="361">
        <v>7900</v>
      </c>
      <c r="F35" s="354" t="s">
        <v>205</v>
      </c>
      <c r="G35" s="355">
        <v>12</v>
      </c>
    </row>
    <row r="36" spans="1:7" ht="12.75">
      <c r="A36" s="354"/>
      <c r="B36" s="92"/>
      <c r="C36" s="360"/>
      <c r="D36" s="355"/>
      <c r="E36" s="361"/>
      <c r="F36" s="362"/>
      <c r="G36" s="355"/>
    </row>
    <row r="37" spans="1:7" ht="12.75">
      <c r="A37" s="354" t="s">
        <v>203</v>
      </c>
      <c r="B37" s="92">
        <v>20</v>
      </c>
      <c r="C37" s="360">
        <v>40413</v>
      </c>
      <c r="D37" s="355" t="s">
        <v>204</v>
      </c>
      <c r="E37" s="361">
        <v>10100</v>
      </c>
      <c r="F37" s="354" t="s">
        <v>205</v>
      </c>
      <c r="G37" s="355">
        <v>24</v>
      </c>
    </row>
    <row r="38" spans="1:7" ht="12.75">
      <c r="A38" s="371" t="s">
        <v>208</v>
      </c>
      <c r="B38" s="372">
        <v>21</v>
      </c>
      <c r="C38" s="373">
        <v>40413</v>
      </c>
      <c r="D38" s="371" t="s">
        <v>207</v>
      </c>
      <c r="E38" s="375">
        <v>13000</v>
      </c>
      <c r="F38" s="371" t="s">
        <v>205</v>
      </c>
      <c r="G38" s="371">
        <v>25</v>
      </c>
    </row>
    <row r="39" spans="1:7" ht="12.75">
      <c r="A39" s="365" t="s">
        <v>206</v>
      </c>
      <c r="B39" s="366">
        <v>22</v>
      </c>
      <c r="C39" s="367">
        <v>40413</v>
      </c>
      <c r="D39" s="365" t="s">
        <v>207</v>
      </c>
      <c r="E39" s="369">
        <v>9200</v>
      </c>
      <c r="F39" s="370" t="s">
        <v>209</v>
      </c>
      <c r="G39" s="365">
        <v>33</v>
      </c>
    </row>
    <row r="40" spans="1:7" ht="12.75">
      <c r="A40" s="363"/>
      <c r="B40" s="92"/>
      <c r="C40" s="360"/>
      <c r="D40" s="355"/>
      <c r="E40" s="361"/>
      <c r="F40" s="346"/>
      <c r="G40" s="355"/>
    </row>
    <row r="41" spans="1:7" ht="12.75">
      <c r="A41" s="354" t="s">
        <v>213</v>
      </c>
      <c r="B41" s="92">
        <v>23</v>
      </c>
      <c r="C41" s="360">
        <v>40414</v>
      </c>
      <c r="D41" s="355" t="s">
        <v>204</v>
      </c>
      <c r="E41" s="361">
        <v>10600</v>
      </c>
      <c r="F41" s="354" t="s">
        <v>205</v>
      </c>
      <c r="G41" s="355">
        <v>16</v>
      </c>
    </row>
    <row r="42" spans="1:7" ht="12.75">
      <c r="A42" s="354" t="s">
        <v>203</v>
      </c>
      <c r="B42" s="92">
        <v>24</v>
      </c>
      <c r="C42" s="360">
        <v>40414</v>
      </c>
      <c r="D42" s="355" t="s">
        <v>204</v>
      </c>
      <c r="E42" s="361">
        <v>10200</v>
      </c>
      <c r="F42" s="354" t="s">
        <v>205</v>
      </c>
      <c r="G42" s="355">
        <v>28</v>
      </c>
    </row>
    <row r="43" spans="1:7" ht="12.75">
      <c r="A43" s="371" t="s">
        <v>208</v>
      </c>
      <c r="B43" s="372">
        <v>25</v>
      </c>
      <c r="C43" s="373">
        <v>40414</v>
      </c>
      <c r="D43" s="371" t="s">
        <v>207</v>
      </c>
      <c r="E43" s="375">
        <v>16000</v>
      </c>
      <c r="F43" s="371" t="s">
        <v>205</v>
      </c>
      <c r="G43" s="371">
        <v>29</v>
      </c>
    </row>
    <row r="44" spans="1:7" ht="12.75">
      <c r="A44" s="365" t="s">
        <v>206</v>
      </c>
      <c r="B44" s="366">
        <v>26</v>
      </c>
      <c r="C44" s="367">
        <v>40414</v>
      </c>
      <c r="D44" s="365" t="s">
        <v>207</v>
      </c>
      <c r="E44" s="369">
        <v>12400</v>
      </c>
      <c r="F44" s="370" t="s">
        <v>214</v>
      </c>
      <c r="G44" s="365">
        <v>35</v>
      </c>
    </row>
    <row r="45" spans="1:7" ht="12.75">
      <c r="A45" s="354"/>
      <c r="B45" s="92"/>
      <c r="C45" s="360"/>
      <c r="D45" s="355"/>
      <c r="E45" s="361"/>
      <c r="F45" s="362"/>
      <c r="G45" s="355"/>
    </row>
    <row r="46" spans="1:7" ht="12.75">
      <c r="A46" s="354" t="s">
        <v>215</v>
      </c>
      <c r="B46" s="92">
        <v>27</v>
      </c>
      <c r="C46" s="360">
        <v>40415</v>
      </c>
      <c r="D46" s="355" t="s">
        <v>207</v>
      </c>
      <c r="E46" s="364">
        <v>34300</v>
      </c>
      <c r="F46" s="355" t="s">
        <v>216</v>
      </c>
      <c r="G46" s="355">
        <v>7</v>
      </c>
    </row>
    <row r="47" spans="1:7" ht="12.75">
      <c r="A47" s="354" t="s">
        <v>213</v>
      </c>
      <c r="B47" s="351">
        <v>28</v>
      </c>
      <c r="C47" s="360">
        <v>40415</v>
      </c>
      <c r="D47" s="355" t="s">
        <v>204</v>
      </c>
      <c r="E47" s="361">
        <v>11100</v>
      </c>
      <c r="F47" s="354" t="s">
        <v>205</v>
      </c>
      <c r="G47" s="355">
        <v>20</v>
      </c>
    </row>
    <row r="48" spans="1:7" ht="12.75">
      <c r="A48" s="354" t="s">
        <v>203</v>
      </c>
      <c r="B48" s="351">
        <v>29</v>
      </c>
      <c r="C48" s="360">
        <v>40415</v>
      </c>
      <c r="D48" s="355" t="s">
        <v>204</v>
      </c>
      <c r="E48" s="361">
        <v>9800</v>
      </c>
      <c r="F48" s="354" t="s">
        <v>205</v>
      </c>
      <c r="G48" s="355">
        <v>32</v>
      </c>
    </row>
    <row r="49" spans="1:7" ht="12.75">
      <c r="A49" s="371" t="s">
        <v>208</v>
      </c>
      <c r="B49" s="372">
        <v>30</v>
      </c>
      <c r="C49" s="373">
        <v>40415</v>
      </c>
      <c r="D49" s="371" t="s">
        <v>207</v>
      </c>
      <c r="E49" s="375">
        <v>19000</v>
      </c>
      <c r="F49" s="371" t="s">
        <v>205</v>
      </c>
      <c r="G49" s="371">
        <v>33</v>
      </c>
    </row>
    <row r="50" spans="1:7" ht="12.75">
      <c r="A50" s="365" t="s">
        <v>206</v>
      </c>
      <c r="B50" s="366">
        <v>31</v>
      </c>
      <c r="C50" s="367">
        <v>40415</v>
      </c>
      <c r="D50" s="365" t="s">
        <v>207</v>
      </c>
      <c r="E50" s="369">
        <v>9500</v>
      </c>
      <c r="F50" s="370" t="s">
        <v>214</v>
      </c>
      <c r="G50" s="365">
        <v>37</v>
      </c>
    </row>
    <row r="51" spans="1:7" ht="12.75">
      <c r="A51" s="354"/>
      <c r="B51" s="351"/>
      <c r="C51" s="360"/>
      <c r="D51" s="355"/>
      <c r="E51" s="361"/>
      <c r="F51" s="355"/>
      <c r="G51" s="355"/>
    </row>
    <row r="52" spans="1:7" ht="12.75">
      <c r="A52" s="354" t="s">
        <v>213</v>
      </c>
      <c r="B52" s="351">
        <v>32</v>
      </c>
      <c r="C52" s="360">
        <v>40416</v>
      </c>
      <c r="D52" s="355" t="s">
        <v>204</v>
      </c>
      <c r="E52" s="361">
        <v>13000</v>
      </c>
      <c r="F52" s="354" t="s">
        <v>205</v>
      </c>
      <c r="G52" s="355">
        <v>24</v>
      </c>
    </row>
    <row r="53" spans="1:7" ht="12.75">
      <c r="A53" s="354" t="s">
        <v>203</v>
      </c>
      <c r="B53" s="351">
        <v>33</v>
      </c>
      <c r="C53" s="360">
        <v>40416</v>
      </c>
      <c r="D53" s="355" t="s">
        <v>204</v>
      </c>
      <c r="E53" s="361">
        <v>10100</v>
      </c>
      <c r="F53" s="354" t="s">
        <v>205</v>
      </c>
      <c r="G53" s="355">
        <v>36</v>
      </c>
    </row>
    <row r="54" spans="1:7" ht="12.75">
      <c r="A54" s="354" t="s">
        <v>215</v>
      </c>
      <c r="B54" s="351">
        <v>34</v>
      </c>
      <c r="C54" s="360">
        <v>40416</v>
      </c>
      <c r="D54" s="355" t="s">
        <v>207</v>
      </c>
      <c r="E54" s="361">
        <v>27800</v>
      </c>
      <c r="F54" s="355" t="s">
        <v>216</v>
      </c>
      <c r="G54" s="355">
        <v>14</v>
      </c>
    </row>
    <row r="55" spans="1:7" ht="12.75">
      <c r="A55" s="354"/>
      <c r="B55" s="355"/>
      <c r="C55" s="360"/>
      <c r="D55" s="355"/>
      <c r="E55" s="355"/>
      <c r="F55" s="355"/>
      <c r="G55" s="355"/>
    </row>
    <row r="56" spans="1:7" ht="12.75">
      <c r="A56" s="354" t="s">
        <v>215</v>
      </c>
      <c r="B56" s="351">
        <v>35</v>
      </c>
      <c r="C56" s="360">
        <v>40448</v>
      </c>
      <c r="D56" s="355" t="s">
        <v>207</v>
      </c>
      <c r="E56" s="361">
        <v>19900</v>
      </c>
      <c r="F56" s="355" t="s">
        <v>216</v>
      </c>
      <c r="G56" s="355">
        <v>14</v>
      </c>
    </row>
    <row r="57" spans="1:7" ht="12.75">
      <c r="A57" s="354" t="s">
        <v>203</v>
      </c>
      <c r="B57" s="351">
        <v>36</v>
      </c>
      <c r="C57" s="360">
        <v>40448</v>
      </c>
      <c r="D57" s="355" t="s">
        <v>204</v>
      </c>
      <c r="E57" s="361">
        <v>9200</v>
      </c>
      <c r="F57" s="354" t="s">
        <v>217</v>
      </c>
      <c r="G57" s="355">
        <v>42</v>
      </c>
    </row>
    <row r="58" spans="1:7" ht="12.75">
      <c r="A58" s="371" t="s">
        <v>208</v>
      </c>
      <c r="B58" s="372">
        <v>37</v>
      </c>
      <c r="C58" s="373">
        <v>40448</v>
      </c>
      <c r="D58" s="371" t="s">
        <v>207</v>
      </c>
      <c r="E58" s="375">
        <v>26700</v>
      </c>
      <c r="F58" s="376" t="s">
        <v>220</v>
      </c>
      <c r="G58" s="371">
        <v>37</v>
      </c>
    </row>
    <row r="59" spans="1:7" ht="12.75">
      <c r="A59" s="365" t="s">
        <v>206</v>
      </c>
      <c r="B59" s="366">
        <v>38</v>
      </c>
      <c r="C59" s="367">
        <v>40448</v>
      </c>
      <c r="D59" s="365" t="s">
        <v>207</v>
      </c>
      <c r="E59" s="369">
        <v>6900</v>
      </c>
      <c r="F59" s="370" t="s">
        <v>220</v>
      </c>
      <c r="G59" s="365">
        <v>41</v>
      </c>
    </row>
    <row r="60" spans="1:7" s="378" customFormat="1" ht="12.75">
      <c r="A60" s="354" t="s">
        <v>218</v>
      </c>
      <c r="B60" s="92">
        <v>39</v>
      </c>
      <c r="C60" s="358">
        <v>40448</v>
      </c>
      <c r="D60" s="354" t="s">
        <v>207</v>
      </c>
      <c r="E60" s="364">
        <v>4900</v>
      </c>
      <c r="F60" s="377" t="s">
        <v>220</v>
      </c>
      <c r="G60" s="354">
        <v>4</v>
      </c>
    </row>
    <row r="61" spans="1:7" s="378" customFormat="1" ht="12.75">
      <c r="A61" s="354" t="s">
        <v>219</v>
      </c>
      <c r="B61" s="92">
        <v>40</v>
      </c>
      <c r="C61" s="358">
        <v>40448</v>
      </c>
      <c r="D61" s="354" t="s">
        <v>207</v>
      </c>
      <c r="E61" s="364">
        <v>4800</v>
      </c>
      <c r="F61" s="377" t="s">
        <v>221</v>
      </c>
      <c r="G61" s="354">
        <v>3</v>
      </c>
    </row>
    <row r="62" spans="1:7" ht="12.75">
      <c r="A62" s="354"/>
      <c r="B62" s="351"/>
      <c r="C62" s="360"/>
      <c r="D62" s="355"/>
      <c r="E62" s="361"/>
      <c r="F62" s="355"/>
      <c r="G62" s="355"/>
    </row>
    <row r="63" spans="1:7" ht="12.75">
      <c r="A63" s="354" t="s">
        <v>215</v>
      </c>
      <c r="B63" s="351">
        <v>41</v>
      </c>
      <c r="C63" s="360">
        <v>40449</v>
      </c>
      <c r="D63" s="355" t="s">
        <v>207</v>
      </c>
      <c r="E63" s="361">
        <v>21700</v>
      </c>
      <c r="F63" s="355" t="s">
        <v>216</v>
      </c>
      <c r="G63" s="355">
        <v>21</v>
      </c>
    </row>
    <row r="64" spans="1:7" ht="12.75">
      <c r="A64" s="354" t="s">
        <v>210</v>
      </c>
      <c r="B64" s="351">
        <v>42</v>
      </c>
      <c r="C64" s="360">
        <v>40449</v>
      </c>
      <c r="D64" s="355" t="s">
        <v>204</v>
      </c>
      <c r="E64" s="361">
        <v>9700</v>
      </c>
      <c r="F64" s="377" t="s">
        <v>220</v>
      </c>
      <c r="G64" s="355">
        <v>28</v>
      </c>
    </row>
    <row r="65" spans="1:7" ht="12.75">
      <c r="A65" s="354" t="s">
        <v>203</v>
      </c>
      <c r="B65" s="351">
        <v>43</v>
      </c>
      <c r="C65" s="360">
        <v>40449</v>
      </c>
      <c r="D65" s="355" t="s">
        <v>204</v>
      </c>
      <c r="E65" s="361">
        <v>10300</v>
      </c>
      <c r="F65" s="355" t="s">
        <v>217</v>
      </c>
      <c r="G65" s="355">
        <v>47</v>
      </c>
    </row>
    <row r="66" spans="1:7" ht="12.75">
      <c r="A66" s="371" t="s">
        <v>208</v>
      </c>
      <c r="B66" s="372">
        <v>44</v>
      </c>
      <c r="C66" s="373">
        <v>40449</v>
      </c>
      <c r="D66" s="371" t="s">
        <v>207</v>
      </c>
      <c r="E66" s="375">
        <v>16800</v>
      </c>
      <c r="F66" s="376" t="s">
        <v>220</v>
      </c>
      <c r="G66" s="371">
        <v>41</v>
      </c>
    </row>
    <row r="67" spans="1:7" ht="12.75">
      <c r="A67" s="354"/>
      <c r="B67" s="351"/>
      <c r="C67" s="360"/>
      <c r="D67" s="355"/>
      <c r="E67" s="361"/>
      <c r="F67" s="355"/>
      <c r="G67" s="355"/>
    </row>
    <row r="68" spans="1:7" ht="12.75">
      <c r="A68" s="354" t="s">
        <v>203</v>
      </c>
      <c r="B68" s="351">
        <v>45</v>
      </c>
      <c r="C68" s="360">
        <v>40450</v>
      </c>
      <c r="D68" s="355" t="s">
        <v>204</v>
      </c>
      <c r="E68" s="361">
        <v>5600</v>
      </c>
      <c r="F68" s="355" t="s">
        <v>222</v>
      </c>
      <c r="G68" s="355">
        <v>45</v>
      </c>
    </row>
    <row r="69" spans="1:7" ht="12.75">
      <c r="A69" s="371" t="s">
        <v>208</v>
      </c>
      <c r="B69" s="372">
        <v>46</v>
      </c>
      <c r="C69" s="373">
        <v>40450</v>
      </c>
      <c r="D69" s="371" t="s">
        <v>207</v>
      </c>
      <c r="E69" s="375">
        <v>13900</v>
      </c>
      <c r="F69" s="376" t="s">
        <v>220</v>
      </c>
      <c r="G69" s="371">
        <v>45</v>
      </c>
    </row>
    <row r="70" spans="1:7" ht="12.75">
      <c r="A70" s="354"/>
      <c r="B70" s="355"/>
      <c r="C70" s="360"/>
      <c r="D70" s="355"/>
      <c r="E70" s="355"/>
      <c r="F70" s="355"/>
      <c r="G70" s="355"/>
    </row>
    <row r="71" spans="1:7" ht="12.75">
      <c r="A71" s="354" t="s">
        <v>196</v>
      </c>
      <c r="B71" s="355" t="s">
        <v>89</v>
      </c>
      <c r="C71" s="356" t="s">
        <v>225</v>
      </c>
      <c r="D71" s="354" t="s">
        <v>196</v>
      </c>
      <c r="E71" s="355" t="s">
        <v>89</v>
      </c>
      <c r="F71" s="355" t="s">
        <v>89</v>
      </c>
      <c r="G71" s="357" t="s">
        <v>196</v>
      </c>
    </row>
    <row r="72" spans="1:7" ht="12.75">
      <c r="A72" s="354" t="s">
        <v>196</v>
      </c>
      <c r="B72" s="355" t="s">
        <v>89</v>
      </c>
      <c r="C72" s="356" t="s">
        <v>226</v>
      </c>
      <c r="D72" s="354" t="s">
        <v>196</v>
      </c>
      <c r="E72" s="355" t="s">
        <v>89</v>
      </c>
      <c r="F72" s="355" t="s">
        <v>89</v>
      </c>
      <c r="G72" s="357" t="s">
        <v>196</v>
      </c>
    </row>
    <row r="73" spans="1:7" ht="12.75">
      <c r="A73" s="354" t="s">
        <v>196</v>
      </c>
      <c r="B73" s="355" t="s">
        <v>89</v>
      </c>
      <c r="C73" s="416" t="s">
        <v>227</v>
      </c>
      <c r="D73" s="354" t="s">
        <v>196</v>
      </c>
      <c r="E73" s="355" t="s">
        <v>89</v>
      </c>
      <c r="F73" s="355" t="s">
        <v>89</v>
      </c>
      <c r="G73" s="357" t="s">
        <v>196</v>
      </c>
    </row>
    <row r="74" spans="1:7" ht="12.75">
      <c r="A74" s="354"/>
      <c r="B74" s="355"/>
      <c r="C74" s="360"/>
      <c r="D74" s="355"/>
      <c r="E74" s="355"/>
      <c r="F74" s="355"/>
      <c r="G74" s="355"/>
    </row>
    <row r="76" ht="12.75">
      <c r="A76" s="414"/>
    </row>
    <row r="92" ht="24.75" customHeight="1"/>
    <row r="95" ht="12.75" customHeight="1"/>
    <row r="98" ht="12.75" customHeight="1"/>
    <row r="100" ht="12.75" customHeight="1"/>
    <row r="102" ht="12.75" customHeight="1"/>
    <row r="103" ht="12.75" customHeight="1"/>
    <row r="105" ht="12.75" customHeight="1"/>
    <row r="148" ht="24.75" customHeight="1"/>
    <row r="151" ht="12.75" customHeight="1"/>
    <row r="154" ht="12.75" customHeight="1"/>
    <row r="156" ht="12.75" customHeight="1"/>
    <row r="158" ht="12.75" customHeight="1"/>
    <row r="159" ht="12.75" customHeight="1"/>
    <row r="161" ht="12.75" customHeight="1"/>
    <row r="177" ht="12.75" customHeight="1"/>
    <row r="178" ht="12.75" customHeight="1"/>
    <row r="179" ht="12.75" customHeight="1"/>
    <row r="180" ht="12.75" customHeight="1"/>
    <row r="181" ht="12.75" customHeight="1"/>
    <row r="183" ht="12.75" customHeight="1"/>
    <row r="185" ht="12.75" customHeight="1"/>
    <row r="187" ht="12.75" customHeight="1"/>
    <row r="189" ht="12.75" customHeight="1"/>
    <row r="191" ht="12.75" customHeight="1"/>
    <row r="193"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4" ht="24.75" customHeight="1"/>
    <row r="217" ht="12.75" customHeight="1"/>
    <row r="220" ht="12.75" customHeight="1"/>
    <row r="222" ht="12.75" customHeight="1"/>
    <row r="224" ht="12.75" customHeight="1"/>
    <row r="225" ht="12.75" customHeight="1"/>
    <row r="227" ht="12.75" customHeight="1"/>
  </sheetData>
  <sheetProtection/>
  <printOptions gridLines="1"/>
  <pageMargins left="0.75" right="0.75" top="1" bottom="0.75" header="0.5" footer="0.5"/>
  <pageSetup blackAndWhite="1" fitToHeight="0" fitToWidth="0" horizontalDpi="600" verticalDpi="600" orientation="landscape" scale="64" r:id="rId1"/>
  <headerFooter alignWithMargins="0">
    <oddHeader>&amp;C&amp;"Arial,Bold"SDGE Interruptible and Price Responsive Programs
 2010 Event Summary</oddHeader>
    <oddFooter>&amp;L&amp;F&amp;R&amp;D</oddFooter>
  </headerFooter>
</worksheet>
</file>

<file path=xl/worksheets/sheet8.xml><?xml version="1.0" encoding="utf-8"?>
<worksheet xmlns="http://schemas.openxmlformats.org/spreadsheetml/2006/main" xmlns:r="http://schemas.openxmlformats.org/officeDocument/2006/relationships">
  <dimension ref="A2:R61"/>
  <sheetViews>
    <sheetView view="pageBreakPreview" zoomScale="75" zoomScaleSheetLayoutView="75" zoomScalePageLayoutView="0" workbookViewId="0" topLeftCell="A1">
      <pane xSplit="1" ySplit="3" topLeftCell="K4" activePane="bottomRight" state="frozen"/>
      <selection pane="topLeft" activeCell="D38" sqref="D38"/>
      <selection pane="topRight" activeCell="D38" sqref="D38"/>
      <selection pane="bottomLeft" activeCell="D38" sqref="D38"/>
      <selection pane="bottomRight" activeCell="R33" sqref="R33"/>
    </sheetView>
  </sheetViews>
  <sheetFormatPr defaultColWidth="17.00390625" defaultRowHeight="12.75"/>
  <cols>
    <col min="1" max="1" width="42.57421875" style="392" customWidth="1"/>
    <col min="2" max="9" width="11.7109375" style="392" customWidth="1"/>
    <col min="10" max="10" width="11.7109375" style="393" customWidth="1"/>
    <col min="11" max="11" width="11.7109375" style="392" customWidth="1"/>
    <col min="12" max="12" width="12.28125" style="392" customWidth="1"/>
    <col min="13" max="13" width="11.7109375" style="392" customWidth="1"/>
    <col min="14" max="14" width="12.7109375" style="392" customWidth="1"/>
    <col min="15" max="15" width="12.8515625" style="392" customWidth="1"/>
    <col min="16" max="16" width="12.421875" style="392" customWidth="1"/>
    <col min="17" max="16384" width="17.00390625" style="392" customWidth="1"/>
  </cols>
  <sheetData>
    <row r="1" ht="13.5" thickBot="1"/>
    <row r="2" spans="1:16" ht="12.75">
      <c r="A2" s="137"/>
      <c r="B2" s="394"/>
      <c r="C2" s="394"/>
      <c r="D2" s="394"/>
      <c r="E2" s="394"/>
      <c r="F2" s="394"/>
      <c r="G2" s="394"/>
      <c r="H2" s="394"/>
      <c r="I2" s="394"/>
      <c r="J2" s="395"/>
      <c r="K2" s="394"/>
      <c r="L2" s="394"/>
      <c r="M2" s="394"/>
      <c r="N2" s="394"/>
      <c r="O2" s="394"/>
      <c r="P2" s="396"/>
    </row>
    <row r="3" spans="1:16" ht="25.5">
      <c r="A3" s="138" t="s">
        <v>17</v>
      </c>
      <c r="B3" s="139" t="s">
        <v>0</v>
      </c>
      <c r="C3" s="139" t="s">
        <v>1</v>
      </c>
      <c r="D3" s="139" t="s">
        <v>2</v>
      </c>
      <c r="E3" s="139" t="s">
        <v>3</v>
      </c>
      <c r="F3" s="139" t="s">
        <v>4</v>
      </c>
      <c r="G3" s="139" t="s">
        <v>5</v>
      </c>
      <c r="H3" s="139" t="s">
        <v>6</v>
      </c>
      <c r="I3" s="139" t="s">
        <v>7</v>
      </c>
      <c r="J3" s="397" t="s">
        <v>8</v>
      </c>
      <c r="K3" s="139" t="s">
        <v>9</v>
      </c>
      <c r="L3" s="139" t="s">
        <v>10</v>
      </c>
      <c r="M3" s="139" t="s">
        <v>11</v>
      </c>
      <c r="N3" s="140" t="s">
        <v>111</v>
      </c>
      <c r="O3" s="141" t="s">
        <v>161</v>
      </c>
      <c r="P3" s="142" t="s">
        <v>112</v>
      </c>
    </row>
    <row r="4" spans="1:16" ht="12.75">
      <c r="A4" s="143"/>
      <c r="B4" s="144"/>
      <c r="C4" s="144"/>
      <c r="D4" s="144"/>
      <c r="E4" s="144"/>
      <c r="F4" s="144"/>
      <c r="G4" s="144"/>
      <c r="H4" s="144"/>
      <c r="I4" s="144"/>
      <c r="J4" s="398"/>
      <c r="K4" s="144"/>
      <c r="L4" s="144"/>
      <c r="M4" s="144"/>
      <c r="N4" s="145"/>
      <c r="O4" s="146"/>
      <c r="P4" s="147"/>
    </row>
    <row r="5" spans="1:16" ht="12.75">
      <c r="A5" s="148" t="s">
        <v>95</v>
      </c>
      <c r="B5" s="144"/>
      <c r="C5" s="144"/>
      <c r="D5" s="144"/>
      <c r="E5" s="144"/>
      <c r="F5" s="144"/>
      <c r="G5" s="144"/>
      <c r="H5" s="144"/>
      <c r="I5" s="144"/>
      <c r="J5" s="398"/>
      <c r="K5" s="144"/>
      <c r="L5" s="144"/>
      <c r="M5" s="144"/>
      <c r="N5" s="149"/>
      <c r="O5" s="146"/>
      <c r="P5" s="147"/>
    </row>
    <row r="6" spans="1:16" ht="12.75">
      <c r="A6" s="6" t="s">
        <v>113</v>
      </c>
      <c r="B6" s="399">
        <v>2.325</v>
      </c>
      <c r="C6" s="399">
        <v>2.516</v>
      </c>
      <c r="D6" s="399">
        <v>-22.114</v>
      </c>
      <c r="E6" s="399">
        <v>9.925</v>
      </c>
      <c r="F6" s="399">
        <v>6.854</v>
      </c>
      <c r="G6" s="399">
        <v>-10.979</v>
      </c>
      <c r="H6" s="399">
        <v>3.284</v>
      </c>
      <c r="I6" s="399">
        <v>0.172</v>
      </c>
      <c r="J6" s="399">
        <v>-1.982</v>
      </c>
      <c r="K6" s="399">
        <v>0.757</v>
      </c>
      <c r="L6" s="415">
        <v>0.119</v>
      </c>
      <c r="M6" s="399">
        <v>0</v>
      </c>
      <c r="N6" s="400">
        <f aca="true" t="shared" si="0" ref="N6:N25">SUM(B6:M6)</f>
        <v>-9.123</v>
      </c>
      <c r="O6" s="401">
        <v>0</v>
      </c>
      <c r="P6" s="402" t="s">
        <v>89</v>
      </c>
    </row>
    <row r="7" spans="1:16" ht="12.75">
      <c r="A7" s="6" t="s">
        <v>31</v>
      </c>
      <c r="B7" s="399">
        <v>11.849</v>
      </c>
      <c r="C7" s="399">
        <v>21.25</v>
      </c>
      <c r="D7" s="399">
        <v>75.177</v>
      </c>
      <c r="E7" s="399">
        <v>-31.983</v>
      </c>
      <c r="F7" s="399">
        <v>16.477</v>
      </c>
      <c r="G7" s="399">
        <v>240.003</v>
      </c>
      <c r="H7" s="399">
        <v>239.095</v>
      </c>
      <c r="I7" s="399">
        <v>419.16</v>
      </c>
      <c r="J7" s="399">
        <v>153.482</v>
      </c>
      <c r="K7" s="399">
        <v>95.332</v>
      </c>
      <c r="L7" s="415">
        <v>138.056</v>
      </c>
      <c r="M7" s="399">
        <v>361.102</v>
      </c>
      <c r="N7" s="400">
        <f t="shared" si="0"/>
        <v>1739</v>
      </c>
      <c r="O7" s="403">
        <v>0</v>
      </c>
      <c r="P7" s="402" t="s">
        <v>89</v>
      </c>
    </row>
    <row r="8" spans="1:16" ht="12.75">
      <c r="A8" s="6" t="s">
        <v>114</v>
      </c>
      <c r="B8" s="399">
        <v>8.317</v>
      </c>
      <c r="C8" s="399">
        <v>8.987</v>
      </c>
      <c r="D8" s="399">
        <v>-68.609</v>
      </c>
      <c r="E8" s="399">
        <v>24.531</v>
      </c>
      <c r="F8" s="399">
        <v>-0.311</v>
      </c>
      <c r="G8" s="399">
        <v>0.259</v>
      </c>
      <c r="H8" s="399">
        <v>0.259</v>
      </c>
      <c r="I8" s="399">
        <v>0.101</v>
      </c>
      <c r="J8" s="399">
        <v>-4.654</v>
      </c>
      <c r="K8" s="399">
        <v>0.031</v>
      </c>
      <c r="L8" s="415">
        <v>0.031</v>
      </c>
      <c r="M8" s="399">
        <v>0</v>
      </c>
      <c r="N8" s="400">
        <f t="shared" si="0"/>
        <v>-31.057999999999996</v>
      </c>
      <c r="O8" s="401">
        <v>0</v>
      </c>
      <c r="P8" s="402" t="s">
        <v>89</v>
      </c>
    </row>
    <row r="9" spans="1:16" ht="12.75">
      <c r="A9" s="6" t="s">
        <v>115</v>
      </c>
      <c r="B9" s="399">
        <v>6.821</v>
      </c>
      <c r="C9" s="399">
        <v>7.576</v>
      </c>
      <c r="D9" s="399">
        <v>10.189</v>
      </c>
      <c r="E9" s="399">
        <v>-7.678</v>
      </c>
      <c r="F9" s="399">
        <v>2.427</v>
      </c>
      <c r="G9" s="399">
        <v>5.882</v>
      </c>
      <c r="H9" s="399">
        <v>2.926</v>
      </c>
      <c r="I9" s="399">
        <v>5.08</v>
      </c>
      <c r="J9" s="399">
        <v>4.655</v>
      </c>
      <c r="K9" s="399">
        <v>2.512</v>
      </c>
      <c r="L9" s="415">
        <v>53.799</v>
      </c>
      <c r="M9" s="399">
        <v>70.355</v>
      </c>
      <c r="N9" s="400">
        <f t="shared" si="0"/>
        <v>164.54399999999998</v>
      </c>
      <c r="O9" s="401">
        <v>0</v>
      </c>
      <c r="P9" s="402" t="s">
        <v>89</v>
      </c>
    </row>
    <row r="10" spans="1:16" ht="12.75">
      <c r="A10" s="6" t="s">
        <v>116</v>
      </c>
      <c r="B10" s="399">
        <v>7.729</v>
      </c>
      <c r="C10" s="399">
        <v>7.125</v>
      </c>
      <c r="D10" s="399">
        <v>0.146</v>
      </c>
      <c r="E10" s="399">
        <v>-1.839</v>
      </c>
      <c r="F10" s="399">
        <v>8.04</v>
      </c>
      <c r="G10" s="399">
        <v>4.146</v>
      </c>
      <c r="H10" s="399">
        <v>-1.447</v>
      </c>
      <c r="I10" s="399">
        <v>5.916</v>
      </c>
      <c r="J10" s="399">
        <v>5.973</v>
      </c>
      <c r="K10" s="399">
        <v>3.783</v>
      </c>
      <c r="L10" s="415">
        <v>50.554</v>
      </c>
      <c r="M10" s="399">
        <v>2.988</v>
      </c>
      <c r="N10" s="400">
        <f t="shared" si="0"/>
        <v>93.114</v>
      </c>
      <c r="O10" s="401">
        <v>0</v>
      </c>
      <c r="P10" s="402" t="s">
        <v>89</v>
      </c>
    </row>
    <row r="11" spans="1:16" ht="12.75">
      <c r="A11" s="6" t="s">
        <v>117</v>
      </c>
      <c r="B11" s="399">
        <v>17.318</v>
      </c>
      <c r="C11" s="399">
        <v>15.74</v>
      </c>
      <c r="D11" s="399">
        <v>18.256</v>
      </c>
      <c r="E11" s="399">
        <v>31.905</v>
      </c>
      <c r="F11" s="399">
        <v>15.288</v>
      </c>
      <c r="G11" s="399">
        <v>15.604</v>
      </c>
      <c r="H11" s="399">
        <v>16.305</v>
      </c>
      <c r="I11" s="399">
        <v>26.877</v>
      </c>
      <c r="J11" s="399">
        <v>21.908</v>
      </c>
      <c r="K11" s="399">
        <v>141.381</v>
      </c>
      <c r="L11" s="415">
        <v>17.828</v>
      </c>
      <c r="M11" s="399">
        <v>16.412</v>
      </c>
      <c r="N11" s="400">
        <f t="shared" si="0"/>
        <v>354.82199999999995</v>
      </c>
      <c r="O11" s="401">
        <v>0</v>
      </c>
      <c r="P11" s="402" t="s">
        <v>89</v>
      </c>
    </row>
    <row r="12" spans="1:16" ht="12.75">
      <c r="A12" s="6" t="s">
        <v>118</v>
      </c>
      <c r="B12" s="399">
        <v>30.034</v>
      </c>
      <c r="C12" s="399">
        <v>22.094</v>
      </c>
      <c r="D12" s="399">
        <v>35.012</v>
      </c>
      <c r="E12" s="399">
        <v>58.439</v>
      </c>
      <c r="F12" s="399">
        <v>24.91</v>
      </c>
      <c r="G12" s="399">
        <v>26.366</v>
      </c>
      <c r="H12" s="399">
        <v>30.026</v>
      </c>
      <c r="I12" s="399">
        <v>44.244</v>
      </c>
      <c r="J12" s="399">
        <v>36.42</v>
      </c>
      <c r="K12" s="399">
        <v>123.183</v>
      </c>
      <c r="L12" s="415">
        <v>48.383</v>
      </c>
      <c r="M12" s="399">
        <v>30.428</v>
      </c>
      <c r="N12" s="400">
        <f t="shared" si="0"/>
        <v>509.539</v>
      </c>
      <c r="O12" s="401">
        <v>0</v>
      </c>
      <c r="P12" s="402" t="s">
        <v>89</v>
      </c>
    </row>
    <row r="13" spans="1:16" ht="12.75">
      <c r="A13" s="6" t="s">
        <v>119</v>
      </c>
      <c r="B13" s="399">
        <v>28.302</v>
      </c>
      <c r="C13" s="399">
        <v>-1.879</v>
      </c>
      <c r="D13" s="399">
        <v>0.438</v>
      </c>
      <c r="E13" s="399">
        <v>0.737</v>
      </c>
      <c r="F13" s="399">
        <v>0.545</v>
      </c>
      <c r="G13" s="399">
        <v>-0.7</v>
      </c>
      <c r="H13" s="399">
        <v>-0.55</v>
      </c>
      <c r="I13" s="399">
        <v>0.979</v>
      </c>
      <c r="J13" s="399">
        <v>0.939</v>
      </c>
      <c r="K13" s="399">
        <v>-0.675</v>
      </c>
      <c r="L13" s="415">
        <v>37.611</v>
      </c>
      <c r="M13" s="399">
        <v>-0.211</v>
      </c>
      <c r="N13" s="400">
        <f t="shared" si="0"/>
        <v>65.53599999999999</v>
      </c>
      <c r="O13" s="401">
        <v>0</v>
      </c>
      <c r="P13" s="402" t="s">
        <v>89</v>
      </c>
    </row>
    <row r="14" spans="1:16" ht="12.75">
      <c r="A14" s="6" t="s">
        <v>120</v>
      </c>
      <c r="B14" s="399">
        <v>46.354</v>
      </c>
      <c r="C14" s="399">
        <v>60.802</v>
      </c>
      <c r="D14" s="399">
        <v>55.641</v>
      </c>
      <c r="E14" s="399">
        <v>27.542</v>
      </c>
      <c r="F14" s="399">
        <v>15.789</v>
      </c>
      <c r="G14" s="399">
        <v>69.636</v>
      </c>
      <c r="H14" s="399">
        <v>40.018</v>
      </c>
      <c r="I14" s="399">
        <v>97.06</v>
      </c>
      <c r="J14" s="399">
        <v>112.781</v>
      </c>
      <c r="K14" s="399">
        <v>162.564</v>
      </c>
      <c r="L14" s="415">
        <v>-137.101</v>
      </c>
      <c r="M14" s="399">
        <v>83.24</v>
      </c>
      <c r="N14" s="400">
        <f t="shared" si="0"/>
        <v>634.326</v>
      </c>
      <c r="O14" s="401">
        <v>0</v>
      </c>
      <c r="P14" s="402" t="s">
        <v>89</v>
      </c>
    </row>
    <row r="15" spans="1:16" ht="12.75">
      <c r="A15" s="6" t="s">
        <v>121</v>
      </c>
      <c r="B15" s="399">
        <v>1.876</v>
      </c>
      <c r="C15" s="399">
        <v>1.479</v>
      </c>
      <c r="D15" s="399">
        <v>-2.747</v>
      </c>
      <c r="E15" s="399">
        <v>0</v>
      </c>
      <c r="F15" s="399">
        <v>-0.399</v>
      </c>
      <c r="G15" s="399">
        <v>0.209</v>
      </c>
      <c r="H15" s="399">
        <v>0</v>
      </c>
      <c r="I15" s="399">
        <v>0</v>
      </c>
      <c r="J15" s="399">
        <v>0</v>
      </c>
      <c r="K15" s="399">
        <v>0</v>
      </c>
      <c r="L15" s="399">
        <v>0</v>
      </c>
      <c r="M15" s="399">
        <v>0</v>
      </c>
      <c r="N15" s="400">
        <f t="shared" si="0"/>
        <v>0.41800000000000004</v>
      </c>
      <c r="O15" s="401"/>
      <c r="P15" s="402"/>
    </row>
    <row r="16" spans="1:16" ht="12.75">
      <c r="A16" s="6" t="s">
        <v>122</v>
      </c>
      <c r="B16" s="399">
        <v>10.633</v>
      </c>
      <c r="C16" s="399">
        <v>128.94</v>
      </c>
      <c r="D16" s="399">
        <v>100.869</v>
      </c>
      <c r="E16" s="399">
        <v>24.436</v>
      </c>
      <c r="F16" s="399">
        <v>98.615</v>
      </c>
      <c r="G16" s="399">
        <v>6.653</v>
      </c>
      <c r="H16" s="399">
        <v>6.137</v>
      </c>
      <c r="I16" s="399">
        <v>87.914</v>
      </c>
      <c r="J16" s="399">
        <v>34.927</v>
      </c>
      <c r="K16" s="399">
        <v>32.929</v>
      </c>
      <c r="L16" s="415">
        <v>18.802</v>
      </c>
      <c r="M16" s="399">
        <v>82.145</v>
      </c>
      <c r="N16" s="400">
        <f t="shared" si="0"/>
        <v>633</v>
      </c>
      <c r="O16" s="401">
        <v>0</v>
      </c>
      <c r="P16" s="402" t="s">
        <v>89</v>
      </c>
    </row>
    <row r="17" spans="1:16" ht="12.75">
      <c r="A17" s="6" t="s">
        <v>123</v>
      </c>
      <c r="B17" s="399">
        <v>2.524</v>
      </c>
      <c r="C17" s="399">
        <v>0</v>
      </c>
      <c r="D17" s="399">
        <v>0</v>
      </c>
      <c r="E17" s="399">
        <v>0</v>
      </c>
      <c r="F17" s="399">
        <v>0</v>
      </c>
      <c r="G17" s="399">
        <v>0</v>
      </c>
      <c r="H17" s="399">
        <v>0</v>
      </c>
      <c r="I17" s="399">
        <v>0</v>
      </c>
      <c r="J17" s="399">
        <v>0</v>
      </c>
      <c r="K17" s="399">
        <v>0</v>
      </c>
      <c r="L17" s="399">
        <v>0</v>
      </c>
      <c r="M17" s="399">
        <v>0</v>
      </c>
      <c r="N17" s="400">
        <f t="shared" si="0"/>
        <v>2.524</v>
      </c>
      <c r="O17" s="401">
        <v>0</v>
      </c>
      <c r="P17" s="402" t="s">
        <v>89</v>
      </c>
    </row>
    <row r="18" spans="1:16" ht="12.75">
      <c r="A18" s="6" t="s">
        <v>195</v>
      </c>
      <c r="B18" s="399">
        <v>0</v>
      </c>
      <c r="C18" s="399">
        <v>0</v>
      </c>
      <c r="D18" s="399">
        <v>0</v>
      </c>
      <c r="E18" s="399">
        <v>0.019</v>
      </c>
      <c r="F18" s="399">
        <v>0.086</v>
      </c>
      <c r="G18" s="399">
        <v>3.241</v>
      </c>
      <c r="H18" s="399">
        <v>357.881</v>
      </c>
      <c r="I18" s="399">
        <v>1.285</v>
      </c>
      <c r="J18" s="399">
        <v>1.03</v>
      </c>
      <c r="K18" s="399">
        <v>1.092</v>
      </c>
      <c r="L18" s="415">
        <v>11.055</v>
      </c>
      <c r="M18" s="399">
        <v>-175.655</v>
      </c>
      <c r="N18" s="400">
        <f t="shared" si="0"/>
        <v>200.03399999999996</v>
      </c>
      <c r="O18" s="401"/>
      <c r="P18" s="402"/>
    </row>
    <row r="19" spans="1:18" s="404" customFormat="1" ht="12.75">
      <c r="A19" s="6" t="s">
        <v>124</v>
      </c>
      <c r="B19" s="399">
        <v>0.068</v>
      </c>
      <c r="C19" s="399">
        <v>0.074</v>
      </c>
      <c r="D19" s="399">
        <v>0.07</v>
      </c>
      <c r="E19" s="399">
        <v>0.07</v>
      </c>
      <c r="F19" s="399">
        <v>0.069</v>
      </c>
      <c r="G19" s="399">
        <v>0.074</v>
      </c>
      <c r="H19" s="399">
        <v>0.08</v>
      </c>
      <c r="I19" s="399">
        <v>0.133</v>
      </c>
      <c r="J19" s="399">
        <v>0.102</v>
      </c>
      <c r="K19" s="399">
        <v>0.088</v>
      </c>
      <c r="L19" s="415">
        <v>0.106</v>
      </c>
      <c r="M19" s="399">
        <v>-0.019</v>
      </c>
      <c r="N19" s="400">
        <f t="shared" si="0"/>
        <v>0.9149999999999999</v>
      </c>
      <c r="O19" s="401">
        <v>0</v>
      </c>
      <c r="P19" s="402" t="s">
        <v>89</v>
      </c>
      <c r="Q19" s="392"/>
      <c r="R19" s="392"/>
    </row>
    <row r="20" spans="1:18" s="404" customFormat="1" ht="12.75">
      <c r="A20" s="6" t="s">
        <v>125</v>
      </c>
      <c r="B20" s="399">
        <v>1026.739</v>
      </c>
      <c r="C20" s="399">
        <v>189.817</v>
      </c>
      <c r="D20" s="399">
        <v>22.93</v>
      </c>
      <c r="E20" s="399">
        <v>15.661</v>
      </c>
      <c r="F20" s="399">
        <v>17.398</v>
      </c>
      <c r="G20" s="399">
        <v>1941.756</v>
      </c>
      <c r="H20" s="399">
        <v>17.703</v>
      </c>
      <c r="I20" s="399">
        <v>-872.326</v>
      </c>
      <c r="J20" s="399">
        <v>17.54</v>
      </c>
      <c r="K20" s="399">
        <v>1050.748</v>
      </c>
      <c r="L20" s="415">
        <v>41.637</v>
      </c>
      <c r="M20" s="399">
        <v>24.52</v>
      </c>
      <c r="N20" s="400">
        <f t="shared" si="0"/>
        <v>3494.1230000000005</v>
      </c>
      <c r="O20" s="401">
        <v>0</v>
      </c>
      <c r="P20" s="402" t="s">
        <v>89</v>
      </c>
      <c r="Q20" s="392"/>
      <c r="R20" s="392"/>
    </row>
    <row r="21" spans="1:18" s="404" customFormat="1" ht="12.75">
      <c r="A21" s="6" t="s">
        <v>126</v>
      </c>
      <c r="B21" s="399">
        <v>3.487</v>
      </c>
      <c r="C21" s="399">
        <v>3.491</v>
      </c>
      <c r="D21" s="399">
        <v>13.717</v>
      </c>
      <c r="E21" s="399">
        <v>12.784</v>
      </c>
      <c r="F21" s="399">
        <v>2.333</v>
      </c>
      <c r="G21" s="399">
        <v>20.304</v>
      </c>
      <c r="H21" s="399">
        <v>-9.326</v>
      </c>
      <c r="I21" s="399">
        <v>28.169</v>
      </c>
      <c r="J21" s="399">
        <v>14.604</v>
      </c>
      <c r="K21" s="399">
        <f>-26.158+11.251</f>
        <v>-14.907000000000002</v>
      </c>
      <c r="L21" s="415">
        <f>111.735+270.112</f>
        <v>381.84700000000004</v>
      </c>
      <c r="M21" s="399">
        <f>4.362+16.752</f>
        <v>21.113999999999997</v>
      </c>
      <c r="N21" s="400">
        <f t="shared" si="0"/>
        <v>477.617</v>
      </c>
      <c r="O21" s="401">
        <v>0</v>
      </c>
      <c r="P21" s="402" t="s">
        <v>89</v>
      </c>
      <c r="Q21" s="392"/>
      <c r="R21" s="392"/>
    </row>
    <row r="22" spans="1:18" s="404" customFormat="1" ht="12.75">
      <c r="A22" s="6" t="s">
        <v>79</v>
      </c>
      <c r="B22" s="399">
        <v>-0.166</v>
      </c>
      <c r="C22" s="399">
        <v>115.06</v>
      </c>
      <c r="D22" s="399">
        <v>6.381</v>
      </c>
      <c r="E22" s="399">
        <v>10.792</v>
      </c>
      <c r="F22" s="399">
        <v>4.391</v>
      </c>
      <c r="G22" s="399">
        <v>3.346</v>
      </c>
      <c r="H22" s="399">
        <v>159.511</v>
      </c>
      <c r="I22" s="399">
        <v>15.628</v>
      </c>
      <c r="J22" s="399">
        <v>14.616</v>
      </c>
      <c r="K22" s="399">
        <v>-11.97</v>
      </c>
      <c r="L22" s="415">
        <v>10.488</v>
      </c>
      <c r="M22" s="399">
        <v>1.604</v>
      </c>
      <c r="N22" s="400">
        <f t="shared" si="0"/>
        <v>329.6809999999999</v>
      </c>
      <c r="O22" s="401">
        <v>0</v>
      </c>
      <c r="P22" s="402" t="s">
        <v>89</v>
      </c>
      <c r="Q22" s="392"/>
      <c r="R22" s="392"/>
    </row>
    <row r="23" spans="1:18" s="404" customFormat="1" ht="12.75">
      <c r="A23" s="6" t="s">
        <v>127</v>
      </c>
      <c r="B23" s="399">
        <v>8.484</v>
      </c>
      <c r="C23" s="399">
        <v>7.903</v>
      </c>
      <c r="D23" s="399">
        <v>12.913</v>
      </c>
      <c r="E23" s="399">
        <v>11.415</v>
      </c>
      <c r="F23" s="399">
        <v>14.574</v>
      </c>
      <c r="G23" s="399">
        <v>7.977</v>
      </c>
      <c r="H23" s="399">
        <v>8.33</v>
      </c>
      <c r="I23" s="399">
        <v>13.421</v>
      </c>
      <c r="J23" s="399">
        <v>23.377</v>
      </c>
      <c r="K23" s="399">
        <v>8.444</v>
      </c>
      <c r="L23" s="415">
        <v>12.251</v>
      </c>
      <c r="M23" s="399">
        <v>90.581</v>
      </c>
      <c r="N23" s="400">
        <f t="shared" si="0"/>
        <v>219.67000000000002</v>
      </c>
      <c r="O23" s="401">
        <v>0</v>
      </c>
      <c r="P23" s="402" t="s">
        <v>89</v>
      </c>
      <c r="Q23" s="392"/>
      <c r="R23" s="392"/>
    </row>
    <row r="24" spans="1:18" s="404" customFormat="1" ht="12.75">
      <c r="A24" s="6" t="s">
        <v>128</v>
      </c>
      <c r="B24" s="399">
        <f>-15.6-48</f>
        <v>-63.6</v>
      </c>
      <c r="C24" s="399">
        <f>-103.633+266.139</f>
        <v>162.50600000000003</v>
      </c>
      <c r="D24" s="399">
        <f>60.809+292.458</f>
        <v>353.26700000000005</v>
      </c>
      <c r="E24" s="399">
        <v>4.352</v>
      </c>
      <c r="F24" s="399">
        <f>31.462+48.024</f>
        <v>79.486</v>
      </c>
      <c r="G24" s="399">
        <f>18.62+170.49</f>
        <v>189.11</v>
      </c>
      <c r="H24" s="399">
        <f>40.278-3.641</f>
        <v>36.637</v>
      </c>
      <c r="I24" s="399">
        <f>-31.936+11.28</f>
        <v>-20.656</v>
      </c>
      <c r="J24" s="399">
        <v>11.962</v>
      </c>
      <c r="K24" s="399">
        <v>-9.07</v>
      </c>
      <c r="L24" s="415">
        <v>0</v>
      </c>
      <c r="M24" s="399">
        <v>0</v>
      </c>
      <c r="N24" s="405">
        <f t="shared" si="0"/>
        <v>743.994</v>
      </c>
      <c r="O24" s="401">
        <v>0</v>
      </c>
      <c r="P24" s="402" t="s">
        <v>89</v>
      </c>
      <c r="Q24" s="392"/>
      <c r="R24" s="392"/>
    </row>
    <row r="25" spans="1:18" s="404" customFormat="1" ht="12.75">
      <c r="A25" s="6" t="s">
        <v>223</v>
      </c>
      <c r="B25" s="399"/>
      <c r="C25" s="399"/>
      <c r="D25" s="399"/>
      <c r="E25" s="399"/>
      <c r="F25" s="399"/>
      <c r="G25" s="399"/>
      <c r="H25" s="399"/>
      <c r="I25" s="399"/>
      <c r="J25" s="399"/>
      <c r="K25" s="399">
        <v>165.955</v>
      </c>
      <c r="L25" s="415">
        <v>1.464</v>
      </c>
      <c r="M25" s="399">
        <v>-0.534</v>
      </c>
      <c r="N25" s="405">
        <f t="shared" si="0"/>
        <v>166.88500000000002</v>
      </c>
      <c r="O25" s="399"/>
      <c r="P25" s="402"/>
      <c r="Q25" s="392"/>
      <c r="R25" s="392"/>
    </row>
    <row r="26" spans="1:16" ht="12.75">
      <c r="A26" s="109" t="s">
        <v>129</v>
      </c>
      <c r="B26" s="150">
        <f aca="true" t="shared" si="1" ref="B26:N26">SUM(B6:B25)</f>
        <v>1149.0940000000003</v>
      </c>
      <c r="C26" s="150">
        <f t="shared" si="1"/>
        <v>753.481</v>
      </c>
      <c r="D26" s="150">
        <f t="shared" si="1"/>
        <v>611.5360000000001</v>
      </c>
      <c r="E26" s="150">
        <f t="shared" si="1"/>
        <v>191.10799999999998</v>
      </c>
      <c r="F26" s="150">
        <f t="shared" si="1"/>
        <v>306.572</v>
      </c>
      <c r="G26" s="150">
        <f t="shared" si="1"/>
        <v>2522.887</v>
      </c>
      <c r="H26" s="150">
        <f t="shared" si="1"/>
        <v>906.8689999999999</v>
      </c>
      <c r="I26" s="150">
        <f t="shared" si="1"/>
        <v>-146.84299999999996</v>
      </c>
      <c r="J26" s="150">
        <f t="shared" si="1"/>
        <v>447.68</v>
      </c>
      <c r="K26" s="150">
        <f t="shared" si="1"/>
        <v>1752.177</v>
      </c>
      <c r="L26" s="150">
        <f t="shared" si="1"/>
        <v>686.9300000000002</v>
      </c>
      <c r="M26" s="150">
        <f t="shared" si="1"/>
        <v>608.07</v>
      </c>
      <c r="N26" s="151">
        <f t="shared" si="1"/>
        <v>9789.561000000002</v>
      </c>
      <c r="O26" s="150">
        <f>SUM(O6:O19)</f>
        <v>0</v>
      </c>
      <c r="P26" s="406" t="s">
        <v>89</v>
      </c>
    </row>
    <row r="27" spans="1:18" ht="12.75">
      <c r="A27" s="407"/>
      <c r="B27" s="399"/>
      <c r="C27" s="399"/>
      <c r="D27" s="399"/>
      <c r="E27" s="399"/>
      <c r="F27" s="399"/>
      <c r="G27" s="399"/>
      <c r="H27" s="399"/>
      <c r="I27" s="399"/>
      <c r="J27" s="399"/>
      <c r="K27" s="399"/>
      <c r="L27" s="399"/>
      <c r="M27" s="399"/>
      <c r="N27" s="400"/>
      <c r="O27" s="401"/>
      <c r="P27" s="408"/>
      <c r="Q27" s="409"/>
      <c r="R27" s="399"/>
    </row>
    <row r="28" spans="1:16" ht="12.75">
      <c r="A28" s="148" t="s">
        <v>130</v>
      </c>
      <c r="B28" s="399"/>
      <c r="C28" s="399"/>
      <c r="D28" s="399"/>
      <c r="E28" s="399"/>
      <c r="F28" s="399"/>
      <c r="G28" s="399"/>
      <c r="H28" s="399"/>
      <c r="I28" s="399"/>
      <c r="J28" s="399"/>
      <c r="K28" s="399"/>
      <c r="L28" s="399"/>
      <c r="M28" s="399"/>
      <c r="N28" s="400"/>
      <c r="O28" s="401"/>
      <c r="P28" s="408"/>
    </row>
    <row r="29" spans="1:16" ht="12.75">
      <c r="A29" s="6" t="s">
        <v>113</v>
      </c>
      <c r="B29" s="399">
        <v>0</v>
      </c>
      <c r="C29" s="399">
        <v>0</v>
      </c>
      <c r="D29" s="399">
        <v>0</v>
      </c>
      <c r="E29" s="399">
        <v>0</v>
      </c>
      <c r="F29" s="399">
        <v>0</v>
      </c>
      <c r="G29" s="399">
        <v>0</v>
      </c>
      <c r="H29" s="399">
        <v>0</v>
      </c>
      <c r="I29" s="399">
        <v>0</v>
      </c>
      <c r="J29" s="399">
        <v>0</v>
      </c>
      <c r="K29" s="399">
        <v>0</v>
      </c>
      <c r="L29" s="399">
        <v>0</v>
      </c>
      <c r="M29" s="399">
        <v>0</v>
      </c>
      <c r="N29" s="400">
        <f aca="true" t="shared" si="2" ref="N29:N35">B29+C29+D29+E29+F29+G29+H29+I29+J29+K29+L29+M29</f>
        <v>0</v>
      </c>
      <c r="O29" s="401">
        <v>0</v>
      </c>
      <c r="P29" s="402" t="s">
        <v>89</v>
      </c>
    </row>
    <row r="30" spans="1:16" ht="12.75">
      <c r="A30" s="407" t="s">
        <v>127</v>
      </c>
      <c r="B30" s="399">
        <v>0</v>
      </c>
      <c r="C30" s="399">
        <v>0</v>
      </c>
      <c r="D30" s="399">
        <v>0</v>
      </c>
      <c r="E30" s="399">
        <v>0</v>
      </c>
      <c r="F30" s="399">
        <v>0</v>
      </c>
      <c r="G30" s="399">
        <v>0</v>
      </c>
      <c r="H30" s="399">
        <v>0</v>
      </c>
      <c r="I30" s="399">
        <v>0</v>
      </c>
      <c r="J30" s="399">
        <v>0</v>
      </c>
      <c r="K30" s="399">
        <v>0</v>
      </c>
      <c r="L30" s="399">
        <v>0</v>
      </c>
      <c r="M30" s="399">
        <v>0</v>
      </c>
      <c r="N30" s="400">
        <f t="shared" si="2"/>
        <v>0</v>
      </c>
      <c r="O30" s="401">
        <v>0</v>
      </c>
      <c r="P30" s="402" t="s">
        <v>89</v>
      </c>
    </row>
    <row r="31" spans="1:16" ht="12.75">
      <c r="A31" s="6" t="s">
        <v>131</v>
      </c>
      <c r="B31" s="399">
        <v>0</v>
      </c>
      <c r="C31" s="399">
        <v>0</v>
      </c>
      <c r="D31" s="399">
        <v>0</v>
      </c>
      <c r="E31" s="399">
        <v>0</v>
      </c>
      <c r="F31" s="399">
        <v>0</v>
      </c>
      <c r="G31" s="399">
        <v>0</v>
      </c>
      <c r="H31" s="399">
        <v>0</v>
      </c>
      <c r="I31" s="399">
        <v>0</v>
      </c>
      <c r="J31" s="399">
        <v>0</v>
      </c>
      <c r="K31" s="399">
        <v>0</v>
      </c>
      <c r="L31" s="399">
        <v>0</v>
      </c>
      <c r="M31" s="399">
        <v>0</v>
      </c>
      <c r="N31" s="400">
        <f t="shared" si="2"/>
        <v>0</v>
      </c>
      <c r="O31" s="401">
        <v>0</v>
      </c>
      <c r="P31" s="402" t="s">
        <v>89</v>
      </c>
    </row>
    <row r="32" spans="1:16" ht="12.75">
      <c r="A32" s="6" t="s">
        <v>115</v>
      </c>
      <c r="B32" s="399">
        <v>0</v>
      </c>
      <c r="C32" s="399">
        <v>0</v>
      </c>
      <c r="D32" s="399">
        <v>0</v>
      </c>
      <c r="E32" s="399">
        <v>0</v>
      </c>
      <c r="F32" s="399">
        <v>0</v>
      </c>
      <c r="G32" s="399">
        <v>0</v>
      </c>
      <c r="H32" s="399">
        <v>0</v>
      </c>
      <c r="I32" s="399">
        <v>0</v>
      </c>
      <c r="J32" s="399">
        <v>0</v>
      </c>
      <c r="K32" s="399">
        <v>0</v>
      </c>
      <c r="L32" s="399">
        <v>0</v>
      </c>
      <c r="M32" s="399">
        <v>0</v>
      </c>
      <c r="N32" s="400">
        <f t="shared" si="2"/>
        <v>0</v>
      </c>
      <c r="O32" s="401">
        <v>0</v>
      </c>
      <c r="P32" s="402" t="s">
        <v>89</v>
      </c>
    </row>
    <row r="33" spans="1:16" ht="12.75">
      <c r="A33" s="6" t="s">
        <v>116</v>
      </c>
      <c r="B33" s="399">
        <v>0</v>
      </c>
      <c r="C33" s="399">
        <v>0</v>
      </c>
      <c r="D33" s="399">
        <v>0</v>
      </c>
      <c r="E33" s="399">
        <v>0</v>
      </c>
      <c r="F33" s="399">
        <v>0</v>
      </c>
      <c r="G33" s="399">
        <v>0</v>
      </c>
      <c r="H33" s="399">
        <v>0</v>
      </c>
      <c r="I33" s="399">
        <v>0</v>
      </c>
      <c r="J33" s="399">
        <v>0</v>
      </c>
      <c r="K33" s="399">
        <v>0</v>
      </c>
      <c r="L33" s="399">
        <v>0</v>
      </c>
      <c r="M33" s="399">
        <v>0</v>
      </c>
      <c r="N33" s="400">
        <f t="shared" si="2"/>
        <v>0</v>
      </c>
      <c r="O33" s="401">
        <v>0</v>
      </c>
      <c r="P33" s="402" t="s">
        <v>89</v>
      </c>
    </row>
    <row r="34" spans="1:16" ht="12.75">
      <c r="A34" s="6" t="s">
        <v>132</v>
      </c>
      <c r="B34" s="399">
        <v>0</v>
      </c>
      <c r="C34" s="399">
        <v>0</v>
      </c>
      <c r="D34" s="399">
        <v>0</v>
      </c>
      <c r="E34" s="399">
        <v>0</v>
      </c>
      <c r="F34" s="399">
        <v>0</v>
      </c>
      <c r="G34" s="399">
        <v>0</v>
      </c>
      <c r="H34" s="399">
        <v>0</v>
      </c>
      <c r="I34" s="399">
        <v>0</v>
      </c>
      <c r="J34" s="399">
        <v>0</v>
      </c>
      <c r="K34" s="399">
        <v>0</v>
      </c>
      <c r="L34" s="399">
        <v>0</v>
      </c>
      <c r="M34" s="399">
        <v>0</v>
      </c>
      <c r="N34" s="400">
        <f t="shared" si="2"/>
        <v>0</v>
      </c>
      <c r="O34" s="401">
        <v>0</v>
      </c>
      <c r="P34" s="402" t="s">
        <v>89</v>
      </c>
    </row>
    <row r="35" spans="1:16" ht="12.75">
      <c r="A35" s="109" t="s">
        <v>133</v>
      </c>
      <c r="B35" s="152">
        <f aca="true" t="shared" si="3" ref="B35:M35">SUM(B29:B34)</f>
        <v>0</v>
      </c>
      <c r="C35" s="152">
        <f t="shared" si="3"/>
        <v>0</v>
      </c>
      <c r="D35" s="152">
        <f t="shared" si="3"/>
        <v>0</v>
      </c>
      <c r="E35" s="152">
        <f t="shared" si="3"/>
        <v>0</v>
      </c>
      <c r="F35" s="152">
        <f t="shared" si="3"/>
        <v>0</v>
      </c>
      <c r="G35" s="152">
        <f t="shared" si="3"/>
        <v>0</v>
      </c>
      <c r="H35" s="152">
        <f t="shared" si="3"/>
        <v>0</v>
      </c>
      <c r="I35" s="152">
        <f t="shared" si="3"/>
        <v>0</v>
      </c>
      <c r="J35" s="152">
        <v>0</v>
      </c>
      <c r="K35" s="152">
        <f t="shared" si="3"/>
        <v>0</v>
      </c>
      <c r="L35" s="152">
        <f t="shared" si="3"/>
        <v>0</v>
      </c>
      <c r="M35" s="152">
        <f t="shared" si="3"/>
        <v>0</v>
      </c>
      <c r="N35" s="153">
        <f t="shared" si="2"/>
        <v>0</v>
      </c>
      <c r="O35" s="154">
        <f>SUM(O29:O34)</f>
        <v>0</v>
      </c>
      <c r="P35" s="406" t="s">
        <v>89</v>
      </c>
    </row>
    <row r="36" spans="1:16" ht="12.75">
      <c r="A36" s="407" t="s">
        <v>13</v>
      </c>
      <c r="B36" s="399"/>
      <c r="C36" s="399"/>
      <c r="D36" s="399"/>
      <c r="E36" s="399"/>
      <c r="F36" s="399"/>
      <c r="G36" s="399"/>
      <c r="H36" s="399"/>
      <c r="I36" s="399"/>
      <c r="K36" s="399"/>
      <c r="L36" s="399"/>
      <c r="M36" s="399"/>
      <c r="N36" s="400"/>
      <c r="O36" s="401"/>
      <c r="P36" s="408"/>
    </row>
    <row r="37" spans="1:16" ht="12.75">
      <c r="A37" s="148" t="s">
        <v>134</v>
      </c>
      <c r="B37" s="399"/>
      <c r="C37" s="399"/>
      <c r="D37" s="399"/>
      <c r="E37" s="399"/>
      <c r="F37" s="399"/>
      <c r="H37" s="399"/>
      <c r="I37" s="399"/>
      <c r="K37" s="155"/>
      <c r="L37" s="399"/>
      <c r="M37" s="399"/>
      <c r="N37" s="400" t="s">
        <v>13</v>
      </c>
      <c r="O37" s="401"/>
      <c r="P37" s="408"/>
    </row>
    <row r="38" spans="1:16" ht="12.75">
      <c r="A38" s="6" t="s">
        <v>135</v>
      </c>
      <c r="B38" s="399">
        <v>0</v>
      </c>
      <c r="C38" s="399">
        <v>0</v>
      </c>
      <c r="D38" s="399">
        <v>0</v>
      </c>
      <c r="E38" s="399">
        <v>0</v>
      </c>
      <c r="F38" s="399">
        <v>0</v>
      </c>
      <c r="G38" s="399">
        <v>0</v>
      </c>
      <c r="H38" s="399">
        <v>0</v>
      </c>
      <c r="I38" s="399">
        <v>0</v>
      </c>
      <c r="J38" s="399">
        <v>0</v>
      </c>
      <c r="K38" s="399">
        <v>0</v>
      </c>
      <c r="L38" s="399">
        <v>0</v>
      </c>
      <c r="M38" s="399">
        <v>0</v>
      </c>
      <c r="N38" s="400">
        <f>B38+C38+D38+E38+F38+G38+H38+I38+J38+K38+L38+M38</f>
        <v>0</v>
      </c>
      <c r="O38" s="410">
        <v>0</v>
      </c>
      <c r="P38" s="402" t="s">
        <v>89</v>
      </c>
    </row>
    <row r="39" spans="1:16" ht="12.75">
      <c r="A39" s="6" t="s">
        <v>136</v>
      </c>
      <c r="B39" s="399">
        <v>107.369</v>
      </c>
      <c r="C39" s="399">
        <v>63.693</v>
      </c>
      <c r="D39" s="399">
        <v>165.693</v>
      </c>
      <c r="E39" s="399">
        <v>138.203</v>
      </c>
      <c r="F39" s="399">
        <v>132.937</v>
      </c>
      <c r="G39" s="399">
        <v>142.664</v>
      </c>
      <c r="H39" s="399">
        <v>363.446</v>
      </c>
      <c r="I39" s="399">
        <v>51.737</v>
      </c>
      <c r="J39" s="399">
        <v>51.311</v>
      </c>
      <c r="K39" s="399">
        <v>-155.938</v>
      </c>
      <c r="L39" s="415">
        <v>89.676</v>
      </c>
      <c r="M39" s="399">
        <v>16.503</v>
      </c>
      <c r="N39" s="400">
        <f>B39+C39+D39+E39+F39+G39+H39+I39+J39+K39+L39+M39</f>
        <v>1167.294</v>
      </c>
      <c r="O39" s="410">
        <v>0</v>
      </c>
      <c r="P39" s="402" t="s">
        <v>89</v>
      </c>
    </row>
    <row r="40" spans="1:16" ht="12.75">
      <c r="A40" s="115" t="s">
        <v>137</v>
      </c>
      <c r="B40" s="152">
        <f aca="true" t="shared" si="4" ref="B40:O40">SUM(B38:B39)</f>
        <v>107.369</v>
      </c>
      <c r="C40" s="152">
        <f t="shared" si="4"/>
        <v>63.693</v>
      </c>
      <c r="D40" s="152">
        <f t="shared" si="4"/>
        <v>165.693</v>
      </c>
      <c r="E40" s="152">
        <f t="shared" si="4"/>
        <v>138.203</v>
      </c>
      <c r="F40" s="152">
        <f t="shared" si="4"/>
        <v>132.937</v>
      </c>
      <c r="G40" s="152">
        <f t="shared" si="4"/>
        <v>142.664</v>
      </c>
      <c r="H40" s="152">
        <f t="shared" si="4"/>
        <v>363.446</v>
      </c>
      <c r="I40" s="152">
        <f t="shared" si="4"/>
        <v>51.737</v>
      </c>
      <c r="J40" s="152">
        <f t="shared" si="4"/>
        <v>51.311</v>
      </c>
      <c r="K40" s="152">
        <f t="shared" si="4"/>
        <v>-155.938</v>
      </c>
      <c r="L40" s="152">
        <f t="shared" si="4"/>
        <v>89.676</v>
      </c>
      <c r="M40" s="152">
        <f t="shared" si="4"/>
        <v>16.503</v>
      </c>
      <c r="N40" s="156">
        <f t="shared" si="4"/>
        <v>1167.294</v>
      </c>
      <c r="O40" s="157">
        <f t="shared" si="4"/>
        <v>0</v>
      </c>
      <c r="P40" s="406" t="s">
        <v>89</v>
      </c>
    </row>
    <row r="41" spans="1:16" ht="12.75">
      <c r="A41" s="112"/>
      <c r="B41" s="399"/>
      <c r="C41" s="399"/>
      <c r="D41" s="399"/>
      <c r="E41" s="399"/>
      <c r="F41" s="399"/>
      <c r="G41" s="399"/>
      <c r="H41" s="399"/>
      <c r="I41" s="399"/>
      <c r="K41" s="399"/>
      <c r="L41" s="399"/>
      <c r="M41" s="399"/>
      <c r="N41" s="400"/>
      <c r="O41" s="401"/>
      <c r="P41" s="408"/>
    </row>
    <row r="42" spans="1:18" s="404" customFormat="1" ht="12.75">
      <c r="A42" s="148" t="s">
        <v>105</v>
      </c>
      <c r="B42" s="399"/>
      <c r="C42" s="399"/>
      <c r="D42" s="399"/>
      <c r="E42" s="399"/>
      <c r="F42" s="399"/>
      <c r="G42" s="399"/>
      <c r="H42" s="399"/>
      <c r="I42" s="399"/>
      <c r="J42" s="399"/>
      <c r="K42" s="399"/>
      <c r="L42" s="399"/>
      <c r="M42" s="399"/>
      <c r="N42" s="400"/>
      <c r="O42" s="401"/>
      <c r="P42" s="408"/>
      <c r="Q42" s="392"/>
      <c r="R42" s="392"/>
    </row>
    <row r="43" spans="1:16" ht="12.75">
      <c r="A43" s="6" t="s">
        <v>31</v>
      </c>
      <c r="B43" s="399">
        <v>0</v>
      </c>
      <c r="C43" s="399">
        <v>0</v>
      </c>
      <c r="D43" s="399">
        <v>0</v>
      </c>
      <c r="E43" s="399">
        <v>0</v>
      </c>
      <c r="F43" s="399">
        <v>0</v>
      </c>
      <c r="G43" s="399">
        <v>0</v>
      </c>
      <c r="H43" s="399">
        <v>0</v>
      </c>
      <c r="I43" s="399">
        <v>0</v>
      </c>
      <c r="J43" s="399">
        <v>0</v>
      </c>
      <c r="K43" s="399">
        <v>0</v>
      </c>
      <c r="L43" s="399">
        <v>0</v>
      </c>
      <c r="M43" s="399">
        <v>0</v>
      </c>
      <c r="N43" s="400">
        <f aca="true" t="shared" si="5" ref="N43:N48">B43+C43+D43+E43+F43+G43+H43+I43+J43+K43+L43+M43</f>
        <v>0</v>
      </c>
      <c r="O43" s="401">
        <v>0</v>
      </c>
      <c r="P43" s="402" t="s">
        <v>89</v>
      </c>
    </row>
    <row r="44" spans="1:16" ht="12.75">
      <c r="A44" s="6" t="s">
        <v>138</v>
      </c>
      <c r="B44" s="399">
        <v>39.305</v>
      </c>
      <c r="C44" s="399">
        <v>39.182</v>
      </c>
      <c r="D44" s="399">
        <v>41.067</v>
      </c>
      <c r="E44" s="399">
        <v>40.67</v>
      </c>
      <c r="F44" s="399">
        <v>42.157</v>
      </c>
      <c r="G44" s="399">
        <v>42.851</v>
      </c>
      <c r="H44" s="399">
        <v>46.139</v>
      </c>
      <c r="I44" s="399">
        <v>47.055</v>
      </c>
      <c r="J44" s="399">
        <v>46.453</v>
      </c>
      <c r="K44" s="399">
        <v>8.771</v>
      </c>
      <c r="L44" s="415">
        <v>54.815</v>
      </c>
      <c r="M44" s="399">
        <v>55.082</v>
      </c>
      <c r="N44" s="400">
        <f t="shared" si="5"/>
        <v>503.547</v>
      </c>
      <c r="O44" s="401">
        <v>0</v>
      </c>
      <c r="P44" s="402" t="s">
        <v>89</v>
      </c>
    </row>
    <row r="45" spans="1:16" ht="12.75">
      <c r="A45" s="6" t="s">
        <v>117</v>
      </c>
      <c r="B45" s="399">
        <v>36.674</v>
      </c>
      <c r="C45" s="399">
        <v>34.113</v>
      </c>
      <c r="D45" s="399">
        <v>40.184</v>
      </c>
      <c r="E45" s="399">
        <v>37.315</v>
      </c>
      <c r="F45" s="399">
        <v>27.942</v>
      </c>
      <c r="G45" s="399">
        <v>22.323</v>
      </c>
      <c r="H45" s="399">
        <v>36.606</v>
      </c>
      <c r="I45" s="399">
        <v>72.186</v>
      </c>
      <c r="J45" s="399">
        <v>60.562</v>
      </c>
      <c r="K45" s="399">
        <v>41.509</v>
      </c>
      <c r="L45" s="415">
        <v>69.424</v>
      </c>
      <c r="M45" s="399">
        <v>80.592</v>
      </c>
      <c r="N45" s="400">
        <f t="shared" si="5"/>
        <v>559.4300000000001</v>
      </c>
      <c r="O45" s="401">
        <v>0</v>
      </c>
      <c r="P45" s="402" t="s">
        <v>89</v>
      </c>
    </row>
    <row r="46" spans="1:16" ht="12.75">
      <c r="A46" s="6" t="s">
        <v>118</v>
      </c>
      <c r="B46" s="399">
        <v>168.205</v>
      </c>
      <c r="C46" s="399">
        <v>70.6</v>
      </c>
      <c r="D46" s="399">
        <v>155.836</v>
      </c>
      <c r="E46" s="399">
        <v>23.45</v>
      </c>
      <c r="F46" s="399">
        <v>114.98</v>
      </c>
      <c r="G46" s="399">
        <v>58.196</v>
      </c>
      <c r="H46" s="399">
        <v>63.028</v>
      </c>
      <c r="I46" s="399">
        <v>30.412</v>
      </c>
      <c r="J46" s="399">
        <v>71.286</v>
      </c>
      <c r="K46" s="399">
        <v>116.807</v>
      </c>
      <c r="L46" s="415">
        <v>70.525</v>
      </c>
      <c r="M46" s="399">
        <v>138.008</v>
      </c>
      <c r="N46" s="400">
        <f t="shared" si="5"/>
        <v>1081.333</v>
      </c>
      <c r="O46" s="401">
        <v>0</v>
      </c>
      <c r="P46" s="402" t="s">
        <v>89</v>
      </c>
    </row>
    <row r="47" spans="1:16" ht="12.75">
      <c r="A47" s="6" t="s">
        <v>139</v>
      </c>
      <c r="B47" s="399">
        <v>0</v>
      </c>
      <c r="C47" s="399">
        <v>0</v>
      </c>
      <c r="D47" s="399">
        <v>0</v>
      </c>
      <c r="E47" s="399">
        <v>0</v>
      </c>
      <c r="F47" s="399">
        <v>0</v>
      </c>
      <c r="G47" s="399">
        <v>0</v>
      </c>
      <c r="H47" s="399">
        <v>0</v>
      </c>
      <c r="I47" s="399">
        <v>0</v>
      </c>
      <c r="J47" s="399">
        <v>0</v>
      </c>
      <c r="K47" s="399">
        <v>0</v>
      </c>
      <c r="L47" s="399">
        <v>0</v>
      </c>
      <c r="M47" s="399">
        <v>0</v>
      </c>
      <c r="N47" s="400">
        <f t="shared" si="5"/>
        <v>0</v>
      </c>
      <c r="O47" s="401">
        <v>0</v>
      </c>
      <c r="P47" s="402" t="s">
        <v>89</v>
      </c>
    </row>
    <row r="48" spans="1:16" ht="12.75">
      <c r="A48" s="6" t="s">
        <v>135</v>
      </c>
      <c r="B48" s="399">
        <v>0.378</v>
      </c>
      <c r="C48" s="399">
        <v>2.323</v>
      </c>
      <c r="D48" s="399">
        <v>2.067</v>
      </c>
      <c r="E48" s="399">
        <v>1.394</v>
      </c>
      <c r="F48" s="399">
        <v>0</v>
      </c>
      <c r="G48" s="399">
        <v>5.418</v>
      </c>
      <c r="H48" s="399">
        <v>0</v>
      </c>
      <c r="I48" s="399">
        <v>0</v>
      </c>
      <c r="J48" s="399">
        <v>0.417</v>
      </c>
      <c r="K48" s="399">
        <v>0</v>
      </c>
      <c r="L48" s="415">
        <v>3473.528</v>
      </c>
      <c r="M48" s="399">
        <v>139.462</v>
      </c>
      <c r="N48" s="400">
        <f t="shared" si="5"/>
        <v>3624.9869999999996</v>
      </c>
      <c r="O48" s="401">
        <v>0</v>
      </c>
      <c r="P48" s="402" t="s">
        <v>89</v>
      </c>
    </row>
    <row r="49" spans="1:16" ht="12.75">
      <c r="A49" s="115" t="s">
        <v>107</v>
      </c>
      <c r="B49" s="152">
        <f aca="true" t="shared" si="6" ref="B49:O49">SUM(B43:B48)</f>
        <v>244.562</v>
      </c>
      <c r="C49" s="152">
        <f t="shared" si="6"/>
        <v>146.218</v>
      </c>
      <c r="D49" s="152">
        <f t="shared" si="6"/>
        <v>239.15400000000002</v>
      </c>
      <c r="E49" s="152">
        <f t="shared" si="6"/>
        <v>102.82900000000001</v>
      </c>
      <c r="F49" s="152">
        <f t="shared" si="6"/>
        <v>185.079</v>
      </c>
      <c r="G49" s="152">
        <f t="shared" si="6"/>
        <v>128.788</v>
      </c>
      <c r="H49" s="152">
        <f t="shared" si="6"/>
        <v>145.773</v>
      </c>
      <c r="I49" s="152">
        <f t="shared" si="6"/>
        <v>149.65300000000002</v>
      </c>
      <c r="J49" s="152">
        <f t="shared" si="6"/>
        <v>178.718</v>
      </c>
      <c r="K49" s="152">
        <f t="shared" si="6"/>
        <v>167.087</v>
      </c>
      <c r="L49" s="152">
        <f t="shared" si="6"/>
        <v>3668.292</v>
      </c>
      <c r="M49" s="158">
        <f t="shared" si="6"/>
        <v>413.144</v>
      </c>
      <c r="N49" s="159">
        <f t="shared" si="6"/>
        <v>5769.2970000000005</v>
      </c>
      <c r="O49" s="157">
        <f t="shared" si="6"/>
        <v>0</v>
      </c>
      <c r="P49" s="406" t="s">
        <v>89</v>
      </c>
    </row>
    <row r="50" spans="1:16" ht="30" customHeight="1">
      <c r="A50" s="160" t="s">
        <v>140</v>
      </c>
      <c r="B50" s="152">
        <f aca="true" t="shared" si="7" ref="B50:O50">+B49+B40+B35+B26</f>
        <v>1501.0250000000003</v>
      </c>
      <c r="C50" s="152">
        <f t="shared" si="7"/>
        <v>963.392</v>
      </c>
      <c r="D50" s="152">
        <f t="shared" si="7"/>
        <v>1016.383</v>
      </c>
      <c r="E50" s="152">
        <f t="shared" si="7"/>
        <v>432.14</v>
      </c>
      <c r="F50" s="152">
        <f t="shared" si="7"/>
        <v>624.588</v>
      </c>
      <c r="G50" s="152">
        <f t="shared" si="7"/>
        <v>2794.339</v>
      </c>
      <c r="H50" s="152">
        <f t="shared" si="7"/>
        <v>1416.088</v>
      </c>
      <c r="I50" s="152">
        <f t="shared" si="7"/>
        <v>54.547000000000054</v>
      </c>
      <c r="J50" s="152">
        <f t="shared" si="7"/>
        <v>677.7090000000001</v>
      </c>
      <c r="K50" s="152">
        <f t="shared" si="7"/>
        <v>1763.326</v>
      </c>
      <c r="L50" s="152">
        <f t="shared" si="7"/>
        <v>4444.898</v>
      </c>
      <c r="M50" s="158">
        <f t="shared" si="7"/>
        <v>1037.717</v>
      </c>
      <c r="N50" s="156">
        <f t="shared" si="7"/>
        <v>16726.152000000002</v>
      </c>
      <c r="O50" s="154">
        <f t="shared" si="7"/>
        <v>0</v>
      </c>
      <c r="P50" s="406" t="s">
        <v>89</v>
      </c>
    </row>
    <row r="51" spans="1:16" ht="15.75" customHeight="1">
      <c r="A51" s="161"/>
      <c r="B51" s="162"/>
      <c r="C51" s="152"/>
      <c r="D51" s="163"/>
      <c r="E51" s="163"/>
      <c r="F51" s="163"/>
      <c r="G51" s="163"/>
      <c r="H51" s="163"/>
      <c r="I51" s="163"/>
      <c r="J51" s="411"/>
      <c r="K51" s="163"/>
      <c r="L51" s="163"/>
      <c r="M51" s="163"/>
      <c r="N51" s="163"/>
      <c r="O51" s="162"/>
      <c r="P51" s="162"/>
    </row>
    <row r="52" spans="1:16" ht="30" customHeight="1" thickBot="1">
      <c r="A52" s="164" t="s">
        <v>141</v>
      </c>
      <c r="B52" s="165">
        <v>1510.739</v>
      </c>
      <c r="C52" s="172">
        <v>975.6</v>
      </c>
      <c r="D52" s="166">
        <v>1028.685</v>
      </c>
      <c r="E52" s="166">
        <v>444</v>
      </c>
      <c r="F52" s="166">
        <v>637.223</v>
      </c>
      <c r="G52" s="166">
        <v>2808</v>
      </c>
      <c r="H52" s="166">
        <v>1430</v>
      </c>
      <c r="I52" s="412">
        <v>68</v>
      </c>
      <c r="J52" s="412">
        <v>691</v>
      </c>
      <c r="K52" s="412">
        <v>1777</v>
      </c>
      <c r="L52" s="412">
        <v>4459</v>
      </c>
      <c r="M52" s="412">
        <v>-15830</v>
      </c>
      <c r="N52" s="167">
        <f>SUM(B52:M52)</f>
        <v>-0.7530000000006112</v>
      </c>
      <c r="O52" s="168"/>
      <c r="P52" s="169"/>
    </row>
    <row r="53" spans="1:8" ht="12.75">
      <c r="A53" s="392" t="s">
        <v>142</v>
      </c>
      <c r="H53" s="399"/>
    </row>
    <row r="54" spans="2:13" ht="12.75">
      <c r="B54" s="399"/>
      <c r="C54" s="413"/>
      <c r="F54" s="399"/>
      <c r="I54" s="399"/>
      <c r="K54" s="399"/>
      <c r="L54" s="399"/>
      <c r="M54" s="399"/>
    </row>
    <row r="55" spans="7:14" ht="12.75">
      <c r="G55" s="399"/>
      <c r="I55" s="399"/>
      <c r="K55" s="399"/>
      <c r="L55" s="409"/>
      <c r="N55" s="399"/>
    </row>
    <row r="56" spans="3:14" ht="12.75">
      <c r="C56" s="399"/>
      <c r="D56" s="399"/>
      <c r="F56" s="399"/>
      <c r="G56" s="409"/>
      <c r="K56" s="399"/>
      <c r="L56" s="409"/>
      <c r="N56" s="409"/>
    </row>
    <row r="57" ht="12.75">
      <c r="D57" s="399"/>
    </row>
    <row r="58" spans="2:14" ht="12.75">
      <c r="B58" s="399"/>
      <c r="C58" s="399"/>
      <c r="D58" s="399"/>
      <c r="E58" s="399"/>
      <c r="F58" s="399"/>
      <c r="G58" s="399"/>
      <c r="H58" s="399"/>
      <c r="I58" s="399"/>
      <c r="J58" s="399"/>
      <c r="K58" s="399"/>
      <c r="L58" s="399"/>
      <c r="M58" s="399"/>
      <c r="N58" s="399"/>
    </row>
    <row r="61" ht="12.75">
      <c r="L61" s="399"/>
    </row>
  </sheetData>
  <sheetProtection/>
  <printOptions horizontalCentered="1"/>
  <pageMargins left="0.55" right="0.2" top="0.81" bottom="0.38" header="0.21" footer="0.19"/>
  <pageSetup horizontalDpi="600" verticalDpi="600" orientation="landscape" scale="46" r:id="rId1"/>
  <headerFooter alignWithMargins="0">
    <oddHeader>&amp;C&amp;"Arial,Bold"SDGE
Demand Response Programs 
Total Cost and AMDRMA Accounts Balance
$000</oddHeader>
    <oddFooter>&amp;L&amp;F&amp;R&amp;D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V36"/>
  <sheetViews>
    <sheetView showGridLines="0" view="pageBreakPreview" zoomScale="75" zoomScaleSheetLayoutView="75" zoomScalePageLayoutView="0" workbookViewId="0" topLeftCell="A2">
      <pane xSplit="1" ySplit="2" topLeftCell="L4" activePane="bottomRight" state="frozen"/>
      <selection pane="topLeft" activeCell="G54" sqref="G54"/>
      <selection pane="topRight" activeCell="G54" sqref="G54"/>
      <selection pane="bottomLeft" activeCell="G54" sqref="G54"/>
      <selection pane="bottomRight" activeCell="P10" sqref="P10"/>
    </sheetView>
  </sheetViews>
  <sheetFormatPr defaultColWidth="9.140625" defaultRowHeight="12.75"/>
  <cols>
    <col min="1" max="1" width="39.421875" style="0" customWidth="1"/>
    <col min="2" max="2" width="11.00390625" style="0" customWidth="1"/>
    <col min="3" max="3" width="9.7109375" style="0" customWidth="1"/>
    <col min="4" max="4" width="11.00390625" style="0" customWidth="1"/>
    <col min="5" max="5" width="11.7109375" style="0" customWidth="1"/>
    <col min="6" max="8" width="11.00390625" style="0" customWidth="1"/>
    <col min="9" max="9" width="3.8515625" style="0" customWidth="1"/>
    <col min="10" max="10" width="10.28125" style="0" bestFit="1" customWidth="1"/>
    <col min="11" max="11" width="2.8515625" style="0" bestFit="1" customWidth="1"/>
    <col min="12" max="12" width="11.00390625" style="0" customWidth="1"/>
    <col min="13" max="13" width="3.421875" style="0" bestFit="1" customWidth="1"/>
    <col min="14" max="16" width="11.00390625" style="0" customWidth="1"/>
    <col min="17" max="17" width="15.7109375" style="0" bestFit="1" customWidth="1"/>
    <col min="18" max="18" width="9.7109375" style="0" bestFit="1" customWidth="1"/>
    <col min="20" max="20" width="22.28125" style="0" customWidth="1"/>
  </cols>
  <sheetData>
    <row r="2" ht="13.5" thickBot="1">
      <c r="A2" s="97"/>
    </row>
    <row r="3" spans="1:17" ht="31.5" customHeight="1">
      <c r="A3" s="98" t="s">
        <v>17</v>
      </c>
      <c r="B3" s="99" t="s">
        <v>0</v>
      </c>
      <c r="C3" s="99" t="s">
        <v>1</v>
      </c>
      <c r="D3" s="99" t="s">
        <v>2</v>
      </c>
      <c r="E3" s="99" t="s">
        <v>3</v>
      </c>
      <c r="F3" s="99" t="s">
        <v>4</v>
      </c>
      <c r="G3" s="99" t="s">
        <v>5</v>
      </c>
      <c r="H3" s="99" t="s">
        <v>6</v>
      </c>
      <c r="I3" s="99"/>
      <c r="J3" s="99" t="s">
        <v>7</v>
      </c>
      <c r="K3" s="99"/>
      <c r="L3" s="99" t="s">
        <v>8</v>
      </c>
      <c r="M3" s="99"/>
      <c r="N3" s="99" t="s">
        <v>9</v>
      </c>
      <c r="O3" s="99" t="s">
        <v>10</v>
      </c>
      <c r="P3" s="99" t="s">
        <v>11</v>
      </c>
      <c r="Q3" s="100" t="s">
        <v>16</v>
      </c>
    </row>
    <row r="4" spans="1:17" ht="16.5">
      <c r="A4" s="101" t="s">
        <v>94</v>
      </c>
      <c r="B4" s="102"/>
      <c r="C4" s="102"/>
      <c r="D4" s="102"/>
      <c r="E4" s="102"/>
      <c r="F4" s="102"/>
      <c r="G4" s="102"/>
      <c r="H4" s="102"/>
      <c r="I4" s="102"/>
      <c r="J4" s="102"/>
      <c r="K4" s="102"/>
      <c r="L4" s="102"/>
      <c r="M4" s="102"/>
      <c r="N4" s="102"/>
      <c r="O4" s="102"/>
      <c r="P4" s="102"/>
      <c r="Q4" s="103"/>
    </row>
    <row r="5" spans="1:17" ht="6" customHeight="1">
      <c r="A5" s="104"/>
      <c r="B5" s="102"/>
      <c r="C5" s="102"/>
      <c r="D5" s="102"/>
      <c r="E5" s="102"/>
      <c r="F5" s="102"/>
      <c r="G5" s="102"/>
      <c r="H5" s="102"/>
      <c r="I5" s="102"/>
      <c r="J5" s="102"/>
      <c r="K5" s="102"/>
      <c r="L5" s="102"/>
      <c r="M5" s="102"/>
      <c r="N5" s="102"/>
      <c r="O5" s="102"/>
      <c r="P5" s="102"/>
      <c r="Q5" s="103"/>
    </row>
    <row r="6" spans="1:17" ht="12.75">
      <c r="A6" s="104" t="s">
        <v>95</v>
      </c>
      <c r="B6" s="102"/>
      <c r="C6" s="102"/>
      <c r="D6" s="102"/>
      <c r="E6" s="102"/>
      <c r="F6" s="102"/>
      <c r="G6" s="102"/>
      <c r="H6" s="102"/>
      <c r="I6" s="102"/>
      <c r="J6" s="102"/>
      <c r="K6" s="102"/>
      <c r="L6" s="102"/>
      <c r="M6" s="102"/>
      <c r="N6" s="102"/>
      <c r="O6" s="102"/>
      <c r="P6" s="102"/>
      <c r="Q6" s="103"/>
    </row>
    <row r="7" spans="1:17" ht="12.75">
      <c r="A7" s="4" t="s">
        <v>96</v>
      </c>
      <c r="B7" s="105">
        <v>0</v>
      </c>
      <c r="C7" s="105">
        <v>0</v>
      </c>
      <c r="D7" s="106">
        <v>0</v>
      </c>
      <c r="E7" s="105">
        <v>0</v>
      </c>
      <c r="F7" s="106">
        <v>0</v>
      </c>
      <c r="G7" s="105">
        <v>0</v>
      </c>
      <c r="H7" s="107">
        <v>0</v>
      </c>
      <c r="I7" s="107"/>
      <c r="J7" s="106">
        <v>0</v>
      </c>
      <c r="K7" s="106"/>
      <c r="L7" s="105">
        <v>0</v>
      </c>
      <c r="M7" s="105"/>
      <c r="N7" s="105">
        <v>0</v>
      </c>
      <c r="O7" s="106">
        <v>0</v>
      </c>
      <c r="P7" s="106">
        <v>0</v>
      </c>
      <c r="Q7" s="108">
        <f aca="true" t="shared" si="0" ref="Q7:Q12">SUM(B7:P7)</f>
        <v>0</v>
      </c>
    </row>
    <row r="8" spans="1:17" ht="14.25" customHeight="1">
      <c r="A8" s="4" t="s">
        <v>82</v>
      </c>
      <c r="B8" s="105">
        <v>7.883</v>
      </c>
      <c r="C8" s="105">
        <v>8.543</v>
      </c>
      <c r="D8" s="105">
        <v>42.937</v>
      </c>
      <c r="E8" s="105">
        <v>18.998</v>
      </c>
      <c r="F8" s="105">
        <v>87.197</v>
      </c>
      <c r="G8" s="105">
        <v>45.336</v>
      </c>
      <c r="H8" s="105">
        <v>5.668</v>
      </c>
      <c r="I8" s="105"/>
      <c r="J8" s="105">
        <v>28.009</v>
      </c>
      <c r="K8" s="105"/>
      <c r="L8" s="105">
        <v>26.221</v>
      </c>
      <c r="M8" s="105"/>
      <c r="N8" s="105">
        <v>35.399</v>
      </c>
      <c r="O8" s="105">
        <v>42.733</v>
      </c>
      <c r="P8" s="105">
        <v>-130.259</v>
      </c>
      <c r="Q8" s="108">
        <f t="shared" si="0"/>
        <v>218.66500000000005</v>
      </c>
    </row>
    <row r="9" spans="1:17" ht="12.75">
      <c r="A9" s="4" t="s">
        <v>28</v>
      </c>
      <c r="B9" s="105">
        <v>0</v>
      </c>
      <c r="C9" s="105">
        <v>0</v>
      </c>
      <c r="D9" s="105">
        <v>0</v>
      </c>
      <c r="E9" s="105">
        <v>0</v>
      </c>
      <c r="F9" s="105">
        <v>0</v>
      </c>
      <c r="G9" s="105">
        <v>0</v>
      </c>
      <c r="H9" s="105">
        <v>0</v>
      </c>
      <c r="I9" s="105"/>
      <c r="J9" s="105">
        <v>0</v>
      </c>
      <c r="K9" s="105"/>
      <c r="L9" s="105">
        <v>0</v>
      </c>
      <c r="M9" s="105"/>
      <c r="N9" s="105">
        <v>0</v>
      </c>
      <c r="O9" s="105">
        <v>0</v>
      </c>
      <c r="P9" s="105">
        <v>0</v>
      </c>
      <c r="Q9" s="108">
        <f t="shared" si="0"/>
        <v>0</v>
      </c>
    </row>
    <row r="10" spans="1:17" ht="12.75">
      <c r="A10" s="4" t="s">
        <v>97</v>
      </c>
      <c r="B10" s="105">
        <v>1.695</v>
      </c>
      <c r="C10" s="105">
        <v>1.621</v>
      </c>
      <c r="D10" s="105">
        <v>1.453</v>
      </c>
      <c r="E10" s="105">
        <v>1.457</v>
      </c>
      <c r="F10" s="105">
        <v>1.054</v>
      </c>
      <c r="G10" s="105">
        <v>1.648</v>
      </c>
      <c r="H10" s="105">
        <v>1.46</v>
      </c>
      <c r="I10" s="105"/>
      <c r="J10" s="105">
        <v>1.48</v>
      </c>
      <c r="K10" s="105"/>
      <c r="L10" s="105">
        <v>1.445</v>
      </c>
      <c r="M10" s="105"/>
      <c r="N10" s="105">
        <v>1.461</v>
      </c>
      <c r="O10" s="105">
        <v>38.387</v>
      </c>
      <c r="P10" s="105">
        <v>1.557</v>
      </c>
      <c r="Q10" s="108">
        <f t="shared" si="0"/>
        <v>54.718</v>
      </c>
    </row>
    <row r="11" spans="1:18" ht="12.75">
      <c r="A11" s="4" t="s">
        <v>14</v>
      </c>
      <c r="B11" s="105">
        <v>0</v>
      </c>
      <c r="C11" s="105">
        <v>0</v>
      </c>
      <c r="D11" s="105">
        <v>0</v>
      </c>
      <c r="E11" s="105">
        <v>0</v>
      </c>
      <c r="F11" s="105">
        <v>0</v>
      </c>
      <c r="G11" s="105">
        <v>0</v>
      </c>
      <c r="H11" s="105">
        <v>0.068</v>
      </c>
      <c r="I11" s="105"/>
      <c r="J11" s="105">
        <v>0</v>
      </c>
      <c r="K11" s="105"/>
      <c r="L11" s="105">
        <v>0</v>
      </c>
      <c r="M11" s="105"/>
      <c r="N11" s="105">
        <v>0</v>
      </c>
      <c r="O11" s="105">
        <v>0</v>
      </c>
      <c r="P11" s="105">
        <v>0</v>
      </c>
      <c r="Q11" s="108">
        <f t="shared" si="0"/>
        <v>0.068</v>
      </c>
      <c r="R11" s="23"/>
    </row>
    <row r="12" spans="1:17" ht="12.75">
      <c r="A12" s="109" t="s">
        <v>98</v>
      </c>
      <c r="B12" s="110">
        <f aca="true" t="shared" si="1" ref="B12:H12">SUM(B7:B11)</f>
        <v>9.578</v>
      </c>
      <c r="C12" s="110">
        <f t="shared" si="1"/>
        <v>10.164</v>
      </c>
      <c r="D12" s="110">
        <f t="shared" si="1"/>
        <v>44.39</v>
      </c>
      <c r="E12" s="110">
        <f t="shared" si="1"/>
        <v>20.455000000000002</v>
      </c>
      <c r="F12" s="110">
        <f t="shared" si="1"/>
        <v>88.251</v>
      </c>
      <c r="G12" s="110">
        <f t="shared" si="1"/>
        <v>46.984</v>
      </c>
      <c r="H12" s="110">
        <f t="shared" si="1"/>
        <v>7.196</v>
      </c>
      <c r="I12" s="110"/>
      <c r="J12" s="110">
        <f>SUM(J7:J11)</f>
        <v>29.489</v>
      </c>
      <c r="K12" s="110"/>
      <c r="L12" s="110">
        <f>SUM(L7:L11)</f>
        <v>27.666</v>
      </c>
      <c r="M12" s="110"/>
      <c r="N12" s="110">
        <f>SUM(N7:N11)</f>
        <v>36.86</v>
      </c>
      <c r="O12" s="110">
        <f>SUM(O7:O11)</f>
        <v>81.12</v>
      </c>
      <c r="P12" s="110">
        <f>SUM(P7:P11)</f>
        <v>-128.702</v>
      </c>
      <c r="Q12" s="111">
        <f t="shared" si="0"/>
        <v>273.451</v>
      </c>
    </row>
    <row r="13" spans="1:17" ht="12.75">
      <c r="A13" s="4"/>
      <c r="B13" s="105"/>
      <c r="C13" s="105"/>
      <c r="D13" s="105"/>
      <c r="E13" s="105"/>
      <c r="F13" s="105"/>
      <c r="G13" s="105"/>
      <c r="H13" s="105"/>
      <c r="I13" s="105"/>
      <c r="J13" s="105"/>
      <c r="K13" s="105"/>
      <c r="L13" s="105"/>
      <c r="M13" s="105"/>
      <c r="N13" s="105"/>
      <c r="O13" s="105"/>
      <c r="P13" s="105"/>
      <c r="Q13" s="108"/>
    </row>
    <row r="14" spans="1:17" ht="12.75">
      <c r="A14" s="104" t="s">
        <v>99</v>
      </c>
      <c r="B14" s="105"/>
      <c r="C14" s="105"/>
      <c r="D14" s="105"/>
      <c r="E14" s="105"/>
      <c r="F14" s="105"/>
      <c r="G14" s="105"/>
      <c r="H14" s="105"/>
      <c r="I14" s="105"/>
      <c r="J14" s="105"/>
      <c r="K14" s="105"/>
      <c r="L14" s="105"/>
      <c r="M14" s="105"/>
      <c r="N14" s="105"/>
      <c r="O14" s="105"/>
      <c r="P14" s="105"/>
      <c r="Q14" s="108"/>
    </row>
    <row r="15" spans="1:17" ht="12.75">
      <c r="A15" s="4" t="s">
        <v>100</v>
      </c>
      <c r="B15" s="105">
        <v>0</v>
      </c>
      <c r="C15" s="105">
        <v>0</v>
      </c>
      <c r="D15" s="105">
        <v>0</v>
      </c>
      <c r="E15" s="105">
        <v>0</v>
      </c>
      <c r="F15" s="105">
        <v>0</v>
      </c>
      <c r="G15" s="105">
        <v>0</v>
      </c>
      <c r="H15" s="105">
        <v>0</v>
      </c>
      <c r="I15" s="105"/>
      <c r="J15" s="105">
        <v>0</v>
      </c>
      <c r="K15" s="105"/>
      <c r="L15" s="105">
        <v>0</v>
      </c>
      <c r="M15" s="105"/>
      <c r="N15" s="105">
        <v>0</v>
      </c>
      <c r="O15" s="105">
        <v>0</v>
      </c>
      <c r="P15" s="105">
        <v>0</v>
      </c>
      <c r="Q15" s="108">
        <f>SUM(B15:P15)</f>
        <v>0</v>
      </c>
    </row>
    <row r="16" spans="1:17" ht="12.75">
      <c r="A16" s="109" t="s">
        <v>101</v>
      </c>
      <c r="B16" s="110">
        <f aca="true" t="shared" si="2" ref="B16:H16">SUM(B15:B15)</f>
        <v>0</v>
      </c>
      <c r="C16" s="110">
        <f t="shared" si="2"/>
        <v>0</v>
      </c>
      <c r="D16" s="110">
        <f t="shared" si="2"/>
        <v>0</v>
      </c>
      <c r="E16" s="110">
        <f t="shared" si="2"/>
        <v>0</v>
      </c>
      <c r="F16" s="110">
        <f t="shared" si="2"/>
        <v>0</v>
      </c>
      <c r="G16" s="110">
        <f t="shared" si="2"/>
        <v>0</v>
      </c>
      <c r="H16" s="110">
        <f t="shared" si="2"/>
        <v>0</v>
      </c>
      <c r="I16" s="110"/>
      <c r="J16" s="110">
        <f>SUM(J15:J15)</f>
        <v>0</v>
      </c>
      <c r="K16" s="110"/>
      <c r="L16" s="110">
        <f>SUM(L15:L15)</f>
        <v>0</v>
      </c>
      <c r="M16" s="110"/>
      <c r="N16" s="110">
        <f>SUM(N15:N15)</f>
        <v>0</v>
      </c>
      <c r="O16" s="110">
        <f>SUM(O15:O15)</f>
        <v>0</v>
      </c>
      <c r="P16" s="110">
        <f>SUM(P15:P15)</f>
        <v>0</v>
      </c>
      <c r="Q16" s="111">
        <f>SUM(B16:P16)</f>
        <v>0</v>
      </c>
    </row>
    <row r="17" spans="1:17" ht="12.75">
      <c r="A17" s="112"/>
      <c r="B17" s="106"/>
      <c r="C17" s="106"/>
      <c r="D17" s="106"/>
      <c r="E17" s="106"/>
      <c r="F17" s="106"/>
      <c r="G17" s="106"/>
      <c r="H17" s="106"/>
      <c r="I17" s="106"/>
      <c r="J17" s="106"/>
      <c r="K17" s="106"/>
      <c r="L17" s="106"/>
      <c r="M17" s="106"/>
      <c r="N17" s="106"/>
      <c r="O17" s="106"/>
      <c r="P17" s="106"/>
      <c r="Q17" s="113"/>
    </row>
    <row r="18" spans="1:17" ht="12.75">
      <c r="A18" s="104" t="s">
        <v>102</v>
      </c>
      <c r="B18" s="105" t="s">
        <v>13</v>
      </c>
      <c r="C18" s="105" t="s">
        <v>13</v>
      </c>
      <c r="D18" s="105" t="s">
        <v>13</v>
      </c>
      <c r="E18" s="105"/>
      <c r="F18" s="105" t="s">
        <v>13</v>
      </c>
      <c r="G18" s="102"/>
      <c r="H18" s="105" t="s">
        <v>13</v>
      </c>
      <c r="I18" s="105"/>
      <c r="J18" s="105" t="s">
        <v>13</v>
      </c>
      <c r="K18" s="105"/>
      <c r="L18" s="105" t="s">
        <v>13</v>
      </c>
      <c r="M18" s="105"/>
      <c r="N18" s="105" t="s">
        <v>13</v>
      </c>
      <c r="O18" s="105" t="s">
        <v>13</v>
      </c>
      <c r="P18" s="105" t="s">
        <v>13</v>
      </c>
      <c r="Q18" s="108" t="s">
        <v>13</v>
      </c>
    </row>
    <row r="19" spans="1:17" ht="12.75">
      <c r="A19" s="4" t="s">
        <v>103</v>
      </c>
      <c r="B19" s="106">
        <v>0</v>
      </c>
      <c r="C19" s="105">
        <v>0</v>
      </c>
      <c r="D19" s="105">
        <v>0</v>
      </c>
      <c r="E19" s="105">
        <v>0</v>
      </c>
      <c r="F19" s="105">
        <v>0</v>
      </c>
      <c r="G19" s="105">
        <v>0</v>
      </c>
      <c r="H19" s="106">
        <v>0</v>
      </c>
      <c r="I19" s="106"/>
      <c r="J19" s="107">
        <v>0</v>
      </c>
      <c r="K19" s="107"/>
      <c r="L19" s="114">
        <v>0</v>
      </c>
      <c r="M19" s="114"/>
      <c r="N19" s="107">
        <v>0</v>
      </c>
      <c r="O19" s="114">
        <v>0</v>
      </c>
      <c r="P19" s="107">
        <v>0</v>
      </c>
      <c r="Q19" s="108">
        <f>SUM(B19:P19)</f>
        <v>0</v>
      </c>
    </row>
    <row r="20" spans="1:17" ht="12.75">
      <c r="A20" s="115" t="s">
        <v>104</v>
      </c>
      <c r="B20" s="110">
        <f aca="true" t="shared" si="3" ref="B20:H20">SUM(B19:B19)</f>
        <v>0</v>
      </c>
      <c r="C20" s="110">
        <f t="shared" si="3"/>
        <v>0</v>
      </c>
      <c r="D20" s="110">
        <f t="shared" si="3"/>
        <v>0</v>
      </c>
      <c r="E20" s="110">
        <f t="shared" si="3"/>
        <v>0</v>
      </c>
      <c r="F20" s="110">
        <f t="shared" si="3"/>
        <v>0</v>
      </c>
      <c r="G20" s="110">
        <f t="shared" si="3"/>
        <v>0</v>
      </c>
      <c r="H20" s="110">
        <f t="shared" si="3"/>
        <v>0</v>
      </c>
      <c r="I20" s="110"/>
      <c r="J20" s="110">
        <f>SUM(J19:J19)</f>
        <v>0</v>
      </c>
      <c r="K20" s="110"/>
      <c r="L20" s="110">
        <f>SUM(L19:L19)</f>
        <v>0</v>
      </c>
      <c r="M20" s="110"/>
      <c r="N20" s="110">
        <f>SUM(N19:N19)</f>
        <v>0</v>
      </c>
      <c r="O20" s="110">
        <f>SUM(O19:O19)</f>
        <v>0</v>
      </c>
      <c r="P20" s="110">
        <f>SUM(P19:P19)</f>
        <v>0</v>
      </c>
      <c r="Q20" s="111">
        <f>SUM(B20:P20)</f>
        <v>0</v>
      </c>
    </row>
    <row r="21" spans="1:17" ht="12.75">
      <c r="A21" s="116"/>
      <c r="B21" s="106"/>
      <c r="C21" s="106"/>
      <c r="D21" s="106"/>
      <c r="E21" s="106"/>
      <c r="F21" s="106"/>
      <c r="G21" s="117"/>
      <c r="H21" s="106"/>
      <c r="I21" s="106"/>
      <c r="J21" s="117"/>
      <c r="K21" s="106"/>
      <c r="L21" s="106"/>
      <c r="M21" s="106"/>
      <c r="N21" s="106"/>
      <c r="O21" s="117"/>
      <c r="P21" s="106"/>
      <c r="Q21" s="113"/>
    </row>
    <row r="22" spans="1:17" ht="12.75">
      <c r="A22" s="118" t="s">
        <v>105</v>
      </c>
      <c r="B22" s="106"/>
      <c r="C22" s="106"/>
      <c r="D22" s="106"/>
      <c r="E22" s="106"/>
      <c r="F22" s="106"/>
      <c r="G22" s="106"/>
      <c r="H22" s="106"/>
      <c r="I22" s="106"/>
      <c r="J22" s="106"/>
      <c r="K22" s="106"/>
      <c r="L22" s="106"/>
      <c r="M22" s="106"/>
      <c r="N22" s="106"/>
      <c r="O22" s="106"/>
      <c r="P22" s="106"/>
      <c r="Q22" s="113"/>
    </row>
    <row r="23" spans="1:17" ht="12.75">
      <c r="A23" s="4" t="s">
        <v>106</v>
      </c>
      <c r="B23" s="114">
        <v>0</v>
      </c>
      <c r="C23" s="114">
        <v>0</v>
      </c>
      <c r="D23" s="114">
        <v>0</v>
      </c>
      <c r="E23" s="114">
        <v>0</v>
      </c>
      <c r="F23" s="114">
        <v>0</v>
      </c>
      <c r="G23" s="114">
        <v>0</v>
      </c>
      <c r="H23" s="114">
        <v>0</v>
      </c>
      <c r="I23" s="114"/>
      <c r="J23" s="114">
        <v>0</v>
      </c>
      <c r="K23" s="114"/>
      <c r="L23" s="114">
        <v>0</v>
      </c>
      <c r="M23" s="114"/>
      <c r="N23" s="114">
        <v>0</v>
      </c>
      <c r="O23" s="114">
        <v>0</v>
      </c>
      <c r="P23" s="114">
        <v>0</v>
      </c>
      <c r="Q23" s="113">
        <f>SUM(B23:P23)</f>
        <v>0</v>
      </c>
    </row>
    <row r="24" spans="1:17" ht="12.75">
      <c r="A24" s="4" t="s">
        <v>12</v>
      </c>
      <c r="B24" s="114">
        <v>0</v>
      </c>
      <c r="C24" s="114">
        <v>0</v>
      </c>
      <c r="D24" s="114">
        <v>0</v>
      </c>
      <c r="E24" s="114">
        <v>0</v>
      </c>
      <c r="F24" s="114">
        <v>0</v>
      </c>
      <c r="G24" s="114">
        <v>0</v>
      </c>
      <c r="H24" s="114">
        <v>0</v>
      </c>
      <c r="I24" s="114"/>
      <c r="J24" s="114">
        <v>0</v>
      </c>
      <c r="K24" s="114"/>
      <c r="L24" s="114">
        <v>0</v>
      </c>
      <c r="M24" s="114"/>
      <c r="N24" s="114">
        <v>0</v>
      </c>
      <c r="O24" s="114">
        <v>0</v>
      </c>
      <c r="P24" s="114">
        <v>0</v>
      </c>
      <c r="Q24" s="113">
        <f>SUM(B24:P24)</f>
        <v>0</v>
      </c>
    </row>
    <row r="25" spans="1:17" ht="12.75">
      <c r="A25" s="4" t="s">
        <v>28</v>
      </c>
      <c r="B25" s="114">
        <v>0</v>
      </c>
      <c r="C25" s="114">
        <v>0</v>
      </c>
      <c r="D25" s="114">
        <v>0</v>
      </c>
      <c r="E25" s="114">
        <v>0</v>
      </c>
      <c r="F25" s="114">
        <v>0</v>
      </c>
      <c r="G25" s="114">
        <v>0</v>
      </c>
      <c r="H25" s="114">
        <v>0</v>
      </c>
      <c r="I25" s="114"/>
      <c r="J25" s="114">
        <v>0</v>
      </c>
      <c r="K25" s="114"/>
      <c r="L25" s="114">
        <v>0</v>
      </c>
      <c r="M25" s="114"/>
      <c r="N25" s="114">
        <v>0</v>
      </c>
      <c r="O25" s="114">
        <v>0</v>
      </c>
      <c r="P25" s="114">
        <v>0</v>
      </c>
      <c r="Q25" s="113">
        <f>SUM(B25:P25)</f>
        <v>0</v>
      </c>
    </row>
    <row r="26" spans="1:17" ht="12.75">
      <c r="A26" s="4" t="s">
        <v>97</v>
      </c>
      <c r="B26" s="114">
        <v>0</v>
      </c>
      <c r="C26" s="114">
        <v>0</v>
      </c>
      <c r="D26" s="114">
        <v>0</v>
      </c>
      <c r="E26" s="114">
        <v>0</v>
      </c>
      <c r="F26" s="114">
        <v>0</v>
      </c>
      <c r="G26" s="114">
        <v>0</v>
      </c>
      <c r="H26" s="114">
        <v>0</v>
      </c>
      <c r="I26" s="114"/>
      <c r="J26" s="114">
        <v>0</v>
      </c>
      <c r="K26" s="114"/>
      <c r="L26" s="114">
        <v>0</v>
      </c>
      <c r="M26" s="114"/>
      <c r="N26" s="114">
        <v>0</v>
      </c>
      <c r="O26" s="114">
        <v>0</v>
      </c>
      <c r="P26" s="119">
        <v>0</v>
      </c>
      <c r="Q26" s="113">
        <f>SUM(B26:P26)</f>
        <v>0</v>
      </c>
    </row>
    <row r="27" spans="1:18" ht="12.75">
      <c r="A27" s="120" t="s">
        <v>107</v>
      </c>
      <c r="B27" s="110">
        <f aca="true" t="shared" si="4" ref="B27:H27">SUM(B23:B26)</f>
        <v>0</v>
      </c>
      <c r="C27" s="110">
        <f t="shared" si="4"/>
        <v>0</v>
      </c>
      <c r="D27" s="110">
        <f t="shared" si="4"/>
        <v>0</v>
      </c>
      <c r="E27" s="110">
        <f t="shared" si="4"/>
        <v>0</v>
      </c>
      <c r="F27" s="110">
        <f t="shared" si="4"/>
        <v>0</v>
      </c>
      <c r="G27" s="110">
        <f t="shared" si="4"/>
        <v>0</v>
      </c>
      <c r="H27" s="110">
        <f t="shared" si="4"/>
        <v>0</v>
      </c>
      <c r="I27" s="110"/>
      <c r="J27" s="110">
        <f>SUM(J22:J26)</f>
        <v>0</v>
      </c>
      <c r="K27" s="110"/>
      <c r="L27" s="110">
        <f>SUM(L23:L26)</f>
        <v>0</v>
      </c>
      <c r="M27" s="110"/>
      <c r="N27" s="110">
        <f>SUM(N23:N26)</f>
        <v>0</v>
      </c>
      <c r="O27" s="110">
        <f>SUM(O23:O26)</f>
        <v>0</v>
      </c>
      <c r="P27" s="110">
        <f>SUM(P23:P26)</f>
        <v>0</v>
      </c>
      <c r="Q27" s="111">
        <f>SUM(B27:P27)</f>
        <v>0</v>
      </c>
      <c r="R27" s="23"/>
    </row>
    <row r="28" spans="1:17" ht="9.75" customHeight="1">
      <c r="A28" s="121"/>
      <c r="B28" s="117"/>
      <c r="C28" s="117"/>
      <c r="D28" s="117"/>
      <c r="E28" s="117"/>
      <c r="F28" s="117"/>
      <c r="G28" s="117"/>
      <c r="H28" s="117"/>
      <c r="I28" s="117"/>
      <c r="J28" s="117"/>
      <c r="K28" s="110"/>
      <c r="L28" s="117"/>
      <c r="M28" s="110"/>
      <c r="N28" s="117"/>
      <c r="O28" s="117"/>
      <c r="P28" s="117"/>
      <c r="Q28" s="122"/>
    </row>
    <row r="29" spans="1:22" ht="15" customHeight="1">
      <c r="A29" s="123" t="s">
        <v>108</v>
      </c>
      <c r="B29" s="124">
        <v>0</v>
      </c>
      <c r="C29" s="124">
        <v>0</v>
      </c>
      <c r="D29" s="124">
        <v>0</v>
      </c>
      <c r="E29" s="124">
        <v>0</v>
      </c>
      <c r="F29" s="124">
        <v>0</v>
      </c>
      <c r="G29" s="124">
        <v>0</v>
      </c>
      <c r="H29" s="124">
        <v>0</v>
      </c>
      <c r="I29" s="125"/>
      <c r="J29" s="124">
        <v>0</v>
      </c>
      <c r="K29" s="126"/>
      <c r="L29" s="110">
        <v>0</v>
      </c>
      <c r="M29" s="126"/>
      <c r="N29" s="110">
        <v>0</v>
      </c>
      <c r="O29" s="127">
        <v>0</v>
      </c>
      <c r="P29" s="128">
        <v>0</v>
      </c>
      <c r="Q29" s="129">
        <f>SUM(B29:P29)</f>
        <v>0</v>
      </c>
      <c r="R29" s="114"/>
      <c r="S29" s="114"/>
      <c r="T29" s="114"/>
      <c r="U29" s="114"/>
      <c r="V29" s="130"/>
    </row>
    <row r="30" spans="1:18" ht="27.75" customHeight="1" thickBot="1">
      <c r="A30" s="131" t="s">
        <v>109</v>
      </c>
      <c r="B30" s="132">
        <f aca="true" t="shared" si="5" ref="B30:H30">B12+B16+B20+B27+B29</f>
        <v>9.578</v>
      </c>
      <c r="C30" s="132">
        <f t="shared" si="5"/>
        <v>10.164</v>
      </c>
      <c r="D30" s="132">
        <f t="shared" si="5"/>
        <v>44.39</v>
      </c>
      <c r="E30" s="132">
        <f t="shared" si="5"/>
        <v>20.455000000000002</v>
      </c>
      <c r="F30" s="132">
        <f t="shared" si="5"/>
        <v>88.251</v>
      </c>
      <c r="G30" s="132">
        <f t="shared" si="5"/>
        <v>46.984</v>
      </c>
      <c r="H30" s="132">
        <f t="shared" si="5"/>
        <v>7.196</v>
      </c>
      <c r="I30" s="132"/>
      <c r="J30" s="132">
        <f>J12+J16+J20+J27+J29</f>
        <v>29.489</v>
      </c>
      <c r="K30" s="132"/>
      <c r="L30" s="132">
        <f>L12+L16+L20+L27+L29</f>
        <v>27.666</v>
      </c>
      <c r="M30" s="132"/>
      <c r="N30" s="132">
        <f>N12+N16+N20+N27+N29</f>
        <v>36.86</v>
      </c>
      <c r="O30" s="132">
        <f>O12+O16+O20+O27+O29</f>
        <v>81.12</v>
      </c>
      <c r="P30" s="132">
        <f>P12+P16+P20+P27+P29</f>
        <v>-128.702</v>
      </c>
      <c r="Q30" s="133">
        <f>SUM(B30:P30)</f>
        <v>273.451</v>
      </c>
      <c r="R30" s="23"/>
    </row>
    <row r="31" spans="1:17" ht="11.25" customHeight="1">
      <c r="A31" s="134"/>
      <c r="B31" s="135"/>
      <c r="C31" s="135"/>
      <c r="D31" s="135"/>
      <c r="E31" s="135"/>
      <c r="F31" s="135"/>
      <c r="G31" s="135"/>
      <c r="H31" s="135"/>
      <c r="I31" s="135"/>
      <c r="J31" s="135"/>
      <c r="K31" s="135"/>
      <c r="L31" s="135"/>
      <c r="M31" s="135"/>
      <c r="N31" s="135"/>
      <c r="O31" s="135"/>
      <c r="P31" s="135"/>
      <c r="Q31" s="135"/>
    </row>
    <row r="32" spans="1:17" ht="11.25" customHeight="1">
      <c r="A32" s="136"/>
      <c r="B32" s="3"/>
      <c r="C32" s="3"/>
      <c r="D32" s="3"/>
      <c r="E32" s="3"/>
      <c r="F32" s="3"/>
      <c r="G32" s="3"/>
      <c r="H32" s="3"/>
      <c r="I32" s="3"/>
      <c r="J32" s="3"/>
      <c r="K32" s="3"/>
      <c r="L32" s="3"/>
      <c r="M32" s="3"/>
      <c r="N32" s="3"/>
      <c r="O32" s="3"/>
      <c r="P32" s="3"/>
      <c r="Q32" s="3"/>
    </row>
    <row r="33" spans="1:17" ht="11.25" customHeight="1">
      <c r="A33" s="428" t="s">
        <v>110</v>
      </c>
      <c r="B33" s="428"/>
      <c r="C33" s="428"/>
      <c r="D33" s="428"/>
      <c r="E33" s="428"/>
      <c r="F33" s="428"/>
      <c r="G33" s="428"/>
      <c r="H33" s="428"/>
      <c r="I33" s="428"/>
      <c r="J33" s="428"/>
      <c r="K33" s="428"/>
      <c r="L33" s="428"/>
      <c r="M33" s="428"/>
      <c r="N33" s="428"/>
      <c r="O33" s="428"/>
      <c r="P33" s="428"/>
      <c r="Q33" s="428"/>
    </row>
    <row r="34" ht="12.75">
      <c r="A34" s="62"/>
    </row>
    <row r="36" ht="12.75">
      <c r="H36" s="23"/>
    </row>
  </sheetData>
  <sheetProtection/>
  <mergeCells count="1">
    <mergeCell ref="A33:Q33"/>
  </mergeCells>
  <printOptions horizontalCentered="1" verticalCentered="1"/>
  <pageMargins left="0.25" right="0.25" top="0.75" bottom="0.5" header="0.3" footer="0.5"/>
  <pageSetup fitToHeight="1" fitToWidth="1" horizontalDpi="600" verticalDpi="600" orientation="landscape" scale="69" r:id="rId1"/>
  <headerFooter alignWithMargins="0">
    <oddHeader>&amp;C&amp;"Arial,Bold"SDGE GRC Programs
2010 
$000
&amp;"Arial,Regular"
</oddHeader>
    <oddFooter>&amp;L&amp;F&amp;R&amp;D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Edison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 Configuration</dc:creator>
  <cp:keywords/>
  <dc:description/>
  <cp:lastModifiedBy>CPUC1</cp:lastModifiedBy>
  <cp:lastPrinted>2011-01-14T21:07:58Z</cp:lastPrinted>
  <dcterms:created xsi:type="dcterms:W3CDTF">2001-06-12T23:12:10Z</dcterms:created>
  <dcterms:modified xsi:type="dcterms:W3CDTF">2011-03-04T19:48:33Z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