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 yWindow="75" windowWidth="17310" windowHeight="11520" tabRatio="888"/>
  </bookViews>
  <sheets>
    <sheet name="Program MW -ExPost&amp;ExAnte" sheetId="53" r:id="rId1"/>
    <sheet name="LI (ExPost &amp; ExAnte)" sheetId="54" r:id="rId2"/>
    <sheet name="TA-TI Distribution" sheetId="39" r:id="rId3"/>
    <sheet name="DRP Expenditures" sheetId="55" r:id="rId4"/>
    <sheet name="Fund Shift Log" sheetId="49" r:id="rId5"/>
    <sheet name="DRPBA Costs Tbl 1-2B Carryover" sheetId="56" r:id="rId6"/>
    <sheet name="Event Summary" sheetId="58" r:id="rId7"/>
    <sheet name="Bal Acct Info Costs-Incentives" sheetId="46" r:id="rId8"/>
  </sheets>
  <externalReferences>
    <externalReference r:id="rId9"/>
  </externalReferences>
  <definedNames>
    <definedName name="___DAT1" localSheetId="3">#REF!</definedName>
    <definedName name="___DAT1" localSheetId="5">#REF!</definedName>
    <definedName name="___DAT1" localSheetId="6">#REF!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6" hidden="1">'Event Summary'!$A$1:$J$252</definedName>
    <definedName name="Achieve_GRC" localSheetId="1">#REF!</definedName>
    <definedName name="Achieve_GRC" localSheetId="0">#REF!</definedName>
    <definedName name="Achieve_GRC">#REF!</definedName>
    <definedName name="Achieve_Service_Excellenc" localSheetId="1">#REF!</definedName>
    <definedName name="Achieve_Service_Excellenc" localSheetId="0">#REF!</definedName>
    <definedName name="Achieve_Service_Excellenc">#REF!</definedName>
    <definedName name="Achieve_Service_Excellence" localSheetId="1">#REF!</definedName>
    <definedName name="Achieve_Service_Excellence" localSheetId="0">#REF!</definedName>
    <definedName name="Achieve_Service_Excellence">#REF!</definedName>
    <definedName name="Collect_Revenue" localSheetId="1">#REF!</definedName>
    <definedName name="Collect_Revenue" localSheetId="0">#REF!</definedName>
    <definedName name="Collect_Revenue">#REF!</definedName>
    <definedName name="DATA1" localSheetId="1">#REF!</definedName>
    <definedName name="DATA1" localSheetId="0">#REF!</definedName>
    <definedName name="DATA1">#REF!</definedName>
    <definedName name="DATA10" localSheetId="1">#REF!</definedName>
    <definedName name="DATA10" localSheetId="0">#REF!</definedName>
    <definedName name="DATA10">#REF!</definedName>
    <definedName name="DATA11" localSheetId="1">#REF!</definedName>
    <definedName name="DATA11" localSheetId="0">#REF!</definedName>
    <definedName name="DATA11">#REF!</definedName>
    <definedName name="DATA12" localSheetId="1">#REF!</definedName>
    <definedName name="DATA12" localSheetId="0">#REF!</definedName>
    <definedName name="DATA12">#REF!</definedName>
    <definedName name="DATA13" localSheetId="1">#REF!</definedName>
    <definedName name="DATA13" localSheetId="0">#REF!</definedName>
    <definedName name="DATA13">#REF!</definedName>
    <definedName name="DATA14" localSheetId="1">#REF!</definedName>
    <definedName name="DATA14" localSheetId="0">#REF!</definedName>
    <definedName name="DATA14">#REF!</definedName>
    <definedName name="DATA15" localSheetId="1">#REF!</definedName>
    <definedName name="DATA15" localSheetId="0">#REF!</definedName>
    <definedName name="DATA15">#REF!</definedName>
    <definedName name="DATA16" localSheetId="1">#REF!</definedName>
    <definedName name="DATA16" localSheetId="0">#REF!</definedName>
    <definedName name="DATA16">#REF!</definedName>
    <definedName name="DATA17" localSheetId="1">#REF!</definedName>
    <definedName name="DATA17" localSheetId="0">#REF!</definedName>
    <definedName name="DATA17">#REF!</definedName>
    <definedName name="DATA18" localSheetId="1">#REF!</definedName>
    <definedName name="DATA18" localSheetId="0">#REF!</definedName>
    <definedName name="DATA18">#REF!</definedName>
    <definedName name="DATA19" localSheetId="1">#REF!</definedName>
    <definedName name="DATA19" localSheetId="0">#REF!</definedName>
    <definedName name="DATA19">#REF!</definedName>
    <definedName name="DATA2" localSheetId="1">#REF!</definedName>
    <definedName name="DATA2" localSheetId="0">#REF!</definedName>
    <definedName name="DATA2">#REF!</definedName>
    <definedName name="DATA20" localSheetId="1">#REF!</definedName>
    <definedName name="DATA20" localSheetId="0">#REF!</definedName>
    <definedName name="DATA20">#REF!</definedName>
    <definedName name="DATA3" localSheetId="1">#REF!</definedName>
    <definedName name="DATA3" localSheetId="0">#REF!</definedName>
    <definedName name="DATA3">#REF!</definedName>
    <definedName name="DATA4" localSheetId="1">#REF!</definedName>
    <definedName name="DATA4" localSheetId="0">#REF!</definedName>
    <definedName name="DATA4">#REF!</definedName>
    <definedName name="DATA5" localSheetId="1">#REF!</definedName>
    <definedName name="DATA5" localSheetId="0">#REF!</definedName>
    <definedName name="DATA5">#REF!</definedName>
    <definedName name="data5000">'[1]ACTMA Detail'!$N$2:$N$102</definedName>
    <definedName name="DATA6" localSheetId="1">#REF!</definedName>
    <definedName name="DATA6" localSheetId="0">#REF!</definedName>
    <definedName name="DATA6">#REF!</definedName>
    <definedName name="DATA7" localSheetId="1">#REF!</definedName>
    <definedName name="DATA7" localSheetId="0">#REF!</definedName>
    <definedName name="DATA7">#REF!</definedName>
    <definedName name="DATA8" localSheetId="1">#REF!</definedName>
    <definedName name="DATA8" localSheetId="0">#REF!</definedName>
    <definedName name="DATA8">#REF!</definedName>
    <definedName name="DATA9" localSheetId="1">#REF!</definedName>
    <definedName name="DATA9" localSheetId="0">#REF!</definedName>
    <definedName name="DATA9">#REF!</definedName>
    <definedName name="Enhance_Delivery_Channels" localSheetId="1">#REF!</definedName>
    <definedName name="Enhance_Delivery_Channels" localSheetId="0">#REF!</definedName>
    <definedName name="Enhance_Delivery_Channels">#REF!</definedName>
    <definedName name="Ethics_and_Compliance" localSheetId="1">#REF!</definedName>
    <definedName name="Ethics_and_Compliance" localSheetId="0">#REF!</definedName>
    <definedName name="Ethics_and_Compliance">#REF!</definedName>
    <definedName name="Launch_Refine_Market" localSheetId="1">#REF!</definedName>
    <definedName name="Launch_Refine_Market" localSheetId="0">#REF!</definedName>
    <definedName name="Launch_Refine_Market">#REF!</definedName>
    <definedName name="Manage_AMI" localSheetId="1">#REF!</definedName>
    <definedName name="Manage_AMI" localSheetId="0">#REF!</definedName>
    <definedName name="Manage_AMI">#REF!</definedName>
    <definedName name="Meet_Financial_Targets" localSheetId="1">#REF!</definedName>
    <definedName name="Meet_Financial_Targets" localSheetId="0">#REF!</definedName>
    <definedName name="Meet_Financial_Targets">#REF!</definedName>
    <definedName name="nnnnnn">'[1]ACTMA Detail'!$P$2:$P$102</definedName>
    <definedName name="_xlnm.Print_Area" localSheetId="7">'Bal Acct Info Costs-Incentives'!$A$1:$N$30</definedName>
    <definedName name="_xlnm.Print_Area" localSheetId="3">'DRP Expenditures'!$A$1:$U$90</definedName>
    <definedName name="_xlnm.Print_Area" localSheetId="4">'Fund Shift Log'!$A$1:$E$27</definedName>
    <definedName name="_xlnm.Print_Area" localSheetId="1">'LI (ExPost &amp; ExAnte)'!$A$1:$O$46</definedName>
    <definedName name="_xlnm.Print_Area" localSheetId="0">'Program MW -ExPost&amp;ExAnte'!$A$1:$T$67</definedName>
    <definedName name="_xlnm.Print_Area" localSheetId="2">'TA-TI Distribution'!$A$1:$Y$70</definedName>
    <definedName name="_xlnm.Print_Titles" localSheetId="6">'Event Summary'!$3:$3</definedName>
    <definedName name="Reliability_Expectations" localSheetId="1">#REF!</definedName>
    <definedName name="Reliability_Expectations" localSheetId="0">#REF!</definedName>
    <definedName name="Reliability_Expectations">#REF!</definedName>
    <definedName name="Stabilization_Customer_Base" localSheetId="1">#REF!</definedName>
    <definedName name="Stabilization_Customer_Base" localSheetId="0">#REF!</definedName>
    <definedName name="Stabilization_Customer_Base">#REF!</definedName>
    <definedName name="TEST0" localSheetId="1">#REF!</definedName>
    <definedName name="TEST0" localSheetId="0">#REF!</definedName>
    <definedName name="TEST0">#REF!</definedName>
    <definedName name="TEST1" localSheetId="1">#REF!</definedName>
    <definedName name="TEST1" localSheetId="0">#REF!</definedName>
    <definedName name="TEST1">#REF!</definedName>
    <definedName name="TEST10" localSheetId="1">#REF!</definedName>
    <definedName name="TEST10" localSheetId="0">#REF!</definedName>
    <definedName name="TEST10">#REF!</definedName>
    <definedName name="TEST11" localSheetId="1">#REF!</definedName>
    <definedName name="TEST11" localSheetId="0">#REF!</definedName>
    <definedName name="TEST11">#REF!</definedName>
    <definedName name="TEST12" localSheetId="1">#REF!</definedName>
    <definedName name="TEST12" localSheetId="0">#REF!</definedName>
    <definedName name="TEST12">#REF!</definedName>
    <definedName name="TEST13" localSheetId="1">#REF!</definedName>
    <definedName name="TEST13" localSheetId="0">#REF!</definedName>
    <definedName name="TEST13">#REF!</definedName>
    <definedName name="TEST14" localSheetId="1">#REF!</definedName>
    <definedName name="TEST14" localSheetId="0">#REF!</definedName>
    <definedName name="TEST14">#REF!</definedName>
    <definedName name="TEST15" localSheetId="1">#REF!</definedName>
    <definedName name="TEST15" localSheetId="0">#REF!</definedName>
    <definedName name="TEST15">#REF!</definedName>
    <definedName name="TEST16" localSheetId="1">#REF!</definedName>
    <definedName name="TEST16" localSheetId="0">#REF!</definedName>
    <definedName name="TEST16">#REF!</definedName>
    <definedName name="TEST17" localSheetId="1">#REF!</definedName>
    <definedName name="TEST17" localSheetId="0">#REF!</definedName>
    <definedName name="TEST17">#REF!</definedName>
    <definedName name="TEST18" localSheetId="1">#REF!</definedName>
    <definedName name="TEST18" localSheetId="0">#REF!</definedName>
    <definedName name="TEST18">#REF!</definedName>
    <definedName name="TEST19" localSheetId="1">#REF!</definedName>
    <definedName name="TEST19" localSheetId="0">#REF!</definedName>
    <definedName name="TEST19">#REF!</definedName>
    <definedName name="TEST2" localSheetId="1">#REF!</definedName>
    <definedName name="TEST2" localSheetId="0">#REF!</definedName>
    <definedName name="TEST2">#REF!</definedName>
    <definedName name="TEST20" localSheetId="1">#REF!</definedName>
    <definedName name="TEST20" localSheetId="0">#REF!</definedName>
    <definedName name="TEST20">#REF!</definedName>
    <definedName name="TEST21" localSheetId="1">#REF!</definedName>
    <definedName name="TEST21" localSheetId="0">#REF!</definedName>
    <definedName name="TEST21">#REF!</definedName>
    <definedName name="TEST22" localSheetId="1">#REF!</definedName>
    <definedName name="TEST22" localSheetId="0">#REF!</definedName>
    <definedName name="TEST22">#REF!</definedName>
    <definedName name="TEST23" localSheetId="1">#REF!</definedName>
    <definedName name="TEST23" localSheetId="0">#REF!</definedName>
    <definedName name="TEST23">#REF!</definedName>
    <definedName name="TEST24" localSheetId="1">#REF!</definedName>
    <definedName name="TEST24" localSheetId="0">#REF!</definedName>
    <definedName name="TEST24">#REF!</definedName>
    <definedName name="TEST25" localSheetId="1">#REF!</definedName>
    <definedName name="TEST25" localSheetId="0">#REF!</definedName>
    <definedName name="TEST25">#REF!</definedName>
    <definedName name="TEST26" localSheetId="1">#REF!</definedName>
    <definedName name="TEST26" localSheetId="0">#REF!</definedName>
    <definedName name="TEST26">#REF!</definedName>
    <definedName name="TEST27" localSheetId="1">#REF!</definedName>
    <definedName name="TEST27" localSheetId="0">#REF!</definedName>
    <definedName name="TEST27">#REF!</definedName>
    <definedName name="TEST28" localSheetId="1">#REF!</definedName>
    <definedName name="TEST28" localSheetId="0">#REF!</definedName>
    <definedName name="TEST28">#REF!</definedName>
    <definedName name="TEST3" localSheetId="1">#REF!</definedName>
    <definedName name="TEST3" localSheetId="0">#REF!</definedName>
    <definedName name="TEST3">#REF!</definedName>
    <definedName name="TEST4" localSheetId="1">#REF!</definedName>
    <definedName name="TEST4" localSheetId="0">#REF!</definedName>
    <definedName name="TEST4">#REF!</definedName>
    <definedName name="TEST5" localSheetId="1">#REF!</definedName>
    <definedName name="TEST5" localSheetId="0">#REF!</definedName>
    <definedName name="TEST5">#REF!</definedName>
    <definedName name="TEST6" localSheetId="1">#REF!</definedName>
    <definedName name="TEST6" localSheetId="0">#REF!</definedName>
    <definedName name="TEST6">#REF!</definedName>
    <definedName name="TEST7" localSheetId="1">#REF!</definedName>
    <definedName name="TEST7" localSheetId="0">#REF!</definedName>
    <definedName name="TEST7">#REF!</definedName>
    <definedName name="TEST8" localSheetId="1">#REF!</definedName>
    <definedName name="TEST8" localSheetId="0">#REF!</definedName>
    <definedName name="TEST8">#REF!</definedName>
    <definedName name="TEST9" localSheetId="1">#REF!</definedName>
    <definedName name="TEST9" localSheetId="0">#REF!</definedName>
    <definedName name="TEST9">#REF!</definedName>
    <definedName name="TESTHKEY" localSheetId="1">#REF!</definedName>
    <definedName name="TESTHKEY" localSheetId="0">#REF!</definedName>
    <definedName name="TESTHKEY">#REF!</definedName>
    <definedName name="TESTKEYS" localSheetId="1">#REF!</definedName>
    <definedName name="TESTKEYS" localSheetId="0">#REF!</definedName>
    <definedName name="TESTKEYS">#REF!</definedName>
    <definedName name="TESTVKEY" localSheetId="1">#REF!</definedName>
    <definedName name="TESTVKEY" localSheetId="0">#REF!</definedName>
    <definedName name="TESTVKEY">#REF!</definedName>
    <definedName name="Valued_Service_Provider" localSheetId="1">#REF!</definedName>
    <definedName name="Valued_Service_Provider" localSheetId="0">#REF!</definedName>
    <definedName name="Valued_Service_Provider">#REF!</definedName>
    <definedName name="Voice_of_Customer" localSheetId="1">#REF!</definedName>
    <definedName name="Voice_of_Customer" localSheetId="0">#REF!</definedName>
    <definedName name="Voice_of_Customer">#REF!</definedName>
  </definedNames>
  <calcPr calcId="145621"/>
</workbook>
</file>

<file path=xl/calcChain.xml><?xml version="1.0" encoding="utf-8"?>
<calcChain xmlns="http://schemas.openxmlformats.org/spreadsheetml/2006/main">
  <c r="S9" i="55" l="1"/>
  <c r="M9" i="55" l="1"/>
  <c r="N9" i="55" l="1"/>
  <c r="P56" i="39" l="1"/>
  <c r="P58" i="39" s="1"/>
  <c r="P49" i="39"/>
  <c r="P51" i="39" s="1"/>
  <c r="O49" i="39"/>
  <c r="Q47" i="39"/>
  <c r="Q46" i="39"/>
  <c r="Q45" i="39"/>
  <c r="Q50" i="39" s="1"/>
  <c r="Q44" i="39"/>
  <c r="Q49" i="39" s="1"/>
  <c r="P41" i="39"/>
  <c r="O41" i="39"/>
  <c r="O51" i="39" s="1"/>
  <c r="Q39" i="39"/>
  <c r="Q38" i="39"/>
  <c r="Q37" i="39"/>
  <c r="Q36" i="39"/>
  <c r="Q35" i="39"/>
  <c r="Q34" i="39"/>
  <c r="Q41" i="39" s="1"/>
  <c r="Q51" i="39" s="1"/>
  <c r="M49" i="53" l="1"/>
  <c r="L49" i="53" l="1"/>
  <c r="L48" i="53"/>
  <c r="L47" i="53"/>
  <c r="L46" i="53"/>
  <c r="L45" i="53"/>
  <c r="M44" i="53"/>
  <c r="L44" i="53"/>
  <c r="L43" i="53"/>
  <c r="L39" i="53"/>
  <c r="L40" i="53"/>
  <c r="M40" i="53"/>
  <c r="M39" i="53"/>
  <c r="M38" i="53"/>
  <c r="M37" i="53"/>
  <c r="M36" i="53"/>
  <c r="M35" i="53"/>
  <c r="L33" i="53"/>
  <c r="L34" i="53"/>
  <c r="L35" i="53"/>
  <c r="M34" i="53"/>
  <c r="M33" i="53"/>
  <c r="M13" i="55" l="1"/>
  <c r="N13" i="55"/>
  <c r="G34" i="53" l="1"/>
  <c r="J43" i="53"/>
  <c r="J40" i="53"/>
  <c r="J39" i="53"/>
  <c r="J37" i="53"/>
  <c r="J36" i="53"/>
  <c r="J38" i="53"/>
  <c r="J35" i="53"/>
  <c r="J34" i="53"/>
  <c r="J33" i="53"/>
  <c r="I33" i="53" l="1"/>
  <c r="G49" i="53" l="1"/>
  <c r="G48" i="53"/>
  <c r="G47" i="53"/>
  <c r="G46" i="53"/>
  <c r="G45" i="53"/>
  <c r="G44" i="53"/>
  <c r="G43" i="53"/>
  <c r="G40" i="53"/>
  <c r="G39" i="53"/>
  <c r="G37" i="53"/>
  <c r="G35" i="53"/>
  <c r="G33" i="53"/>
  <c r="F49" i="53"/>
  <c r="F48" i="53"/>
  <c r="F47" i="53"/>
  <c r="F46" i="53"/>
  <c r="F45" i="53"/>
  <c r="F44" i="53"/>
  <c r="F43" i="53"/>
  <c r="F40" i="53"/>
  <c r="F39" i="53"/>
  <c r="F37" i="53"/>
  <c r="F35" i="53"/>
  <c r="F34" i="53"/>
  <c r="F33" i="53"/>
  <c r="D49" i="53" l="1"/>
  <c r="D48" i="53"/>
  <c r="D47" i="53"/>
  <c r="D46" i="53"/>
  <c r="D45" i="53"/>
  <c r="D44" i="53"/>
  <c r="D43" i="53"/>
  <c r="D40" i="53"/>
  <c r="D39" i="53"/>
  <c r="D37" i="53"/>
  <c r="D35" i="53"/>
  <c r="D34" i="53"/>
  <c r="D33" i="53"/>
  <c r="C49" i="53"/>
  <c r="C48" i="53"/>
  <c r="C47" i="53"/>
  <c r="C46" i="53"/>
  <c r="C45" i="53"/>
  <c r="C44" i="53"/>
  <c r="C43" i="53"/>
  <c r="C40" i="53"/>
  <c r="C39" i="53"/>
  <c r="C37" i="53"/>
  <c r="C35" i="53"/>
  <c r="C34" i="53"/>
  <c r="C33" i="53"/>
  <c r="S66" i="55"/>
  <c r="T73" i="55"/>
  <c r="S73" i="55" s="1"/>
  <c r="N27" i="39" l="1"/>
  <c r="R24" i="53" l="1"/>
  <c r="S24" i="53"/>
  <c r="S23" i="53"/>
  <c r="S22" i="53"/>
  <c r="S21" i="53"/>
  <c r="S20" i="53"/>
  <c r="S19" i="53"/>
  <c r="S18" i="53"/>
  <c r="S15" i="53"/>
  <c r="S14" i="53"/>
  <c r="S12" i="53"/>
  <c r="S10" i="53"/>
  <c r="S9" i="53"/>
  <c r="S8" i="53"/>
  <c r="R23" i="53"/>
  <c r="R22" i="53"/>
  <c r="R21" i="53"/>
  <c r="R20" i="53"/>
  <c r="R19" i="53"/>
  <c r="R18" i="53"/>
  <c r="R15" i="53"/>
  <c r="R14" i="53"/>
  <c r="R12" i="53"/>
  <c r="R10" i="53"/>
  <c r="R9" i="53"/>
  <c r="R8" i="53"/>
  <c r="N26" i="53" l="1"/>
  <c r="N16" i="53"/>
  <c r="P24" i="53" l="1"/>
  <c r="P23" i="53"/>
  <c r="P22" i="53"/>
  <c r="P21" i="53"/>
  <c r="P20" i="53"/>
  <c r="P19" i="53"/>
  <c r="P18" i="53"/>
  <c r="P8" i="53"/>
  <c r="P15" i="53"/>
  <c r="P14" i="53"/>
  <c r="P12" i="53"/>
  <c r="P10" i="53"/>
  <c r="P9" i="53"/>
  <c r="O24" i="53"/>
  <c r="O23" i="53"/>
  <c r="O22" i="53"/>
  <c r="O21" i="53"/>
  <c r="O20" i="53"/>
  <c r="O19" i="53"/>
  <c r="O18" i="53"/>
  <c r="O15" i="53"/>
  <c r="O14" i="53"/>
  <c r="O10" i="53"/>
  <c r="O9" i="53"/>
  <c r="O8" i="53"/>
  <c r="O16" i="53" s="1"/>
  <c r="U7" i="39"/>
  <c r="O26" i="53" l="1"/>
  <c r="P26" i="53"/>
  <c r="T71" i="55"/>
  <c r="S71" i="55" l="1"/>
  <c r="S70" i="55"/>
  <c r="S69" i="55"/>
  <c r="S67" i="55"/>
  <c r="S46" i="56"/>
  <c r="P46" i="56"/>
  <c r="O46" i="56"/>
  <c r="N46" i="56"/>
  <c r="M46" i="56"/>
  <c r="L46" i="56"/>
  <c r="K46" i="56"/>
  <c r="J46" i="56"/>
  <c r="I46" i="56"/>
  <c r="H46" i="56"/>
  <c r="G46" i="56"/>
  <c r="F46" i="56"/>
  <c r="E46" i="56"/>
  <c r="C46" i="56"/>
  <c r="B46" i="56"/>
  <c r="Q45" i="56"/>
  <c r="Q46" i="56" s="1"/>
  <c r="D45" i="56"/>
  <c r="R45" i="56" s="1"/>
  <c r="R46" i="56" s="1"/>
  <c r="S42" i="56"/>
  <c r="P42" i="56"/>
  <c r="O42" i="56"/>
  <c r="N42" i="56"/>
  <c r="M42" i="56"/>
  <c r="L42" i="56"/>
  <c r="K42" i="56"/>
  <c r="J42" i="56"/>
  <c r="I42" i="56"/>
  <c r="H42" i="56"/>
  <c r="G42" i="56"/>
  <c r="F42" i="56"/>
  <c r="E42" i="56"/>
  <c r="C42" i="56"/>
  <c r="B42" i="56"/>
  <c r="Q41" i="56"/>
  <c r="D41" i="56"/>
  <c r="Q40" i="56"/>
  <c r="D40" i="56"/>
  <c r="Q39" i="56"/>
  <c r="D39" i="56"/>
  <c r="Q38" i="56"/>
  <c r="Q42" i="56" s="1"/>
  <c r="D38" i="56"/>
  <c r="D42" i="56" s="1"/>
  <c r="P35" i="56"/>
  <c r="O35" i="56"/>
  <c r="N35" i="56"/>
  <c r="M35" i="56"/>
  <c r="L35" i="56"/>
  <c r="K35" i="56"/>
  <c r="J35" i="56"/>
  <c r="I35" i="56"/>
  <c r="H35" i="56"/>
  <c r="G35" i="56"/>
  <c r="F35" i="56"/>
  <c r="E35" i="56"/>
  <c r="C35" i="56"/>
  <c r="B35" i="56"/>
  <c r="Q34" i="56"/>
  <c r="D34" i="56"/>
  <c r="S33" i="56"/>
  <c r="S35" i="56" s="1"/>
  <c r="Q33" i="56"/>
  <c r="D33" i="56"/>
  <c r="R33" i="56" s="1"/>
  <c r="Q32" i="56"/>
  <c r="D32" i="56"/>
  <c r="D35" i="56" s="1"/>
  <c r="P29" i="56"/>
  <c r="O29" i="56"/>
  <c r="O47" i="56" s="1"/>
  <c r="N29" i="56"/>
  <c r="M29" i="56"/>
  <c r="M47" i="56" s="1"/>
  <c r="L29" i="56"/>
  <c r="K29" i="56"/>
  <c r="K47" i="56" s="1"/>
  <c r="J29" i="56"/>
  <c r="J47" i="56" s="1"/>
  <c r="I29" i="56"/>
  <c r="I47" i="56" s="1"/>
  <c r="H29" i="56"/>
  <c r="H47" i="56" s="1"/>
  <c r="G29" i="56"/>
  <c r="G47" i="56" s="1"/>
  <c r="F29" i="56"/>
  <c r="F47" i="56" s="1"/>
  <c r="E29" i="56"/>
  <c r="E47" i="56" s="1"/>
  <c r="C29" i="56"/>
  <c r="C47" i="56" s="1"/>
  <c r="B29" i="56"/>
  <c r="B47" i="56" s="1"/>
  <c r="Q28" i="56"/>
  <c r="D28" i="56"/>
  <c r="R28" i="56" s="1"/>
  <c r="Q27" i="56"/>
  <c r="D27" i="56"/>
  <c r="R27" i="56" s="1"/>
  <c r="Q26" i="56"/>
  <c r="D26" i="56"/>
  <c r="R26" i="56" s="1"/>
  <c r="Q25" i="56"/>
  <c r="D25" i="56"/>
  <c r="R25" i="56" s="1"/>
  <c r="Q24" i="56"/>
  <c r="D24" i="56"/>
  <c r="S23" i="56"/>
  <c r="Q23" i="56"/>
  <c r="D23" i="56"/>
  <c r="Q22" i="56"/>
  <c r="D22" i="56"/>
  <c r="Q21" i="56"/>
  <c r="D21" i="56"/>
  <c r="Q20" i="56"/>
  <c r="D20" i="56"/>
  <c r="Q19" i="56"/>
  <c r="D19" i="56"/>
  <c r="Q18" i="56"/>
  <c r="D18" i="56"/>
  <c r="Q17" i="56"/>
  <c r="D17" i="56"/>
  <c r="S16" i="56"/>
  <c r="Q16" i="56"/>
  <c r="D16" i="56"/>
  <c r="Q15" i="56"/>
  <c r="D15" i="56"/>
  <c r="R15" i="56" s="1"/>
  <c r="Q14" i="56"/>
  <c r="D14" i="56"/>
  <c r="R14" i="56" s="1"/>
  <c r="S13" i="56"/>
  <c r="Q13" i="56"/>
  <c r="D13" i="56"/>
  <c r="Q12" i="56"/>
  <c r="D12" i="56"/>
  <c r="S11" i="56"/>
  <c r="S29" i="56" s="1"/>
  <c r="S47" i="56" s="1"/>
  <c r="Q11" i="56"/>
  <c r="D11" i="56"/>
  <c r="R11" i="56" s="1"/>
  <c r="Q10" i="56"/>
  <c r="D10" i="56"/>
  <c r="R10" i="56" s="1"/>
  <c r="Q9" i="56"/>
  <c r="D9" i="56"/>
  <c r="R9" i="56" s="1"/>
  <c r="Q8" i="56"/>
  <c r="D8" i="56"/>
  <c r="R8" i="56" s="1"/>
  <c r="Q7" i="56"/>
  <c r="D7" i="56"/>
  <c r="D29" i="56" s="1"/>
  <c r="Q76" i="55"/>
  <c r="D76" i="55"/>
  <c r="P74" i="55"/>
  <c r="O74" i="55"/>
  <c r="N74" i="55"/>
  <c r="M74" i="55"/>
  <c r="L74" i="55"/>
  <c r="K74" i="55"/>
  <c r="J74" i="55"/>
  <c r="I74" i="55"/>
  <c r="H74" i="55"/>
  <c r="G74" i="55"/>
  <c r="F74" i="55"/>
  <c r="E74" i="55"/>
  <c r="C74" i="55"/>
  <c r="B74" i="55"/>
  <c r="Q73" i="55"/>
  <c r="D73" i="55"/>
  <c r="Q72" i="55"/>
  <c r="D72" i="55"/>
  <c r="Q71" i="55"/>
  <c r="D71" i="55"/>
  <c r="R71" i="55" s="1"/>
  <c r="U71" i="55" s="1"/>
  <c r="Q70" i="55"/>
  <c r="D70" i="55"/>
  <c r="Q69" i="55"/>
  <c r="D69" i="55"/>
  <c r="Q68" i="55"/>
  <c r="D68" i="55"/>
  <c r="Q67" i="55"/>
  <c r="D67" i="55"/>
  <c r="Q66" i="55"/>
  <c r="D66" i="55"/>
  <c r="D74" i="55" s="1"/>
  <c r="S63" i="55"/>
  <c r="P63" i="55"/>
  <c r="O63" i="55"/>
  <c r="N63" i="55"/>
  <c r="M63" i="55"/>
  <c r="L63" i="55"/>
  <c r="K63" i="55"/>
  <c r="J63" i="55"/>
  <c r="I63" i="55"/>
  <c r="H63" i="55"/>
  <c r="G63" i="55"/>
  <c r="F63" i="55"/>
  <c r="E63" i="55"/>
  <c r="C63" i="55"/>
  <c r="B63" i="55"/>
  <c r="Q62" i="55"/>
  <c r="D62" i="55"/>
  <c r="Q61" i="55"/>
  <c r="D61" i="55"/>
  <c r="Q60" i="55"/>
  <c r="D60" i="55"/>
  <c r="Q59" i="55"/>
  <c r="D59" i="55"/>
  <c r="Q58" i="55"/>
  <c r="D58" i="55"/>
  <c r="Q57" i="55"/>
  <c r="D57" i="55"/>
  <c r="Q56" i="55"/>
  <c r="D56" i="55"/>
  <c r="P53" i="55"/>
  <c r="O53" i="55"/>
  <c r="N53" i="55"/>
  <c r="M53" i="55"/>
  <c r="L53" i="55"/>
  <c r="K53" i="55"/>
  <c r="J53" i="55"/>
  <c r="I53" i="55"/>
  <c r="H53" i="55"/>
  <c r="G53" i="55"/>
  <c r="F53" i="55"/>
  <c r="E53" i="55"/>
  <c r="C53" i="55"/>
  <c r="B53" i="55"/>
  <c r="S52" i="55"/>
  <c r="Q52" i="55"/>
  <c r="D52" i="55"/>
  <c r="S51" i="55"/>
  <c r="Q51" i="55"/>
  <c r="D51" i="55"/>
  <c r="Q50" i="55"/>
  <c r="D50" i="55"/>
  <c r="S47" i="55"/>
  <c r="P47" i="55"/>
  <c r="O47" i="55"/>
  <c r="N47" i="55"/>
  <c r="M47" i="55"/>
  <c r="L47" i="55"/>
  <c r="K47" i="55"/>
  <c r="J47" i="55"/>
  <c r="I47" i="55"/>
  <c r="H47" i="55"/>
  <c r="G47" i="55"/>
  <c r="F47" i="55"/>
  <c r="E47" i="55"/>
  <c r="C47" i="55"/>
  <c r="B47" i="55"/>
  <c r="Q46" i="55"/>
  <c r="Q47" i="55" s="1"/>
  <c r="D46" i="55"/>
  <c r="D47" i="55" s="1"/>
  <c r="S43" i="55"/>
  <c r="P43" i="55"/>
  <c r="O43" i="55"/>
  <c r="N43" i="55"/>
  <c r="M43" i="55"/>
  <c r="L43" i="55"/>
  <c r="K43" i="55"/>
  <c r="J43" i="55"/>
  <c r="I43" i="55"/>
  <c r="H43" i="55"/>
  <c r="G43" i="55"/>
  <c r="F43" i="55"/>
  <c r="E43" i="55"/>
  <c r="C43" i="55"/>
  <c r="B43" i="55"/>
  <c r="Q42" i="55"/>
  <c r="Q43" i="55" s="1"/>
  <c r="D42" i="55"/>
  <c r="D43" i="55" s="1"/>
  <c r="S39" i="55"/>
  <c r="P39" i="55"/>
  <c r="O39" i="55"/>
  <c r="N39" i="55"/>
  <c r="M39" i="55"/>
  <c r="L39" i="55"/>
  <c r="K39" i="55"/>
  <c r="J39" i="55"/>
  <c r="I39" i="55"/>
  <c r="H39" i="55"/>
  <c r="G39" i="55"/>
  <c r="F39" i="55"/>
  <c r="E39" i="55"/>
  <c r="C39" i="55"/>
  <c r="B39" i="55"/>
  <c r="Q38" i="55"/>
  <c r="D38" i="55"/>
  <c r="R38" i="55" s="1"/>
  <c r="U38" i="55" s="1"/>
  <c r="Q37" i="55"/>
  <c r="D37" i="55"/>
  <c r="R37" i="55" s="1"/>
  <c r="U37" i="55" s="1"/>
  <c r="Q36" i="55"/>
  <c r="Q39" i="55" s="1"/>
  <c r="D36" i="55"/>
  <c r="D39" i="55" s="1"/>
  <c r="S33" i="55"/>
  <c r="P33" i="55"/>
  <c r="O33" i="55"/>
  <c r="N33" i="55"/>
  <c r="M33" i="55"/>
  <c r="L33" i="55"/>
  <c r="K33" i="55"/>
  <c r="J33" i="55"/>
  <c r="I33" i="55"/>
  <c r="H33" i="55"/>
  <c r="G33" i="55"/>
  <c r="F33" i="55"/>
  <c r="E33" i="55"/>
  <c r="C33" i="55"/>
  <c r="B33" i="55"/>
  <c r="Q32" i="55"/>
  <c r="D32" i="55"/>
  <c r="Q31" i="55"/>
  <c r="D31" i="55"/>
  <c r="Q30" i="55"/>
  <c r="D30" i="55"/>
  <c r="Q29" i="55"/>
  <c r="D29" i="55"/>
  <c r="Q28" i="55"/>
  <c r="D28" i="55"/>
  <c r="D33" i="55" s="1"/>
  <c r="S25" i="55"/>
  <c r="P25" i="55"/>
  <c r="O25" i="55"/>
  <c r="N25" i="55"/>
  <c r="M25" i="55"/>
  <c r="L25" i="55"/>
  <c r="K25" i="55"/>
  <c r="J25" i="55"/>
  <c r="I25" i="55"/>
  <c r="H25" i="55"/>
  <c r="G25" i="55"/>
  <c r="F25" i="55"/>
  <c r="E25" i="55"/>
  <c r="C25" i="55"/>
  <c r="B25" i="55"/>
  <c r="Q24" i="55"/>
  <c r="Q25" i="55" s="1"/>
  <c r="D24" i="55"/>
  <c r="D25" i="55" s="1"/>
  <c r="P21" i="55"/>
  <c r="O21" i="55"/>
  <c r="N21" i="55"/>
  <c r="M21" i="55"/>
  <c r="L21" i="55"/>
  <c r="K21" i="55"/>
  <c r="J21" i="55"/>
  <c r="I21" i="55"/>
  <c r="H21" i="55"/>
  <c r="G21" i="55"/>
  <c r="F21" i="55"/>
  <c r="E21" i="55"/>
  <c r="C21" i="55"/>
  <c r="B21" i="55"/>
  <c r="S20" i="55"/>
  <c r="Q20" i="55"/>
  <c r="D20" i="55"/>
  <c r="S19" i="55"/>
  <c r="Q19" i="55"/>
  <c r="D19" i="55"/>
  <c r="S18" i="55"/>
  <c r="Q18" i="55"/>
  <c r="D18" i="55"/>
  <c r="S17" i="55"/>
  <c r="Q17" i="55"/>
  <c r="D17" i="55"/>
  <c r="S16" i="55"/>
  <c r="S21" i="55" s="1"/>
  <c r="Q16" i="55"/>
  <c r="D16" i="55"/>
  <c r="S13" i="55"/>
  <c r="P13" i="55"/>
  <c r="P78" i="55" s="1"/>
  <c r="O13" i="55"/>
  <c r="O78" i="55" s="1"/>
  <c r="M78" i="55"/>
  <c r="L13" i="55"/>
  <c r="K13" i="55"/>
  <c r="K78" i="55" s="1"/>
  <c r="J13" i="55"/>
  <c r="I13" i="55"/>
  <c r="H13" i="55"/>
  <c r="H78" i="55" s="1"/>
  <c r="G13" i="55"/>
  <c r="G78" i="55" s="1"/>
  <c r="F13" i="55"/>
  <c r="F78" i="55" s="1"/>
  <c r="E13" i="55"/>
  <c r="E78" i="55" s="1"/>
  <c r="C13" i="55"/>
  <c r="B13" i="55"/>
  <c r="Q12" i="55"/>
  <c r="D12" i="55"/>
  <c r="Q11" i="55"/>
  <c r="D11" i="55"/>
  <c r="Q10" i="55"/>
  <c r="D10" i="55"/>
  <c r="Q9" i="55"/>
  <c r="D9" i="55"/>
  <c r="Q8" i="55"/>
  <c r="D8" i="55"/>
  <c r="Q7" i="55"/>
  <c r="D7" i="55"/>
  <c r="D13" i="55" s="1"/>
  <c r="Q13" i="55" l="1"/>
  <c r="R24" i="56"/>
  <c r="N78" i="55"/>
  <c r="D53" i="55"/>
  <c r="R51" i="55"/>
  <c r="U51" i="55" s="1"/>
  <c r="S53" i="55"/>
  <c r="R62" i="55"/>
  <c r="R12" i="56"/>
  <c r="R13" i="56"/>
  <c r="R17" i="56"/>
  <c r="R19" i="56"/>
  <c r="R20" i="56"/>
  <c r="R21" i="56"/>
  <c r="R22" i="56"/>
  <c r="L47" i="56"/>
  <c r="N47" i="56"/>
  <c r="P47" i="56"/>
  <c r="Q35" i="56"/>
  <c r="R34" i="56"/>
  <c r="R39" i="56"/>
  <c r="R40" i="56"/>
  <c r="R41" i="56"/>
  <c r="S74" i="55"/>
  <c r="C78" i="55"/>
  <c r="B78" i="55"/>
  <c r="L78" i="55"/>
  <c r="R67" i="55"/>
  <c r="U67" i="55" s="1"/>
  <c r="Q33" i="55"/>
  <c r="Q21" i="55"/>
  <c r="R20" i="55"/>
  <c r="U20" i="55" s="1"/>
  <c r="R16" i="55"/>
  <c r="U16" i="55" s="1"/>
  <c r="Q63" i="55"/>
  <c r="R16" i="56"/>
  <c r="R56" i="55"/>
  <c r="U56" i="55" s="1"/>
  <c r="R57" i="55"/>
  <c r="U57" i="55" s="1"/>
  <c r="R59" i="55"/>
  <c r="U59" i="55" s="1"/>
  <c r="R60" i="55"/>
  <c r="U60" i="55" s="1"/>
  <c r="R61" i="55"/>
  <c r="U61" i="55" s="1"/>
  <c r="J78" i="55"/>
  <c r="R29" i="55"/>
  <c r="U29" i="55" s="1"/>
  <c r="R30" i="55"/>
  <c r="U30" i="55" s="1"/>
  <c r="R31" i="55"/>
  <c r="U31" i="55" s="1"/>
  <c r="R32" i="55"/>
  <c r="U32" i="55" s="1"/>
  <c r="R17" i="55"/>
  <c r="U17" i="55" s="1"/>
  <c r="R19" i="55"/>
  <c r="U19" i="55" s="1"/>
  <c r="R9" i="55"/>
  <c r="U9" i="55" s="1"/>
  <c r="R11" i="55"/>
  <c r="U11" i="55" s="1"/>
  <c r="R12" i="55"/>
  <c r="U12" i="55" s="1"/>
  <c r="R8" i="55"/>
  <c r="U8" i="55" s="1"/>
  <c r="R76" i="55"/>
  <c r="R73" i="55"/>
  <c r="U73" i="55" s="1"/>
  <c r="Q74" i="55"/>
  <c r="R72" i="55"/>
  <c r="U72" i="55" s="1"/>
  <c r="R70" i="55"/>
  <c r="U70" i="55" s="1"/>
  <c r="R69" i="55"/>
  <c r="U69" i="55" s="1"/>
  <c r="R68" i="55"/>
  <c r="U68" i="55" s="1"/>
  <c r="R58" i="55"/>
  <c r="U58" i="55" s="1"/>
  <c r="Q53" i="55"/>
  <c r="R52" i="55"/>
  <c r="U52" i="55" s="1"/>
  <c r="I78" i="55"/>
  <c r="R18" i="55"/>
  <c r="U18" i="55" s="1"/>
  <c r="R10" i="55"/>
  <c r="U10" i="55" s="1"/>
  <c r="R23" i="56"/>
  <c r="Q29" i="56"/>
  <c r="Q47" i="56" s="1"/>
  <c r="R18" i="56"/>
  <c r="D47" i="56"/>
  <c r="D46" i="56"/>
  <c r="R7" i="56"/>
  <c r="R32" i="56"/>
  <c r="R35" i="56" s="1"/>
  <c r="R38" i="56"/>
  <c r="R42" i="56" s="1"/>
  <c r="S78" i="55"/>
  <c r="R7" i="55"/>
  <c r="D21" i="55"/>
  <c r="D78" i="55" s="1"/>
  <c r="R28" i="55"/>
  <c r="R42" i="55"/>
  <c r="R50" i="55"/>
  <c r="D63" i="55"/>
  <c r="R24" i="55"/>
  <c r="R36" i="55"/>
  <c r="R46" i="55"/>
  <c r="R66" i="55"/>
  <c r="Q78" i="55" l="1"/>
  <c r="R63" i="55"/>
  <c r="U63" i="55" s="1"/>
  <c r="R21" i="55"/>
  <c r="U21" i="55" s="1"/>
  <c r="R29" i="56"/>
  <c r="R47" i="56" s="1"/>
  <c r="R47" i="55"/>
  <c r="U47" i="55" s="1"/>
  <c r="U46" i="55"/>
  <c r="R25" i="55"/>
  <c r="U25" i="55" s="1"/>
  <c r="U24" i="55"/>
  <c r="U50" i="55"/>
  <c r="R53" i="55"/>
  <c r="U53" i="55" s="1"/>
  <c r="U28" i="55"/>
  <c r="R33" i="55"/>
  <c r="U33" i="55" s="1"/>
  <c r="U7" i="55"/>
  <c r="R13" i="55"/>
  <c r="R74" i="55"/>
  <c r="U74" i="55" s="1"/>
  <c r="U66" i="55"/>
  <c r="R39" i="55"/>
  <c r="U39" i="55" s="1"/>
  <c r="U36" i="55"/>
  <c r="U42" i="55"/>
  <c r="R43" i="55"/>
  <c r="U43" i="55" s="1"/>
  <c r="R78" i="55" l="1"/>
  <c r="U78" i="55" s="1"/>
  <c r="U13" i="55"/>
  <c r="L24" i="53" l="1"/>
  <c r="L23" i="53"/>
  <c r="L22" i="53"/>
  <c r="L21" i="53"/>
  <c r="L20" i="53"/>
  <c r="L19" i="53"/>
  <c r="L18" i="53"/>
  <c r="L15" i="53"/>
  <c r="L14" i="53"/>
  <c r="L13" i="53"/>
  <c r="L12" i="53"/>
  <c r="L11" i="53"/>
  <c r="L10" i="53"/>
  <c r="L9" i="53"/>
  <c r="L8" i="53"/>
  <c r="M24" i="53"/>
  <c r="M23" i="53"/>
  <c r="M22" i="53"/>
  <c r="M21" i="53"/>
  <c r="M20" i="53"/>
  <c r="M19" i="53"/>
  <c r="M18" i="53"/>
  <c r="M15" i="53"/>
  <c r="M14" i="53"/>
  <c r="M12" i="53"/>
  <c r="M10" i="53"/>
  <c r="M9" i="53"/>
  <c r="M8" i="53"/>
  <c r="C8" i="54" l="1"/>
  <c r="D8" i="54"/>
  <c r="E8" i="54"/>
  <c r="F8" i="54"/>
  <c r="G8" i="54"/>
  <c r="H8" i="54"/>
  <c r="I8" i="54"/>
  <c r="J8" i="54"/>
  <c r="K8" i="54"/>
  <c r="L8" i="54"/>
  <c r="M8" i="54"/>
  <c r="B8" i="54"/>
  <c r="J29" i="54"/>
  <c r="I29" i="54"/>
  <c r="H29" i="54"/>
  <c r="G29" i="54"/>
  <c r="C38" i="53" l="1"/>
  <c r="C36" i="53"/>
  <c r="G38" i="53"/>
  <c r="G36" i="53"/>
  <c r="S13" i="53"/>
  <c r="S11" i="53"/>
  <c r="M11" i="53"/>
  <c r="M13" i="53"/>
  <c r="R11" i="53"/>
  <c r="R13" i="53"/>
  <c r="F38" i="53"/>
  <c r="F36" i="53"/>
  <c r="D38" i="53"/>
  <c r="D36" i="53"/>
  <c r="P13" i="53"/>
  <c r="P11" i="53"/>
  <c r="M6" i="39"/>
  <c r="M7" i="39"/>
  <c r="M8" i="39"/>
  <c r="M9" i="39"/>
  <c r="M10" i="39"/>
  <c r="M5" i="39"/>
  <c r="I5" i="39"/>
  <c r="P16" i="53" l="1"/>
  <c r="J24" i="53"/>
  <c r="J23" i="53"/>
  <c r="J22" i="53"/>
  <c r="J21" i="53"/>
  <c r="J20" i="53"/>
  <c r="J19" i="53"/>
  <c r="J18" i="53"/>
  <c r="J15" i="53"/>
  <c r="J14" i="53"/>
  <c r="J12" i="53"/>
  <c r="J10" i="53"/>
  <c r="J9" i="53"/>
  <c r="J8" i="53"/>
  <c r="I24" i="53"/>
  <c r="I23" i="53"/>
  <c r="I22" i="53"/>
  <c r="I21" i="53"/>
  <c r="I20" i="53"/>
  <c r="I19" i="53"/>
  <c r="I18" i="53"/>
  <c r="I15" i="53"/>
  <c r="I14" i="53"/>
  <c r="I12" i="53"/>
  <c r="I10" i="53"/>
  <c r="I9" i="53"/>
  <c r="I8" i="53"/>
  <c r="G12" i="53" l="1"/>
  <c r="G10" i="53"/>
  <c r="D12" i="53"/>
  <c r="D10" i="53"/>
  <c r="F8" i="53"/>
  <c r="D13" i="53" l="1"/>
  <c r="D11" i="53"/>
  <c r="G13" i="53"/>
  <c r="G11" i="53"/>
  <c r="J13" i="53"/>
  <c r="J11" i="53"/>
  <c r="I13" i="53" l="1"/>
  <c r="I11" i="53"/>
  <c r="G24" i="53" l="1"/>
  <c r="G23" i="53"/>
  <c r="G22" i="53"/>
  <c r="G21" i="53"/>
  <c r="G20" i="53"/>
  <c r="G19" i="53"/>
  <c r="G18" i="53"/>
  <c r="G15" i="53"/>
  <c r="G14" i="53"/>
  <c r="G9" i="53"/>
  <c r="G8" i="53"/>
  <c r="F24" i="53"/>
  <c r="F23" i="53"/>
  <c r="F22" i="53"/>
  <c r="F21" i="53"/>
  <c r="F20" i="53"/>
  <c r="F19" i="53"/>
  <c r="F18" i="53"/>
  <c r="F15" i="53"/>
  <c r="F14" i="53"/>
  <c r="F13" i="53"/>
  <c r="F12" i="53"/>
  <c r="F11" i="53"/>
  <c r="F10" i="53"/>
  <c r="F9" i="53"/>
  <c r="Q51" i="53"/>
  <c r="N51" i="53"/>
  <c r="K51" i="53"/>
  <c r="H51" i="53"/>
  <c r="G51" i="53"/>
  <c r="F51" i="53"/>
  <c r="E51" i="53"/>
  <c r="D51" i="53"/>
  <c r="C51" i="53"/>
  <c r="B51" i="53"/>
  <c r="S49" i="53"/>
  <c r="R49" i="53"/>
  <c r="P49" i="53"/>
  <c r="O49" i="53"/>
  <c r="J49" i="53"/>
  <c r="I49" i="53"/>
  <c r="S48" i="53"/>
  <c r="R48" i="53"/>
  <c r="P48" i="53"/>
  <c r="O48" i="53"/>
  <c r="M48" i="53"/>
  <c r="J48" i="53"/>
  <c r="I48" i="53"/>
  <c r="S47" i="53"/>
  <c r="R47" i="53"/>
  <c r="P47" i="53"/>
  <c r="O47" i="53"/>
  <c r="M47" i="53"/>
  <c r="J47" i="53"/>
  <c r="I47" i="53"/>
  <c r="S46" i="53"/>
  <c r="R46" i="53"/>
  <c r="P46" i="53"/>
  <c r="O46" i="53"/>
  <c r="M46" i="53"/>
  <c r="J46" i="53"/>
  <c r="I46" i="53"/>
  <c r="S45" i="53"/>
  <c r="R45" i="53"/>
  <c r="P45" i="53"/>
  <c r="O45" i="53"/>
  <c r="M45" i="53"/>
  <c r="J45" i="53"/>
  <c r="I45" i="53"/>
  <c r="S44" i="53"/>
  <c r="R44" i="53"/>
  <c r="P44" i="53"/>
  <c r="O44" i="53"/>
  <c r="J44" i="53"/>
  <c r="I44" i="53"/>
  <c r="S43" i="53"/>
  <c r="S51" i="53" s="1"/>
  <c r="R43" i="53"/>
  <c r="P43" i="53"/>
  <c r="P51" i="53" s="1"/>
  <c r="O43" i="53"/>
  <c r="M43" i="53"/>
  <c r="M51" i="53" s="1"/>
  <c r="J51" i="53"/>
  <c r="I43" i="53"/>
  <c r="S41" i="53"/>
  <c r="Q41" i="53"/>
  <c r="Q52" i="53" s="1"/>
  <c r="P41" i="53"/>
  <c r="N41" i="53"/>
  <c r="N52" i="53" s="1"/>
  <c r="M41" i="53"/>
  <c r="K41" i="53"/>
  <c r="K52" i="53" s="1"/>
  <c r="J41" i="53"/>
  <c r="H41" i="53"/>
  <c r="H52" i="53" s="1"/>
  <c r="G41" i="53"/>
  <c r="G52" i="53" s="1"/>
  <c r="F41" i="53"/>
  <c r="F52" i="53" s="1"/>
  <c r="E41" i="53"/>
  <c r="E52" i="53" s="1"/>
  <c r="D41" i="53"/>
  <c r="D52" i="53" s="1"/>
  <c r="C41" i="53"/>
  <c r="C52" i="53" s="1"/>
  <c r="B41" i="53"/>
  <c r="B52" i="53" s="1"/>
  <c r="R40" i="53"/>
  <c r="O40" i="53"/>
  <c r="I40" i="53"/>
  <c r="R39" i="53"/>
  <c r="O39" i="53"/>
  <c r="I39" i="53"/>
  <c r="R38" i="53"/>
  <c r="O38" i="53"/>
  <c r="L38" i="53"/>
  <c r="I38" i="53"/>
  <c r="R37" i="53"/>
  <c r="O37" i="53"/>
  <c r="L37" i="53"/>
  <c r="I37" i="53"/>
  <c r="R36" i="53"/>
  <c r="O36" i="53"/>
  <c r="L36" i="53"/>
  <c r="I36" i="53"/>
  <c r="R35" i="53"/>
  <c r="O35" i="53"/>
  <c r="I35" i="53"/>
  <c r="R34" i="53"/>
  <c r="O34" i="53"/>
  <c r="I34" i="53"/>
  <c r="R33" i="53"/>
  <c r="O33" i="53"/>
  <c r="S26" i="53"/>
  <c r="R26" i="53"/>
  <c r="Q26" i="53"/>
  <c r="M26" i="53"/>
  <c r="L26" i="53"/>
  <c r="K26" i="53"/>
  <c r="J26" i="53"/>
  <c r="I26" i="53"/>
  <c r="H26" i="53"/>
  <c r="E26" i="53"/>
  <c r="B26" i="53"/>
  <c r="D24" i="53"/>
  <c r="C24" i="53"/>
  <c r="D23" i="53"/>
  <c r="C23" i="53"/>
  <c r="D22" i="53"/>
  <c r="C22" i="53"/>
  <c r="D21" i="53"/>
  <c r="C21" i="53"/>
  <c r="D20" i="53"/>
  <c r="C20" i="53"/>
  <c r="D19" i="53"/>
  <c r="C19" i="53"/>
  <c r="D18" i="53"/>
  <c r="C18" i="53"/>
  <c r="S16" i="53"/>
  <c r="R16" i="53"/>
  <c r="R27" i="53" s="1"/>
  <c r="Q16" i="53"/>
  <c r="P27" i="53"/>
  <c r="O27" i="53"/>
  <c r="N27" i="53"/>
  <c r="M16" i="53"/>
  <c r="M27" i="53" s="1"/>
  <c r="L16" i="53"/>
  <c r="L27" i="53" s="1"/>
  <c r="K16" i="53"/>
  <c r="K27" i="53" s="1"/>
  <c r="J16" i="53"/>
  <c r="I16" i="53"/>
  <c r="H16" i="53"/>
  <c r="E16" i="53"/>
  <c r="B16" i="53"/>
  <c r="B27" i="53" s="1"/>
  <c r="D15" i="53"/>
  <c r="C15" i="53"/>
  <c r="D14" i="53"/>
  <c r="C14" i="53"/>
  <c r="C13" i="53"/>
  <c r="C12" i="53"/>
  <c r="C11" i="53"/>
  <c r="C10" i="53"/>
  <c r="D9" i="53"/>
  <c r="C9" i="53"/>
  <c r="D8" i="53"/>
  <c r="C8" i="53"/>
  <c r="L51" i="53" l="1"/>
  <c r="S27" i="53"/>
  <c r="Q27" i="53"/>
  <c r="D16" i="53"/>
  <c r="O41" i="53"/>
  <c r="D26" i="53"/>
  <c r="J27" i="53"/>
  <c r="I27" i="53"/>
  <c r="H27" i="53"/>
  <c r="S52" i="53"/>
  <c r="P52" i="53"/>
  <c r="M52" i="53"/>
  <c r="J52" i="53"/>
  <c r="I51" i="53"/>
  <c r="C26" i="53"/>
  <c r="R51" i="53"/>
  <c r="O51" i="53"/>
  <c r="R41" i="53"/>
  <c r="L41" i="53"/>
  <c r="L52" i="53" s="1"/>
  <c r="I41" i="53"/>
  <c r="G26" i="53"/>
  <c r="G16" i="53"/>
  <c r="F26" i="53"/>
  <c r="F16" i="53"/>
  <c r="E27" i="53"/>
  <c r="C16" i="53"/>
  <c r="B11" i="49"/>
  <c r="B12" i="49"/>
  <c r="B13" i="49"/>
  <c r="N8" i="46"/>
  <c r="N9" i="46"/>
  <c r="N10" i="46"/>
  <c r="N11" i="46"/>
  <c r="N12" i="46"/>
  <c r="N13" i="46"/>
  <c r="N14" i="46"/>
  <c r="B15" i="46"/>
  <c r="C15" i="46"/>
  <c r="D15" i="46"/>
  <c r="E15" i="46"/>
  <c r="F15" i="46"/>
  <c r="G15" i="46"/>
  <c r="H15" i="46"/>
  <c r="I15" i="46"/>
  <c r="J15" i="46"/>
  <c r="K15" i="46"/>
  <c r="L15" i="46"/>
  <c r="M15" i="46"/>
  <c r="N19" i="46"/>
  <c r="E5" i="39"/>
  <c r="Q5" i="39"/>
  <c r="U5" i="39"/>
  <c r="Y5" i="39"/>
  <c r="E6" i="39"/>
  <c r="I6" i="39"/>
  <c r="Q6" i="39"/>
  <c r="Q12" i="39" s="1"/>
  <c r="U6" i="39"/>
  <c r="Y6" i="39"/>
  <c r="E7" i="39"/>
  <c r="I7" i="39"/>
  <c r="I12" i="39" s="1"/>
  <c r="I22" i="39" s="1"/>
  <c r="Q7" i="39"/>
  <c r="Y7" i="39"/>
  <c r="E8" i="39"/>
  <c r="I8" i="39"/>
  <c r="Q8" i="39"/>
  <c r="U8" i="39"/>
  <c r="Y8" i="39"/>
  <c r="E9" i="39"/>
  <c r="I9" i="39"/>
  <c r="Q9" i="39"/>
  <c r="U9" i="39"/>
  <c r="Y9" i="39"/>
  <c r="Y12" i="39" s="1"/>
  <c r="E10" i="39"/>
  <c r="I10" i="39"/>
  <c r="Q10" i="39"/>
  <c r="U10" i="39"/>
  <c r="Y10" i="39"/>
  <c r="C12" i="39"/>
  <c r="D12" i="39"/>
  <c r="E12" i="39"/>
  <c r="G12" i="39"/>
  <c r="H12" i="39"/>
  <c r="K12" i="39"/>
  <c r="L12" i="39"/>
  <c r="M12" i="39"/>
  <c r="O12" i="39"/>
  <c r="P12" i="39"/>
  <c r="S12" i="39"/>
  <c r="T12" i="39"/>
  <c r="W12" i="39"/>
  <c r="W22" i="39" s="1"/>
  <c r="X12" i="39"/>
  <c r="E15" i="39"/>
  <c r="I15" i="39"/>
  <c r="M15" i="39"/>
  <c r="Q15" i="39"/>
  <c r="U15" i="39"/>
  <c r="Y15" i="39"/>
  <c r="E16" i="39"/>
  <c r="I16" i="39"/>
  <c r="M16" i="39"/>
  <c r="Q16" i="39"/>
  <c r="U16" i="39"/>
  <c r="Y16" i="39"/>
  <c r="E17" i="39"/>
  <c r="I17" i="39"/>
  <c r="M17" i="39"/>
  <c r="Q17" i="39"/>
  <c r="U17" i="39"/>
  <c r="Y17" i="39"/>
  <c r="E18" i="39"/>
  <c r="I18" i="39"/>
  <c r="M18" i="39"/>
  <c r="Q18" i="39"/>
  <c r="U18" i="39"/>
  <c r="Y18" i="39"/>
  <c r="C20" i="39"/>
  <c r="D20" i="39"/>
  <c r="E20" i="39"/>
  <c r="G20" i="39"/>
  <c r="H20" i="39"/>
  <c r="I20" i="39"/>
  <c r="K20" i="39"/>
  <c r="L20" i="39"/>
  <c r="M20" i="39"/>
  <c r="O20" i="39"/>
  <c r="P20" i="39"/>
  <c r="Q20" i="39"/>
  <c r="S20" i="39"/>
  <c r="T20" i="39"/>
  <c r="T22" i="39" s="1"/>
  <c r="U20" i="39"/>
  <c r="W20" i="39"/>
  <c r="X20" i="39"/>
  <c r="Y20" i="39"/>
  <c r="M21" i="39"/>
  <c r="Q21" i="39"/>
  <c r="U21" i="39"/>
  <c r="Y21" i="39"/>
  <c r="C22" i="39"/>
  <c r="D22" i="39"/>
  <c r="E22" i="39"/>
  <c r="G22" i="39"/>
  <c r="H22" i="39"/>
  <c r="K22" i="39"/>
  <c r="L22" i="39"/>
  <c r="M22" i="39"/>
  <c r="O22" i="39"/>
  <c r="P22" i="39"/>
  <c r="B27" i="39"/>
  <c r="F27" i="39"/>
  <c r="J27" i="39"/>
  <c r="N29" i="39"/>
  <c r="R27" i="39"/>
  <c r="V27" i="39"/>
  <c r="V29" i="39" s="1"/>
  <c r="B29" i="39"/>
  <c r="F29" i="39"/>
  <c r="J29" i="39"/>
  <c r="R29" i="39"/>
  <c r="E34" i="39"/>
  <c r="I34" i="39"/>
  <c r="M34" i="39"/>
  <c r="U34" i="39"/>
  <c r="Y34" i="39"/>
  <c r="Y41" i="39" s="1"/>
  <c r="Y51" i="39" s="1"/>
  <c r="E35" i="39"/>
  <c r="I35" i="39"/>
  <c r="M35" i="39"/>
  <c r="M41" i="39" s="1"/>
  <c r="U35" i="39"/>
  <c r="Y35" i="39"/>
  <c r="E36" i="39"/>
  <c r="I36" i="39"/>
  <c r="M36" i="39"/>
  <c r="U36" i="39"/>
  <c r="Y36" i="39"/>
  <c r="E37" i="39"/>
  <c r="I37" i="39"/>
  <c r="M37" i="39"/>
  <c r="U37" i="39"/>
  <c r="Y37" i="39"/>
  <c r="E38" i="39"/>
  <c r="I38" i="39"/>
  <c r="M38" i="39"/>
  <c r="U38" i="39"/>
  <c r="Y38" i="39"/>
  <c r="E39" i="39"/>
  <c r="I39" i="39"/>
  <c r="M39" i="39"/>
  <c r="U39" i="39"/>
  <c r="Y39" i="39"/>
  <c r="C41" i="39"/>
  <c r="D41" i="39"/>
  <c r="E41" i="39"/>
  <c r="G41" i="39"/>
  <c r="H41" i="39"/>
  <c r="K41" i="39"/>
  <c r="L41" i="39"/>
  <c r="S41" i="39"/>
  <c r="T41" i="39"/>
  <c r="U41" i="39"/>
  <c r="W41" i="39"/>
  <c r="X41" i="39"/>
  <c r="E44" i="39"/>
  <c r="I44" i="39"/>
  <c r="M44" i="39"/>
  <c r="U44" i="39"/>
  <c r="Y44" i="39"/>
  <c r="E45" i="39"/>
  <c r="I45" i="39"/>
  <c r="M45" i="39"/>
  <c r="U45" i="39"/>
  <c r="Y45" i="39"/>
  <c r="E46" i="39"/>
  <c r="I46" i="39"/>
  <c r="M46" i="39"/>
  <c r="U46" i="39"/>
  <c r="Y46" i="39"/>
  <c r="E47" i="39"/>
  <c r="I47" i="39"/>
  <c r="M47" i="39"/>
  <c r="U47" i="39"/>
  <c r="Y47" i="39"/>
  <c r="C49" i="39"/>
  <c r="D49" i="39"/>
  <c r="E49" i="39"/>
  <c r="G49" i="39"/>
  <c r="H49" i="39"/>
  <c r="I49" i="39"/>
  <c r="K49" i="39"/>
  <c r="K51" i="39" s="1"/>
  <c r="L49" i="39"/>
  <c r="M49" i="39"/>
  <c r="S49" i="39"/>
  <c r="S51" i="39" s="1"/>
  <c r="T49" i="39"/>
  <c r="U49" i="39"/>
  <c r="U51" i="39" s="1"/>
  <c r="W49" i="39"/>
  <c r="X49" i="39"/>
  <c r="X51" i="39" s="1"/>
  <c r="Y49" i="39"/>
  <c r="E50" i="39"/>
  <c r="I50" i="39"/>
  <c r="M50" i="39"/>
  <c r="U50" i="39"/>
  <c r="Y50" i="39"/>
  <c r="C51" i="39"/>
  <c r="D51" i="39"/>
  <c r="E51" i="39"/>
  <c r="G51" i="39"/>
  <c r="H51" i="39"/>
  <c r="L51" i="39"/>
  <c r="T51" i="39"/>
  <c r="W51" i="39"/>
  <c r="B56" i="39"/>
  <c r="B58" i="39" s="1"/>
  <c r="F56" i="39"/>
  <c r="F58" i="39" s="1"/>
  <c r="J56" i="39"/>
  <c r="J58" i="39" s="1"/>
  <c r="N56" i="39"/>
  <c r="N58" i="39" s="1"/>
  <c r="R56" i="39"/>
  <c r="V56" i="39"/>
  <c r="R58" i="39"/>
  <c r="V58" i="39"/>
  <c r="M51" i="39" l="1"/>
  <c r="I52" i="53"/>
  <c r="Q22" i="39"/>
  <c r="B14" i="49"/>
  <c r="B22" i="49"/>
  <c r="Y22" i="39"/>
  <c r="I41" i="39"/>
  <c r="I51" i="39" s="1"/>
  <c r="X22" i="39"/>
  <c r="U12" i="39"/>
  <c r="S22" i="39"/>
  <c r="U22" i="39"/>
  <c r="D27" i="53"/>
  <c r="O52" i="53"/>
  <c r="R52" i="53"/>
  <c r="C27" i="53"/>
  <c r="G27" i="53"/>
  <c r="F27" i="53"/>
  <c r="N15" i="46"/>
</calcChain>
</file>

<file path=xl/sharedStrings.xml><?xml version="1.0" encoding="utf-8"?>
<sst xmlns="http://schemas.openxmlformats.org/spreadsheetml/2006/main" count="809" uniqueCount="310">
  <si>
    <t>January</t>
  </si>
  <si>
    <t>February</t>
  </si>
  <si>
    <t>March</t>
  </si>
  <si>
    <t>April</t>
  </si>
  <si>
    <t>May</t>
  </si>
  <si>
    <t>June</t>
  </si>
  <si>
    <t>July</t>
  </si>
  <si>
    <t>August</t>
  </si>
  <si>
    <t>September</t>
  </si>
  <si>
    <t>October</t>
  </si>
  <si>
    <t>November</t>
  </si>
  <si>
    <t>December</t>
  </si>
  <si>
    <t>BIP</t>
  </si>
  <si>
    <t xml:space="preserve">  Total Cost of Incentives</t>
  </si>
  <si>
    <t xml:space="preserve"> </t>
  </si>
  <si>
    <t>OBMC</t>
  </si>
  <si>
    <t>AP-I</t>
  </si>
  <si>
    <t>DBP</t>
  </si>
  <si>
    <t>Service Accounts</t>
  </si>
  <si>
    <t>Year-to-Date Total Cost</t>
  </si>
  <si>
    <t>Annual Total Cost</t>
  </si>
  <si>
    <t>Cost Item</t>
  </si>
  <si>
    <t>Date</t>
  </si>
  <si>
    <t xml:space="preserve">  Sub-Total Interruptible</t>
  </si>
  <si>
    <t>Programs</t>
  </si>
  <si>
    <t>Interruptible/Reliability</t>
  </si>
  <si>
    <t>Total All Programs</t>
  </si>
  <si>
    <t>Event Beginning:End</t>
  </si>
  <si>
    <t>Notes:</t>
  </si>
  <si>
    <t>Program Tolled Hours (Annual) (4)</t>
  </si>
  <si>
    <t>Event Trigger(1)</t>
  </si>
  <si>
    <t>Load Reduction     kW (2) (3)</t>
  </si>
  <si>
    <t>DBP (DA)</t>
  </si>
  <si>
    <t>Emerging Markets &amp; Technologies</t>
  </si>
  <si>
    <t>Total Incremental Cost</t>
  </si>
  <si>
    <t>SLRP</t>
  </si>
  <si>
    <r>
      <t xml:space="preserve">Program Incentives </t>
    </r>
    <r>
      <rPr>
        <b/>
        <vertAlign val="superscript"/>
        <sz val="10"/>
        <rFont val="Arial"/>
        <family val="2"/>
      </rPr>
      <t>(2)</t>
    </r>
  </si>
  <si>
    <r>
      <t xml:space="preserve">Revenues from Penalties </t>
    </r>
    <r>
      <rPr>
        <b/>
        <vertAlign val="superscript"/>
        <sz val="10"/>
        <rFont val="Arial"/>
        <family val="2"/>
      </rPr>
      <t>(3)</t>
    </r>
  </si>
  <si>
    <t xml:space="preserve"> Budget Category 1 Total</t>
  </si>
  <si>
    <t xml:space="preserve"> Budget Category 2 Total</t>
  </si>
  <si>
    <t>Federal Power Reserves  Partnership</t>
  </si>
  <si>
    <t>Capacity Bidding Program</t>
  </si>
  <si>
    <t xml:space="preserve">(2) Incentive data is preliminary and subject to change based on billing records.  </t>
  </si>
  <si>
    <t>DR Contracts</t>
  </si>
  <si>
    <t>SDP-Base: Residential</t>
  </si>
  <si>
    <t>SDP-Base: Commercial</t>
  </si>
  <si>
    <t>SDP-Enhanced : Residential</t>
  </si>
  <si>
    <t>SDP-Enhanced : Commercial</t>
  </si>
  <si>
    <t>Event No.</t>
  </si>
  <si>
    <t>RTP</t>
  </si>
  <si>
    <t>SDP-Base</t>
  </si>
  <si>
    <t>SDP-Enhanced</t>
  </si>
  <si>
    <t>Price Response</t>
  </si>
  <si>
    <t xml:space="preserve">  Sub-Total Price Response</t>
  </si>
  <si>
    <t>Flex Alert</t>
  </si>
  <si>
    <t>Participating Load Pilot</t>
  </si>
  <si>
    <t>Optional Binding Mandatory Curtailment</t>
  </si>
  <si>
    <t>Rotating Outages Management</t>
  </si>
  <si>
    <t>(1) Amounts reported are for incentives costs that are not recovered in the Demand Response Program Balancing Account.</t>
  </si>
  <si>
    <t>(3) Penalties assessed BIP participants for failure to reduce load when requested during curtailment events.</t>
  </si>
  <si>
    <t xml:space="preserve">SDP - Summer Discount Plan </t>
  </si>
  <si>
    <t>Auto DR</t>
  </si>
  <si>
    <t xml:space="preserve">PEAK </t>
  </si>
  <si>
    <t xml:space="preserve">AP-I </t>
  </si>
  <si>
    <t xml:space="preserve">Circuit Savers </t>
  </si>
  <si>
    <t>DR Forecasting Tool</t>
  </si>
  <si>
    <t>(1) Costs reported here are recorded in SCE's Demand Response Program Balancing Account (DRPBA), unless otherwise noted.</t>
  </si>
  <si>
    <t>N/A</t>
  </si>
  <si>
    <t>Category 1:  Emergency Programs</t>
  </si>
  <si>
    <t>Category 2:  Price Responsive Programs</t>
  </si>
  <si>
    <t>Energy Options Program</t>
  </si>
  <si>
    <t>DBP (NDB)</t>
  </si>
  <si>
    <t>Real Time Pricing</t>
  </si>
  <si>
    <t>Category 3:  DR Aggregator Managed Programs</t>
  </si>
  <si>
    <t xml:space="preserve"> Budget Category 3 Total</t>
  </si>
  <si>
    <t>Category 4:  DR Enabled Programs</t>
  </si>
  <si>
    <t>Agriculture Pump Timer Program</t>
  </si>
  <si>
    <t xml:space="preserve"> Budget Category 4 Total</t>
  </si>
  <si>
    <t>Category 5:  Pilots &amp; SmartConnect Enabled Programs</t>
  </si>
  <si>
    <t>SmartConnect Thermostats for CPP</t>
  </si>
  <si>
    <t>SmartConnect Customer Experience Pilot</t>
  </si>
  <si>
    <t xml:space="preserve"> Budget Category 5 Total</t>
  </si>
  <si>
    <t>Category 6:  Statewide Marketing Program</t>
  </si>
  <si>
    <t xml:space="preserve"> Budget Category 6 Total</t>
  </si>
  <si>
    <t xml:space="preserve"> Budget Category 7 Total</t>
  </si>
  <si>
    <t>Category 8:  System Support Activities</t>
  </si>
  <si>
    <t>DR Resource Portal</t>
  </si>
  <si>
    <t>DR System Infrastructure</t>
  </si>
  <si>
    <t xml:space="preserve"> Budget Category 8 Total</t>
  </si>
  <si>
    <t>Category 9:  Marketing Education &amp; Outreach</t>
  </si>
  <si>
    <t>Agriculture &amp; Water Outreach</t>
  </si>
  <si>
    <t>Income Qualified Customer Outreach</t>
  </si>
  <si>
    <r>
      <t xml:space="preserve">DR Energy Leadership Partnership </t>
    </r>
    <r>
      <rPr>
        <sz val="8"/>
        <rFont val="Arial"/>
        <family val="2"/>
      </rPr>
      <t>(Community EE/DR Partnership)</t>
    </r>
  </si>
  <si>
    <t>Integrated DSM Marketing</t>
  </si>
  <si>
    <t>Category 10:  Integrated Programs</t>
  </si>
  <si>
    <t xml:space="preserve"> Budget Category 9 Total</t>
  </si>
  <si>
    <t xml:space="preserve"> Budget Category 10 Total</t>
  </si>
  <si>
    <t>Non-residential New Construction</t>
  </si>
  <si>
    <t>Residential New Construction</t>
  </si>
  <si>
    <t>Institutional &amp; Govt Partnership Program</t>
  </si>
  <si>
    <t>IDSM food Processing Pilot</t>
  </si>
  <si>
    <t>WE&amp;T Smart Students</t>
  </si>
  <si>
    <t>IDEAA Program</t>
  </si>
  <si>
    <t>TRIO Program</t>
  </si>
  <si>
    <t>Statewide IDSM Program</t>
  </si>
  <si>
    <t>(3) 2009 Funding authorized in D09-08-027 and D.08-03-017.</t>
  </si>
  <si>
    <t>Programs Support costs</t>
  </si>
  <si>
    <t>Technical Assistance &amp; Technology Incentives - Admin (4)</t>
  </si>
  <si>
    <t>Technical Assistance &amp; Technology Incentives - Incentives (4)</t>
  </si>
  <si>
    <t xml:space="preserve">Category 7:  Measurement &amp; Evaluation </t>
  </si>
  <si>
    <t>Measurement &amp; Evaluation</t>
  </si>
  <si>
    <t>Critical Peak Pricing</t>
  </si>
  <si>
    <t>Price Responsive</t>
  </si>
  <si>
    <t>2009 Expenditures</t>
  </si>
  <si>
    <t>Percent Funding</t>
  </si>
  <si>
    <t>3-Year Funding</t>
  </si>
  <si>
    <t>FUND SHIFTING DOCUMENTATION PER DECISION 09-08-027 ORDERING PARAGRAPH 35</t>
  </si>
  <si>
    <t>OP 35:</t>
  </si>
  <si>
    <t>The utilities shall document the amount of and reason for each shift in their monthly demand response reports.</t>
  </si>
  <si>
    <t>Fund Shift</t>
  </si>
  <si>
    <t>Rationale for Fundshift</t>
  </si>
  <si>
    <t>Programs Impacted</t>
  </si>
  <si>
    <t>Program Category</t>
  </si>
  <si>
    <t>Total</t>
  </si>
  <si>
    <t>Year-to-Date Program Expenditures</t>
  </si>
  <si>
    <t>Year-to-Date Event Summary</t>
  </si>
  <si>
    <t>DR Contracts (2)</t>
  </si>
  <si>
    <t>(4) TA&amp;TI expenses include Auto DR incentives for 2009-2011 projects</t>
  </si>
  <si>
    <t xml:space="preserve">    </t>
  </si>
  <si>
    <t>Total Expenditures 2009</t>
  </si>
  <si>
    <t>2008 Carryover Committed Funding</t>
  </si>
  <si>
    <t>Category 1:  Specified Programs</t>
  </si>
  <si>
    <t>CPP-VCD &amp; CPP-GCCD</t>
  </si>
  <si>
    <t>SLRP Incentives</t>
  </si>
  <si>
    <t>DBP (metering for &lt;200 kW)</t>
  </si>
  <si>
    <t>SDP - Summer Discount Plan</t>
  </si>
  <si>
    <t>Technical Assistance &amp; Technology Incentives - Admin</t>
  </si>
  <si>
    <t>Technical Assistance &amp; Technology Incentives - Incentives</t>
  </si>
  <si>
    <t>Integrated EE/DR Marketing</t>
  </si>
  <si>
    <t>Community EE/DR Partnership</t>
  </si>
  <si>
    <t>Circuit Savers</t>
  </si>
  <si>
    <t>Ag &amp; Water Outreach</t>
  </si>
  <si>
    <t>Federal Power Reserves Partnership</t>
  </si>
  <si>
    <t>Permanent Load Shifting</t>
  </si>
  <si>
    <t>DR Contract #1</t>
  </si>
  <si>
    <t xml:space="preserve">DR Contracts #2 - #6 </t>
  </si>
  <si>
    <t>Small Business Communicating Thermostat Pilot</t>
  </si>
  <si>
    <t>Category 2:  Statewide Informational, Educational and Development Programs</t>
  </si>
  <si>
    <t>PEAK</t>
  </si>
  <si>
    <t>Other Activities and Programs</t>
  </si>
  <si>
    <t>Specific Program M&amp;E</t>
  </si>
  <si>
    <t>M&amp;E Supporting Activities</t>
  </si>
  <si>
    <t>Demand Response Systems Integration</t>
  </si>
  <si>
    <t>Budget Category 3 Total</t>
  </si>
  <si>
    <t>Category 4:  Programs Previously Funded in GRC</t>
  </si>
  <si>
    <t>Budget Category 4 Total</t>
  </si>
  <si>
    <t>(1) Costs reported here are recorded in SCE's Demand Response Program Balancing Account (DRPBA)</t>
  </si>
  <si>
    <t>Total Expenditures 2010</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</si>
  <si>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</si>
  <si>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 xml:space="preserve">(3) Customer's load reduction is measured as follows: </t>
  </si>
  <si>
    <t xml:space="preserve">          SDP: Estimated based on ac tonnage, cycling strategy and load diversity at time of event.</t>
  </si>
  <si>
    <t>(4) Individual customer tolled hours or event limits may vary due to different customer contact times and/or load blocking.</t>
  </si>
  <si>
    <t>(5) Event times are based on GCC start and end times or SCE determined start and end times.</t>
  </si>
  <si>
    <t>(4) Includes Capacity Payments for CBP and DR Contracts as reported in the BRRBA.</t>
  </si>
  <si>
    <t>CPP</t>
  </si>
  <si>
    <t>BIP - 30 Minute Option</t>
  </si>
  <si>
    <t>BIP - 15 Minute Option</t>
  </si>
  <si>
    <t>General Program</t>
  </si>
  <si>
    <t>Demand Bidding Program</t>
  </si>
  <si>
    <t>Demand Response Contracts</t>
  </si>
  <si>
    <t>Agricultural Pumping Interruptible</t>
  </si>
  <si>
    <t>Base Interruptible Program</t>
  </si>
  <si>
    <t xml:space="preserve">Critical Peak Pricing </t>
  </si>
  <si>
    <t>Summer Discount Program</t>
  </si>
  <si>
    <t>TA (may also be enrolled in TI and AutoDR)</t>
  </si>
  <si>
    <t>Customer counts reported on this page are not excluded from counts in the Program MW tab.  MWs reported on this page are not directly related to MW reported in the Program MW tab.</t>
  </si>
  <si>
    <t>General Program category</t>
  </si>
  <si>
    <t>Represents MW of participants in the TA stage and may include participants who have completed TI and AutoDr.</t>
  </si>
  <si>
    <t>Fundshift Adjustments (5)</t>
  </si>
  <si>
    <t>(5) See Table I-2A (Fund Shift Log) for explanations.</t>
  </si>
  <si>
    <t xml:space="preserve">          DR Contracts:  Based on event reduction results using baseline established for each contract.</t>
  </si>
  <si>
    <t xml:space="preserve">          DBP: The maximum hourly load reduction measured over the duration of the DBP event is compared to a 10 in 10 day baseline with optional day-of adjustment. </t>
  </si>
  <si>
    <t>TA Identified MW</t>
  </si>
  <si>
    <t>Auto DR Verified MW</t>
  </si>
  <si>
    <t>TI Verified MW</t>
  </si>
  <si>
    <t>Total Technology MW</t>
  </si>
  <si>
    <t>Represents identified MW for service accounts from completed TA.</t>
  </si>
  <si>
    <t>Represents verified/tested MW for service accounts that participated in Auto DR.</t>
  </si>
  <si>
    <t>Represents verified MW for service accounts that participated in TI (i.e. must be enrolled in DR) and not in AutoDR; MW reported here not necessarily amount enrolled in DR.</t>
  </si>
  <si>
    <t>Represents the sum of verified MW associated with the service accounts in the TI and Auto DR programs.</t>
  </si>
  <si>
    <t>AutoDR Verified MW</t>
  </si>
  <si>
    <t>Total TA MW</t>
  </si>
  <si>
    <t>Detailed Breakdown of MW To Date in TA/Auto DR/TI Programs</t>
  </si>
  <si>
    <t>(2) Initial event data subject to change based on billing records and verification.</t>
  </si>
  <si>
    <t>Participating Load / Proxy Demand Resource Pilot</t>
  </si>
  <si>
    <t>The utilities may shift up to 50% of a program's funds to another program within the same budget category.</t>
  </si>
  <si>
    <t xml:space="preserve">          CBP: Reported to SCE in aggregate by portfolio and by product by APX.  These load reductions reflect the highest hourly reduction per event.  10 in 10 baseline and 10 in 10 with adjustment is used to determine event load reduction.    </t>
  </si>
  <si>
    <t>2010 Expenditures</t>
  </si>
  <si>
    <t>2009 &amp; 2010 Expenditures</t>
  </si>
  <si>
    <t>Program-to-Date Total Expenditures 2009-2011</t>
  </si>
  <si>
    <t>Total Expenditures 2011</t>
  </si>
  <si>
    <t>Total Expenditures 2009 &amp; 2010</t>
  </si>
  <si>
    <t>Carryover Expenditures to Date 2009 - 2011</t>
  </si>
  <si>
    <t>Year-to Date 2011 Expenditures</t>
  </si>
  <si>
    <t>(2) 2009 - 2011 Funding authorized in D09-08-027.</t>
  </si>
  <si>
    <t xml:space="preserve">          CPP: The maximum hourly load reduction measured over the duration of the CPP event is compared to 10 in 10 Adjusted baseline.</t>
  </si>
  <si>
    <t>Category 2</t>
  </si>
  <si>
    <t>Energy Options to
Capacity Bidding Program (CBP)</t>
  </si>
  <si>
    <t>Energy Options to
Demand Bidding Program (DBP)</t>
  </si>
  <si>
    <t>Critical Peak Pricing (CPP) to Real Time Pricing (RTP)</t>
  </si>
  <si>
    <t>Category 8</t>
  </si>
  <si>
    <t>DR Resource Portal to
DR System Infrastructure</t>
  </si>
  <si>
    <t xml:space="preserve">In Decision (D.) 09-08-027, the Commission authorized SCE $5,703,864 to administer its Energy Options Program.  SCE is waiting approval of its Petition for Modification of D.09-08-027 to eliminate the Energy Options Program and to continue the Capacity Bidding Program (CBP) through 2011.  Since CBP was expected to be phased out in 2010 with the implementation of Energy Options, SCE was authorized only minimal funding for 2010.  This fund shift from Energy Options to CBP will allow SCE to continue CBP operations and the program offering to its customers through 2010. </t>
  </si>
  <si>
    <t xml:space="preserve">In Decision (D.) 09-08-027, the Commission authorized SCE $5,703,864 to administer its Energy Options Program.  SCE is waiting approval of its Petition for Modification of D.09-08-027 to eliminate the Energy Options Program and to continue the Demand Bidding Program (DBP) through 2011.  Since DBP was expected to be phased out in 2010 with the implementation of Energy Options, SCE was authorized only minimal funding for 2010.  This fund shift from Energy Options to DBP will allow SCE to continue DBP operations and the program offering to its customers through 2010. </t>
  </si>
  <si>
    <t>Decision (D.) 09-08-028, Ordering Paragraph 12, directs SCE to offer optional real time pricing rates for all customer classes, effective on or before January 1, 2012.  To comply with this decision, SCE's Real Time Pricing Program has incurred additional marketing and systems costs which were not originally requested in its DR Application (A.08-06-001).  This fund shift from CPP to RTP will allow SCE to comply with Ordering Paragraph 12 in D.09-08-028.</t>
  </si>
  <si>
    <t>In Decision (D.) 10-12-047, the Commission approved SCE's Petition for Modification of D.09-08-027 to eliminate the Energy Options Program and to continue the Capacity Bidding Program (CBP) through 2011.  Since CBP was expected to be phased out in 2010 with the implementation of Energy Options, SCE was authorized only minimal funding for 2010.  This fund shift from Energy Options to CBP will allow SCE to continue CBP operations and the program offering to its customers through 2011.</t>
  </si>
  <si>
    <t>Ordering Paragraph 3 in Decision (D.)10-12-047, approved SCE's Petition for Modification of D.09-08-027 to eliminate the Energy Options Program and to continue the Demand Bidding Program (DBP) through 2011.  Since DBP was expected to be phased out in 2010 with the implementation of Energy Options, SCE was authorized only minimal funding for 2010.  This fund shift from Energy Options to DBP will allow SCE to continue DBP operations and the program offering to its customers through 2011.</t>
  </si>
  <si>
    <t>Southern California Edison</t>
  </si>
  <si>
    <t>Monthly Program Enrollment and Estimated Load Impacts</t>
  </si>
  <si>
    <t>Ex Ante Estimated MW</t>
  </si>
  <si>
    <t>Ex Post Estimated MW</t>
  </si>
  <si>
    <t>Eligible Accounts as of Jan 1, 2011</t>
  </si>
  <si>
    <t>CBP - (DA)</t>
  </si>
  <si>
    <t>CBP - (DO)</t>
  </si>
  <si>
    <t>DR Contracts - (DO)</t>
  </si>
  <si>
    <t>DR Contracts - (DA)</t>
  </si>
  <si>
    <t>3.  Load Impacts are not available for the SLRP, therefore MW are estimated based on the hour of peak scheduled load reduction.</t>
  </si>
  <si>
    <t xml:space="preserve">5.  For May through October the CBP service accounts reported reflect only those nominated to participate in Day-Of and Day-Ahead events.  </t>
  </si>
  <si>
    <t>The accounts eligible to participate in OBMC is not available because the number of customers who can reduce 15% of their entire circuit load during every rotating outage cannot be reasonably estimated.</t>
  </si>
  <si>
    <t xml:space="preserve">All non-res. bundled service customers &gt;100kW </t>
  </si>
  <si>
    <t>All non-res. bundled service customers &gt; 500kW</t>
  </si>
  <si>
    <t>All non-residential customers</t>
  </si>
  <si>
    <t>DR Contracts - Day Ahead</t>
  </si>
  <si>
    <t>DR Contracts - Day Of</t>
  </si>
  <si>
    <t>CBP - Day Ahead</t>
  </si>
  <si>
    <t>CBP - Day Of</t>
  </si>
  <si>
    <t>All non-residential customers &gt; 200kW</t>
  </si>
  <si>
    <t>DBP -  Day Ahead</t>
  </si>
  <si>
    <t>CPP-Default</t>
  </si>
  <si>
    <t>All customers &gt; 37kW on an Ag &amp; Pumping rate</t>
  </si>
  <si>
    <t>All non-res. customers who can reduce circuit load by 15%</t>
  </si>
  <si>
    <t>All commercial customers with air conditioning</t>
  </si>
  <si>
    <t>SDP - Comm.</t>
  </si>
  <si>
    <t>All residential customers with air conditioning</t>
  </si>
  <si>
    <t>SDP - Res.</t>
  </si>
  <si>
    <t>All C &amp; I customers &gt; 200kW</t>
  </si>
  <si>
    <t>Eligibility Criteria</t>
  </si>
  <si>
    <t xml:space="preserve">November </t>
  </si>
  <si>
    <t xml:space="preserve">September </t>
  </si>
  <si>
    <t xml:space="preserve">August </t>
  </si>
  <si>
    <t>Program</t>
  </si>
  <si>
    <t>Average Ex Ante Load Impact kW / Customer</t>
  </si>
  <si>
    <t>Average Ex Post Load Impact kW / Customer</t>
  </si>
  <si>
    <t>Program Eligibility and Average Load Impacts</t>
  </si>
  <si>
    <t>Category 10</t>
  </si>
  <si>
    <t>IDEEA Program to IDSM Statewide Program</t>
  </si>
  <si>
    <t>In Decision (D.) 09-09-047, the Commission authorized SCE $88,785 to administer its Statewide IDSM Program.  The Statewide IDSM effort has required significant coordination, integration and management of SCE's demand response programs into Statewide IDSM efforts and activities.  This fund shift from the IDEEA Program to the Statewide IDSM Program will allow SCE to continue to integrate and coordinate with California's Statewide IDSM activities.</t>
  </si>
  <si>
    <t>*Ex Post OBMC Load Impacts are based on program year 2008.  January through December Load Impacts are based on 2010 Load Impact results as reported in April 2011 except as noted.</t>
  </si>
  <si>
    <t>Measurement and Evaluation</t>
  </si>
  <si>
    <t>14:00  :  16:00</t>
  </si>
  <si>
    <t xml:space="preserve">(2) Funding and expenses for DR Contracts reflect the administrative portion of costs tracked in the Purchase Agreement Administrative Costs Balancing Account (PAACBA).  Incentive payments are recorded separately in Table I-4. </t>
  </si>
  <si>
    <t xml:space="preserve">IDEEA Program to WE&amp;T Smart Students </t>
  </si>
  <si>
    <t>In Decision (D.) 09-09-047, the Commission authorized SCE $149,485 to administer its WE&amp;T Smart Students pilot program.  This fund shift provides funding to add demand response products to the Living Wise kit.</t>
  </si>
  <si>
    <t>Residential New Construction to WE&amp;T Smart Students</t>
  </si>
  <si>
    <t>IDSM Food Processing Pilot to WE&amp;T Smart Students</t>
  </si>
  <si>
    <t xml:space="preserve">2009-2011 Portfolio to date results.   </t>
  </si>
  <si>
    <t xml:space="preserve">Estimated Average Ex Post Load Impact kW / Customer = Average kW / Customer service account over actual event hours during the 1 - 6 pm window for the preceeding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A zero (0) load impact value is reported for RTP for October through July as the load impacts for these months are negative.   </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</si>
  <si>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April 1st Compliance Filing.  The differences are attributed to the use of average values over specific load impact hours and other factors.  </t>
  </si>
  <si>
    <t xml:space="preserve">Estimated Average Ex Ante Load Impact kW/Customer = Average kW / Customer, under 1-in-2 weather conditions, of an event that would occur from 1 - 6 pm on the system peak day of the month, as reported in the load impact reports filed in April 2011 for April through September/October.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4 - 9 pm under the same conditions.  Data from Ex Ante load impact reports filed in 2009 is used for OBMC reporting.   </t>
  </si>
  <si>
    <t>Heat Rate</t>
  </si>
  <si>
    <t>14:00  :  18:00</t>
  </si>
  <si>
    <t>16:00  :  17:00</t>
  </si>
  <si>
    <t>Results are pending</t>
  </si>
  <si>
    <t>Capacity Bidding Program - Day Ahead</t>
  </si>
  <si>
    <t>1.  Ex Ante Estimated MW = The monthly ex ante average load impact per customer reported in the annual April 1st 2011 D. 08-04-050 Compliance Filing multiplied by the number of currently enrolled service accounts for the reporting month, where the ex ante average load impact is the average hourly load impact for an event that would occur from 1 - 6 pm on the system peak day of the month with the exception of CPP where the average hourly load impacts from 2 - 6 pm are used.  Monthly ex ante estimates are indicated only for programs which can be called for events that reporting month. For programs that are not available that month or do not have a positive load impact, a value of zero is reported.</t>
  </si>
  <si>
    <t>2.  Ex Post Estimated MW = The annual ex post average load impact per customer reported in the annual April 1st 2011 D.08-04-050 Compliance Filing multiplied by the number of currently enrolled service accounts for the reporting month, where the ex post load impact per customer is the average load impact per customer for those customers that may have participated in an event(s) between 1 - 6pm on event days in the preceeding year when or if events occurred. New programs report "n/a", as there were no prior events.  Ex Post OBMC Load Impacts are based on program year 2008.</t>
  </si>
  <si>
    <t xml:space="preserve">*A reduction in standard TI MWs can occur when a customer upgrades to Auto-DR (subsequently, the ADR MWs increase).  </t>
  </si>
  <si>
    <t xml:space="preserve">*Also, if a customer leaves a DR program it will reduce the MW's for that particular DR program. </t>
  </si>
  <si>
    <t>Summer Discount Plan - Base and Enhanced</t>
  </si>
  <si>
    <t>SDP PDR Test Event</t>
  </si>
  <si>
    <t>14:00  :  14:30</t>
  </si>
  <si>
    <t>14:00 :  16:00</t>
  </si>
  <si>
    <t>12:00  :  20:00</t>
  </si>
  <si>
    <t>Capacity Bidding Program - Day Of</t>
  </si>
  <si>
    <t>13:00  :  16:00</t>
  </si>
  <si>
    <t>15:00 :  16:00</t>
  </si>
  <si>
    <t>Non-Residential New Construction Pilot Program to IDSM Statewide Program</t>
  </si>
  <si>
    <t>In Decision (D.) 09-09-047, the Commission authorized SCE $88,785 to administer its Statewide IDSM Program.  SCE's Statewide IDSM Program, under the direction of the Statewide IDSM Task Force, has required additional resources to ensure compliance with the Statewide IDSM Program goals as well as IDSM Task Force deliverables. This fund shift from the Non-Residential New Construction Pilot Program will ensure that IDSM policy objectives will continue to achieve their goals for a successful transition into 2012.</t>
  </si>
  <si>
    <t>Ordering Paragraph 4 in Decision (D.)10-12-047, approved SCE's Petition for Modification of D.09-08-027 to fund shift and allocate funding for system development activities in support of Proxy Demand Resource.  OP 4 approved fund shifting of $2,525,000 from the DR Resource Portal budget and $1,000,000 of Custom Aggregation Group (CAG) funding to support these activities.</t>
  </si>
  <si>
    <t>14:00  :  17:00</t>
  </si>
  <si>
    <t>15:00  :  17:00</t>
  </si>
  <si>
    <t>15:00  :  16:00</t>
  </si>
  <si>
    <t>15:00  :  15:30</t>
  </si>
  <si>
    <t>DR Contracts - Day-Ahead</t>
  </si>
  <si>
    <t>13:00 :  13:30</t>
  </si>
  <si>
    <t>Peak Load Forecast</t>
  </si>
  <si>
    <t>Test Event and Measurement and Evaluation</t>
  </si>
  <si>
    <t xml:space="preserve">          BIP:  The maximum hourly load reduction compared to 10 day rolling average, measured over the duration of the entire event day.  10 in 10 baseline is used and calculated for each 15 minute interval. </t>
  </si>
  <si>
    <t>Test Event</t>
  </si>
  <si>
    <t>15:30  :  16:00</t>
  </si>
  <si>
    <t>API</t>
  </si>
  <si>
    <t>13:00  :  17:00</t>
  </si>
  <si>
    <t>13:48  :  15:01</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</si>
  <si>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</si>
  <si>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</si>
  <si>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15:00  :  15:53</t>
  </si>
  <si>
    <t xml:space="preserve">DR Contracts - Day-Of </t>
  </si>
  <si>
    <t>Technical Assistance &amp; Technology Incentives (TA&amp;TI) commitments as of 10/31/2011</t>
  </si>
  <si>
    <t>15:00 : 17:00</t>
  </si>
  <si>
    <t>(6) SDP includes 2011 budgets and expenses authorized in D.11-11-002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</si>
</sst>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quot;$&quot;#,##0"/>
    <numFmt numFmtId="174" formatCode="#,##0.0000"/>
  </numFmts>
  <fonts count="42" x14ac:knownFonts="1">
    <font>
      <sz val="10"/>
      <name val="Arial"/>
    </font>
    <font>
      <sz val="10"/>
      <name val="Arial"/>
      <family val="2"/>
    </font>
    <font>
      <b/>
      <sz val="10"/>
      <name val="Arial"/>
      <family val="2"/>
    </font>
    <font>
      <sz val="10"/>
      <name val="Arial"/>
      <family val="2"/>
    </font>
    <font>
      <sz val="10"/>
      <color indexed="8"/>
      <name val="Arial"/>
      <family val="2"/>
    </font>
    <font>
      <b/>
      <i/>
      <sz val="10"/>
      <name val="Arial"/>
      <family val="2"/>
    </font>
    <font>
      <b/>
      <vertAlign val="superscript"/>
      <sz val="10"/>
      <name val="Arial"/>
      <family val="2"/>
    </font>
    <font>
      <sz val="8"/>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b/>
      <sz val="14"/>
      <name val="Arial"/>
      <family val="2"/>
    </font>
    <font>
      <sz val="14"/>
      <name val="Arial"/>
      <family val="2"/>
    </font>
    <font>
      <sz val="8"/>
      <name val="Arial"/>
      <family val="2"/>
    </font>
    <font>
      <b/>
      <strike/>
      <sz val="14"/>
      <name val="Arial"/>
      <family val="2"/>
    </font>
    <font>
      <strike/>
      <sz val="14"/>
      <name val="Arial"/>
      <family val="2"/>
    </font>
    <font>
      <sz val="14"/>
      <name val="Arial"/>
      <family val="2"/>
    </font>
    <font>
      <b/>
      <sz val="12"/>
      <name val="Arial"/>
      <family val="2"/>
    </font>
    <font>
      <b/>
      <sz val="10"/>
      <name val="Arial"/>
      <family val="2"/>
    </font>
    <font>
      <sz val="9"/>
      <name val="Arial"/>
      <family val="2"/>
    </font>
  </fonts>
  <fills count="4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65"/>
        <bgColor indexed="64"/>
      </patternFill>
    </fill>
    <fill>
      <patternFill patternType="solid">
        <fgColor indexed="22"/>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style="medium">
        <color indexed="64"/>
      </right>
      <top/>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double">
        <color indexed="64"/>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0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0" fillId="14"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1" fillId="18" borderId="0" applyNumberFormat="0" applyBorder="0" applyAlignment="0" applyProtection="0"/>
    <xf numFmtId="0" fontId="10" fillId="28" borderId="0" applyNumberFormat="0" applyBorder="0" applyAlignment="0" applyProtection="0"/>
    <xf numFmtId="0" fontId="12" fillId="18" borderId="0" applyNumberFormat="0" applyBorder="0" applyAlignment="0" applyProtection="0"/>
    <xf numFmtId="0" fontId="13" fillId="30" borderId="1" applyNumberFormat="0" applyAlignment="0" applyProtection="0"/>
    <xf numFmtId="0" fontId="14" fillId="19"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3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8" borderId="1" applyNumberFormat="0" applyAlignment="0" applyProtection="0"/>
    <xf numFmtId="0" fontId="22" fillId="0" borderId="6" applyNumberFormat="0" applyFill="0" applyAlignment="0" applyProtection="0"/>
    <xf numFmtId="0" fontId="23" fillId="28" borderId="0" applyNumberFormat="0" applyBorder="0" applyAlignment="0" applyProtection="0"/>
    <xf numFmtId="0" fontId="4" fillId="0" borderId="0"/>
    <xf numFmtId="0" fontId="1" fillId="27" borderId="7" applyNumberFormat="0" applyFont="0" applyAlignment="0" applyProtection="0"/>
    <xf numFmtId="0" fontId="24" fillId="30" borderId="8" applyNumberFormat="0" applyAlignment="0" applyProtection="0"/>
    <xf numFmtId="9" fontId="1" fillId="0" borderId="0" applyFont="0" applyFill="0" applyBorder="0" applyAlignment="0" applyProtection="0"/>
    <xf numFmtId="4" fontId="25" fillId="35" borderId="9" applyNumberFormat="0" applyProtection="0">
      <alignment vertical="center"/>
    </xf>
    <xf numFmtId="4" fontId="26" fillId="35" borderId="9" applyNumberFormat="0" applyProtection="0">
      <alignment vertical="center"/>
    </xf>
    <xf numFmtId="4" fontId="25" fillId="35" borderId="9" applyNumberFormat="0" applyProtection="0">
      <alignment horizontal="left" vertical="center" indent="1"/>
    </xf>
    <xf numFmtId="0" fontId="25" fillId="35" borderId="9" applyNumberFormat="0" applyProtection="0">
      <alignment horizontal="left" vertical="top" indent="1"/>
    </xf>
    <xf numFmtId="4" fontId="25" fillId="2" borderId="0" applyNumberFormat="0" applyProtection="0">
      <alignment horizontal="left" vertical="center" indent="1"/>
    </xf>
    <xf numFmtId="4" fontId="8" fillId="7" borderId="9" applyNumberFormat="0" applyProtection="0">
      <alignment horizontal="right" vertical="center"/>
    </xf>
    <xf numFmtId="4" fontId="8" fillId="3" borderId="9" applyNumberFormat="0" applyProtection="0">
      <alignment horizontal="right" vertical="center"/>
    </xf>
    <xf numFmtId="4" fontId="8" fillId="20" borderId="9" applyNumberFormat="0" applyProtection="0">
      <alignment horizontal="right" vertical="center"/>
    </xf>
    <xf numFmtId="4" fontId="8" fillId="36" borderId="9" applyNumberFormat="0" applyProtection="0">
      <alignment horizontal="right" vertical="center"/>
    </xf>
    <xf numFmtId="4" fontId="8" fillId="37" borderId="9" applyNumberFormat="0" applyProtection="0">
      <alignment horizontal="right" vertical="center"/>
    </xf>
    <xf numFmtId="4" fontId="8" fillId="29" borderId="9" applyNumberFormat="0" applyProtection="0">
      <alignment horizontal="right" vertical="center"/>
    </xf>
    <xf numFmtId="4" fontId="8" fillId="9" borderId="9" applyNumberFormat="0" applyProtection="0">
      <alignment horizontal="right" vertical="center"/>
    </xf>
    <xf numFmtId="4" fontId="8" fillId="38" borderId="9" applyNumberFormat="0" applyProtection="0">
      <alignment horizontal="right" vertical="center"/>
    </xf>
    <xf numFmtId="4" fontId="8" fillId="39" borderId="9" applyNumberFormat="0" applyProtection="0">
      <alignment horizontal="right" vertical="center"/>
    </xf>
    <xf numFmtId="4" fontId="25" fillId="40" borderId="10" applyNumberFormat="0" applyProtection="0">
      <alignment horizontal="left" vertical="center" indent="1"/>
    </xf>
    <xf numFmtId="4" fontId="8" fillId="41" borderId="0" applyNumberFormat="0" applyProtection="0">
      <alignment horizontal="left" vertical="center" indent="1"/>
    </xf>
    <xf numFmtId="4" fontId="27" fillId="8" borderId="0" applyNumberFormat="0" applyProtection="0">
      <alignment horizontal="left" vertical="center" indent="1"/>
    </xf>
    <xf numFmtId="4" fontId="8" fillId="2" borderId="9" applyNumberFormat="0" applyProtection="0">
      <alignment horizontal="right" vertical="center"/>
    </xf>
    <xf numFmtId="4" fontId="4" fillId="41" borderId="0" applyNumberFormat="0" applyProtection="0">
      <alignment horizontal="left" vertical="center" indent="1"/>
    </xf>
    <xf numFmtId="4" fontId="4"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41" borderId="9" applyNumberFormat="0" applyProtection="0">
      <alignment horizontal="left" vertical="center" indent="1"/>
    </xf>
    <xf numFmtId="0" fontId="1" fillId="41" borderId="9" applyNumberFormat="0" applyProtection="0">
      <alignment horizontal="left" vertical="top" indent="1"/>
    </xf>
    <xf numFmtId="0" fontId="1" fillId="5" borderId="11" applyNumberFormat="0">
      <protection locked="0"/>
    </xf>
    <xf numFmtId="4" fontId="8" fillId="4" borderId="9" applyNumberFormat="0" applyProtection="0">
      <alignment vertical="center"/>
    </xf>
    <xf numFmtId="4" fontId="28" fillId="4" borderId="9" applyNumberFormat="0" applyProtection="0">
      <alignment vertical="center"/>
    </xf>
    <xf numFmtId="4" fontId="8" fillId="4" borderId="9" applyNumberFormat="0" applyProtection="0">
      <alignment horizontal="left" vertical="center" indent="1"/>
    </xf>
    <xf numFmtId="0" fontId="8" fillId="4" borderId="9" applyNumberFormat="0" applyProtection="0">
      <alignment horizontal="left" vertical="top" indent="1"/>
    </xf>
    <xf numFmtId="4" fontId="8" fillId="41" borderId="9" applyNumberFormat="0" applyProtection="0">
      <alignment horizontal="right" vertical="center"/>
    </xf>
    <xf numFmtId="4" fontId="28" fillId="41" borderId="9" applyNumberFormat="0" applyProtection="0">
      <alignment horizontal="right" vertical="center"/>
    </xf>
    <xf numFmtId="4" fontId="8" fillId="2" borderId="9" applyNumberFormat="0" applyProtection="0">
      <alignment horizontal="left" vertical="center" indent="1"/>
    </xf>
    <xf numFmtId="0" fontId="8" fillId="2" borderId="9" applyNumberFormat="0" applyProtection="0">
      <alignment horizontal="left" vertical="top" indent="1"/>
    </xf>
    <xf numFmtId="4" fontId="29" fillId="42" borderId="0" applyNumberFormat="0" applyProtection="0">
      <alignment horizontal="left" vertical="center" indent="1"/>
    </xf>
    <xf numFmtId="4" fontId="30" fillId="41" borderId="9" applyNumberFormat="0" applyProtection="0">
      <alignment horizontal="right" vertical="center"/>
    </xf>
    <xf numFmtId="0" fontId="31" fillId="0" borderId="0" applyNumberFormat="0" applyFill="0" applyBorder="0" applyAlignment="0" applyProtection="0"/>
    <xf numFmtId="0" fontId="31" fillId="0" borderId="0" applyNumberFormat="0" applyFill="0" applyBorder="0" applyAlignment="0" applyProtection="0"/>
    <xf numFmtId="0" fontId="15" fillId="0" borderId="12" applyNumberFormat="0" applyFill="0" applyAlignment="0" applyProtection="0"/>
    <xf numFmtId="0" fontId="32" fillId="0" borderId="0" applyNumberFormat="0" applyFill="0" applyBorder="0" applyAlignment="0" applyProtection="0"/>
    <xf numFmtId="0" fontId="1" fillId="0" borderId="0"/>
  </cellStyleXfs>
  <cellXfs count="520">
    <xf numFmtId="0" fontId="0" fillId="0" borderId="0" xfId="0"/>
    <xf numFmtId="0" fontId="0" fillId="0" borderId="0" xfId="0" applyBorder="1"/>
    <xf numFmtId="0" fontId="0" fillId="0" borderId="13" xfId="0" applyBorder="1"/>
    <xf numFmtId="164" fontId="0" fillId="0" borderId="0" xfId="0" applyNumberFormat="1" applyBorder="1"/>
    <xf numFmtId="164" fontId="0" fillId="0" borderId="13" xfId="0" applyNumberFormat="1" applyBorder="1"/>
    <xf numFmtId="0" fontId="2" fillId="0" borderId="14" xfId="0" applyFont="1" applyBorder="1"/>
    <xf numFmtId="0" fontId="0" fillId="0" borderId="14" xfId="0" applyBorder="1"/>
    <xf numFmtId="0" fontId="2" fillId="0" borderId="0" xfId="0" applyFont="1" applyBorder="1" applyAlignment="1">
      <alignment wrapText="1"/>
    </xf>
    <xf numFmtId="0" fontId="2" fillId="0" borderId="0" xfId="0" applyFont="1" applyBorder="1"/>
    <xf numFmtId="164" fontId="0" fillId="0" borderId="15" xfId="0" applyNumberFormat="1" applyBorder="1"/>
    <xf numFmtId="164" fontId="0" fillId="0" borderId="16" xfId="0" applyNumberFormat="1" applyBorder="1"/>
    <xf numFmtId="0" fontId="2" fillId="0" borderId="17" xfId="0" applyFont="1" applyFill="1" applyBorder="1"/>
    <xf numFmtId="0" fontId="0" fillId="0" borderId="14" xfId="0" applyFill="1" applyBorder="1"/>
    <xf numFmtId="164" fontId="0" fillId="0" borderId="0" xfId="0" applyNumberFormat="1" applyFill="1" applyBorder="1"/>
    <xf numFmtId="165" fontId="0" fillId="0" borderId="0" xfId="0" applyNumberFormat="1" applyBorder="1"/>
    <xf numFmtId="0" fontId="0" fillId="0" borderId="19" xfId="0" applyBorder="1"/>
    <xf numFmtId="0" fontId="2" fillId="0" borderId="20" xfId="0" applyFont="1" applyBorder="1" applyAlignment="1">
      <alignment horizontal="center" wrapText="1"/>
    </xf>
    <xf numFmtId="0" fontId="2" fillId="0" borderId="21" xfId="0" applyFont="1" applyBorder="1" applyAlignment="1">
      <alignment horizontal="center"/>
    </xf>
    <xf numFmtId="0" fontId="0" fillId="0" borderId="22" xfId="0" applyBorder="1"/>
    <xf numFmtId="0" fontId="2" fillId="0" borderId="18" xfId="0" applyFont="1" applyBorder="1" applyAlignment="1">
      <alignment horizontal="center" wrapText="1"/>
    </xf>
    <xf numFmtId="0" fontId="2" fillId="0" borderId="23"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wrapText="1"/>
    </xf>
    <xf numFmtId="0" fontId="2" fillId="43" borderId="25" xfId="0" applyFont="1" applyFill="1" applyBorder="1"/>
    <xf numFmtId="0" fontId="0" fillId="43" borderId="26" xfId="0" applyFill="1" applyBorder="1"/>
    <xf numFmtId="0" fontId="0" fillId="43" borderId="27" xfId="0" applyFill="1" applyBorder="1"/>
    <xf numFmtId="0" fontId="2" fillId="43" borderId="23" xfId="0" applyFont="1" applyFill="1" applyBorder="1"/>
    <xf numFmtId="0" fontId="0" fillId="43" borderId="21" xfId="0" applyFill="1" applyBorder="1"/>
    <xf numFmtId="0" fontId="0" fillId="43" borderId="24" xfId="0" applyFill="1" applyBorder="1"/>
    <xf numFmtId="0" fontId="2" fillId="0" borderId="11" xfId="0" applyFont="1" applyBorder="1" applyAlignment="1">
      <alignment horizontal="center" wrapText="1"/>
    </xf>
    <xf numFmtId="0" fontId="2" fillId="0" borderId="28" xfId="0" applyFont="1" applyBorder="1"/>
    <xf numFmtId="6" fontId="0" fillId="0" borderId="0" xfId="0" applyNumberFormat="1" applyBorder="1"/>
    <xf numFmtId="6" fontId="0" fillId="0" borderId="18" xfId="0" applyNumberFormat="1" applyFill="1" applyBorder="1" applyAlignment="1">
      <alignment horizontal="right"/>
    </xf>
    <xf numFmtId="6" fontId="0" fillId="0" borderId="0" xfId="0" applyNumberFormat="1" applyFill="1" applyBorder="1"/>
    <xf numFmtId="0" fontId="0" fillId="0" borderId="0" xfId="0" applyAlignment="1">
      <alignment horizontal="left"/>
    </xf>
    <xf numFmtId="0" fontId="2" fillId="0" borderId="11" xfId="0" applyFont="1" applyBorder="1" applyAlignment="1">
      <alignment horizontal="left"/>
    </xf>
    <xf numFmtId="0" fontId="2" fillId="0" borderId="11" xfId="0" applyFont="1" applyBorder="1"/>
    <xf numFmtId="0" fontId="2" fillId="0" borderId="0" xfId="0" applyFont="1" applyFill="1" applyBorder="1"/>
    <xf numFmtId="38" fontId="0" fillId="0" borderId="0" xfId="0" applyNumberFormat="1" applyFill="1" applyBorder="1"/>
    <xf numFmtId="0" fontId="2" fillId="0" borderId="30" xfId="0" applyFont="1" applyFill="1" applyBorder="1"/>
    <xf numFmtId="0" fontId="2" fillId="0" borderId="11" xfId="0" applyFont="1" applyBorder="1" applyAlignment="1">
      <alignment horizontal="center"/>
    </xf>
    <xf numFmtId="0" fontId="0" fillId="0" borderId="11" xfId="0" applyBorder="1"/>
    <xf numFmtId="0" fontId="0" fillId="0" borderId="11" xfId="0" quotePrefix="1" applyBorder="1" applyAlignment="1">
      <alignment horizontal="center"/>
    </xf>
    <xf numFmtId="0" fontId="0" fillId="0" borderId="11" xfId="0" applyBorder="1" applyAlignment="1">
      <alignment horizontal="center"/>
    </xf>
    <xf numFmtId="6" fontId="1" fillId="0" borderId="0" xfId="0" applyNumberFormat="1" applyFont="1" applyBorder="1"/>
    <xf numFmtId="6" fontId="1" fillId="0" borderId="0" xfId="0" applyNumberFormat="1" applyFont="1" applyFill="1" applyBorder="1"/>
    <xf numFmtId="0" fontId="2" fillId="43" borderId="32" xfId="0" applyFont="1" applyFill="1" applyBorder="1"/>
    <xf numFmtId="164" fontId="0" fillId="0" borderId="15" xfId="0" applyNumberFormat="1" applyFill="1" applyBorder="1"/>
    <xf numFmtId="3" fontId="0" fillId="0" borderId="11" xfId="0" applyNumberFormat="1" applyBorder="1" applyAlignment="1">
      <alignment horizontal="center"/>
    </xf>
    <xf numFmtId="0" fontId="0" fillId="0" borderId="0" xfId="0" applyFill="1"/>
    <xf numFmtId="0" fontId="0" fillId="0" borderId="0" xfId="0" applyFill="1" applyAlignment="1">
      <alignment horizontal="left" indent="1"/>
    </xf>
    <xf numFmtId="164" fontId="0" fillId="0" borderId="0" xfId="0" applyNumberFormat="1"/>
    <xf numFmtId="6" fontId="0" fillId="0" borderId="0" xfId="0" applyNumberFormat="1"/>
    <xf numFmtId="6" fontId="0" fillId="0" borderId="33" xfId="0" applyNumberFormat="1" applyFill="1" applyBorder="1"/>
    <xf numFmtId="6" fontId="0" fillId="0" borderId="20" xfId="0" applyNumberFormat="1" applyFill="1" applyBorder="1" applyAlignment="1">
      <alignment horizontal="right"/>
    </xf>
    <xf numFmtId="6" fontId="0" fillId="0" borderId="34" xfId="0" applyNumberFormat="1" applyBorder="1"/>
    <xf numFmtId="6" fontId="4" fillId="43" borderId="35" xfId="0" applyNumberFormat="1" applyFont="1" applyFill="1" applyBorder="1"/>
    <xf numFmtId="6" fontId="0" fillId="43" borderId="35" xfId="0" applyNumberFormat="1" applyFill="1" applyBorder="1"/>
    <xf numFmtId="6" fontId="0" fillId="0" borderId="35" xfId="0" applyNumberFormat="1" applyFill="1" applyBorder="1"/>
    <xf numFmtId="6" fontId="0" fillId="43" borderId="35" xfId="0" applyNumberFormat="1" applyFill="1" applyBorder="1" applyAlignment="1">
      <alignment horizontal="right"/>
    </xf>
    <xf numFmtId="6" fontId="0" fillId="43" borderId="36" xfId="0" applyNumberFormat="1" applyFill="1" applyBorder="1" applyAlignment="1">
      <alignment horizontal="right"/>
    </xf>
    <xf numFmtId="6" fontId="0" fillId="43" borderId="37" xfId="0" applyNumberFormat="1" applyFill="1" applyBorder="1"/>
    <xf numFmtId="6" fontId="1" fillId="0" borderId="38" xfId="0" applyNumberFormat="1" applyFont="1" applyBorder="1"/>
    <xf numFmtId="164" fontId="3" fillId="0" borderId="0" xfId="0" applyNumberFormat="1" applyFont="1" applyBorder="1" applyAlignment="1">
      <alignment horizontal="left"/>
    </xf>
    <xf numFmtId="0" fontId="3" fillId="0" borderId="0" xfId="0" applyNumberFormat="1" applyFont="1" applyAlignment="1">
      <alignment horizontal="left"/>
    </xf>
    <xf numFmtId="0" fontId="3" fillId="0" borderId="0" xfId="0" applyFont="1" applyFill="1" applyAlignment="1">
      <alignment horizontal="left"/>
    </xf>
    <xf numFmtId="0" fontId="3" fillId="0" borderId="0" xfId="0" applyFont="1" applyAlignment="1">
      <alignment horizontal="left"/>
    </xf>
    <xf numFmtId="0" fontId="3" fillId="0" borderId="0" xfId="0" applyFont="1" applyBorder="1" applyAlignment="1">
      <alignment horizontal="left"/>
    </xf>
    <xf numFmtId="0" fontId="0" fillId="0" borderId="0" xfId="0" applyNumberFormat="1"/>
    <xf numFmtId="0" fontId="0" fillId="0" borderId="11" xfId="0" applyNumberFormat="1" applyBorder="1" applyAlignment="1">
      <alignment horizontal="center"/>
    </xf>
    <xf numFmtId="167" fontId="0" fillId="0" borderId="0" xfId="0" quotePrefix="1" applyNumberFormat="1" applyFill="1" applyBorder="1" applyAlignment="1">
      <alignment horizontal="center"/>
    </xf>
    <xf numFmtId="0" fontId="0" fillId="0" borderId="23" xfId="0" applyFill="1" applyBorder="1" applyAlignment="1"/>
    <xf numFmtId="43" fontId="0" fillId="0" borderId="0" xfId="0" applyNumberFormat="1" applyBorder="1"/>
    <xf numFmtId="0" fontId="0" fillId="0" borderId="11" xfId="0" applyFill="1" applyBorder="1"/>
    <xf numFmtId="0" fontId="2" fillId="0" borderId="11" xfId="0" applyFont="1" applyFill="1" applyBorder="1" applyAlignment="1">
      <alignment horizontal="left"/>
    </xf>
    <xf numFmtId="0" fontId="2" fillId="0" borderId="31" xfId="0" applyFont="1" applyFill="1" applyBorder="1"/>
    <xf numFmtId="0" fontId="3" fillId="0" borderId="0" xfId="0" applyFont="1" applyFill="1" applyBorder="1" applyAlignment="1">
      <alignment horizontal="left"/>
    </xf>
    <xf numFmtId="164" fontId="0" fillId="0" borderId="41" xfId="0" applyNumberFormat="1" applyBorder="1"/>
    <xf numFmtId="168" fontId="1" fillId="0" borderId="0" xfId="47" applyNumberFormat="1"/>
    <xf numFmtId="168" fontId="1" fillId="0" borderId="0" xfId="47" applyNumberFormat="1" applyFont="1"/>
    <xf numFmtId="44" fontId="1" fillId="0" borderId="0" xfId="47" applyFill="1"/>
    <xf numFmtId="165" fontId="0" fillId="0" borderId="0" xfId="0" applyNumberFormat="1" applyFill="1" applyBorder="1"/>
    <xf numFmtId="16" fontId="0" fillId="0" borderId="11" xfId="0" applyNumberFormat="1" applyBorder="1" applyAlignment="1">
      <alignment horizontal="center"/>
    </xf>
    <xf numFmtId="6" fontId="3" fillId="0" borderId="0" xfId="0" applyNumberFormat="1" applyFont="1" applyFill="1" applyBorder="1"/>
    <xf numFmtId="0" fontId="0" fillId="0" borderId="40" xfId="0" applyBorder="1"/>
    <xf numFmtId="0" fontId="0" fillId="0" borderId="14" xfId="0" applyFill="1" applyBorder="1" applyAlignment="1"/>
    <xf numFmtId="0" fontId="34" fillId="0" borderId="0" xfId="0" applyFont="1" applyFill="1" applyBorder="1"/>
    <xf numFmtId="0" fontId="2" fillId="0" borderId="11" xfId="0" applyFont="1" applyFill="1" applyBorder="1"/>
    <xf numFmtId="43" fontId="1" fillId="0" borderId="0" xfId="46" applyBorder="1"/>
    <xf numFmtId="0" fontId="25" fillId="0" borderId="0" xfId="60" applyFont="1"/>
    <xf numFmtId="0" fontId="25" fillId="0" borderId="0" xfId="60" applyFont="1" applyAlignment="1">
      <alignment horizontal="center"/>
    </xf>
    <xf numFmtId="0" fontId="2" fillId="0" borderId="0" xfId="0" applyFont="1" applyFill="1"/>
    <xf numFmtId="171" fontId="0" fillId="0" borderId="0" xfId="0" applyNumberFormat="1"/>
    <xf numFmtId="171" fontId="2" fillId="0" borderId="11" xfId="0" applyNumberFormat="1" applyFont="1" applyBorder="1" applyAlignment="1">
      <alignment horizontal="center"/>
    </xf>
    <xf numFmtId="0" fontId="2" fillId="0" borderId="11" xfId="0" applyFont="1" applyFill="1" applyBorder="1" applyAlignment="1">
      <alignment horizontal="center"/>
    </xf>
    <xf numFmtId="0" fontId="5" fillId="0" borderId="11" xfId="0" applyFont="1" applyFill="1" applyBorder="1" applyAlignment="1">
      <alignment wrapText="1"/>
    </xf>
    <xf numFmtId="0" fontId="0" fillId="0" borderId="11" xfId="0" applyFill="1" applyBorder="1" applyAlignment="1">
      <alignment horizontal="left" indent="1"/>
    </xf>
    <xf numFmtId="3" fontId="0" fillId="0" borderId="11" xfId="0" quotePrefix="1" applyNumberFormat="1" applyBorder="1" applyAlignment="1">
      <alignment horizontal="center"/>
    </xf>
    <xf numFmtId="0" fontId="0" fillId="0" borderId="0" xfId="0" applyAlignment="1"/>
    <xf numFmtId="0" fontId="0" fillId="0" borderId="0" xfId="0" applyAlignment="1">
      <alignment wrapText="1"/>
    </xf>
    <xf numFmtId="0" fontId="33" fillId="0" borderId="11" xfId="0" applyFont="1" applyFill="1" applyBorder="1"/>
    <xf numFmtId="166" fontId="33" fillId="0" borderId="11" xfId="0" applyNumberFormat="1" applyFont="1" applyFill="1" applyBorder="1"/>
    <xf numFmtId="172" fontId="33" fillId="0" borderId="61" xfId="0" applyNumberFormat="1" applyFont="1" applyFill="1" applyBorder="1"/>
    <xf numFmtId="0" fontId="33" fillId="0" borderId="61" xfId="0" applyFont="1" applyFill="1" applyBorder="1"/>
    <xf numFmtId="166" fontId="33" fillId="0" borderId="61" xfId="0" applyNumberFormat="1" applyFont="1" applyFill="1" applyBorder="1"/>
    <xf numFmtId="166" fontId="33" fillId="0" borderId="11" xfId="0" applyNumberFormat="1" applyFont="1" applyFill="1" applyBorder="1" applyAlignment="1"/>
    <xf numFmtId="0" fontId="33" fillId="0" borderId="0" xfId="0" applyFont="1" applyFill="1"/>
    <xf numFmtId="165" fontId="33" fillId="0" borderId="41" xfId="0" applyNumberFormat="1" applyFont="1" applyFill="1" applyBorder="1" applyAlignment="1"/>
    <xf numFmtId="166" fontId="33" fillId="0" borderId="41" xfId="0" applyNumberFormat="1" applyFont="1" applyFill="1" applyBorder="1" applyAlignment="1"/>
    <xf numFmtId="166" fontId="33" fillId="0" borderId="61" xfId="0" applyNumberFormat="1" applyFont="1" applyFill="1" applyBorder="1" applyAlignment="1">
      <alignment horizontal="right"/>
    </xf>
    <xf numFmtId="0" fontId="33" fillId="0" borderId="22" xfId="0" applyFont="1" applyFill="1" applyBorder="1" applyAlignment="1">
      <alignment horizontal="center"/>
    </xf>
    <xf numFmtId="172" fontId="33" fillId="0" borderId="11" xfId="46" applyNumberFormat="1" applyFont="1" applyFill="1" applyBorder="1" applyAlignment="1">
      <alignment horizontal="right" wrapText="1"/>
    </xf>
    <xf numFmtId="172" fontId="33" fillId="0" borderId="11" xfId="46" applyNumberFormat="1" applyFont="1" applyFill="1" applyBorder="1" applyAlignment="1">
      <alignment horizontal="right"/>
    </xf>
    <xf numFmtId="165" fontId="33" fillId="0" borderId="11" xfId="0" applyNumberFormat="1" applyFont="1" applyFill="1" applyBorder="1" applyAlignment="1"/>
    <xf numFmtId="0" fontId="33" fillId="0" borderId="11" xfId="0" applyFont="1" applyFill="1" applyBorder="1" applyAlignment="1">
      <alignment horizontal="center"/>
    </xf>
    <xf numFmtId="169" fontId="33" fillId="0" borderId="18" xfId="46" applyNumberFormat="1" applyFont="1" applyFill="1" applyBorder="1" applyAlignment="1">
      <alignment horizontal="right"/>
    </xf>
    <xf numFmtId="166" fontId="33" fillId="0" borderId="18" xfId="46" applyNumberFormat="1" applyFont="1" applyFill="1" applyBorder="1" applyAlignment="1">
      <alignment horizontal="right"/>
    </xf>
    <xf numFmtId="166" fontId="33" fillId="0" borderId="11" xfId="46" applyNumberFormat="1" applyFont="1" applyFill="1" applyBorder="1" applyAlignment="1">
      <alignment horizontal="right"/>
    </xf>
    <xf numFmtId="0" fontId="36" fillId="0" borderId="0" xfId="0" applyFont="1" applyFill="1"/>
    <xf numFmtId="0" fontId="34" fillId="0" borderId="0" xfId="0" applyFont="1" applyFill="1" applyAlignment="1">
      <alignment horizontal="left" indent="1"/>
    </xf>
    <xf numFmtId="0" fontId="34" fillId="0" borderId="0" xfId="0" applyFont="1" applyFill="1"/>
    <xf numFmtId="0" fontId="33" fillId="0" borderId="11" xfId="0" applyFont="1" applyFill="1" applyBorder="1" applyAlignment="1">
      <alignment horizontal="center" wrapText="1"/>
    </xf>
    <xf numFmtId="0" fontId="34" fillId="0" borderId="11" xfId="0" applyFont="1" applyFill="1" applyBorder="1"/>
    <xf numFmtId="172" fontId="34" fillId="0" borderId="11" xfId="0" quotePrefix="1" applyNumberFormat="1" applyFont="1" applyFill="1" applyBorder="1" applyAlignment="1">
      <alignment horizontal="center"/>
    </xf>
    <xf numFmtId="172" fontId="34" fillId="0" borderId="11" xfId="46" applyNumberFormat="1" applyFont="1" applyFill="1" applyBorder="1" applyAlignment="1">
      <alignment horizontal="right"/>
    </xf>
    <xf numFmtId="166" fontId="34" fillId="0" borderId="11" xfId="0" applyNumberFormat="1" applyFont="1" applyFill="1" applyBorder="1"/>
    <xf numFmtId="166" fontId="34" fillId="0" borderId="11" xfId="46" applyNumberFormat="1" applyFont="1" applyFill="1" applyBorder="1" applyAlignment="1">
      <alignment horizontal="right"/>
    </xf>
    <xf numFmtId="166" fontId="34" fillId="0" borderId="11" xfId="46" applyNumberFormat="1" applyFont="1" applyFill="1" applyBorder="1" applyAlignment="1">
      <alignment horizontal="right" wrapText="1"/>
    </xf>
    <xf numFmtId="172" fontId="34" fillId="0" borderId="11" xfId="0" applyNumberFormat="1" applyFont="1" applyFill="1" applyBorder="1"/>
    <xf numFmtId="172" fontId="33" fillId="0" borderId="61" xfId="0" quotePrefix="1" applyNumberFormat="1" applyFont="1" applyFill="1" applyBorder="1" applyAlignment="1">
      <alignment horizontal="center"/>
    </xf>
    <xf numFmtId="38" fontId="34" fillId="0" borderId="11" xfId="0" applyNumberFormat="1" applyFont="1" applyFill="1" applyBorder="1"/>
    <xf numFmtId="166" fontId="34" fillId="0" borderId="11" xfId="0" applyNumberFormat="1" applyFont="1" applyFill="1" applyBorder="1" applyAlignment="1"/>
    <xf numFmtId="0" fontId="33" fillId="0" borderId="61" xfId="0" applyFont="1" applyFill="1" applyBorder="1" applyAlignment="1">
      <alignment horizontal="center"/>
    </xf>
    <xf numFmtId="166" fontId="33" fillId="0" borderId="11" xfId="0" applyNumberFormat="1" applyFont="1" applyFill="1" applyBorder="1" applyAlignment="1">
      <alignment horizontal="center" wrapText="1"/>
    </xf>
    <xf numFmtId="166" fontId="33" fillId="0" borderId="11" xfId="0" applyNumberFormat="1" applyFont="1" applyFill="1" applyBorder="1" applyAlignment="1">
      <alignment horizontal="center"/>
    </xf>
    <xf numFmtId="166" fontId="33" fillId="0" borderId="61" xfId="0" applyNumberFormat="1" applyFont="1" applyFill="1" applyBorder="1" applyAlignment="1">
      <alignment horizontal="center"/>
    </xf>
    <xf numFmtId="0" fontId="34" fillId="0" borderId="61" xfId="0" applyFont="1" applyFill="1" applyBorder="1"/>
    <xf numFmtId="172" fontId="34" fillId="0" borderId="61" xfId="0" applyNumberFormat="1" applyFont="1" applyFill="1" applyBorder="1"/>
    <xf numFmtId="172" fontId="34" fillId="0" borderId="61" xfId="46" applyNumberFormat="1" applyFont="1" applyFill="1" applyBorder="1" applyAlignment="1">
      <alignment horizontal="right"/>
    </xf>
    <xf numFmtId="166" fontId="34" fillId="0" borderId="61" xfId="0" applyNumberFormat="1" applyFont="1" applyFill="1" applyBorder="1"/>
    <xf numFmtId="0" fontId="33" fillId="0" borderId="62" xfId="0" applyFont="1" applyFill="1" applyBorder="1"/>
    <xf numFmtId="0" fontId="33" fillId="0" borderId="41" xfId="0" applyFont="1" applyFill="1" applyBorder="1"/>
    <xf numFmtId="38" fontId="34" fillId="0" borderId="41" xfId="0" applyNumberFormat="1" applyFont="1" applyFill="1" applyBorder="1"/>
    <xf numFmtId="166" fontId="34" fillId="0" borderId="41" xfId="0" applyNumberFormat="1" applyFont="1" applyFill="1" applyBorder="1"/>
    <xf numFmtId="166" fontId="34" fillId="0" borderId="41" xfId="0" applyNumberFormat="1" applyFont="1" applyFill="1" applyBorder="1" applyAlignment="1"/>
    <xf numFmtId="166" fontId="33" fillId="0" borderId="41" xfId="0" applyNumberFormat="1" applyFont="1" applyFill="1" applyBorder="1"/>
    <xf numFmtId="170" fontId="34" fillId="0" borderId="18" xfId="46" applyNumberFormat="1" applyFont="1" applyFill="1" applyBorder="1" applyAlignment="1">
      <alignment horizontal="right"/>
    </xf>
    <xf numFmtId="0" fontId="34" fillId="0" borderId="18" xfId="0" applyFont="1" applyFill="1" applyBorder="1"/>
    <xf numFmtId="166" fontId="34" fillId="0" borderId="18" xfId="46" applyNumberFormat="1" applyFont="1" applyFill="1" applyBorder="1" applyAlignment="1">
      <alignment horizontal="right"/>
    </xf>
    <xf numFmtId="166" fontId="34" fillId="0" borderId="18" xfId="0" applyNumberFormat="1" applyFont="1" applyFill="1" applyBorder="1"/>
    <xf numFmtId="166" fontId="34" fillId="0" borderId="20" xfId="0" applyNumberFormat="1" applyFont="1" applyFill="1" applyBorder="1"/>
    <xf numFmtId="0" fontId="34" fillId="0" borderId="11" xfId="0" applyFont="1" applyFill="1" applyBorder="1" applyAlignment="1">
      <alignment wrapText="1" shrinkToFit="1"/>
    </xf>
    <xf numFmtId="170" fontId="34" fillId="0" borderId="11" xfId="46" applyNumberFormat="1" applyFont="1" applyFill="1" applyBorder="1" applyAlignment="1">
      <alignment horizontal="right"/>
    </xf>
    <xf numFmtId="169" fontId="33" fillId="0" borderId="11" xfId="46" applyNumberFormat="1" applyFont="1" applyFill="1" applyBorder="1" applyAlignment="1">
      <alignment horizontal="right"/>
    </xf>
    <xf numFmtId="172" fontId="33" fillId="0" borderId="11" xfId="0" applyNumberFormat="1" applyFont="1" applyFill="1" applyBorder="1"/>
    <xf numFmtId="172" fontId="33" fillId="0" borderId="61" xfId="0" applyNumberFormat="1" applyFont="1" applyFill="1" applyBorder="1" applyAlignment="1">
      <alignment horizontal="right"/>
    </xf>
    <xf numFmtId="0" fontId="33" fillId="0" borderId="0" xfId="0" applyFont="1" applyFill="1" applyBorder="1"/>
    <xf numFmtId="38" fontId="34" fillId="0" borderId="0" xfId="0" applyNumberFormat="1" applyFont="1" applyFill="1" applyBorder="1" applyAlignment="1"/>
    <xf numFmtId="165" fontId="34" fillId="0" borderId="0" xfId="0" applyNumberFormat="1" applyFont="1" applyFill="1" applyBorder="1" applyAlignment="1"/>
    <xf numFmtId="0" fontId="34" fillId="0" borderId="22" xfId="0" applyFont="1" applyFill="1" applyBorder="1"/>
    <xf numFmtId="166" fontId="34" fillId="0" borderId="11" xfId="0" quotePrefix="1" applyNumberFormat="1" applyFont="1" applyFill="1" applyBorder="1" applyAlignment="1">
      <alignment horizontal="center"/>
    </xf>
    <xf numFmtId="172" fontId="33" fillId="0" borderId="0" xfId="0" applyNumberFormat="1" applyFont="1" applyFill="1" applyBorder="1" applyAlignment="1">
      <alignment horizontal="right"/>
    </xf>
    <xf numFmtId="172" fontId="33" fillId="0" borderId="0" xfId="0" applyNumberFormat="1" applyFont="1" applyFill="1" applyBorder="1" applyAlignment="1">
      <alignment horizontal="center"/>
    </xf>
    <xf numFmtId="0" fontId="36" fillId="0" borderId="0" xfId="0" applyFont="1" applyFill="1" applyBorder="1"/>
    <xf numFmtId="38" fontId="37" fillId="0" borderId="0" xfId="0" applyNumberFormat="1" applyFont="1" applyFill="1" applyBorder="1" applyAlignment="1"/>
    <xf numFmtId="165" fontId="37" fillId="0" borderId="0" xfId="0" applyNumberFormat="1" applyFont="1" applyFill="1" applyBorder="1" applyAlignment="1"/>
    <xf numFmtId="0" fontId="37" fillId="0" borderId="0" xfId="0" applyFont="1" applyFill="1"/>
    <xf numFmtId="167" fontId="1" fillId="0" borderId="50" xfId="63" applyNumberFormat="1" applyFill="1" applyBorder="1" applyAlignment="1">
      <alignment vertical="center"/>
    </xf>
    <xf numFmtId="166" fontId="38" fillId="0" borderId="11" xfId="0" applyNumberFormat="1" applyFont="1" applyFill="1" applyBorder="1"/>
    <xf numFmtId="166" fontId="38" fillId="0" borderId="11" xfId="46" applyNumberFormat="1" applyFont="1" applyBorder="1" applyAlignment="1">
      <alignment horizontal="right"/>
    </xf>
    <xf numFmtId="172" fontId="33" fillId="0" borderId="11" xfId="0" applyNumberFormat="1" applyFont="1" applyFill="1" applyBorder="1" applyAlignment="1">
      <alignment horizontal="right"/>
    </xf>
    <xf numFmtId="0" fontId="0" fillId="0" borderId="11" xfId="0" applyFill="1" applyBorder="1" applyAlignment="1">
      <alignment horizontal="center"/>
    </xf>
    <xf numFmtId="0" fontId="0" fillId="0" borderId="0" xfId="0" applyAlignment="1">
      <alignment horizontal="center"/>
    </xf>
    <xf numFmtId="0" fontId="0" fillId="0" borderId="0" xfId="0" applyAlignment="1">
      <alignment horizontal="center" wrapText="1"/>
    </xf>
    <xf numFmtId="171" fontId="0" fillId="0" borderId="11" xfId="0" applyNumberFormat="1" applyBorder="1" applyAlignment="1">
      <alignment horizontal="center"/>
    </xf>
    <xf numFmtId="3" fontId="0" fillId="0" borderId="11" xfId="0" applyNumberFormat="1" applyFill="1" applyBorder="1" applyAlignment="1">
      <alignment horizontal="center"/>
    </xf>
    <xf numFmtId="0" fontId="0" fillId="0" borderId="11" xfId="0" applyNumberFormat="1" applyFill="1" applyBorder="1" applyAlignment="1">
      <alignment horizontal="center"/>
    </xf>
    <xf numFmtId="167" fontId="1" fillId="0" borderId="19" xfId="63" applyNumberFormat="1" applyFont="1" applyFill="1" applyBorder="1"/>
    <xf numFmtId="166" fontId="34" fillId="0" borderId="11" xfId="0" quotePrefix="1" applyNumberFormat="1" applyFont="1" applyFill="1" applyBorder="1" applyAlignment="1">
      <alignment horizontal="right"/>
    </xf>
    <xf numFmtId="42" fontId="25" fillId="0" borderId="50" xfId="60" applyNumberFormat="1" applyFont="1" applyBorder="1"/>
    <xf numFmtId="6" fontId="0" fillId="0" borderId="34" xfId="0" applyNumberFormat="1" applyFill="1" applyBorder="1"/>
    <xf numFmtId="6" fontId="0" fillId="0" borderId="64" xfId="0" applyNumberFormat="1" applyFill="1" applyBorder="1"/>
    <xf numFmtId="166" fontId="34" fillId="0" borderId="11" xfId="46" applyNumberFormat="1" applyFont="1" applyFill="1" applyBorder="1" applyAlignment="1"/>
    <xf numFmtId="166" fontId="34" fillId="0" borderId="11" xfId="46" applyNumberFormat="1" applyFont="1" applyFill="1" applyBorder="1" applyAlignment="1">
      <alignment wrapText="1"/>
    </xf>
    <xf numFmtId="166" fontId="33" fillId="0" borderId="11" xfId="0" applyNumberFormat="1" applyFont="1" applyFill="1" applyBorder="1" applyAlignment="1">
      <alignment horizontal="right"/>
    </xf>
    <xf numFmtId="0" fontId="25" fillId="0" borderId="32" xfId="60" applyFont="1" applyBorder="1" applyAlignment="1">
      <alignment horizontal="center"/>
    </xf>
    <xf numFmtId="0" fontId="25" fillId="0" borderId="65" xfId="60" applyFont="1" applyBorder="1" applyAlignment="1">
      <alignment horizontal="center"/>
    </xf>
    <xf numFmtId="0" fontId="25" fillId="0" borderId="66" xfId="60" applyFont="1" applyBorder="1" applyAlignment="1">
      <alignment horizontal="center"/>
    </xf>
    <xf numFmtId="167" fontId="1" fillId="0" borderId="11" xfId="63" applyNumberFormat="1" applyFill="1" applyBorder="1"/>
    <xf numFmtId="172" fontId="38" fillId="0" borderId="11" xfId="46" applyNumberFormat="1" applyFont="1" applyBorder="1" applyAlignment="1">
      <alignment horizontal="right"/>
    </xf>
    <xf numFmtId="0" fontId="2" fillId="0" borderId="20" xfId="0" applyFont="1" applyBorder="1" applyAlignment="1">
      <alignment horizontal="center"/>
    </xf>
    <xf numFmtId="0" fontId="2" fillId="0" borderId="18" xfId="0" applyFont="1" applyBorder="1" applyAlignment="1">
      <alignment horizontal="center"/>
    </xf>
    <xf numFmtId="172" fontId="34" fillId="0" borderId="11" xfId="46" applyNumberFormat="1" applyFont="1" applyBorder="1" applyAlignment="1">
      <alignment horizontal="right"/>
    </xf>
    <xf numFmtId="0" fontId="39" fillId="0" borderId="0" xfId="0" applyFont="1"/>
    <xf numFmtId="0" fontId="2" fillId="0" borderId="0" xfId="0" applyFont="1"/>
    <xf numFmtId="0" fontId="2" fillId="0" borderId="61" xfId="0" applyFont="1" applyBorder="1" applyAlignment="1">
      <alignment horizontal="center" wrapText="1"/>
    </xf>
    <xf numFmtId="3" fontId="0" fillId="0" borderId="0" xfId="0" applyNumberFormat="1" applyFill="1" applyBorder="1"/>
    <xf numFmtId="166" fontId="1" fillId="0" borderId="0" xfId="0" applyNumberFormat="1" applyFont="1" applyFill="1" applyBorder="1" applyAlignment="1"/>
    <xf numFmtId="3" fontId="0" fillId="0" borderId="64" xfId="0" applyNumberFormat="1" applyBorder="1"/>
    <xf numFmtId="166" fontId="0" fillId="0" borderId="0" xfId="0" applyNumberFormat="1" applyBorder="1"/>
    <xf numFmtId="38" fontId="0" fillId="0" borderId="45" xfId="0" applyNumberFormat="1" applyBorder="1"/>
    <xf numFmtId="38" fontId="0" fillId="0" borderId="45" xfId="0" applyNumberFormat="1" applyBorder="1" applyAlignment="1">
      <alignment horizontal="right"/>
    </xf>
    <xf numFmtId="3" fontId="0" fillId="0" borderId="29" xfId="0" applyNumberFormat="1" applyFill="1" applyBorder="1"/>
    <xf numFmtId="166" fontId="0" fillId="0" borderId="29" xfId="0" applyNumberFormat="1" applyFill="1" applyBorder="1" applyAlignment="1">
      <alignment horizontal="right"/>
    </xf>
    <xf numFmtId="3" fontId="0" fillId="0" borderId="69" xfId="0" applyNumberFormat="1" applyFill="1" applyBorder="1"/>
    <xf numFmtId="165" fontId="0" fillId="0" borderId="29" xfId="0" applyNumberFormat="1" applyBorder="1"/>
    <xf numFmtId="166" fontId="0" fillId="0" borderId="29" xfId="0" applyNumberFormat="1" applyFill="1" applyBorder="1"/>
    <xf numFmtId="38" fontId="0" fillId="0" borderId="70" xfId="0" applyNumberFormat="1" applyFill="1" applyBorder="1"/>
    <xf numFmtId="3" fontId="2" fillId="0" borderId="18" xfId="0" applyNumberFormat="1" applyFont="1" applyBorder="1" applyAlignment="1">
      <alignment horizontal="center" wrapText="1"/>
    </xf>
    <xf numFmtId="3" fontId="2" fillId="0" borderId="61" xfId="0" applyNumberFormat="1" applyFont="1" applyBorder="1" applyAlignment="1">
      <alignment horizontal="center" wrapText="1"/>
    </xf>
    <xf numFmtId="3" fontId="2" fillId="0" borderId="21" xfId="0" applyNumberFormat="1" applyFont="1" applyBorder="1" applyAlignment="1">
      <alignment horizontal="center" wrapText="1"/>
    </xf>
    <xf numFmtId="38" fontId="2" fillId="0" borderId="20" xfId="0" applyNumberFormat="1" applyFont="1" applyFill="1" applyBorder="1" applyAlignment="1">
      <alignment horizontal="center"/>
    </xf>
    <xf numFmtId="3" fontId="1" fillId="0" borderId="0" xfId="0" applyNumberFormat="1" applyFont="1" applyFill="1" applyBorder="1" applyAlignment="1"/>
    <xf numFmtId="3" fontId="1" fillId="0" borderId="64" xfId="0" applyNumberFormat="1" applyFont="1" applyBorder="1" applyAlignment="1"/>
    <xf numFmtId="166" fontId="1" fillId="0" borderId="0" xfId="0" applyNumberFormat="1" applyFont="1" applyBorder="1" applyAlignment="1"/>
    <xf numFmtId="38" fontId="0" fillId="0" borderId="40" xfId="0" applyNumberFormat="1" applyBorder="1" applyAlignment="1"/>
    <xf numFmtId="38" fontId="0" fillId="0" borderId="62" xfId="0" applyNumberFormat="1" applyFill="1" applyBorder="1"/>
    <xf numFmtId="3" fontId="0" fillId="0" borderId="73" xfId="0" applyNumberFormat="1" applyFill="1" applyBorder="1"/>
    <xf numFmtId="166" fontId="0" fillId="0" borderId="73" xfId="0" applyNumberFormat="1" applyFill="1" applyBorder="1"/>
    <xf numFmtId="3" fontId="0" fillId="0" borderId="71" xfId="0" applyNumberFormat="1" applyBorder="1"/>
    <xf numFmtId="165" fontId="0" fillId="0" borderId="75" xfId="0" applyNumberFormat="1" applyBorder="1"/>
    <xf numFmtId="166" fontId="0" fillId="0" borderId="73" xfId="0" applyNumberFormat="1" applyBorder="1"/>
    <xf numFmtId="38" fontId="0" fillId="0" borderId="64" xfId="0" applyNumberFormat="1" applyFill="1" applyBorder="1"/>
    <xf numFmtId="0" fontId="0" fillId="0" borderId="59" xfId="0" applyBorder="1"/>
    <xf numFmtId="38" fontId="0" fillId="0" borderId="0" xfId="0" applyNumberFormat="1"/>
    <xf numFmtId="38" fontId="2" fillId="0" borderId="0" xfId="0" applyNumberFormat="1" applyFont="1" applyBorder="1" applyAlignment="1"/>
    <xf numFmtId="0" fontId="2" fillId="0" borderId="0" xfId="0" applyFont="1" applyBorder="1" applyAlignment="1"/>
    <xf numFmtId="38" fontId="2" fillId="0" borderId="20" xfId="0" applyNumberFormat="1" applyFont="1" applyBorder="1" applyAlignment="1">
      <alignment horizontal="center" wrapText="1"/>
    </xf>
    <xf numFmtId="0" fontId="2" fillId="0" borderId="62" xfId="0" applyFont="1" applyBorder="1" applyAlignment="1">
      <alignment horizontal="center" wrapText="1"/>
    </xf>
    <xf numFmtId="38" fontId="2" fillId="0" borderId="20" xfId="0" applyNumberFormat="1" applyFont="1" applyBorder="1" applyAlignment="1">
      <alignment horizontal="center"/>
    </xf>
    <xf numFmtId="3" fontId="0" fillId="0" borderId="64" xfId="0" applyNumberFormat="1" applyFill="1" applyBorder="1"/>
    <xf numFmtId="165" fontId="0" fillId="0" borderId="41" xfId="0" applyNumberFormat="1" applyBorder="1"/>
    <xf numFmtId="3" fontId="0" fillId="0" borderId="62" xfId="0" applyNumberFormat="1" applyBorder="1"/>
    <xf numFmtId="166" fontId="0" fillId="0" borderId="0" xfId="0" applyNumberFormat="1" applyBorder="1" applyAlignment="1">
      <alignment horizontal="right"/>
    </xf>
    <xf numFmtId="3" fontId="0" fillId="0" borderId="77" xfId="0" applyNumberFormat="1" applyBorder="1"/>
    <xf numFmtId="165" fontId="0" fillId="0" borderId="21" xfId="0" applyNumberFormat="1" applyBorder="1"/>
    <xf numFmtId="3" fontId="0" fillId="0" borderId="71" xfId="0" applyNumberFormat="1" applyFill="1" applyBorder="1"/>
    <xf numFmtId="3" fontId="2" fillId="0" borderId="61" xfId="0" applyNumberFormat="1" applyFont="1" applyFill="1" applyBorder="1" applyAlignment="1">
      <alignment horizontal="center" wrapText="1"/>
    </xf>
    <xf numFmtId="3" fontId="1" fillId="0" borderId="62" xfId="0" applyNumberFormat="1" applyFont="1" applyBorder="1" applyAlignment="1"/>
    <xf numFmtId="3" fontId="1" fillId="0" borderId="69" xfId="0" applyNumberFormat="1" applyFont="1" applyBorder="1" applyAlignment="1"/>
    <xf numFmtId="166" fontId="1" fillId="0" borderId="29" xfId="0" applyNumberFormat="1" applyFont="1" applyBorder="1" applyAlignment="1"/>
    <xf numFmtId="3" fontId="0" fillId="0" borderId="0" xfId="0" applyNumberFormat="1" applyBorder="1"/>
    <xf numFmtId="0" fontId="40" fillId="0" borderId="0" xfId="0" applyFont="1" applyAlignment="1" applyProtection="1">
      <alignment wrapText="1"/>
    </xf>
    <xf numFmtId="0" fontId="40" fillId="0" borderId="0" xfId="0" applyFont="1" applyProtection="1"/>
    <xf numFmtId="0" fontId="3" fillId="0" borderId="0" xfId="0" applyFont="1"/>
    <xf numFmtId="0" fontId="3" fillId="0" borderId="0" xfId="0" applyNumberFormat="1" applyFont="1"/>
    <xf numFmtId="0" fontId="41" fillId="0" borderId="0" xfId="0" applyFont="1" applyAlignment="1">
      <alignment wrapText="1"/>
    </xf>
    <xf numFmtId="0" fontId="3" fillId="0" borderId="0" xfId="0" applyFont="1" applyAlignment="1">
      <alignment horizontal="left" indent="1"/>
    </xf>
    <xf numFmtId="0" fontId="41" fillId="0" borderId="0" xfId="0" applyFont="1"/>
    <xf numFmtId="0" fontId="3" fillId="0" borderId="0" xfId="0" applyFont="1" applyFill="1" applyBorder="1"/>
    <xf numFmtId="3" fontId="0" fillId="0" borderId="11" xfId="0" applyNumberFormat="1" applyBorder="1"/>
    <xf numFmtId="166" fontId="0" fillId="0" borderId="11" xfId="0" applyNumberFormat="1" applyFill="1" applyBorder="1" applyAlignment="1">
      <alignment horizontal="right"/>
    </xf>
    <xf numFmtId="3" fontId="0" fillId="0" borderId="11" xfId="0" applyNumberFormat="1" applyFill="1" applyBorder="1"/>
    <xf numFmtId="0" fontId="0" fillId="0" borderId="11" xfId="0" applyBorder="1" applyAlignment="1">
      <alignment wrapText="1"/>
    </xf>
    <xf numFmtId="0" fontId="0" fillId="0" borderId="11" xfId="0" applyBorder="1" applyAlignment="1">
      <alignment horizontal="right"/>
    </xf>
    <xf numFmtId="3" fontId="0" fillId="0" borderId="11" xfId="0" applyNumberFormat="1" applyBorder="1" applyAlignment="1">
      <alignment wrapText="1"/>
    </xf>
    <xf numFmtId="0" fontId="2" fillId="0" borderId="50" xfId="0" applyFont="1" applyBorder="1" applyAlignment="1">
      <alignment horizontal="center"/>
    </xf>
    <xf numFmtId="0" fontId="2" fillId="0" borderId="50" xfId="0" applyFont="1" applyBorder="1"/>
    <xf numFmtId="0" fontId="0" fillId="0" borderId="0" xfId="0" applyNumberFormat="1" applyAlignment="1">
      <alignment horizontal="left" wrapText="1"/>
    </xf>
    <xf numFmtId="0" fontId="0" fillId="0" borderId="0" xfId="0"/>
    <xf numFmtId="3" fontId="0" fillId="0" borderId="62" xfId="0" applyNumberFormat="1" applyFill="1" applyBorder="1"/>
    <xf numFmtId="3" fontId="0" fillId="0" borderId="77" xfId="0" applyNumberFormat="1" applyFill="1" applyBorder="1"/>
    <xf numFmtId="3" fontId="1" fillId="0" borderId="64" xfId="0" applyNumberFormat="1" applyFont="1" applyFill="1" applyBorder="1" applyAlignment="1"/>
    <xf numFmtId="0" fontId="1" fillId="0" borderId="0" xfId="0" applyFont="1"/>
    <xf numFmtId="0" fontId="0" fillId="0" borderId="0" xfId="0"/>
    <xf numFmtId="0" fontId="1" fillId="0" borderId="0" xfId="0" applyFont="1" applyFill="1"/>
    <xf numFmtId="166"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0" fontId="0" fillId="0" borderId="0" xfId="0" applyAlignment="1">
      <alignment vertical="top" wrapText="1"/>
    </xf>
    <xf numFmtId="0" fontId="0" fillId="0" borderId="0" xfId="0"/>
    <xf numFmtId="0" fontId="1" fillId="0" borderId="11" xfId="0" applyFont="1" applyFill="1" applyBorder="1" applyAlignment="1">
      <alignment horizontal="center"/>
    </xf>
    <xf numFmtId="166" fontId="0" fillId="0" borderId="11" xfId="0" applyNumberFormat="1" applyFill="1" applyBorder="1"/>
    <xf numFmtId="3" fontId="1" fillId="0" borderId="11" xfId="0" applyNumberFormat="1" applyFont="1" applyFill="1" applyBorder="1" applyAlignment="1">
      <alignment horizontal="center"/>
    </xf>
    <xf numFmtId="0" fontId="2" fillId="0" borderId="0" xfId="107" applyFont="1" applyFill="1"/>
    <xf numFmtId="0" fontId="1" fillId="0" borderId="0" xfId="107" applyFill="1"/>
    <xf numFmtId="0" fontId="2" fillId="0" borderId="55" xfId="107" applyFont="1" applyFill="1" applyBorder="1"/>
    <xf numFmtId="0" fontId="2" fillId="0" borderId="26" xfId="107" applyFont="1" applyFill="1" applyBorder="1"/>
    <xf numFmtId="0" fontId="1" fillId="0" borderId="26" xfId="107" applyFill="1" applyBorder="1"/>
    <xf numFmtId="0" fontId="1" fillId="0" borderId="44" xfId="107" applyFill="1" applyBorder="1"/>
    <xf numFmtId="0" fontId="1" fillId="0" borderId="48" xfId="107" applyFill="1" applyBorder="1"/>
    <xf numFmtId="0" fontId="2" fillId="0" borderId="56" xfId="107" applyFont="1" applyFill="1" applyBorder="1"/>
    <xf numFmtId="0" fontId="2" fillId="0" borderId="18" xfId="107" applyFont="1" applyFill="1" applyBorder="1"/>
    <xf numFmtId="0" fontId="2" fillId="0" borderId="21" xfId="107" applyFont="1" applyFill="1" applyBorder="1"/>
    <xf numFmtId="0" fontId="1" fillId="0" borderId="21" xfId="107" applyFill="1" applyBorder="1"/>
    <xf numFmtId="0" fontId="1" fillId="0" borderId="18" xfId="107" applyFill="1" applyBorder="1"/>
    <xf numFmtId="0" fontId="1" fillId="0" borderId="20" xfId="107" applyFill="1" applyBorder="1"/>
    <xf numFmtId="0" fontId="2" fillId="0" borderId="42" xfId="107" applyFont="1" applyFill="1" applyBorder="1" applyAlignment="1">
      <alignment horizontal="center"/>
    </xf>
    <xf numFmtId="0" fontId="2" fillId="0" borderId="24" xfId="107" applyFont="1" applyFill="1" applyBorder="1" applyAlignment="1">
      <alignment horizontal="center" wrapText="1"/>
    </xf>
    <xf numFmtId="0" fontId="2" fillId="0" borderId="42" xfId="107" applyFont="1" applyFill="1" applyBorder="1" applyAlignment="1">
      <alignment horizontal="center" wrapText="1"/>
    </xf>
    <xf numFmtId="0" fontId="2" fillId="0" borderId="21" xfId="107" applyFont="1" applyFill="1" applyBorder="1" applyAlignment="1">
      <alignment horizontal="center"/>
    </xf>
    <xf numFmtId="0" fontId="2" fillId="0" borderId="11" xfId="107" applyFont="1" applyFill="1" applyBorder="1" applyAlignment="1">
      <alignment horizontal="center" wrapText="1"/>
    </xf>
    <xf numFmtId="0" fontId="5" fillId="0" borderId="43" xfId="107" applyFont="1" applyFill="1" applyBorder="1" applyAlignment="1">
      <alignment wrapText="1"/>
    </xf>
    <xf numFmtId="0" fontId="5" fillId="0" borderId="13" xfId="107" applyFont="1" applyFill="1" applyBorder="1" applyAlignment="1">
      <alignment wrapText="1"/>
    </xf>
    <xf numFmtId="6" fontId="1" fillId="0" borderId="0" xfId="107" applyNumberFormat="1" applyFill="1" applyBorder="1"/>
    <xf numFmtId="0" fontId="2" fillId="0" borderId="19" xfId="107" applyFont="1" applyFill="1" applyBorder="1" applyAlignment="1">
      <alignment horizontal="center" wrapText="1"/>
    </xf>
    <xf numFmtId="0" fontId="1" fillId="0" borderId="19" xfId="107" applyFill="1" applyBorder="1"/>
    <xf numFmtId="0" fontId="1" fillId="0" borderId="39" xfId="107" applyFill="1" applyBorder="1" applyAlignment="1">
      <alignment horizontal="left" indent="1"/>
    </xf>
    <xf numFmtId="6" fontId="1" fillId="0" borderId="43" xfId="107" applyNumberFormat="1" applyFill="1" applyBorder="1"/>
    <xf numFmtId="6" fontId="1" fillId="0" borderId="19" xfId="107" applyNumberFormat="1" applyFill="1" applyBorder="1"/>
    <xf numFmtId="6" fontId="1" fillId="0" borderId="19" xfId="107" applyNumberFormat="1" applyFont="1" applyFill="1" applyBorder="1" applyAlignment="1">
      <alignment horizontal="right"/>
    </xf>
    <xf numFmtId="167" fontId="1" fillId="0" borderId="19" xfId="107" applyNumberFormat="1" applyFont="1" applyFill="1" applyBorder="1" applyAlignment="1">
      <alignment horizontal="right"/>
    </xf>
    <xf numFmtId="0" fontId="1" fillId="0" borderId="39" xfId="107" applyFont="1" applyFill="1" applyBorder="1" applyAlignment="1">
      <alignment horizontal="left" indent="1"/>
    </xf>
    <xf numFmtId="0" fontId="2" fillId="0" borderId="51" xfId="107" applyFont="1" applyFill="1" applyBorder="1"/>
    <xf numFmtId="6" fontId="1" fillId="0" borderId="42" xfId="107" applyNumberFormat="1" applyFill="1" applyBorder="1"/>
    <xf numFmtId="6" fontId="1" fillId="0" borderId="18" xfId="107" applyNumberFormat="1" applyFont="1" applyFill="1" applyBorder="1"/>
    <xf numFmtId="6" fontId="1" fillId="0" borderId="11" xfId="107" applyNumberFormat="1" applyFill="1" applyBorder="1"/>
    <xf numFmtId="167" fontId="1" fillId="0" borderId="11" xfId="107" applyNumberFormat="1" applyFont="1" applyFill="1" applyBorder="1" applyAlignment="1">
      <alignment horizontal="right"/>
    </xf>
    <xf numFmtId="0" fontId="1" fillId="0" borderId="47" xfId="107" applyBorder="1"/>
    <xf numFmtId="0" fontId="1" fillId="0" borderId="13" xfId="107" applyBorder="1"/>
    <xf numFmtId="0" fontId="1" fillId="0" borderId="43" xfId="107" applyBorder="1"/>
    <xf numFmtId="0" fontId="1" fillId="0" borderId="0" xfId="107"/>
    <xf numFmtId="0" fontId="1" fillId="0" borderId="40" xfId="107" applyBorder="1"/>
    <xf numFmtId="0" fontId="1" fillId="0" borderId="40" xfId="107" applyFill="1" applyBorder="1"/>
    <xf numFmtId="0" fontId="1" fillId="0" borderId="19" xfId="107" applyBorder="1"/>
    <xf numFmtId="0" fontId="1" fillId="0" borderId="43" xfId="107" applyFill="1" applyBorder="1" applyAlignment="1">
      <alignment horizontal="left" indent="1"/>
    </xf>
    <xf numFmtId="6" fontId="1" fillId="0" borderId="0" xfId="107" applyNumberFormat="1" applyFill="1"/>
    <xf numFmtId="6" fontId="1" fillId="0" borderId="50" xfId="107" applyNumberFormat="1" applyFill="1" applyBorder="1"/>
    <xf numFmtId="0" fontId="2" fillId="0" borderId="42" xfId="107" applyFont="1" applyFill="1" applyBorder="1"/>
    <xf numFmtId="0" fontId="2" fillId="0" borderId="43" xfId="107" applyFont="1" applyFill="1" applyBorder="1"/>
    <xf numFmtId="0" fontId="2" fillId="0" borderId="13" xfId="107" applyFont="1" applyFill="1" applyBorder="1"/>
    <xf numFmtId="6" fontId="1" fillId="0" borderId="0" xfId="107" applyNumberFormat="1" applyFont="1" applyFill="1" applyBorder="1"/>
    <xf numFmtId="6" fontId="1" fillId="0" borderId="43" xfId="107" applyNumberFormat="1" applyFill="1" applyBorder="1" applyAlignment="1">
      <alignment vertical="center"/>
    </xf>
    <xf numFmtId="6" fontId="1" fillId="0" borderId="19" xfId="107" applyNumberFormat="1" applyFill="1" applyBorder="1" applyAlignment="1">
      <alignment vertical="center"/>
    </xf>
    <xf numFmtId="6" fontId="1" fillId="0" borderId="50" xfId="107" applyNumberFormat="1" applyFill="1" applyBorder="1" applyAlignment="1">
      <alignment horizontal="right" vertical="center"/>
    </xf>
    <xf numFmtId="0" fontId="1" fillId="0" borderId="13" xfId="107" applyFill="1" applyBorder="1" applyAlignment="1">
      <alignment horizontal="left" indent="1"/>
    </xf>
    <xf numFmtId="6" fontId="1" fillId="0" borderId="40" xfId="107" applyNumberFormat="1" applyFill="1" applyBorder="1"/>
    <xf numFmtId="6" fontId="1" fillId="0" borderId="40" xfId="107" applyNumberFormat="1" applyFont="1" applyFill="1" applyBorder="1" applyAlignment="1">
      <alignment horizontal="right"/>
    </xf>
    <xf numFmtId="6" fontId="1" fillId="0" borderId="19" xfId="107" applyNumberFormat="1" applyFill="1" applyBorder="1" applyAlignment="1">
      <alignment horizontal="right" vertical="center"/>
    </xf>
    <xf numFmtId="167" fontId="1" fillId="0" borderId="19" xfId="107" applyNumberFormat="1" applyFill="1" applyBorder="1" applyAlignment="1">
      <alignment vertical="center"/>
    </xf>
    <xf numFmtId="6" fontId="1" fillId="0" borderId="50" xfId="107" applyNumberFormat="1" applyFill="1" applyBorder="1" applyAlignment="1">
      <alignment vertical="center"/>
    </xf>
    <xf numFmtId="167" fontId="1" fillId="0" borderId="50" xfId="107" applyNumberFormat="1" applyFill="1" applyBorder="1" applyAlignment="1">
      <alignment vertical="center"/>
    </xf>
    <xf numFmtId="167" fontId="1" fillId="0" borderId="11" xfId="107" applyNumberFormat="1" applyFill="1" applyBorder="1"/>
    <xf numFmtId="6" fontId="1" fillId="0" borderId="45" xfId="107" applyNumberFormat="1" applyFill="1" applyBorder="1"/>
    <xf numFmtId="6" fontId="1" fillId="0" borderId="19" xfId="107" applyNumberFormat="1" applyFont="1" applyFill="1" applyBorder="1"/>
    <xf numFmtId="167" fontId="1" fillId="0" borderId="19" xfId="107" applyNumberFormat="1" applyFill="1" applyBorder="1"/>
    <xf numFmtId="6" fontId="1" fillId="0" borderId="0" xfId="107" applyNumberFormat="1" applyFill="1" applyBorder="1" applyAlignment="1">
      <alignment horizontal="right"/>
    </xf>
    <xf numFmtId="6" fontId="1" fillId="0" borderId="19" xfId="107" applyNumberFormat="1" applyFill="1" applyBorder="1" applyAlignment="1">
      <alignment horizontal="right"/>
    </xf>
    <xf numFmtId="167" fontId="1" fillId="0" borderId="19" xfId="107" applyNumberFormat="1" applyFont="1" applyFill="1" applyBorder="1"/>
    <xf numFmtId="167" fontId="1" fillId="0" borderId="50" xfId="107" applyNumberFormat="1" applyFill="1" applyBorder="1" applyAlignment="1">
      <alignment horizontal="right" vertical="center"/>
    </xf>
    <xf numFmtId="0" fontId="1" fillId="0" borderId="43" xfId="107" applyFont="1" applyFill="1" applyBorder="1" applyAlignment="1">
      <alignment horizontal="left" indent="1"/>
    </xf>
    <xf numFmtId="167" fontId="1" fillId="0" borderId="19" xfId="107" applyNumberFormat="1" applyFill="1" applyBorder="1" applyAlignment="1">
      <alignment horizontal="center"/>
    </xf>
    <xf numFmtId="0" fontId="2" fillId="0" borderId="47" xfId="107" applyFont="1" applyFill="1" applyBorder="1"/>
    <xf numFmtId="0" fontId="1" fillId="0" borderId="46" xfId="107" applyFill="1" applyBorder="1" applyAlignment="1">
      <alignment horizontal="left" indent="1"/>
    </xf>
    <xf numFmtId="6" fontId="1" fillId="0" borderId="18" xfId="107" applyNumberFormat="1" applyFill="1" applyBorder="1"/>
    <xf numFmtId="0" fontId="1" fillId="0" borderId="51" xfId="107" applyFont="1" applyFill="1" applyBorder="1" applyAlignment="1">
      <alignment horizontal="left" indent="1"/>
    </xf>
    <xf numFmtId="6" fontId="1" fillId="0" borderId="11" xfId="107" applyNumberFormat="1" applyFont="1" applyFill="1" applyBorder="1"/>
    <xf numFmtId="167" fontId="1" fillId="0" borderId="11" xfId="107" applyNumberFormat="1" applyFill="1" applyBorder="1" applyAlignment="1">
      <alignment horizontal="center"/>
    </xf>
    <xf numFmtId="0" fontId="2" fillId="0" borderId="43" xfId="107" applyFont="1" applyFill="1" applyBorder="1" applyAlignment="1">
      <alignment horizontal="left" indent="1"/>
    </xf>
    <xf numFmtId="0" fontId="2" fillId="0" borderId="13" xfId="107" applyFont="1" applyFill="1" applyBorder="1" applyAlignment="1">
      <alignment horizontal="left" indent="1"/>
    </xf>
    <xf numFmtId="0" fontId="2" fillId="0" borderId="42" xfId="107" applyFont="1" applyFill="1" applyBorder="1" applyAlignment="1">
      <alignment wrapText="1"/>
    </xf>
    <xf numFmtId="6" fontId="1" fillId="0" borderId="52" xfId="107" applyNumberFormat="1" applyFont="1" applyFill="1" applyBorder="1" applyAlignment="1">
      <alignment wrapText="1"/>
    </xf>
    <xf numFmtId="6" fontId="1" fillId="0" borderId="29" xfId="107" applyNumberFormat="1" applyFill="1" applyBorder="1"/>
    <xf numFmtId="6" fontId="1" fillId="0" borderId="31" xfId="107" applyNumberFormat="1" applyFill="1" applyBorder="1"/>
    <xf numFmtId="167" fontId="1" fillId="0" borderId="31" xfId="107" applyNumberFormat="1" applyFill="1" applyBorder="1"/>
    <xf numFmtId="0" fontId="2" fillId="0" borderId="39" xfId="107" applyFont="1" applyFill="1" applyBorder="1" applyAlignment="1">
      <alignment wrapText="1"/>
    </xf>
    <xf numFmtId="0" fontId="2" fillId="0" borderId="59" xfId="107" applyFont="1" applyFill="1" applyBorder="1" applyAlignment="1">
      <alignment wrapText="1"/>
    </xf>
    <xf numFmtId="0" fontId="2" fillId="0" borderId="0" xfId="107" applyFont="1" applyFill="1" applyBorder="1" applyAlignment="1">
      <alignment wrapText="1"/>
    </xf>
    <xf numFmtId="0" fontId="1" fillId="0" borderId="57" xfId="107" applyNumberFormat="1" applyFont="1" applyFill="1" applyBorder="1" applyAlignment="1">
      <alignment horizontal="left" wrapText="1"/>
    </xf>
    <xf numFmtId="0" fontId="1" fillId="0" borderId="37" xfId="107" applyNumberFormat="1" applyFont="1" applyFill="1" applyBorder="1" applyAlignment="1">
      <alignment horizontal="left" wrapText="1"/>
    </xf>
    <xf numFmtId="6" fontId="2" fillId="0" borderId="49" xfId="107" applyNumberFormat="1" applyFont="1" applyFill="1" applyBorder="1"/>
    <xf numFmtId="0" fontId="2" fillId="0" borderId="58" xfId="107" applyFont="1" applyBorder="1"/>
    <xf numFmtId="0" fontId="2" fillId="0" borderId="15" xfId="107" applyFont="1" applyBorder="1"/>
    <xf numFmtId="164" fontId="1" fillId="0" borderId="15" xfId="107" applyNumberFormat="1" applyBorder="1"/>
    <xf numFmtId="0" fontId="1" fillId="0" borderId="15" xfId="107" applyFill="1" applyBorder="1"/>
    <xf numFmtId="0" fontId="1" fillId="0" borderId="15" xfId="107" applyBorder="1"/>
    <xf numFmtId="0" fontId="1" fillId="0" borderId="0" xfId="107" applyNumberFormat="1" applyFill="1" applyAlignment="1">
      <alignment horizontal="left"/>
    </xf>
    <xf numFmtId="0" fontId="1" fillId="0" borderId="0" xfId="107" applyFill="1" applyBorder="1"/>
    <xf numFmtId="6" fontId="1" fillId="0" borderId="0" xfId="107" applyNumberFormat="1"/>
    <xf numFmtId="6" fontId="1" fillId="0" borderId="0" xfId="107" applyNumberFormat="1" applyBorder="1" applyAlignment="1">
      <alignment horizontal="right"/>
    </xf>
    <xf numFmtId="0" fontId="1" fillId="0" borderId="0" xfId="107" applyBorder="1"/>
    <xf numFmtId="6" fontId="1" fillId="0" borderId="0" xfId="107" applyNumberFormat="1" applyFont="1" applyBorder="1"/>
    <xf numFmtId="168" fontId="1" fillId="0" borderId="0" xfId="107" applyNumberFormat="1"/>
    <xf numFmtId="0" fontId="1" fillId="0" borderId="53" xfId="107" applyFill="1" applyBorder="1"/>
    <xf numFmtId="0" fontId="1" fillId="0" borderId="33" xfId="107" applyFill="1" applyBorder="1"/>
    <xf numFmtId="0" fontId="2" fillId="0" borderId="17" xfId="107" applyFont="1" applyFill="1" applyBorder="1" applyAlignment="1">
      <alignment horizontal="center" wrapText="1"/>
    </xf>
    <xf numFmtId="0" fontId="2" fillId="0" borderId="21" xfId="107" applyFont="1" applyFill="1" applyBorder="1" applyAlignment="1">
      <alignment horizontal="center" wrapText="1"/>
    </xf>
    <xf numFmtId="0" fontId="5" fillId="0" borderId="14" xfId="107" applyFont="1" applyFill="1" applyBorder="1" applyAlignment="1">
      <alignment wrapText="1"/>
    </xf>
    <xf numFmtId="0" fontId="5" fillId="0" borderId="0" xfId="107" applyFont="1" applyFill="1" applyBorder="1" applyAlignment="1">
      <alignment wrapText="1"/>
    </xf>
    <xf numFmtId="0" fontId="5" fillId="0" borderId="40" xfId="107" applyFont="1" applyFill="1" applyBorder="1" applyAlignment="1">
      <alignment wrapText="1"/>
    </xf>
    <xf numFmtId="0" fontId="1" fillId="0" borderId="13" xfId="107" applyFill="1" applyBorder="1" applyAlignment="1">
      <alignment horizontal="center"/>
    </xf>
    <xf numFmtId="6" fontId="1" fillId="0" borderId="14" xfId="107" applyNumberFormat="1" applyFill="1" applyBorder="1"/>
    <xf numFmtId="5" fontId="1" fillId="0" borderId="13" xfId="107" quotePrefix="1" applyNumberFormat="1" applyFill="1" applyBorder="1" applyAlignment="1">
      <alignment horizontal="center"/>
    </xf>
    <xf numFmtId="173" fontId="1" fillId="0" borderId="13" xfId="107" quotePrefix="1" applyNumberFormat="1" applyFill="1" applyBorder="1" applyAlignment="1">
      <alignment horizontal="center"/>
    </xf>
    <xf numFmtId="173" fontId="1" fillId="0" borderId="0" xfId="107" applyNumberFormat="1" applyFill="1"/>
    <xf numFmtId="6" fontId="1" fillId="0" borderId="17" xfId="107" applyNumberFormat="1" applyFont="1" applyFill="1" applyBorder="1"/>
    <xf numFmtId="173" fontId="1" fillId="0" borderId="33" xfId="107" quotePrefix="1" applyNumberFormat="1" applyFill="1" applyBorder="1" applyAlignment="1">
      <alignment horizontal="center"/>
    </xf>
    <xf numFmtId="0" fontId="2" fillId="0" borderId="14" xfId="107" applyFont="1" applyFill="1" applyBorder="1"/>
    <xf numFmtId="0" fontId="2" fillId="0" borderId="0" xfId="107" applyFont="1" applyFill="1" applyBorder="1"/>
    <xf numFmtId="0" fontId="2" fillId="0" borderId="19" xfId="107" applyFont="1" applyFill="1" applyBorder="1"/>
    <xf numFmtId="0" fontId="5" fillId="0" borderId="19" xfId="107" applyFont="1" applyFill="1" applyBorder="1" applyAlignment="1">
      <alignment wrapText="1"/>
    </xf>
    <xf numFmtId="6" fontId="1" fillId="0" borderId="17" xfId="107" applyNumberFormat="1" applyFill="1" applyBorder="1"/>
    <xf numFmtId="0" fontId="2" fillId="0" borderId="14" xfId="107" applyFont="1" applyFill="1" applyBorder="1" applyAlignment="1">
      <alignment horizontal="left" indent="1"/>
    </xf>
    <xf numFmtId="0" fontId="2" fillId="0" borderId="0" xfId="107" applyFont="1" applyFill="1" applyBorder="1" applyAlignment="1">
      <alignment horizontal="left" indent="1"/>
    </xf>
    <xf numFmtId="0" fontId="2" fillId="0" borderId="19" xfId="107" applyFont="1" applyFill="1" applyBorder="1" applyAlignment="1">
      <alignment horizontal="left" indent="1"/>
    </xf>
    <xf numFmtId="6" fontId="1" fillId="0" borderId="14" xfId="107" applyNumberFormat="1" applyFill="1" applyBorder="1" applyAlignment="1">
      <alignment horizontal="right"/>
    </xf>
    <xf numFmtId="6" fontId="1" fillId="0" borderId="13" xfId="107" applyNumberFormat="1" applyFill="1" applyBorder="1" applyAlignment="1">
      <alignment horizontal="center"/>
    </xf>
    <xf numFmtId="6" fontId="1" fillId="0" borderId="23" xfId="107" applyNumberFormat="1" applyFill="1" applyBorder="1" applyAlignment="1">
      <alignment horizontal="right"/>
    </xf>
    <xf numFmtId="0" fontId="2" fillId="0" borderId="42" xfId="107" applyFont="1" applyFill="1" applyBorder="1" applyAlignment="1">
      <alignment horizontal="left" indent="1"/>
    </xf>
    <xf numFmtId="6" fontId="1" fillId="0" borderId="33" xfId="107" applyNumberFormat="1" applyFill="1" applyBorder="1" applyAlignment="1">
      <alignment horizontal="center"/>
    </xf>
    <xf numFmtId="6" fontId="1" fillId="0" borderId="23" xfId="107" applyNumberFormat="1" applyFill="1" applyBorder="1"/>
    <xf numFmtId="6" fontId="1" fillId="0" borderId="61" xfId="107" applyNumberFormat="1" applyFill="1" applyBorder="1"/>
    <xf numFmtId="6" fontId="1" fillId="0" borderId="69" xfId="107" applyNumberFormat="1" applyFill="1" applyBorder="1"/>
    <xf numFmtId="173" fontId="1" fillId="0" borderId="54" xfId="107" quotePrefix="1" applyNumberFormat="1" applyFill="1" applyBorder="1" applyAlignment="1">
      <alignment horizontal="center"/>
    </xf>
    <xf numFmtId="0" fontId="2" fillId="0" borderId="60" xfId="107" applyFont="1" applyBorder="1"/>
    <xf numFmtId="0" fontId="1" fillId="0" borderId="16" xfId="107" applyBorder="1"/>
    <xf numFmtId="173" fontId="1" fillId="0" borderId="0" xfId="107" applyNumberFormat="1"/>
    <xf numFmtId="3" fontId="1" fillId="0" borderId="0" xfId="107" applyNumberFormat="1" applyFill="1"/>
    <xf numFmtId="3" fontId="1" fillId="0" borderId="0" xfId="107" applyNumberFormat="1"/>
    <xf numFmtId="174" fontId="0" fillId="0" borderId="64" xfId="0" applyNumberFormat="1" applyFill="1" applyBorder="1" applyAlignment="1">
      <alignment horizontal="left"/>
    </xf>
    <xf numFmtId="0" fontId="4" fillId="0" borderId="0" xfId="60" applyFont="1"/>
    <xf numFmtId="0" fontId="1" fillId="0" borderId="25" xfId="0" applyFont="1" applyBorder="1" applyAlignment="1">
      <alignment horizontal="center" vertical="top"/>
    </xf>
    <xf numFmtId="42" fontId="1" fillId="0" borderId="63" xfId="0" applyNumberFormat="1" applyFont="1" applyBorder="1" applyAlignment="1">
      <alignment vertical="top"/>
    </xf>
    <xf numFmtId="0" fontId="1" fillId="0" borderId="63" xfId="0" applyFont="1" applyBorder="1" applyAlignment="1">
      <alignment vertical="top" wrapText="1"/>
    </xf>
    <xf numFmtId="14" fontId="1" fillId="0" borderId="63" xfId="0" applyNumberFormat="1" applyFont="1" applyBorder="1" applyAlignment="1">
      <alignment horizontal="center" vertical="top"/>
    </xf>
    <xf numFmtId="0" fontId="1" fillId="0" borderId="67" xfId="0" applyFont="1" applyBorder="1" applyAlignment="1">
      <alignment vertical="top" wrapText="1"/>
    </xf>
    <xf numFmtId="0" fontId="1" fillId="0" borderId="17" xfId="0" applyFont="1" applyBorder="1" applyAlignment="1">
      <alignment horizontal="center" vertical="top"/>
    </xf>
    <xf numFmtId="42" fontId="1" fillId="0" borderId="11" xfId="0" applyNumberFormat="1" applyFont="1" applyBorder="1" applyAlignment="1">
      <alignment vertical="top"/>
    </xf>
    <xf numFmtId="0" fontId="1" fillId="0" borderId="11" xfId="0" applyFont="1" applyBorder="1" applyAlignment="1">
      <alignment vertical="top" wrapText="1"/>
    </xf>
    <xf numFmtId="14" fontId="1" fillId="0" borderId="11" xfId="0" applyNumberFormat="1" applyFont="1" applyBorder="1" applyAlignment="1">
      <alignment horizontal="center" vertical="top"/>
    </xf>
    <xf numFmtId="0" fontId="1" fillId="0" borderId="68" xfId="0" applyFont="1" applyBorder="1" applyAlignment="1">
      <alignment vertical="top" wrapText="1"/>
    </xf>
    <xf numFmtId="0" fontId="1" fillId="0" borderId="14" xfId="0" applyFont="1" applyBorder="1" applyAlignment="1">
      <alignment horizontal="center" vertical="top"/>
    </xf>
    <xf numFmtId="42" fontId="1" fillId="0" borderId="19" xfId="0" applyNumberFormat="1" applyFont="1" applyBorder="1" applyAlignment="1">
      <alignment vertical="top"/>
    </xf>
    <xf numFmtId="0" fontId="1" fillId="0" borderId="19" xfId="0" applyFont="1" applyBorder="1" applyAlignment="1">
      <alignment vertical="top" wrapText="1"/>
    </xf>
    <xf numFmtId="14" fontId="1" fillId="0" borderId="19" xfId="0" applyNumberFormat="1" applyFont="1" applyBorder="1" applyAlignment="1">
      <alignment horizontal="center" vertical="top"/>
    </xf>
    <xf numFmtId="0" fontId="1" fillId="0" borderId="34" xfId="0" applyFont="1" applyBorder="1" applyAlignment="1">
      <alignment vertical="top" wrapText="1"/>
    </xf>
    <xf numFmtId="0" fontId="1" fillId="0" borderId="79" xfId="0" applyFont="1" applyBorder="1" applyAlignment="1">
      <alignment horizontal="center" vertical="top"/>
    </xf>
    <xf numFmtId="42" fontId="1" fillId="0" borderId="78" xfId="0" applyNumberFormat="1" applyFont="1" applyBorder="1" applyAlignment="1">
      <alignment vertical="top"/>
    </xf>
    <xf numFmtId="0" fontId="1" fillId="0" borderId="78" xfId="0" applyFont="1" applyBorder="1" applyAlignment="1">
      <alignment vertical="top" wrapText="1"/>
    </xf>
    <xf numFmtId="14" fontId="1" fillId="0" borderId="78" xfId="0" applyNumberFormat="1" applyFont="1" applyBorder="1" applyAlignment="1">
      <alignment horizontal="center" vertical="top"/>
    </xf>
    <xf numFmtId="0" fontId="1" fillId="0" borderId="80" xfId="0" applyFont="1" applyBorder="1" applyAlignment="1">
      <alignment vertical="top" wrapText="1"/>
    </xf>
    <xf numFmtId="0" fontId="4" fillId="0" borderId="50" xfId="60" applyFont="1" applyBorder="1"/>
    <xf numFmtId="0" fontId="4" fillId="0" borderId="11" xfId="60" applyFont="1" applyBorder="1"/>
    <xf numFmtId="0" fontId="4" fillId="0" borderId="0" xfId="60" applyFont="1" applyBorder="1"/>
    <xf numFmtId="0" fontId="1" fillId="0" borderId="81" xfId="0" applyFont="1" applyBorder="1" applyAlignment="1">
      <alignment horizontal="center" vertical="top"/>
    </xf>
    <xf numFmtId="42" fontId="1" fillId="0" borderId="40" xfId="0" applyNumberFormat="1" applyFont="1" applyBorder="1" applyAlignment="1">
      <alignment vertical="top"/>
    </xf>
    <xf numFmtId="0" fontId="1" fillId="0" borderId="40" xfId="0" applyFont="1" applyBorder="1" applyAlignment="1">
      <alignment vertical="top" wrapText="1"/>
    </xf>
    <xf numFmtId="14" fontId="1" fillId="0" borderId="40" xfId="0" applyNumberFormat="1" applyFont="1" applyBorder="1" applyAlignment="1">
      <alignment horizontal="center" vertical="top"/>
    </xf>
    <xf numFmtId="0" fontId="1" fillId="0" borderId="82" xfId="0" applyFont="1" applyBorder="1" applyAlignment="1">
      <alignment vertical="top" wrapText="1"/>
    </xf>
    <xf numFmtId="0" fontId="25" fillId="0" borderId="23" xfId="60" applyFont="1" applyBorder="1"/>
    <xf numFmtId="0" fontId="4" fillId="0" borderId="17" xfId="60" applyFont="1" applyBorder="1"/>
    <xf numFmtId="0" fontId="4" fillId="0" borderId="83" xfId="60" applyFont="1" applyBorder="1"/>
    <xf numFmtId="0" fontId="4" fillId="0" borderId="68" xfId="60" applyFont="1" applyBorder="1"/>
    <xf numFmtId="0" fontId="4" fillId="0" borderId="79" xfId="60" applyFont="1" applyBorder="1"/>
    <xf numFmtId="0" fontId="4" fillId="0" borderId="78" xfId="60" applyFont="1" applyBorder="1"/>
    <xf numFmtId="0" fontId="4" fillId="0" borderId="80" xfId="60" applyFont="1" applyBorder="1"/>
    <xf numFmtId="172" fontId="0" fillId="0" borderId="0" xfId="0" applyNumberFormat="1" applyAlignment="1">
      <alignment horizontal="right"/>
    </xf>
    <xf numFmtId="165" fontId="0" fillId="0" borderId="29" xfId="0" applyNumberFormat="1" applyFill="1" applyBorder="1" applyAlignment="1">
      <alignment horizontal="right"/>
    </xf>
    <xf numFmtId="165" fontId="0" fillId="0" borderId="0" xfId="0" applyNumberFormat="1" applyBorder="1" applyAlignment="1">
      <alignment horizontal="right"/>
    </xf>
    <xf numFmtId="165" fontId="0" fillId="0" borderId="29" xfId="0" applyNumberFormat="1" applyBorder="1" applyAlignment="1">
      <alignment horizontal="right"/>
    </xf>
    <xf numFmtId="165" fontId="0" fillId="0" borderId="75" xfId="0" applyNumberFormat="1" applyFill="1" applyBorder="1" applyAlignment="1">
      <alignment horizontal="right"/>
    </xf>
    <xf numFmtId="172" fontId="0" fillId="0" borderId="70" xfId="0" applyNumberFormat="1" applyBorder="1" applyAlignment="1">
      <alignment horizontal="right"/>
    </xf>
    <xf numFmtId="0" fontId="2" fillId="0" borderId="74" xfId="0" applyFont="1" applyBorder="1" applyAlignment="1">
      <alignment horizontal="right"/>
    </xf>
    <xf numFmtId="172" fontId="0" fillId="0" borderId="76" xfId="0" applyNumberFormat="1" applyBorder="1" applyAlignment="1">
      <alignment horizontal="right"/>
    </xf>
    <xf numFmtId="3" fontId="2" fillId="0" borderId="18" xfId="0" applyNumberFormat="1" applyFont="1" applyBorder="1" applyAlignment="1">
      <alignment horizontal="right" wrapText="1"/>
    </xf>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66" fontId="0" fillId="0" borderId="73" xfId="0" applyNumberFormat="1" applyBorder="1" applyAlignment="1">
      <alignment horizontal="right"/>
    </xf>
    <xf numFmtId="165" fontId="0" fillId="0" borderId="45" xfId="0" applyNumberFormat="1" applyBorder="1" applyAlignment="1">
      <alignment horizontal="right"/>
    </xf>
    <xf numFmtId="165" fontId="0" fillId="0" borderId="70" xfId="0" applyNumberFormat="1" applyFill="1" applyBorder="1" applyAlignment="1">
      <alignment horizontal="right"/>
    </xf>
    <xf numFmtId="0" fontId="2" fillId="0" borderId="20" xfId="0" applyFont="1" applyBorder="1" applyAlignment="1">
      <alignment horizontal="right"/>
    </xf>
    <xf numFmtId="0" fontId="2" fillId="0" borderId="20" xfId="0" applyFont="1" applyFill="1" applyBorder="1" applyAlignment="1">
      <alignment horizontal="right"/>
    </xf>
    <xf numFmtId="165" fontId="0" fillId="0" borderId="38" xfId="0" applyNumberFormat="1" applyBorder="1" applyAlignment="1">
      <alignment horizontal="right"/>
    </xf>
    <xf numFmtId="165" fontId="0" fillId="0" borderId="22" xfId="0" applyNumberFormat="1" applyBorder="1" applyAlignment="1">
      <alignment horizontal="right"/>
    </xf>
    <xf numFmtId="166" fontId="2" fillId="0" borderId="20" xfId="0" applyNumberFormat="1" applyFont="1" applyFill="1" applyBorder="1" applyAlignment="1">
      <alignment horizontal="right"/>
    </xf>
    <xf numFmtId="165" fontId="0" fillId="0" borderId="72" xfId="0" applyNumberFormat="1" applyBorder="1" applyAlignment="1">
      <alignment horizontal="right"/>
    </xf>
    <xf numFmtId="166" fontId="1" fillId="0" borderId="29" xfId="0" applyNumberFormat="1" applyFont="1" applyBorder="1" applyAlignment="1">
      <alignment horizontal="right"/>
    </xf>
    <xf numFmtId="16" fontId="1" fillId="0" borderId="11" xfId="0" applyNumberFormat="1" applyFont="1" applyFill="1" applyBorder="1" applyAlignment="1">
      <alignment horizontal="center"/>
    </xf>
    <xf numFmtId="0" fontId="2" fillId="0" borderId="40" xfId="0" applyFont="1" applyBorder="1" applyAlignment="1">
      <alignment wrapText="1"/>
    </xf>
    <xf numFmtId="0" fontId="1" fillId="0" borderId="11" xfId="0" applyFont="1" applyBorder="1" applyAlignment="1">
      <alignment horizontal="center"/>
    </xf>
    <xf numFmtId="3" fontId="1" fillId="0" borderId="11" xfId="0" quotePrefix="1" applyNumberFormat="1" applyFont="1" applyFill="1" applyBorder="1" applyAlignment="1">
      <alignment horizontal="center"/>
    </xf>
    <xf numFmtId="0" fontId="0" fillId="0" borderId="0" xfId="0" applyFont="1" applyAlignment="1">
      <alignment horizontal="center"/>
    </xf>
    <xf numFmtId="16" fontId="1" fillId="0" borderId="64" xfId="0" applyNumberFormat="1" applyFont="1" applyFill="1" applyBorder="1" applyAlignment="1">
      <alignment horizontal="center"/>
    </xf>
    <xf numFmtId="3" fontId="1" fillId="0" borderId="11" xfId="0" applyNumberFormat="1" applyFont="1" applyBorder="1" applyAlignment="1">
      <alignment horizontal="center"/>
    </xf>
    <xf numFmtId="0" fontId="1" fillId="0" borderId="0" xfId="107" applyFill="1" applyBorder="1" applyAlignment="1">
      <alignment horizontal="left"/>
    </xf>
    <xf numFmtId="166" fontId="0" fillId="0" borderId="0" xfId="0" applyNumberFormat="1" applyFill="1" applyBorder="1" applyAlignment="1">
      <alignment horizontal="right"/>
    </xf>
    <xf numFmtId="165" fontId="0" fillId="0" borderId="21" xfId="0" applyNumberFormat="1" applyFill="1" applyBorder="1"/>
    <xf numFmtId="165" fontId="0" fillId="0" borderId="29" xfId="0" applyNumberFormat="1" applyFill="1" applyBorder="1"/>
    <xf numFmtId="166" fontId="2" fillId="0" borderId="18" xfId="0" applyNumberFormat="1" applyFont="1" applyFill="1" applyBorder="1" applyAlignment="1">
      <alignment horizontal="center" wrapText="1"/>
    </xf>
    <xf numFmtId="3" fontId="2" fillId="0" borderId="18" xfId="0" applyNumberFormat="1" applyFont="1" applyFill="1" applyBorder="1" applyAlignment="1">
      <alignment horizontal="right" wrapText="1"/>
    </xf>
    <xf numFmtId="4" fontId="34" fillId="0" borderId="11" xfId="46" applyNumberFormat="1" applyFont="1" applyBorder="1" applyAlignment="1">
      <alignment horizontal="right"/>
    </xf>
    <xf numFmtId="166" fontId="34" fillId="44" borderId="11" xfId="0" applyNumberFormat="1" applyFont="1" applyFill="1" applyBorder="1"/>
    <xf numFmtId="166" fontId="34" fillId="44" borderId="11" xfId="0" applyNumberFormat="1" applyFont="1" applyFill="1" applyBorder="1" applyAlignment="1"/>
    <xf numFmtId="166" fontId="33" fillId="44" borderId="11" xfId="0" applyNumberFormat="1" applyFont="1" applyFill="1" applyBorder="1"/>
    <xf numFmtId="166" fontId="33" fillId="0" borderId="11" xfId="0" applyNumberFormat="1" applyFont="1" applyBorder="1" applyAlignment="1">
      <alignment horizontal="center" wrapText="1"/>
    </xf>
    <xf numFmtId="166" fontId="33" fillId="0" borderId="11" xfId="0" applyNumberFormat="1" applyFont="1" applyBorder="1" applyAlignment="1">
      <alignment horizontal="center"/>
    </xf>
    <xf numFmtId="46" fontId="1" fillId="0" borderId="11" xfId="0" applyNumberFormat="1" applyFont="1" applyBorder="1" applyAlignment="1">
      <alignment horizontal="center"/>
    </xf>
    <xf numFmtId="0" fontId="0" fillId="0" borderId="0" xfId="0"/>
    <xf numFmtId="0" fontId="2" fillId="0" borderId="11" xfId="0" applyFont="1" applyBorder="1" applyAlignment="1">
      <alignment horizontal="center"/>
    </xf>
    <xf numFmtId="0" fontId="0" fillId="0" borderId="0" xfId="0" applyAlignment="1">
      <alignment horizontal="left" wrapText="1"/>
    </xf>
    <xf numFmtId="171" fontId="1" fillId="0" borderId="11" xfId="0" applyNumberFormat="1" applyFont="1" applyFill="1" applyBorder="1" applyAlignment="1">
      <alignment horizontal="center"/>
    </xf>
    <xf numFmtId="0" fontId="1" fillId="0" borderId="11" xfId="0" applyFont="1" applyFill="1" applyBorder="1" applyAlignment="1">
      <alignment horizontal="left" indent="1"/>
    </xf>
    <xf numFmtId="0" fontId="1" fillId="0" borderId="0" xfId="0" applyFont="1" applyFill="1" applyBorder="1" applyAlignment="1">
      <alignment horizontal="center"/>
    </xf>
    <xf numFmtId="3" fontId="1" fillId="0" borderId="11" xfId="107" applyNumberFormat="1" applyFont="1" applyFill="1" applyBorder="1" applyAlignment="1">
      <alignment horizontal="center"/>
    </xf>
    <xf numFmtId="171" fontId="1" fillId="0" borderId="11" xfId="0" applyNumberFormat="1" applyFont="1" applyBorder="1" applyAlignment="1">
      <alignment horizontal="center"/>
    </xf>
    <xf numFmtId="0" fontId="1" fillId="0" borderId="11" xfId="0" quotePrefix="1" applyFont="1" applyBorder="1" applyAlignment="1">
      <alignment horizontal="center"/>
    </xf>
    <xf numFmtId="3" fontId="1" fillId="0" borderId="11" xfId="107" applyNumberFormat="1" applyFont="1" applyBorder="1" applyAlignment="1">
      <alignment horizontal="center"/>
    </xf>
    <xf numFmtId="0" fontId="1" fillId="0" borderId="0" xfId="0" applyFont="1" applyAlignment="1">
      <alignment horizontal="left" wrapText="1" indent="1"/>
    </xf>
    <xf numFmtId="0" fontId="1" fillId="0" borderId="0" xfId="0" applyFont="1" applyAlignment="1">
      <alignment wrapText="1"/>
    </xf>
    <xf numFmtId="0" fontId="2" fillId="0" borderId="0" xfId="0" applyNumberFormat="1" applyFont="1" applyFill="1" applyBorder="1" applyAlignment="1">
      <alignment horizontal="left" wrapText="1"/>
    </xf>
    <xf numFmtId="0" fontId="2" fillId="0" borderId="0" xfId="0" applyFont="1" applyFill="1" applyAlignment="1" applyProtection="1">
      <alignment wrapText="1"/>
    </xf>
    <xf numFmtId="0" fontId="2" fillId="0" borderId="0" xfId="0" applyNumberFormat="1" applyFont="1" applyAlignment="1" applyProtection="1">
      <alignment vertical="top" wrapText="1"/>
    </xf>
    <xf numFmtId="0" fontId="0" fillId="0" borderId="0" xfId="0" applyAlignment="1">
      <alignment vertical="top" wrapText="1"/>
    </xf>
    <xf numFmtId="0" fontId="40" fillId="0" borderId="0" xfId="0" applyNumberFormat="1" applyFont="1" applyAlignment="1" applyProtection="1">
      <alignment vertical="top" wrapText="1"/>
    </xf>
    <xf numFmtId="0" fontId="2" fillId="0" borderId="0" xfId="0" applyFont="1" applyAlignment="1" applyProtection="1">
      <alignment vertical="top" wrapText="1"/>
    </xf>
    <xf numFmtId="0" fontId="0" fillId="0" borderId="0" xfId="0"/>
    <xf numFmtId="0" fontId="2" fillId="0" borderId="0" xfId="0" applyFont="1" applyAlignment="1">
      <alignment horizontal="left" wrapText="1" indent="1"/>
    </xf>
    <xf numFmtId="0" fontId="2" fillId="0" borderId="0" xfId="0" applyFont="1" applyAlignment="1">
      <alignment wrapText="1"/>
    </xf>
    <xf numFmtId="0" fontId="2" fillId="0" borderId="61"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0" xfId="0" applyFont="1" applyFill="1" applyBorder="1" applyAlignment="1">
      <alignment wrapText="1"/>
    </xf>
    <xf numFmtId="0" fontId="2" fillId="0" borderId="11" xfId="0" applyFont="1" applyBorder="1" applyAlignment="1">
      <alignment horizontal="center"/>
    </xf>
    <xf numFmtId="0" fontId="2" fillId="0" borderId="40" xfId="0" applyFont="1" applyBorder="1" applyAlignment="1">
      <alignment horizontal="center" wrapText="1"/>
    </xf>
    <xf numFmtId="0" fontId="2" fillId="0" borderId="50" xfId="0" applyFont="1" applyBorder="1" applyAlignment="1">
      <alignment horizontal="center" wrapText="1"/>
    </xf>
    <xf numFmtId="0" fontId="2" fillId="0" borderId="0" xfId="0" applyNumberFormat="1" applyFont="1" applyAlignment="1">
      <alignment horizontal="left" wrapText="1"/>
    </xf>
    <xf numFmtId="0" fontId="2" fillId="0" borderId="0" xfId="0" applyFont="1" applyAlignment="1">
      <alignment horizontal="left" wrapText="1"/>
    </xf>
    <xf numFmtId="0" fontId="33" fillId="0" borderId="11" xfId="0" applyFont="1" applyFill="1" applyBorder="1" applyAlignment="1">
      <alignment horizontal="center"/>
    </xf>
    <xf numFmtId="0" fontId="0" fillId="0" borderId="0" xfId="0" applyAlignment="1">
      <alignment horizontal="left" wrapText="1"/>
    </xf>
    <xf numFmtId="0" fontId="1" fillId="0" borderId="0" xfId="0" applyFont="1" applyFill="1" applyAlignment="1">
      <alignment horizontal="left" wrapText="1"/>
    </xf>
    <xf numFmtId="0" fontId="0" fillId="0" borderId="0" xfId="0" applyFill="1" applyAlignment="1">
      <alignment horizontal="left" wrapText="1"/>
    </xf>
  </cellXfs>
  <cellStyles count="10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Comma" xfId="46" builtinId="3"/>
    <cellStyle name="Currency" xfId="47" builtinId="4"/>
    <cellStyle name="Emphasis 1" xfId="48"/>
    <cellStyle name="Emphasis 2" xfId="49"/>
    <cellStyle name="Emphasis 3" xfId="50"/>
    <cellStyle name="Explanatory Text" xfId="51" builtinId="53" customBuiltin="1"/>
    <cellStyle name="Good" xfId="52" builtinId="26" customBuiltin="1"/>
    <cellStyle name="Heading 1" xfId="53" builtinId="16" customBuiltin="1"/>
    <cellStyle name="Heading 2" xfId="54" builtinId="17" customBuiltin="1"/>
    <cellStyle name="Heading 3" xfId="55" builtinId="18" customBuiltin="1"/>
    <cellStyle name="Heading 4" xfId="56" builtinId="19" customBuiltin="1"/>
    <cellStyle name="Input" xfId="57" builtinId="20" customBuiltin="1"/>
    <cellStyle name="Linked Cell" xfId="58" builtinId="24" customBuiltin="1"/>
    <cellStyle name="Neutral" xfId="59" builtinId="28" customBuiltin="1"/>
    <cellStyle name="Normal" xfId="0" builtinId="0"/>
    <cellStyle name="Normal 2" xfId="107"/>
    <cellStyle name="Normal_Funding Shift Table Sample" xfId="60"/>
    <cellStyle name="Note" xfId="61" builtinId="10" customBuiltin="1"/>
    <cellStyle name="Output" xfId="62" builtinId="21" customBuiltin="1"/>
    <cellStyle name="Percent" xfId="63" builtinId="5"/>
    <cellStyle name="SAPBEXaggData" xfId="64"/>
    <cellStyle name="SAPBEXaggDataEmph" xfId="65"/>
    <cellStyle name="SAPBEXaggItem" xfId="66"/>
    <cellStyle name="SAPBEXaggItemX" xfId="67"/>
    <cellStyle name="SAPBEXchaText" xfId="68"/>
    <cellStyle name="SAPBEXexcBad7" xfId="69"/>
    <cellStyle name="SAPBEXexcBad8" xfId="70"/>
    <cellStyle name="SAPBEXexcBad9" xfId="71"/>
    <cellStyle name="SAPBEXexcCritical4" xfId="72"/>
    <cellStyle name="SAPBEXexcCritical5" xfId="73"/>
    <cellStyle name="SAPBEXexcCritical6" xfId="74"/>
    <cellStyle name="SAPBEXexcGood1" xfId="75"/>
    <cellStyle name="SAPBEXexcGood2" xfId="76"/>
    <cellStyle name="SAPBEXexcGood3" xfId="77"/>
    <cellStyle name="SAPBEXfilterDrill" xfId="78"/>
    <cellStyle name="SAPBEXfilterItem" xfId="79"/>
    <cellStyle name="SAPBEXfilterText" xfId="80"/>
    <cellStyle name="SAPBEXformats" xfId="81"/>
    <cellStyle name="SAPBEXheaderItem" xfId="82"/>
    <cellStyle name="SAPBEXheaderText" xfId="83"/>
    <cellStyle name="SAPBEXHLevel0" xfId="84"/>
    <cellStyle name="SAPBEXHLevel0X" xfId="85"/>
    <cellStyle name="SAPBEXHLevel1" xfId="86"/>
    <cellStyle name="SAPBEXHLevel1X" xfId="87"/>
    <cellStyle name="SAPBEXHLevel2" xfId="88"/>
    <cellStyle name="SAPBEXHLevel2X" xfId="89"/>
    <cellStyle name="SAPBEXHLevel3" xfId="90"/>
    <cellStyle name="SAPBEXHLevel3X" xfId="91"/>
    <cellStyle name="SAPBEXinputData" xfId="92"/>
    <cellStyle name="SAPBEXresData" xfId="93"/>
    <cellStyle name="SAPBEXresDataEmph" xfId="94"/>
    <cellStyle name="SAPBEXresItem" xfId="95"/>
    <cellStyle name="SAPBEXresItemX" xfId="96"/>
    <cellStyle name="SAPBEXstdData" xfId="97"/>
    <cellStyle name="SAPBEXstdDataEmph" xfId="98"/>
    <cellStyle name="SAPBEXstdItem" xfId="99"/>
    <cellStyle name="SAPBEXstdItemX" xfId="100"/>
    <cellStyle name="SAPBEXtitle" xfId="101"/>
    <cellStyle name="SAPBEXundefined" xfId="102"/>
    <cellStyle name="Sheet Title" xfId="103"/>
    <cellStyle name="Title" xfId="104" builtinId="15" customBuiltin="1"/>
    <cellStyle name="Total" xfId="105" builtinId="25" customBuiltin="1"/>
    <cellStyle name="Warning Text" xfId="10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9525</xdr:colOff>
      <xdr:row>4</xdr:row>
      <xdr:rowOff>9525</xdr:rowOff>
    </xdr:from>
    <xdr:to>
      <xdr:col>16</xdr:col>
      <xdr:colOff>0</xdr:colOff>
      <xdr:row>4</xdr:row>
      <xdr:rowOff>381000</xdr:rowOff>
    </xdr:to>
    <xdr:sp macro="" textlink="">
      <xdr:nvSpPr>
        <xdr:cNvPr id="2" name="Text Box 1"/>
        <xdr:cNvSpPr txBox="1">
          <a:spLocks noChangeArrowheads="1"/>
        </xdr:cNvSpPr>
      </xdr:nvSpPr>
      <xdr:spPr bwMode="auto">
        <a:xfrm>
          <a:off x="4914900" y="600075"/>
          <a:ext cx="984885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2011</a:t>
          </a:r>
        </a:p>
        <a:p>
          <a:pPr algn="ctr" rtl="0">
            <a:defRPr sz="1000"/>
          </a:pPr>
          <a:r>
            <a:rPr lang="en-US" sz="1100" b="1" i="0" u="none" strike="noStrike" baseline="0">
              <a:solidFill>
                <a:srgbClr val="000000"/>
              </a:solidFill>
              <a:latin typeface="Arial"/>
              <a:cs typeface="Arial"/>
            </a:rPr>
            <a:t>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4</xdr:row>
      <xdr:rowOff>9525</xdr:rowOff>
    </xdr:from>
    <xdr:to>
      <xdr:col>16</xdr:col>
      <xdr:colOff>0</xdr:colOff>
      <xdr:row>4</xdr:row>
      <xdr:rowOff>381000</xdr:rowOff>
    </xdr:to>
    <xdr:sp macro="" textlink="">
      <xdr:nvSpPr>
        <xdr:cNvPr id="2" name="Text Box 1"/>
        <xdr:cNvSpPr txBox="1">
          <a:spLocks noChangeArrowheads="1"/>
        </xdr:cNvSpPr>
      </xdr:nvSpPr>
      <xdr:spPr bwMode="auto">
        <a:xfrm>
          <a:off x="4962525" y="600075"/>
          <a:ext cx="8982075"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100" b="1" i="0" u="none" strike="noStrike" baseline="0">
              <a:solidFill>
                <a:srgbClr val="000000"/>
              </a:solidFill>
              <a:latin typeface="Arial"/>
              <a:cs typeface="Arial"/>
            </a:rPr>
            <a:t>2011</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showGridLines="0" tabSelected="1" zoomScale="75" zoomScaleNormal="75" zoomScaleSheetLayoutView="75" workbookViewId="0">
      <selection activeCell="A2" sqref="A2"/>
    </sheetView>
  </sheetViews>
  <sheetFormatPr defaultRowHeight="12.75" x14ac:dyDescent="0.2"/>
  <cols>
    <col min="1" max="1" width="38.7109375" customWidth="1"/>
    <col min="2" max="2" width="12.28515625" customWidth="1"/>
    <col min="3" max="3" width="11" customWidth="1"/>
    <col min="4" max="4" width="13" customWidth="1"/>
    <col min="5" max="5" width="11.85546875" customWidth="1"/>
    <col min="6" max="6" width="11.140625" customWidth="1"/>
    <col min="7" max="7" width="13.42578125" customWidth="1"/>
    <col min="8" max="8" width="13" customWidth="1"/>
    <col min="9" max="9" width="11.140625" customWidth="1"/>
    <col min="10" max="10" width="14.28515625" customWidth="1"/>
    <col min="11" max="11" width="14.5703125" customWidth="1"/>
    <col min="12" max="12" width="11.140625" customWidth="1"/>
    <col min="13" max="13" width="12.28515625" customWidth="1"/>
    <col min="14" max="14" width="11.7109375" customWidth="1"/>
    <col min="15" max="15" width="11.140625" customWidth="1"/>
    <col min="16" max="16" width="12.85546875" customWidth="1"/>
    <col min="17" max="17" width="11.5703125" customWidth="1"/>
    <col min="18" max="18" width="11.140625" customWidth="1"/>
    <col min="19" max="19" width="13.85546875" customWidth="1"/>
    <col min="20" max="20" width="21.5703125" customWidth="1"/>
    <col min="21" max="21" width="9.7109375" customWidth="1"/>
    <col min="22" max="22" width="11.42578125" customWidth="1"/>
    <col min="23" max="23" width="11" customWidth="1"/>
    <col min="24" max="25" width="9.7109375" customWidth="1"/>
    <col min="26" max="26" width="12.85546875" customWidth="1"/>
    <col min="27" max="27" width="8.85546875" bestFit="1" customWidth="1"/>
    <col min="28" max="28" width="10.5703125" customWidth="1"/>
    <col min="29" max="29" width="9.85546875" bestFit="1" customWidth="1"/>
    <col min="30" max="30" width="11.140625" customWidth="1"/>
    <col min="31" max="31" width="9.85546875" bestFit="1" customWidth="1"/>
    <col min="32" max="32" width="10.85546875" customWidth="1"/>
    <col min="33" max="33" width="12.140625" bestFit="1" customWidth="1"/>
    <col min="34" max="34" width="12.140625" customWidth="1"/>
    <col min="35" max="35" width="9.5703125" bestFit="1" customWidth="1"/>
    <col min="36" max="36" width="11.140625" customWidth="1"/>
    <col min="37" max="37" width="11.7109375" bestFit="1" customWidth="1"/>
    <col min="38" max="38" width="11.7109375" customWidth="1"/>
    <col min="257" max="257" width="38.7109375" customWidth="1"/>
    <col min="258" max="258" width="12.28515625" customWidth="1"/>
    <col min="259" max="259" width="11" customWidth="1"/>
    <col min="260" max="260" width="13" customWidth="1"/>
    <col min="261" max="261" width="11.85546875" customWidth="1"/>
    <col min="262" max="262" width="11.140625" customWidth="1"/>
    <col min="263" max="263" width="13.42578125" customWidth="1"/>
    <col min="264" max="264" width="13" customWidth="1"/>
    <col min="265" max="265" width="11.140625" customWidth="1"/>
    <col min="266" max="266" width="14.28515625" customWidth="1"/>
    <col min="267" max="267" width="14.5703125" customWidth="1"/>
    <col min="268" max="268" width="11.140625" customWidth="1"/>
    <col min="269" max="269" width="12.28515625" customWidth="1"/>
    <col min="270" max="270" width="11.7109375" customWidth="1"/>
    <col min="271" max="271" width="11.140625" customWidth="1"/>
    <col min="272" max="272" width="12.85546875" customWidth="1"/>
    <col min="273" max="273" width="11.5703125" customWidth="1"/>
    <col min="274" max="274" width="11.140625" customWidth="1"/>
    <col min="275" max="275" width="13.85546875" customWidth="1"/>
    <col min="276" max="276" width="21.5703125" customWidth="1"/>
    <col min="277" max="277" width="9.7109375" customWidth="1"/>
    <col min="278" max="278" width="11.42578125" customWidth="1"/>
    <col min="279" max="279" width="11" customWidth="1"/>
    <col min="280" max="281" width="9.7109375" customWidth="1"/>
    <col min="282" max="282" width="12.85546875" customWidth="1"/>
    <col min="283" max="283" width="8.85546875" bestFit="1" customWidth="1"/>
    <col min="284" max="284" width="10.5703125" customWidth="1"/>
    <col min="285" max="285" width="9.85546875" bestFit="1" customWidth="1"/>
    <col min="286" max="286" width="11.140625" customWidth="1"/>
    <col min="287" max="287" width="9.85546875" bestFit="1" customWidth="1"/>
    <col min="288" max="288" width="10.85546875" customWidth="1"/>
    <col min="289" max="289" width="12.140625" bestFit="1" customWidth="1"/>
    <col min="290" max="290" width="12.140625" customWidth="1"/>
    <col min="291" max="291" width="9.5703125" bestFit="1" customWidth="1"/>
    <col min="292" max="292" width="11.140625" customWidth="1"/>
    <col min="293" max="293" width="11.7109375" bestFit="1" customWidth="1"/>
    <col min="294" max="294" width="11.7109375" customWidth="1"/>
    <col min="513" max="513" width="38.7109375" customWidth="1"/>
    <col min="514" max="514" width="12.28515625" customWidth="1"/>
    <col min="515" max="515" width="11" customWidth="1"/>
    <col min="516" max="516" width="13" customWidth="1"/>
    <col min="517" max="517" width="11.85546875" customWidth="1"/>
    <col min="518" max="518" width="11.140625" customWidth="1"/>
    <col min="519" max="519" width="13.42578125" customWidth="1"/>
    <col min="520" max="520" width="13" customWidth="1"/>
    <col min="521" max="521" width="11.140625" customWidth="1"/>
    <col min="522" max="522" width="14.28515625" customWidth="1"/>
    <col min="523" max="523" width="14.5703125" customWidth="1"/>
    <col min="524" max="524" width="11.140625" customWidth="1"/>
    <col min="525" max="525" width="12.28515625" customWidth="1"/>
    <col min="526" max="526" width="11.7109375" customWidth="1"/>
    <col min="527" max="527" width="11.140625" customWidth="1"/>
    <col min="528" max="528" width="12.85546875" customWidth="1"/>
    <col min="529" max="529" width="11.5703125" customWidth="1"/>
    <col min="530" max="530" width="11.140625" customWidth="1"/>
    <col min="531" max="531" width="13.85546875" customWidth="1"/>
    <col min="532" max="532" width="21.5703125" customWidth="1"/>
    <col min="533" max="533" width="9.7109375" customWidth="1"/>
    <col min="534" max="534" width="11.42578125" customWidth="1"/>
    <col min="535" max="535" width="11" customWidth="1"/>
    <col min="536" max="537" width="9.7109375" customWidth="1"/>
    <col min="538" max="538" width="12.85546875" customWidth="1"/>
    <col min="539" max="539" width="8.85546875" bestFit="1" customWidth="1"/>
    <col min="540" max="540" width="10.5703125" customWidth="1"/>
    <col min="541" max="541" width="9.85546875" bestFit="1" customWidth="1"/>
    <col min="542" max="542" width="11.140625" customWidth="1"/>
    <col min="543" max="543" width="9.85546875" bestFit="1" customWidth="1"/>
    <col min="544" max="544" width="10.85546875" customWidth="1"/>
    <col min="545" max="545" width="12.140625" bestFit="1" customWidth="1"/>
    <col min="546" max="546" width="12.140625" customWidth="1"/>
    <col min="547" max="547" width="9.5703125" bestFit="1" customWidth="1"/>
    <col min="548" max="548" width="11.140625" customWidth="1"/>
    <col min="549" max="549" width="11.7109375" bestFit="1" customWidth="1"/>
    <col min="550" max="550" width="11.7109375" customWidth="1"/>
    <col min="769" max="769" width="38.7109375" customWidth="1"/>
    <col min="770" max="770" width="12.28515625" customWidth="1"/>
    <col min="771" max="771" width="11" customWidth="1"/>
    <col min="772" max="772" width="13" customWidth="1"/>
    <col min="773" max="773" width="11.85546875" customWidth="1"/>
    <col min="774" max="774" width="11.140625" customWidth="1"/>
    <col min="775" max="775" width="13.42578125" customWidth="1"/>
    <col min="776" max="776" width="13" customWidth="1"/>
    <col min="777" max="777" width="11.140625" customWidth="1"/>
    <col min="778" max="778" width="14.28515625" customWidth="1"/>
    <col min="779" max="779" width="14.5703125" customWidth="1"/>
    <col min="780" max="780" width="11.140625" customWidth="1"/>
    <col min="781" max="781" width="12.28515625" customWidth="1"/>
    <col min="782" max="782" width="11.7109375" customWidth="1"/>
    <col min="783" max="783" width="11.140625" customWidth="1"/>
    <col min="784" max="784" width="12.85546875" customWidth="1"/>
    <col min="785" max="785" width="11.5703125" customWidth="1"/>
    <col min="786" max="786" width="11.140625" customWidth="1"/>
    <col min="787" max="787" width="13.85546875" customWidth="1"/>
    <col min="788" max="788" width="21.5703125" customWidth="1"/>
    <col min="789" max="789" width="9.7109375" customWidth="1"/>
    <col min="790" max="790" width="11.42578125" customWidth="1"/>
    <col min="791" max="791" width="11" customWidth="1"/>
    <col min="792" max="793" width="9.7109375" customWidth="1"/>
    <col min="794" max="794" width="12.85546875" customWidth="1"/>
    <col min="795" max="795" width="8.85546875" bestFit="1" customWidth="1"/>
    <col min="796" max="796" width="10.5703125" customWidth="1"/>
    <col min="797" max="797" width="9.85546875" bestFit="1" customWidth="1"/>
    <col min="798" max="798" width="11.140625" customWidth="1"/>
    <col min="799" max="799" width="9.85546875" bestFit="1" customWidth="1"/>
    <col min="800" max="800" width="10.85546875" customWidth="1"/>
    <col min="801" max="801" width="12.140625" bestFit="1" customWidth="1"/>
    <col min="802" max="802" width="12.140625" customWidth="1"/>
    <col min="803" max="803" width="9.5703125" bestFit="1" customWidth="1"/>
    <col min="804" max="804" width="11.140625" customWidth="1"/>
    <col min="805" max="805" width="11.7109375" bestFit="1" customWidth="1"/>
    <col min="806" max="806" width="11.7109375" customWidth="1"/>
    <col min="1025" max="1025" width="38.7109375" customWidth="1"/>
    <col min="1026" max="1026" width="12.28515625" customWidth="1"/>
    <col min="1027" max="1027" width="11" customWidth="1"/>
    <col min="1028" max="1028" width="13" customWidth="1"/>
    <col min="1029" max="1029" width="11.85546875" customWidth="1"/>
    <col min="1030" max="1030" width="11.140625" customWidth="1"/>
    <col min="1031" max="1031" width="13.42578125" customWidth="1"/>
    <col min="1032" max="1032" width="13" customWidth="1"/>
    <col min="1033" max="1033" width="11.140625" customWidth="1"/>
    <col min="1034" max="1034" width="14.28515625" customWidth="1"/>
    <col min="1035" max="1035" width="14.5703125" customWidth="1"/>
    <col min="1036" max="1036" width="11.140625" customWidth="1"/>
    <col min="1037" max="1037" width="12.28515625" customWidth="1"/>
    <col min="1038" max="1038" width="11.7109375" customWidth="1"/>
    <col min="1039" max="1039" width="11.140625" customWidth="1"/>
    <col min="1040" max="1040" width="12.85546875" customWidth="1"/>
    <col min="1041" max="1041" width="11.5703125" customWidth="1"/>
    <col min="1042" max="1042" width="11.140625" customWidth="1"/>
    <col min="1043" max="1043" width="13.85546875" customWidth="1"/>
    <col min="1044" max="1044" width="21.5703125" customWidth="1"/>
    <col min="1045" max="1045" width="9.7109375" customWidth="1"/>
    <col min="1046" max="1046" width="11.42578125" customWidth="1"/>
    <col min="1047" max="1047" width="11" customWidth="1"/>
    <col min="1048" max="1049" width="9.7109375" customWidth="1"/>
    <col min="1050" max="1050" width="12.85546875" customWidth="1"/>
    <col min="1051" max="1051" width="8.85546875" bestFit="1" customWidth="1"/>
    <col min="1052" max="1052" width="10.5703125" customWidth="1"/>
    <col min="1053" max="1053" width="9.85546875" bestFit="1" customWidth="1"/>
    <col min="1054" max="1054" width="11.140625" customWidth="1"/>
    <col min="1055" max="1055" width="9.85546875" bestFit="1" customWidth="1"/>
    <col min="1056" max="1056" width="10.85546875" customWidth="1"/>
    <col min="1057" max="1057" width="12.140625" bestFit="1" customWidth="1"/>
    <col min="1058" max="1058" width="12.140625" customWidth="1"/>
    <col min="1059" max="1059" width="9.5703125" bestFit="1" customWidth="1"/>
    <col min="1060" max="1060" width="11.140625" customWidth="1"/>
    <col min="1061" max="1061" width="11.7109375" bestFit="1" customWidth="1"/>
    <col min="1062" max="1062" width="11.7109375" customWidth="1"/>
    <col min="1281" max="1281" width="38.7109375" customWidth="1"/>
    <col min="1282" max="1282" width="12.28515625" customWidth="1"/>
    <col min="1283" max="1283" width="11" customWidth="1"/>
    <col min="1284" max="1284" width="13" customWidth="1"/>
    <col min="1285" max="1285" width="11.85546875" customWidth="1"/>
    <col min="1286" max="1286" width="11.140625" customWidth="1"/>
    <col min="1287" max="1287" width="13.42578125" customWidth="1"/>
    <col min="1288" max="1288" width="13" customWidth="1"/>
    <col min="1289" max="1289" width="11.140625" customWidth="1"/>
    <col min="1290" max="1290" width="14.28515625" customWidth="1"/>
    <col min="1291" max="1291" width="14.5703125" customWidth="1"/>
    <col min="1292" max="1292" width="11.140625" customWidth="1"/>
    <col min="1293" max="1293" width="12.28515625" customWidth="1"/>
    <col min="1294" max="1294" width="11.7109375" customWidth="1"/>
    <col min="1295" max="1295" width="11.140625" customWidth="1"/>
    <col min="1296" max="1296" width="12.85546875" customWidth="1"/>
    <col min="1297" max="1297" width="11.5703125" customWidth="1"/>
    <col min="1298" max="1298" width="11.140625" customWidth="1"/>
    <col min="1299" max="1299" width="13.85546875" customWidth="1"/>
    <col min="1300" max="1300" width="21.5703125" customWidth="1"/>
    <col min="1301" max="1301" width="9.7109375" customWidth="1"/>
    <col min="1302" max="1302" width="11.42578125" customWidth="1"/>
    <col min="1303" max="1303" width="11" customWidth="1"/>
    <col min="1304" max="1305" width="9.7109375" customWidth="1"/>
    <col min="1306" max="1306" width="12.85546875" customWidth="1"/>
    <col min="1307" max="1307" width="8.85546875" bestFit="1" customWidth="1"/>
    <col min="1308" max="1308" width="10.5703125" customWidth="1"/>
    <col min="1309" max="1309" width="9.85546875" bestFit="1" customWidth="1"/>
    <col min="1310" max="1310" width="11.140625" customWidth="1"/>
    <col min="1311" max="1311" width="9.85546875" bestFit="1" customWidth="1"/>
    <col min="1312" max="1312" width="10.85546875" customWidth="1"/>
    <col min="1313" max="1313" width="12.140625" bestFit="1" customWidth="1"/>
    <col min="1314" max="1314" width="12.140625" customWidth="1"/>
    <col min="1315" max="1315" width="9.5703125" bestFit="1" customWidth="1"/>
    <col min="1316" max="1316" width="11.140625" customWidth="1"/>
    <col min="1317" max="1317" width="11.7109375" bestFit="1" customWidth="1"/>
    <col min="1318" max="1318" width="11.7109375" customWidth="1"/>
    <col min="1537" max="1537" width="38.7109375" customWidth="1"/>
    <col min="1538" max="1538" width="12.28515625" customWidth="1"/>
    <col min="1539" max="1539" width="11" customWidth="1"/>
    <col min="1540" max="1540" width="13" customWidth="1"/>
    <col min="1541" max="1541" width="11.85546875" customWidth="1"/>
    <col min="1542" max="1542" width="11.140625" customWidth="1"/>
    <col min="1543" max="1543" width="13.42578125" customWidth="1"/>
    <col min="1544" max="1544" width="13" customWidth="1"/>
    <col min="1545" max="1545" width="11.140625" customWidth="1"/>
    <col min="1546" max="1546" width="14.28515625" customWidth="1"/>
    <col min="1547" max="1547" width="14.5703125" customWidth="1"/>
    <col min="1548" max="1548" width="11.140625" customWidth="1"/>
    <col min="1549" max="1549" width="12.28515625" customWidth="1"/>
    <col min="1550" max="1550" width="11.7109375" customWidth="1"/>
    <col min="1551" max="1551" width="11.140625" customWidth="1"/>
    <col min="1552" max="1552" width="12.85546875" customWidth="1"/>
    <col min="1553" max="1553" width="11.5703125" customWidth="1"/>
    <col min="1554" max="1554" width="11.140625" customWidth="1"/>
    <col min="1555" max="1555" width="13.85546875" customWidth="1"/>
    <col min="1556" max="1556" width="21.5703125" customWidth="1"/>
    <col min="1557" max="1557" width="9.7109375" customWidth="1"/>
    <col min="1558" max="1558" width="11.42578125" customWidth="1"/>
    <col min="1559" max="1559" width="11" customWidth="1"/>
    <col min="1560" max="1561" width="9.7109375" customWidth="1"/>
    <col min="1562" max="1562" width="12.85546875" customWidth="1"/>
    <col min="1563" max="1563" width="8.85546875" bestFit="1" customWidth="1"/>
    <col min="1564" max="1564" width="10.5703125" customWidth="1"/>
    <col min="1565" max="1565" width="9.85546875" bestFit="1" customWidth="1"/>
    <col min="1566" max="1566" width="11.140625" customWidth="1"/>
    <col min="1567" max="1567" width="9.85546875" bestFit="1" customWidth="1"/>
    <col min="1568" max="1568" width="10.85546875" customWidth="1"/>
    <col min="1569" max="1569" width="12.140625" bestFit="1" customWidth="1"/>
    <col min="1570" max="1570" width="12.140625" customWidth="1"/>
    <col min="1571" max="1571" width="9.5703125" bestFit="1" customWidth="1"/>
    <col min="1572" max="1572" width="11.140625" customWidth="1"/>
    <col min="1573" max="1573" width="11.7109375" bestFit="1" customWidth="1"/>
    <col min="1574" max="1574" width="11.7109375" customWidth="1"/>
    <col min="1793" max="1793" width="38.7109375" customWidth="1"/>
    <col min="1794" max="1794" width="12.28515625" customWidth="1"/>
    <col min="1795" max="1795" width="11" customWidth="1"/>
    <col min="1796" max="1796" width="13" customWidth="1"/>
    <col min="1797" max="1797" width="11.85546875" customWidth="1"/>
    <col min="1798" max="1798" width="11.140625" customWidth="1"/>
    <col min="1799" max="1799" width="13.42578125" customWidth="1"/>
    <col min="1800" max="1800" width="13" customWidth="1"/>
    <col min="1801" max="1801" width="11.140625" customWidth="1"/>
    <col min="1802" max="1802" width="14.28515625" customWidth="1"/>
    <col min="1803" max="1803" width="14.5703125" customWidth="1"/>
    <col min="1804" max="1804" width="11.140625" customWidth="1"/>
    <col min="1805" max="1805" width="12.28515625" customWidth="1"/>
    <col min="1806" max="1806" width="11.7109375" customWidth="1"/>
    <col min="1807" max="1807" width="11.140625" customWidth="1"/>
    <col min="1808" max="1808" width="12.85546875" customWidth="1"/>
    <col min="1809" max="1809" width="11.5703125" customWidth="1"/>
    <col min="1810" max="1810" width="11.140625" customWidth="1"/>
    <col min="1811" max="1811" width="13.85546875" customWidth="1"/>
    <col min="1812" max="1812" width="21.5703125" customWidth="1"/>
    <col min="1813" max="1813" width="9.7109375" customWidth="1"/>
    <col min="1814" max="1814" width="11.42578125" customWidth="1"/>
    <col min="1815" max="1815" width="11" customWidth="1"/>
    <col min="1816" max="1817" width="9.7109375" customWidth="1"/>
    <col min="1818" max="1818" width="12.85546875" customWidth="1"/>
    <col min="1819" max="1819" width="8.85546875" bestFit="1" customWidth="1"/>
    <col min="1820" max="1820" width="10.5703125" customWidth="1"/>
    <col min="1821" max="1821" width="9.85546875" bestFit="1" customWidth="1"/>
    <col min="1822" max="1822" width="11.140625" customWidth="1"/>
    <col min="1823" max="1823" width="9.85546875" bestFit="1" customWidth="1"/>
    <col min="1824" max="1824" width="10.85546875" customWidth="1"/>
    <col min="1825" max="1825" width="12.140625" bestFit="1" customWidth="1"/>
    <col min="1826" max="1826" width="12.140625" customWidth="1"/>
    <col min="1827" max="1827" width="9.5703125" bestFit="1" customWidth="1"/>
    <col min="1828" max="1828" width="11.140625" customWidth="1"/>
    <col min="1829" max="1829" width="11.7109375" bestFit="1" customWidth="1"/>
    <col min="1830" max="1830" width="11.7109375" customWidth="1"/>
    <col min="2049" max="2049" width="38.7109375" customWidth="1"/>
    <col min="2050" max="2050" width="12.28515625" customWidth="1"/>
    <col min="2051" max="2051" width="11" customWidth="1"/>
    <col min="2052" max="2052" width="13" customWidth="1"/>
    <col min="2053" max="2053" width="11.85546875" customWidth="1"/>
    <col min="2054" max="2054" width="11.140625" customWidth="1"/>
    <col min="2055" max="2055" width="13.42578125" customWidth="1"/>
    <col min="2056" max="2056" width="13" customWidth="1"/>
    <col min="2057" max="2057" width="11.140625" customWidth="1"/>
    <col min="2058" max="2058" width="14.28515625" customWidth="1"/>
    <col min="2059" max="2059" width="14.5703125" customWidth="1"/>
    <col min="2060" max="2060" width="11.140625" customWidth="1"/>
    <col min="2061" max="2061" width="12.28515625" customWidth="1"/>
    <col min="2062" max="2062" width="11.7109375" customWidth="1"/>
    <col min="2063" max="2063" width="11.140625" customWidth="1"/>
    <col min="2064" max="2064" width="12.85546875" customWidth="1"/>
    <col min="2065" max="2065" width="11.5703125" customWidth="1"/>
    <col min="2066" max="2066" width="11.140625" customWidth="1"/>
    <col min="2067" max="2067" width="13.85546875" customWidth="1"/>
    <col min="2068" max="2068" width="21.5703125" customWidth="1"/>
    <col min="2069" max="2069" width="9.7109375" customWidth="1"/>
    <col min="2070" max="2070" width="11.42578125" customWidth="1"/>
    <col min="2071" max="2071" width="11" customWidth="1"/>
    <col min="2072" max="2073" width="9.7109375" customWidth="1"/>
    <col min="2074" max="2074" width="12.85546875" customWidth="1"/>
    <col min="2075" max="2075" width="8.85546875" bestFit="1" customWidth="1"/>
    <col min="2076" max="2076" width="10.5703125" customWidth="1"/>
    <col min="2077" max="2077" width="9.85546875" bestFit="1" customWidth="1"/>
    <col min="2078" max="2078" width="11.140625" customWidth="1"/>
    <col min="2079" max="2079" width="9.85546875" bestFit="1" customWidth="1"/>
    <col min="2080" max="2080" width="10.85546875" customWidth="1"/>
    <col min="2081" max="2081" width="12.140625" bestFit="1" customWidth="1"/>
    <col min="2082" max="2082" width="12.140625" customWidth="1"/>
    <col min="2083" max="2083" width="9.5703125" bestFit="1" customWidth="1"/>
    <col min="2084" max="2084" width="11.140625" customWidth="1"/>
    <col min="2085" max="2085" width="11.7109375" bestFit="1" customWidth="1"/>
    <col min="2086" max="2086" width="11.7109375" customWidth="1"/>
    <col min="2305" max="2305" width="38.7109375" customWidth="1"/>
    <col min="2306" max="2306" width="12.28515625" customWidth="1"/>
    <col min="2307" max="2307" width="11" customWidth="1"/>
    <col min="2308" max="2308" width="13" customWidth="1"/>
    <col min="2309" max="2309" width="11.85546875" customWidth="1"/>
    <col min="2310" max="2310" width="11.140625" customWidth="1"/>
    <col min="2311" max="2311" width="13.42578125" customWidth="1"/>
    <col min="2312" max="2312" width="13" customWidth="1"/>
    <col min="2313" max="2313" width="11.140625" customWidth="1"/>
    <col min="2314" max="2314" width="14.28515625" customWidth="1"/>
    <col min="2315" max="2315" width="14.5703125" customWidth="1"/>
    <col min="2316" max="2316" width="11.140625" customWidth="1"/>
    <col min="2317" max="2317" width="12.28515625" customWidth="1"/>
    <col min="2318" max="2318" width="11.7109375" customWidth="1"/>
    <col min="2319" max="2319" width="11.140625" customWidth="1"/>
    <col min="2320" max="2320" width="12.85546875" customWidth="1"/>
    <col min="2321" max="2321" width="11.5703125" customWidth="1"/>
    <col min="2322" max="2322" width="11.140625" customWidth="1"/>
    <col min="2323" max="2323" width="13.85546875" customWidth="1"/>
    <col min="2324" max="2324" width="21.5703125" customWidth="1"/>
    <col min="2325" max="2325" width="9.7109375" customWidth="1"/>
    <col min="2326" max="2326" width="11.42578125" customWidth="1"/>
    <col min="2327" max="2327" width="11" customWidth="1"/>
    <col min="2328" max="2329" width="9.7109375" customWidth="1"/>
    <col min="2330" max="2330" width="12.85546875" customWidth="1"/>
    <col min="2331" max="2331" width="8.85546875" bestFit="1" customWidth="1"/>
    <col min="2332" max="2332" width="10.5703125" customWidth="1"/>
    <col min="2333" max="2333" width="9.85546875" bestFit="1" customWidth="1"/>
    <col min="2334" max="2334" width="11.140625" customWidth="1"/>
    <col min="2335" max="2335" width="9.85546875" bestFit="1" customWidth="1"/>
    <col min="2336" max="2336" width="10.85546875" customWidth="1"/>
    <col min="2337" max="2337" width="12.140625" bestFit="1" customWidth="1"/>
    <col min="2338" max="2338" width="12.140625" customWidth="1"/>
    <col min="2339" max="2339" width="9.5703125" bestFit="1" customWidth="1"/>
    <col min="2340" max="2340" width="11.140625" customWidth="1"/>
    <col min="2341" max="2341" width="11.7109375" bestFit="1" customWidth="1"/>
    <col min="2342" max="2342" width="11.7109375" customWidth="1"/>
    <col min="2561" max="2561" width="38.7109375" customWidth="1"/>
    <col min="2562" max="2562" width="12.28515625" customWidth="1"/>
    <col min="2563" max="2563" width="11" customWidth="1"/>
    <col min="2564" max="2564" width="13" customWidth="1"/>
    <col min="2565" max="2565" width="11.85546875" customWidth="1"/>
    <col min="2566" max="2566" width="11.140625" customWidth="1"/>
    <col min="2567" max="2567" width="13.42578125" customWidth="1"/>
    <col min="2568" max="2568" width="13" customWidth="1"/>
    <col min="2569" max="2569" width="11.140625" customWidth="1"/>
    <col min="2570" max="2570" width="14.28515625" customWidth="1"/>
    <col min="2571" max="2571" width="14.5703125" customWidth="1"/>
    <col min="2572" max="2572" width="11.140625" customWidth="1"/>
    <col min="2573" max="2573" width="12.28515625" customWidth="1"/>
    <col min="2574" max="2574" width="11.7109375" customWidth="1"/>
    <col min="2575" max="2575" width="11.140625" customWidth="1"/>
    <col min="2576" max="2576" width="12.85546875" customWidth="1"/>
    <col min="2577" max="2577" width="11.5703125" customWidth="1"/>
    <col min="2578" max="2578" width="11.140625" customWidth="1"/>
    <col min="2579" max="2579" width="13.85546875" customWidth="1"/>
    <col min="2580" max="2580" width="21.5703125" customWidth="1"/>
    <col min="2581" max="2581" width="9.7109375" customWidth="1"/>
    <col min="2582" max="2582" width="11.42578125" customWidth="1"/>
    <col min="2583" max="2583" width="11" customWidth="1"/>
    <col min="2584" max="2585" width="9.7109375" customWidth="1"/>
    <col min="2586" max="2586" width="12.85546875" customWidth="1"/>
    <col min="2587" max="2587" width="8.85546875" bestFit="1" customWidth="1"/>
    <col min="2588" max="2588" width="10.5703125" customWidth="1"/>
    <col min="2589" max="2589" width="9.85546875" bestFit="1" customWidth="1"/>
    <col min="2590" max="2590" width="11.140625" customWidth="1"/>
    <col min="2591" max="2591" width="9.85546875" bestFit="1" customWidth="1"/>
    <col min="2592" max="2592" width="10.85546875" customWidth="1"/>
    <col min="2593" max="2593" width="12.140625" bestFit="1" customWidth="1"/>
    <col min="2594" max="2594" width="12.140625" customWidth="1"/>
    <col min="2595" max="2595" width="9.5703125" bestFit="1" customWidth="1"/>
    <col min="2596" max="2596" width="11.140625" customWidth="1"/>
    <col min="2597" max="2597" width="11.7109375" bestFit="1" customWidth="1"/>
    <col min="2598" max="2598" width="11.7109375" customWidth="1"/>
    <col min="2817" max="2817" width="38.7109375" customWidth="1"/>
    <col min="2818" max="2818" width="12.28515625" customWidth="1"/>
    <col min="2819" max="2819" width="11" customWidth="1"/>
    <col min="2820" max="2820" width="13" customWidth="1"/>
    <col min="2821" max="2821" width="11.85546875" customWidth="1"/>
    <col min="2822" max="2822" width="11.140625" customWidth="1"/>
    <col min="2823" max="2823" width="13.42578125" customWidth="1"/>
    <col min="2824" max="2824" width="13" customWidth="1"/>
    <col min="2825" max="2825" width="11.140625" customWidth="1"/>
    <col min="2826" max="2826" width="14.28515625" customWidth="1"/>
    <col min="2827" max="2827" width="14.5703125" customWidth="1"/>
    <col min="2828" max="2828" width="11.140625" customWidth="1"/>
    <col min="2829" max="2829" width="12.28515625" customWidth="1"/>
    <col min="2830" max="2830" width="11.7109375" customWidth="1"/>
    <col min="2831" max="2831" width="11.140625" customWidth="1"/>
    <col min="2832" max="2832" width="12.85546875" customWidth="1"/>
    <col min="2833" max="2833" width="11.5703125" customWidth="1"/>
    <col min="2834" max="2834" width="11.140625" customWidth="1"/>
    <col min="2835" max="2835" width="13.85546875" customWidth="1"/>
    <col min="2836" max="2836" width="21.5703125" customWidth="1"/>
    <col min="2837" max="2837" width="9.7109375" customWidth="1"/>
    <col min="2838" max="2838" width="11.42578125" customWidth="1"/>
    <col min="2839" max="2839" width="11" customWidth="1"/>
    <col min="2840" max="2841" width="9.7109375" customWidth="1"/>
    <col min="2842" max="2842" width="12.85546875" customWidth="1"/>
    <col min="2843" max="2843" width="8.85546875" bestFit="1" customWidth="1"/>
    <col min="2844" max="2844" width="10.5703125" customWidth="1"/>
    <col min="2845" max="2845" width="9.85546875" bestFit="1" customWidth="1"/>
    <col min="2846" max="2846" width="11.140625" customWidth="1"/>
    <col min="2847" max="2847" width="9.85546875" bestFit="1" customWidth="1"/>
    <col min="2848" max="2848" width="10.85546875" customWidth="1"/>
    <col min="2849" max="2849" width="12.140625" bestFit="1" customWidth="1"/>
    <col min="2850" max="2850" width="12.140625" customWidth="1"/>
    <col min="2851" max="2851" width="9.5703125" bestFit="1" customWidth="1"/>
    <col min="2852" max="2852" width="11.140625" customWidth="1"/>
    <col min="2853" max="2853" width="11.7109375" bestFit="1" customWidth="1"/>
    <col min="2854" max="2854" width="11.7109375" customWidth="1"/>
    <col min="3073" max="3073" width="38.7109375" customWidth="1"/>
    <col min="3074" max="3074" width="12.28515625" customWidth="1"/>
    <col min="3075" max="3075" width="11" customWidth="1"/>
    <col min="3076" max="3076" width="13" customWidth="1"/>
    <col min="3077" max="3077" width="11.85546875" customWidth="1"/>
    <col min="3078" max="3078" width="11.140625" customWidth="1"/>
    <col min="3079" max="3079" width="13.42578125" customWidth="1"/>
    <col min="3080" max="3080" width="13" customWidth="1"/>
    <col min="3081" max="3081" width="11.140625" customWidth="1"/>
    <col min="3082" max="3082" width="14.28515625" customWidth="1"/>
    <col min="3083" max="3083" width="14.5703125" customWidth="1"/>
    <col min="3084" max="3084" width="11.140625" customWidth="1"/>
    <col min="3085" max="3085" width="12.28515625" customWidth="1"/>
    <col min="3086" max="3086" width="11.7109375" customWidth="1"/>
    <col min="3087" max="3087" width="11.140625" customWidth="1"/>
    <col min="3088" max="3088" width="12.85546875" customWidth="1"/>
    <col min="3089" max="3089" width="11.5703125" customWidth="1"/>
    <col min="3090" max="3090" width="11.140625" customWidth="1"/>
    <col min="3091" max="3091" width="13.85546875" customWidth="1"/>
    <col min="3092" max="3092" width="21.5703125" customWidth="1"/>
    <col min="3093" max="3093" width="9.7109375" customWidth="1"/>
    <col min="3094" max="3094" width="11.42578125" customWidth="1"/>
    <col min="3095" max="3095" width="11" customWidth="1"/>
    <col min="3096" max="3097" width="9.7109375" customWidth="1"/>
    <col min="3098" max="3098" width="12.85546875" customWidth="1"/>
    <col min="3099" max="3099" width="8.85546875" bestFit="1" customWidth="1"/>
    <col min="3100" max="3100" width="10.5703125" customWidth="1"/>
    <col min="3101" max="3101" width="9.85546875" bestFit="1" customWidth="1"/>
    <col min="3102" max="3102" width="11.140625" customWidth="1"/>
    <col min="3103" max="3103" width="9.85546875" bestFit="1" customWidth="1"/>
    <col min="3104" max="3104" width="10.85546875" customWidth="1"/>
    <col min="3105" max="3105" width="12.140625" bestFit="1" customWidth="1"/>
    <col min="3106" max="3106" width="12.140625" customWidth="1"/>
    <col min="3107" max="3107" width="9.5703125" bestFit="1" customWidth="1"/>
    <col min="3108" max="3108" width="11.140625" customWidth="1"/>
    <col min="3109" max="3109" width="11.7109375" bestFit="1" customWidth="1"/>
    <col min="3110" max="3110" width="11.7109375" customWidth="1"/>
    <col min="3329" max="3329" width="38.7109375" customWidth="1"/>
    <col min="3330" max="3330" width="12.28515625" customWidth="1"/>
    <col min="3331" max="3331" width="11" customWidth="1"/>
    <col min="3332" max="3332" width="13" customWidth="1"/>
    <col min="3333" max="3333" width="11.85546875" customWidth="1"/>
    <col min="3334" max="3334" width="11.140625" customWidth="1"/>
    <col min="3335" max="3335" width="13.42578125" customWidth="1"/>
    <col min="3336" max="3336" width="13" customWidth="1"/>
    <col min="3337" max="3337" width="11.140625" customWidth="1"/>
    <col min="3338" max="3338" width="14.28515625" customWidth="1"/>
    <col min="3339" max="3339" width="14.5703125" customWidth="1"/>
    <col min="3340" max="3340" width="11.140625" customWidth="1"/>
    <col min="3341" max="3341" width="12.28515625" customWidth="1"/>
    <col min="3342" max="3342" width="11.7109375" customWidth="1"/>
    <col min="3343" max="3343" width="11.140625" customWidth="1"/>
    <col min="3344" max="3344" width="12.85546875" customWidth="1"/>
    <col min="3345" max="3345" width="11.5703125" customWidth="1"/>
    <col min="3346" max="3346" width="11.140625" customWidth="1"/>
    <col min="3347" max="3347" width="13.85546875" customWidth="1"/>
    <col min="3348" max="3348" width="21.5703125" customWidth="1"/>
    <col min="3349" max="3349" width="9.7109375" customWidth="1"/>
    <col min="3350" max="3350" width="11.42578125" customWidth="1"/>
    <col min="3351" max="3351" width="11" customWidth="1"/>
    <col min="3352" max="3353" width="9.7109375" customWidth="1"/>
    <col min="3354" max="3354" width="12.85546875" customWidth="1"/>
    <col min="3355" max="3355" width="8.85546875" bestFit="1" customWidth="1"/>
    <col min="3356" max="3356" width="10.5703125" customWidth="1"/>
    <col min="3357" max="3357" width="9.85546875" bestFit="1" customWidth="1"/>
    <col min="3358" max="3358" width="11.140625" customWidth="1"/>
    <col min="3359" max="3359" width="9.85546875" bestFit="1" customWidth="1"/>
    <col min="3360" max="3360" width="10.85546875" customWidth="1"/>
    <col min="3361" max="3361" width="12.140625" bestFit="1" customWidth="1"/>
    <col min="3362" max="3362" width="12.140625" customWidth="1"/>
    <col min="3363" max="3363" width="9.5703125" bestFit="1" customWidth="1"/>
    <col min="3364" max="3364" width="11.140625" customWidth="1"/>
    <col min="3365" max="3365" width="11.7109375" bestFit="1" customWidth="1"/>
    <col min="3366" max="3366" width="11.7109375" customWidth="1"/>
    <col min="3585" max="3585" width="38.7109375" customWidth="1"/>
    <col min="3586" max="3586" width="12.28515625" customWidth="1"/>
    <col min="3587" max="3587" width="11" customWidth="1"/>
    <col min="3588" max="3588" width="13" customWidth="1"/>
    <col min="3589" max="3589" width="11.85546875" customWidth="1"/>
    <col min="3590" max="3590" width="11.140625" customWidth="1"/>
    <col min="3591" max="3591" width="13.42578125" customWidth="1"/>
    <col min="3592" max="3592" width="13" customWidth="1"/>
    <col min="3593" max="3593" width="11.140625" customWidth="1"/>
    <col min="3594" max="3594" width="14.28515625" customWidth="1"/>
    <col min="3595" max="3595" width="14.5703125" customWidth="1"/>
    <col min="3596" max="3596" width="11.140625" customWidth="1"/>
    <col min="3597" max="3597" width="12.28515625" customWidth="1"/>
    <col min="3598" max="3598" width="11.7109375" customWidth="1"/>
    <col min="3599" max="3599" width="11.140625" customWidth="1"/>
    <col min="3600" max="3600" width="12.85546875" customWidth="1"/>
    <col min="3601" max="3601" width="11.5703125" customWidth="1"/>
    <col min="3602" max="3602" width="11.140625" customWidth="1"/>
    <col min="3603" max="3603" width="13.85546875" customWidth="1"/>
    <col min="3604" max="3604" width="21.5703125" customWidth="1"/>
    <col min="3605" max="3605" width="9.7109375" customWidth="1"/>
    <col min="3606" max="3606" width="11.42578125" customWidth="1"/>
    <col min="3607" max="3607" width="11" customWidth="1"/>
    <col min="3608" max="3609" width="9.7109375" customWidth="1"/>
    <col min="3610" max="3610" width="12.85546875" customWidth="1"/>
    <col min="3611" max="3611" width="8.85546875" bestFit="1" customWidth="1"/>
    <col min="3612" max="3612" width="10.5703125" customWidth="1"/>
    <col min="3613" max="3613" width="9.85546875" bestFit="1" customWidth="1"/>
    <col min="3614" max="3614" width="11.140625" customWidth="1"/>
    <col min="3615" max="3615" width="9.85546875" bestFit="1" customWidth="1"/>
    <col min="3616" max="3616" width="10.85546875" customWidth="1"/>
    <col min="3617" max="3617" width="12.140625" bestFit="1" customWidth="1"/>
    <col min="3618" max="3618" width="12.140625" customWidth="1"/>
    <col min="3619" max="3619" width="9.5703125" bestFit="1" customWidth="1"/>
    <col min="3620" max="3620" width="11.140625" customWidth="1"/>
    <col min="3621" max="3621" width="11.7109375" bestFit="1" customWidth="1"/>
    <col min="3622" max="3622" width="11.7109375" customWidth="1"/>
    <col min="3841" max="3841" width="38.7109375" customWidth="1"/>
    <col min="3842" max="3842" width="12.28515625" customWidth="1"/>
    <col min="3843" max="3843" width="11" customWidth="1"/>
    <col min="3844" max="3844" width="13" customWidth="1"/>
    <col min="3845" max="3845" width="11.85546875" customWidth="1"/>
    <col min="3846" max="3846" width="11.140625" customWidth="1"/>
    <col min="3847" max="3847" width="13.42578125" customWidth="1"/>
    <col min="3848" max="3848" width="13" customWidth="1"/>
    <col min="3849" max="3849" width="11.140625" customWidth="1"/>
    <col min="3850" max="3850" width="14.28515625" customWidth="1"/>
    <col min="3851" max="3851" width="14.5703125" customWidth="1"/>
    <col min="3852" max="3852" width="11.140625" customWidth="1"/>
    <col min="3853" max="3853" width="12.28515625" customWidth="1"/>
    <col min="3854" max="3854" width="11.7109375" customWidth="1"/>
    <col min="3855" max="3855" width="11.140625" customWidth="1"/>
    <col min="3856" max="3856" width="12.85546875" customWidth="1"/>
    <col min="3857" max="3857" width="11.5703125" customWidth="1"/>
    <col min="3858" max="3858" width="11.140625" customWidth="1"/>
    <col min="3859" max="3859" width="13.85546875" customWidth="1"/>
    <col min="3860" max="3860" width="21.5703125" customWidth="1"/>
    <col min="3861" max="3861" width="9.7109375" customWidth="1"/>
    <col min="3862" max="3862" width="11.42578125" customWidth="1"/>
    <col min="3863" max="3863" width="11" customWidth="1"/>
    <col min="3864" max="3865" width="9.7109375" customWidth="1"/>
    <col min="3866" max="3866" width="12.85546875" customWidth="1"/>
    <col min="3867" max="3867" width="8.85546875" bestFit="1" customWidth="1"/>
    <col min="3868" max="3868" width="10.5703125" customWidth="1"/>
    <col min="3869" max="3869" width="9.85546875" bestFit="1" customWidth="1"/>
    <col min="3870" max="3870" width="11.140625" customWidth="1"/>
    <col min="3871" max="3871" width="9.85546875" bestFit="1" customWidth="1"/>
    <col min="3872" max="3872" width="10.85546875" customWidth="1"/>
    <col min="3873" max="3873" width="12.140625" bestFit="1" customWidth="1"/>
    <col min="3874" max="3874" width="12.140625" customWidth="1"/>
    <col min="3875" max="3875" width="9.5703125" bestFit="1" customWidth="1"/>
    <col min="3876" max="3876" width="11.140625" customWidth="1"/>
    <col min="3877" max="3877" width="11.7109375" bestFit="1" customWidth="1"/>
    <col min="3878" max="3878" width="11.7109375" customWidth="1"/>
    <col min="4097" max="4097" width="38.7109375" customWidth="1"/>
    <col min="4098" max="4098" width="12.28515625" customWidth="1"/>
    <col min="4099" max="4099" width="11" customWidth="1"/>
    <col min="4100" max="4100" width="13" customWidth="1"/>
    <col min="4101" max="4101" width="11.85546875" customWidth="1"/>
    <col min="4102" max="4102" width="11.140625" customWidth="1"/>
    <col min="4103" max="4103" width="13.42578125" customWidth="1"/>
    <col min="4104" max="4104" width="13" customWidth="1"/>
    <col min="4105" max="4105" width="11.140625" customWidth="1"/>
    <col min="4106" max="4106" width="14.28515625" customWidth="1"/>
    <col min="4107" max="4107" width="14.5703125" customWidth="1"/>
    <col min="4108" max="4108" width="11.140625" customWidth="1"/>
    <col min="4109" max="4109" width="12.28515625" customWidth="1"/>
    <col min="4110" max="4110" width="11.7109375" customWidth="1"/>
    <col min="4111" max="4111" width="11.140625" customWidth="1"/>
    <col min="4112" max="4112" width="12.85546875" customWidth="1"/>
    <col min="4113" max="4113" width="11.5703125" customWidth="1"/>
    <col min="4114" max="4114" width="11.140625" customWidth="1"/>
    <col min="4115" max="4115" width="13.85546875" customWidth="1"/>
    <col min="4116" max="4116" width="21.5703125" customWidth="1"/>
    <col min="4117" max="4117" width="9.7109375" customWidth="1"/>
    <col min="4118" max="4118" width="11.42578125" customWidth="1"/>
    <col min="4119" max="4119" width="11" customWidth="1"/>
    <col min="4120" max="4121" width="9.7109375" customWidth="1"/>
    <col min="4122" max="4122" width="12.85546875" customWidth="1"/>
    <col min="4123" max="4123" width="8.85546875" bestFit="1" customWidth="1"/>
    <col min="4124" max="4124" width="10.5703125" customWidth="1"/>
    <col min="4125" max="4125" width="9.85546875" bestFit="1" customWidth="1"/>
    <col min="4126" max="4126" width="11.140625" customWidth="1"/>
    <col min="4127" max="4127" width="9.85546875" bestFit="1" customWidth="1"/>
    <col min="4128" max="4128" width="10.85546875" customWidth="1"/>
    <col min="4129" max="4129" width="12.140625" bestFit="1" customWidth="1"/>
    <col min="4130" max="4130" width="12.140625" customWidth="1"/>
    <col min="4131" max="4131" width="9.5703125" bestFit="1" customWidth="1"/>
    <col min="4132" max="4132" width="11.140625" customWidth="1"/>
    <col min="4133" max="4133" width="11.7109375" bestFit="1" customWidth="1"/>
    <col min="4134" max="4134" width="11.7109375" customWidth="1"/>
    <col min="4353" max="4353" width="38.7109375" customWidth="1"/>
    <col min="4354" max="4354" width="12.28515625" customWidth="1"/>
    <col min="4355" max="4355" width="11" customWidth="1"/>
    <col min="4356" max="4356" width="13" customWidth="1"/>
    <col min="4357" max="4357" width="11.85546875" customWidth="1"/>
    <col min="4358" max="4358" width="11.140625" customWidth="1"/>
    <col min="4359" max="4359" width="13.42578125" customWidth="1"/>
    <col min="4360" max="4360" width="13" customWidth="1"/>
    <col min="4361" max="4361" width="11.140625" customWidth="1"/>
    <col min="4362" max="4362" width="14.28515625" customWidth="1"/>
    <col min="4363" max="4363" width="14.5703125" customWidth="1"/>
    <col min="4364" max="4364" width="11.140625" customWidth="1"/>
    <col min="4365" max="4365" width="12.28515625" customWidth="1"/>
    <col min="4366" max="4366" width="11.7109375" customWidth="1"/>
    <col min="4367" max="4367" width="11.140625" customWidth="1"/>
    <col min="4368" max="4368" width="12.85546875" customWidth="1"/>
    <col min="4369" max="4369" width="11.5703125" customWidth="1"/>
    <col min="4370" max="4370" width="11.140625" customWidth="1"/>
    <col min="4371" max="4371" width="13.85546875" customWidth="1"/>
    <col min="4372" max="4372" width="21.5703125" customWidth="1"/>
    <col min="4373" max="4373" width="9.7109375" customWidth="1"/>
    <col min="4374" max="4374" width="11.42578125" customWidth="1"/>
    <col min="4375" max="4375" width="11" customWidth="1"/>
    <col min="4376" max="4377" width="9.7109375" customWidth="1"/>
    <col min="4378" max="4378" width="12.85546875" customWidth="1"/>
    <col min="4379" max="4379" width="8.85546875" bestFit="1" customWidth="1"/>
    <col min="4380" max="4380" width="10.5703125" customWidth="1"/>
    <col min="4381" max="4381" width="9.85546875" bestFit="1" customWidth="1"/>
    <col min="4382" max="4382" width="11.140625" customWidth="1"/>
    <col min="4383" max="4383" width="9.85546875" bestFit="1" customWidth="1"/>
    <col min="4384" max="4384" width="10.85546875" customWidth="1"/>
    <col min="4385" max="4385" width="12.140625" bestFit="1" customWidth="1"/>
    <col min="4386" max="4386" width="12.140625" customWidth="1"/>
    <col min="4387" max="4387" width="9.5703125" bestFit="1" customWidth="1"/>
    <col min="4388" max="4388" width="11.140625" customWidth="1"/>
    <col min="4389" max="4389" width="11.7109375" bestFit="1" customWidth="1"/>
    <col min="4390" max="4390" width="11.7109375" customWidth="1"/>
    <col min="4609" max="4609" width="38.7109375" customWidth="1"/>
    <col min="4610" max="4610" width="12.28515625" customWidth="1"/>
    <col min="4611" max="4611" width="11" customWidth="1"/>
    <col min="4612" max="4612" width="13" customWidth="1"/>
    <col min="4613" max="4613" width="11.85546875" customWidth="1"/>
    <col min="4614" max="4614" width="11.140625" customWidth="1"/>
    <col min="4615" max="4615" width="13.42578125" customWidth="1"/>
    <col min="4616" max="4616" width="13" customWidth="1"/>
    <col min="4617" max="4617" width="11.140625" customWidth="1"/>
    <col min="4618" max="4618" width="14.28515625" customWidth="1"/>
    <col min="4619" max="4619" width="14.5703125" customWidth="1"/>
    <col min="4620" max="4620" width="11.140625" customWidth="1"/>
    <col min="4621" max="4621" width="12.28515625" customWidth="1"/>
    <col min="4622" max="4622" width="11.7109375" customWidth="1"/>
    <col min="4623" max="4623" width="11.140625" customWidth="1"/>
    <col min="4624" max="4624" width="12.85546875" customWidth="1"/>
    <col min="4625" max="4625" width="11.5703125" customWidth="1"/>
    <col min="4626" max="4626" width="11.140625" customWidth="1"/>
    <col min="4627" max="4627" width="13.85546875" customWidth="1"/>
    <col min="4628" max="4628" width="21.5703125" customWidth="1"/>
    <col min="4629" max="4629" width="9.7109375" customWidth="1"/>
    <col min="4630" max="4630" width="11.42578125" customWidth="1"/>
    <col min="4631" max="4631" width="11" customWidth="1"/>
    <col min="4632" max="4633" width="9.7109375" customWidth="1"/>
    <col min="4634" max="4634" width="12.85546875" customWidth="1"/>
    <col min="4635" max="4635" width="8.85546875" bestFit="1" customWidth="1"/>
    <col min="4636" max="4636" width="10.5703125" customWidth="1"/>
    <col min="4637" max="4637" width="9.85546875" bestFit="1" customWidth="1"/>
    <col min="4638" max="4638" width="11.140625" customWidth="1"/>
    <col min="4639" max="4639" width="9.85546875" bestFit="1" customWidth="1"/>
    <col min="4640" max="4640" width="10.85546875" customWidth="1"/>
    <col min="4641" max="4641" width="12.140625" bestFit="1" customWidth="1"/>
    <col min="4642" max="4642" width="12.140625" customWidth="1"/>
    <col min="4643" max="4643" width="9.5703125" bestFit="1" customWidth="1"/>
    <col min="4644" max="4644" width="11.140625" customWidth="1"/>
    <col min="4645" max="4645" width="11.7109375" bestFit="1" customWidth="1"/>
    <col min="4646" max="4646" width="11.7109375" customWidth="1"/>
    <col min="4865" max="4865" width="38.7109375" customWidth="1"/>
    <col min="4866" max="4866" width="12.28515625" customWidth="1"/>
    <col min="4867" max="4867" width="11" customWidth="1"/>
    <col min="4868" max="4868" width="13" customWidth="1"/>
    <col min="4869" max="4869" width="11.85546875" customWidth="1"/>
    <col min="4870" max="4870" width="11.140625" customWidth="1"/>
    <col min="4871" max="4871" width="13.42578125" customWidth="1"/>
    <col min="4872" max="4872" width="13" customWidth="1"/>
    <col min="4873" max="4873" width="11.140625" customWidth="1"/>
    <col min="4874" max="4874" width="14.28515625" customWidth="1"/>
    <col min="4875" max="4875" width="14.5703125" customWidth="1"/>
    <col min="4876" max="4876" width="11.140625" customWidth="1"/>
    <col min="4877" max="4877" width="12.28515625" customWidth="1"/>
    <col min="4878" max="4878" width="11.7109375" customWidth="1"/>
    <col min="4879" max="4879" width="11.140625" customWidth="1"/>
    <col min="4880" max="4880" width="12.85546875" customWidth="1"/>
    <col min="4881" max="4881" width="11.5703125" customWidth="1"/>
    <col min="4882" max="4882" width="11.140625" customWidth="1"/>
    <col min="4883" max="4883" width="13.85546875" customWidth="1"/>
    <col min="4884" max="4884" width="21.5703125" customWidth="1"/>
    <col min="4885" max="4885" width="9.7109375" customWidth="1"/>
    <col min="4886" max="4886" width="11.42578125" customWidth="1"/>
    <col min="4887" max="4887" width="11" customWidth="1"/>
    <col min="4888" max="4889" width="9.7109375" customWidth="1"/>
    <col min="4890" max="4890" width="12.85546875" customWidth="1"/>
    <col min="4891" max="4891" width="8.85546875" bestFit="1" customWidth="1"/>
    <col min="4892" max="4892" width="10.5703125" customWidth="1"/>
    <col min="4893" max="4893" width="9.85546875" bestFit="1" customWidth="1"/>
    <col min="4894" max="4894" width="11.140625" customWidth="1"/>
    <col min="4895" max="4895" width="9.85546875" bestFit="1" customWidth="1"/>
    <col min="4896" max="4896" width="10.85546875" customWidth="1"/>
    <col min="4897" max="4897" width="12.140625" bestFit="1" customWidth="1"/>
    <col min="4898" max="4898" width="12.140625" customWidth="1"/>
    <col min="4899" max="4899" width="9.5703125" bestFit="1" customWidth="1"/>
    <col min="4900" max="4900" width="11.140625" customWidth="1"/>
    <col min="4901" max="4901" width="11.7109375" bestFit="1" customWidth="1"/>
    <col min="4902" max="4902" width="11.7109375" customWidth="1"/>
    <col min="5121" max="5121" width="38.7109375" customWidth="1"/>
    <col min="5122" max="5122" width="12.28515625" customWidth="1"/>
    <col min="5123" max="5123" width="11" customWidth="1"/>
    <col min="5124" max="5124" width="13" customWidth="1"/>
    <col min="5125" max="5125" width="11.85546875" customWidth="1"/>
    <col min="5126" max="5126" width="11.140625" customWidth="1"/>
    <col min="5127" max="5127" width="13.42578125" customWidth="1"/>
    <col min="5128" max="5128" width="13" customWidth="1"/>
    <col min="5129" max="5129" width="11.140625" customWidth="1"/>
    <col min="5130" max="5130" width="14.28515625" customWidth="1"/>
    <col min="5131" max="5131" width="14.5703125" customWidth="1"/>
    <col min="5132" max="5132" width="11.140625" customWidth="1"/>
    <col min="5133" max="5133" width="12.28515625" customWidth="1"/>
    <col min="5134" max="5134" width="11.7109375" customWidth="1"/>
    <col min="5135" max="5135" width="11.140625" customWidth="1"/>
    <col min="5136" max="5136" width="12.85546875" customWidth="1"/>
    <col min="5137" max="5137" width="11.5703125" customWidth="1"/>
    <col min="5138" max="5138" width="11.140625" customWidth="1"/>
    <col min="5139" max="5139" width="13.85546875" customWidth="1"/>
    <col min="5140" max="5140" width="21.5703125" customWidth="1"/>
    <col min="5141" max="5141" width="9.7109375" customWidth="1"/>
    <col min="5142" max="5142" width="11.42578125" customWidth="1"/>
    <col min="5143" max="5143" width="11" customWidth="1"/>
    <col min="5144" max="5145" width="9.7109375" customWidth="1"/>
    <col min="5146" max="5146" width="12.85546875" customWidth="1"/>
    <col min="5147" max="5147" width="8.85546875" bestFit="1" customWidth="1"/>
    <col min="5148" max="5148" width="10.5703125" customWidth="1"/>
    <col min="5149" max="5149" width="9.85546875" bestFit="1" customWidth="1"/>
    <col min="5150" max="5150" width="11.140625" customWidth="1"/>
    <col min="5151" max="5151" width="9.85546875" bestFit="1" customWidth="1"/>
    <col min="5152" max="5152" width="10.85546875" customWidth="1"/>
    <col min="5153" max="5153" width="12.140625" bestFit="1" customWidth="1"/>
    <col min="5154" max="5154" width="12.140625" customWidth="1"/>
    <col min="5155" max="5155" width="9.5703125" bestFit="1" customWidth="1"/>
    <col min="5156" max="5156" width="11.140625" customWidth="1"/>
    <col min="5157" max="5157" width="11.7109375" bestFit="1" customWidth="1"/>
    <col min="5158" max="5158" width="11.7109375" customWidth="1"/>
    <col min="5377" max="5377" width="38.7109375" customWidth="1"/>
    <col min="5378" max="5378" width="12.28515625" customWidth="1"/>
    <col min="5379" max="5379" width="11" customWidth="1"/>
    <col min="5380" max="5380" width="13" customWidth="1"/>
    <col min="5381" max="5381" width="11.85546875" customWidth="1"/>
    <col min="5382" max="5382" width="11.140625" customWidth="1"/>
    <col min="5383" max="5383" width="13.42578125" customWidth="1"/>
    <col min="5384" max="5384" width="13" customWidth="1"/>
    <col min="5385" max="5385" width="11.140625" customWidth="1"/>
    <col min="5386" max="5386" width="14.28515625" customWidth="1"/>
    <col min="5387" max="5387" width="14.5703125" customWidth="1"/>
    <col min="5388" max="5388" width="11.140625" customWidth="1"/>
    <col min="5389" max="5389" width="12.28515625" customWidth="1"/>
    <col min="5390" max="5390" width="11.7109375" customWidth="1"/>
    <col min="5391" max="5391" width="11.140625" customWidth="1"/>
    <col min="5392" max="5392" width="12.85546875" customWidth="1"/>
    <col min="5393" max="5393" width="11.5703125" customWidth="1"/>
    <col min="5394" max="5394" width="11.140625" customWidth="1"/>
    <col min="5395" max="5395" width="13.85546875" customWidth="1"/>
    <col min="5396" max="5396" width="21.5703125" customWidth="1"/>
    <col min="5397" max="5397" width="9.7109375" customWidth="1"/>
    <col min="5398" max="5398" width="11.42578125" customWidth="1"/>
    <col min="5399" max="5399" width="11" customWidth="1"/>
    <col min="5400" max="5401" width="9.7109375" customWidth="1"/>
    <col min="5402" max="5402" width="12.85546875" customWidth="1"/>
    <col min="5403" max="5403" width="8.85546875" bestFit="1" customWidth="1"/>
    <col min="5404" max="5404" width="10.5703125" customWidth="1"/>
    <col min="5405" max="5405" width="9.85546875" bestFit="1" customWidth="1"/>
    <col min="5406" max="5406" width="11.140625" customWidth="1"/>
    <col min="5407" max="5407" width="9.85546875" bestFit="1" customWidth="1"/>
    <col min="5408" max="5408" width="10.85546875" customWidth="1"/>
    <col min="5409" max="5409" width="12.140625" bestFit="1" customWidth="1"/>
    <col min="5410" max="5410" width="12.140625" customWidth="1"/>
    <col min="5411" max="5411" width="9.5703125" bestFit="1" customWidth="1"/>
    <col min="5412" max="5412" width="11.140625" customWidth="1"/>
    <col min="5413" max="5413" width="11.7109375" bestFit="1" customWidth="1"/>
    <col min="5414" max="5414" width="11.7109375" customWidth="1"/>
    <col min="5633" max="5633" width="38.7109375" customWidth="1"/>
    <col min="5634" max="5634" width="12.28515625" customWidth="1"/>
    <col min="5635" max="5635" width="11" customWidth="1"/>
    <col min="5636" max="5636" width="13" customWidth="1"/>
    <col min="5637" max="5637" width="11.85546875" customWidth="1"/>
    <col min="5638" max="5638" width="11.140625" customWidth="1"/>
    <col min="5639" max="5639" width="13.42578125" customWidth="1"/>
    <col min="5640" max="5640" width="13" customWidth="1"/>
    <col min="5641" max="5641" width="11.140625" customWidth="1"/>
    <col min="5642" max="5642" width="14.28515625" customWidth="1"/>
    <col min="5643" max="5643" width="14.5703125" customWidth="1"/>
    <col min="5644" max="5644" width="11.140625" customWidth="1"/>
    <col min="5645" max="5645" width="12.28515625" customWidth="1"/>
    <col min="5646" max="5646" width="11.7109375" customWidth="1"/>
    <col min="5647" max="5647" width="11.140625" customWidth="1"/>
    <col min="5648" max="5648" width="12.85546875" customWidth="1"/>
    <col min="5649" max="5649" width="11.5703125" customWidth="1"/>
    <col min="5650" max="5650" width="11.140625" customWidth="1"/>
    <col min="5651" max="5651" width="13.85546875" customWidth="1"/>
    <col min="5652" max="5652" width="21.5703125" customWidth="1"/>
    <col min="5653" max="5653" width="9.7109375" customWidth="1"/>
    <col min="5654" max="5654" width="11.42578125" customWidth="1"/>
    <col min="5655" max="5655" width="11" customWidth="1"/>
    <col min="5656" max="5657" width="9.7109375" customWidth="1"/>
    <col min="5658" max="5658" width="12.85546875" customWidth="1"/>
    <col min="5659" max="5659" width="8.85546875" bestFit="1" customWidth="1"/>
    <col min="5660" max="5660" width="10.5703125" customWidth="1"/>
    <col min="5661" max="5661" width="9.85546875" bestFit="1" customWidth="1"/>
    <col min="5662" max="5662" width="11.140625" customWidth="1"/>
    <col min="5663" max="5663" width="9.85546875" bestFit="1" customWidth="1"/>
    <col min="5664" max="5664" width="10.85546875" customWidth="1"/>
    <col min="5665" max="5665" width="12.140625" bestFit="1" customWidth="1"/>
    <col min="5666" max="5666" width="12.140625" customWidth="1"/>
    <col min="5667" max="5667" width="9.5703125" bestFit="1" customWidth="1"/>
    <col min="5668" max="5668" width="11.140625" customWidth="1"/>
    <col min="5669" max="5669" width="11.7109375" bestFit="1" customWidth="1"/>
    <col min="5670" max="5670" width="11.7109375" customWidth="1"/>
    <col min="5889" max="5889" width="38.7109375" customWidth="1"/>
    <col min="5890" max="5890" width="12.28515625" customWidth="1"/>
    <col min="5891" max="5891" width="11" customWidth="1"/>
    <col min="5892" max="5892" width="13" customWidth="1"/>
    <col min="5893" max="5893" width="11.85546875" customWidth="1"/>
    <col min="5894" max="5894" width="11.140625" customWidth="1"/>
    <col min="5895" max="5895" width="13.42578125" customWidth="1"/>
    <col min="5896" max="5896" width="13" customWidth="1"/>
    <col min="5897" max="5897" width="11.140625" customWidth="1"/>
    <col min="5898" max="5898" width="14.28515625" customWidth="1"/>
    <col min="5899" max="5899" width="14.5703125" customWidth="1"/>
    <col min="5900" max="5900" width="11.140625" customWidth="1"/>
    <col min="5901" max="5901" width="12.28515625" customWidth="1"/>
    <col min="5902" max="5902" width="11.7109375" customWidth="1"/>
    <col min="5903" max="5903" width="11.140625" customWidth="1"/>
    <col min="5904" max="5904" width="12.85546875" customWidth="1"/>
    <col min="5905" max="5905" width="11.5703125" customWidth="1"/>
    <col min="5906" max="5906" width="11.140625" customWidth="1"/>
    <col min="5907" max="5907" width="13.85546875" customWidth="1"/>
    <col min="5908" max="5908" width="21.5703125" customWidth="1"/>
    <col min="5909" max="5909" width="9.7109375" customWidth="1"/>
    <col min="5910" max="5910" width="11.42578125" customWidth="1"/>
    <col min="5911" max="5911" width="11" customWidth="1"/>
    <col min="5912" max="5913" width="9.7109375" customWidth="1"/>
    <col min="5914" max="5914" width="12.85546875" customWidth="1"/>
    <col min="5915" max="5915" width="8.85546875" bestFit="1" customWidth="1"/>
    <col min="5916" max="5916" width="10.5703125" customWidth="1"/>
    <col min="5917" max="5917" width="9.85546875" bestFit="1" customWidth="1"/>
    <col min="5918" max="5918" width="11.140625" customWidth="1"/>
    <col min="5919" max="5919" width="9.85546875" bestFit="1" customWidth="1"/>
    <col min="5920" max="5920" width="10.85546875" customWidth="1"/>
    <col min="5921" max="5921" width="12.140625" bestFit="1" customWidth="1"/>
    <col min="5922" max="5922" width="12.140625" customWidth="1"/>
    <col min="5923" max="5923" width="9.5703125" bestFit="1" customWidth="1"/>
    <col min="5924" max="5924" width="11.140625" customWidth="1"/>
    <col min="5925" max="5925" width="11.7109375" bestFit="1" customWidth="1"/>
    <col min="5926" max="5926" width="11.7109375" customWidth="1"/>
    <col min="6145" max="6145" width="38.7109375" customWidth="1"/>
    <col min="6146" max="6146" width="12.28515625" customWidth="1"/>
    <col min="6147" max="6147" width="11" customWidth="1"/>
    <col min="6148" max="6148" width="13" customWidth="1"/>
    <col min="6149" max="6149" width="11.85546875" customWidth="1"/>
    <col min="6150" max="6150" width="11.140625" customWidth="1"/>
    <col min="6151" max="6151" width="13.42578125" customWidth="1"/>
    <col min="6152" max="6152" width="13" customWidth="1"/>
    <col min="6153" max="6153" width="11.140625" customWidth="1"/>
    <col min="6154" max="6154" width="14.28515625" customWidth="1"/>
    <col min="6155" max="6155" width="14.5703125" customWidth="1"/>
    <col min="6156" max="6156" width="11.140625" customWidth="1"/>
    <col min="6157" max="6157" width="12.28515625" customWidth="1"/>
    <col min="6158" max="6158" width="11.7109375" customWidth="1"/>
    <col min="6159" max="6159" width="11.140625" customWidth="1"/>
    <col min="6160" max="6160" width="12.85546875" customWidth="1"/>
    <col min="6161" max="6161" width="11.5703125" customWidth="1"/>
    <col min="6162" max="6162" width="11.140625" customWidth="1"/>
    <col min="6163" max="6163" width="13.85546875" customWidth="1"/>
    <col min="6164" max="6164" width="21.5703125" customWidth="1"/>
    <col min="6165" max="6165" width="9.7109375" customWidth="1"/>
    <col min="6166" max="6166" width="11.42578125" customWidth="1"/>
    <col min="6167" max="6167" width="11" customWidth="1"/>
    <col min="6168" max="6169" width="9.7109375" customWidth="1"/>
    <col min="6170" max="6170" width="12.85546875" customWidth="1"/>
    <col min="6171" max="6171" width="8.85546875" bestFit="1" customWidth="1"/>
    <col min="6172" max="6172" width="10.5703125" customWidth="1"/>
    <col min="6173" max="6173" width="9.85546875" bestFit="1" customWidth="1"/>
    <col min="6174" max="6174" width="11.140625" customWidth="1"/>
    <col min="6175" max="6175" width="9.85546875" bestFit="1" customWidth="1"/>
    <col min="6176" max="6176" width="10.85546875" customWidth="1"/>
    <col min="6177" max="6177" width="12.140625" bestFit="1" customWidth="1"/>
    <col min="6178" max="6178" width="12.140625" customWidth="1"/>
    <col min="6179" max="6179" width="9.5703125" bestFit="1" customWidth="1"/>
    <col min="6180" max="6180" width="11.140625" customWidth="1"/>
    <col min="6181" max="6181" width="11.7109375" bestFit="1" customWidth="1"/>
    <col min="6182" max="6182" width="11.7109375" customWidth="1"/>
    <col min="6401" max="6401" width="38.7109375" customWidth="1"/>
    <col min="6402" max="6402" width="12.28515625" customWidth="1"/>
    <col min="6403" max="6403" width="11" customWidth="1"/>
    <col min="6404" max="6404" width="13" customWidth="1"/>
    <col min="6405" max="6405" width="11.85546875" customWidth="1"/>
    <col min="6406" max="6406" width="11.140625" customWidth="1"/>
    <col min="6407" max="6407" width="13.42578125" customWidth="1"/>
    <col min="6408" max="6408" width="13" customWidth="1"/>
    <col min="6409" max="6409" width="11.140625" customWidth="1"/>
    <col min="6410" max="6410" width="14.28515625" customWidth="1"/>
    <col min="6411" max="6411" width="14.5703125" customWidth="1"/>
    <col min="6412" max="6412" width="11.140625" customWidth="1"/>
    <col min="6413" max="6413" width="12.28515625" customWidth="1"/>
    <col min="6414" max="6414" width="11.7109375" customWidth="1"/>
    <col min="6415" max="6415" width="11.140625" customWidth="1"/>
    <col min="6416" max="6416" width="12.85546875" customWidth="1"/>
    <col min="6417" max="6417" width="11.5703125" customWidth="1"/>
    <col min="6418" max="6418" width="11.140625" customWidth="1"/>
    <col min="6419" max="6419" width="13.85546875" customWidth="1"/>
    <col min="6420" max="6420" width="21.5703125" customWidth="1"/>
    <col min="6421" max="6421" width="9.7109375" customWidth="1"/>
    <col min="6422" max="6422" width="11.42578125" customWidth="1"/>
    <col min="6423" max="6423" width="11" customWidth="1"/>
    <col min="6424" max="6425" width="9.7109375" customWidth="1"/>
    <col min="6426" max="6426" width="12.85546875" customWidth="1"/>
    <col min="6427" max="6427" width="8.85546875" bestFit="1" customWidth="1"/>
    <col min="6428" max="6428" width="10.5703125" customWidth="1"/>
    <col min="6429" max="6429" width="9.85546875" bestFit="1" customWidth="1"/>
    <col min="6430" max="6430" width="11.140625" customWidth="1"/>
    <col min="6431" max="6431" width="9.85546875" bestFit="1" customWidth="1"/>
    <col min="6432" max="6432" width="10.85546875" customWidth="1"/>
    <col min="6433" max="6433" width="12.140625" bestFit="1" customWidth="1"/>
    <col min="6434" max="6434" width="12.140625" customWidth="1"/>
    <col min="6435" max="6435" width="9.5703125" bestFit="1" customWidth="1"/>
    <col min="6436" max="6436" width="11.140625" customWidth="1"/>
    <col min="6437" max="6437" width="11.7109375" bestFit="1" customWidth="1"/>
    <col min="6438" max="6438" width="11.7109375" customWidth="1"/>
    <col min="6657" max="6657" width="38.7109375" customWidth="1"/>
    <col min="6658" max="6658" width="12.28515625" customWidth="1"/>
    <col min="6659" max="6659" width="11" customWidth="1"/>
    <col min="6660" max="6660" width="13" customWidth="1"/>
    <col min="6661" max="6661" width="11.85546875" customWidth="1"/>
    <col min="6662" max="6662" width="11.140625" customWidth="1"/>
    <col min="6663" max="6663" width="13.42578125" customWidth="1"/>
    <col min="6664" max="6664" width="13" customWidth="1"/>
    <col min="6665" max="6665" width="11.140625" customWidth="1"/>
    <col min="6666" max="6666" width="14.28515625" customWidth="1"/>
    <col min="6667" max="6667" width="14.5703125" customWidth="1"/>
    <col min="6668" max="6668" width="11.140625" customWidth="1"/>
    <col min="6669" max="6669" width="12.28515625" customWidth="1"/>
    <col min="6670" max="6670" width="11.7109375" customWidth="1"/>
    <col min="6671" max="6671" width="11.140625" customWidth="1"/>
    <col min="6672" max="6672" width="12.85546875" customWidth="1"/>
    <col min="6673" max="6673" width="11.5703125" customWidth="1"/>
    <col min="6674" max="6674" width="11.140625" customWidth="1"/>
    <col min="6675" max="6675" width="13.85546875" customWidth="1"/>
    <col min="6676" max="6676" width="21.5703125" customWidth="1"/>
    <col min="6677" max="6677" width="9.7109375" customWidth="1"/>
    <col min="6678" max="6678" width="11.42578125" customWidth="1"/>
    <col min="6679" max="6679" width="11" customWidth="1"/>
    <col min="6680" max="6681" width="9.7109375" customWidth="1"/>
    <col min="6682" max="6682" width="12.85546875" customWidth="1"/>
    <col min="6683" max="6683" width="8.85546875" bestFit="1" customWidth="1"/>
    <col min="6684" max="6684" width="10.5703125" customWidth="1"/>
    <col min="6685" max="6685" width="9.85546875" bestFit="1" customWidth="1"/>
    <col min="6686" max="6686" width="11.140625" customWidth="1"/>
    <col min="6687" max="6687" width="9.85546875" bestFit="1" customWidth="1"/>
    <col min="6688" max="6688" width="10.85546875" customWidth="1"/>
    <col min="6689" max="6689" width="12.140625" bestFit="1" customWidth="1"/>
    <col min="6690" max="6690" width="12.140625" customWidth="1"/>
    <col min="6691" max="6691" width="9.5703125" bestFit="1" customWidth="1"/>
    <col min="6692" max="6692" width="11.140625" customWidth="1"/>
    <col min="6693" max="6693" width="11.7109375" bestFit="1" customWidth="1"/>
    <col min="6694" max="6694" width="11.7109375" customWidth="1"/>
    <col min="6913" max="6913" width="38.7109375" customWidth="1"/>
    <col min="6914" max="6914" width="12.28515625" customWidth="1"/>
    <col min="6915" max="6915" width="11" customWidth="1"/>
    <col min="6916" max="6916" width="13" customWidth="1"/>
    <col min="6917" max="6917" width="11.85546875" customWidth="1"/>
    <col min="6918" max="6918" width="11.140625" customWidth="1"/>
    <col min="6919" max="6919" width="13.42578125" customWidth="1"/>
    <col min="6920" max="6920" width="13" customWidth="1"/>
    <col min="6921" max="6921" width="11.140625" customWidth="1"/>
    <col min="6922" max="6922" width="14.28515625" customWidth="1"/>
    <col min="6923" max="6923" width="14.5703125" customWidth="1"/>
    <col min="6924" max="6924" width="11.140625" customWidth="1"/>
    <col min="6925" max="6925" width="12.28515625" customWidth="1"/>
    <col min="6926" max="6926" width="11.7109375" customWidth="1"/>
    <col min="6927" max="6927" width="11.140625" customWidth="1"/>
    <col min="6928" max="6928" width="12.85546875" customWidth="1"/>
    <col min="6929" max="6929" width="11.5703125" customWidth="1"/>
    <col min="6930" max="6930" width="11.140625" customWidth="1"/>
    <col min="6931" max="6931" width="13.85546875" customWidth="1"/>
    <col min="6932" max="6932" width="21.5703125" customWidth="1"/>
    <col min="6933" max="6933" width="9.7109375" customWidth="1"/>
    <col min="6934" max="6934" width="11.42578125" customWidth="1"/>
    <col min="6935" max="6935" width="11" customWidth="1"/>
    <col min="6936" max="6937" width="9.7109375" customWidth="1"/>
    <col min="6938" max="6938" width="12.85546875" customWidth="1"/>
    <col min="6939" max="6939" width="8.85546875" bestFit="1" customWidth="1"/>
    <col min="6940" max="6940" width="10.5703125" customWidth="1"/>
    <col min="6941" max="6941" width="9.85546875" bestFit="1" customWidth="1"/>
    <col min="6942" max="6942" width="11.140625" customWidth="1"/>
    <col min="6943" max="6943" width="9.85546875" bestFit="1" customWidth="1"/>
    <col min="6944" max="6944" width="10.85546875" customWidth="1"/>
    <col min="6945" max="6945" width="12.140625" bestFit="1" customWidth="1"/>
    <col min="6946" max="6946" width="12.140625" customWidth="1"/>
    <col min="6947" max="6947" width="9.5703125" bestFit="1" customWidth="1"/>
    <col min="6948" max="6948" width="11.140625" customWidth="1"/>
    <col min="6949" max="6949" width="11.7109375" bestFit="1" customWidth="1"/>
    <col min="6950" max="6950" width="11.7109375" customWidth="1"/>
    <col min="7169" max="7169" width="38.7109375" customWidth="1"/>
    <col min="7170" max="7170" width="12.28515625" customWidth="1"/>
    <col min="7171" max="7171" width="11" customWidth="1"/>
    <col min="7172" max="7172" width="13" customWidth="1"/>
    <col min="7173" max="7173" width="11.85546875" customWidth="1"/>
    <col min="7174" max="7174" width="11.140625" customWidth="1"/>
    <col min="7175" max="7175" width="13.42578125" customWidth="1"/>
    <col min="7176" max="7176" width="13" customWidth="1"/>
    <col min="7177" max="7177" width="11.140625" customWidth="1"/>
    <col min="7178" max="7178" width="14.28515625" customWidth="1"/>
    <col min="7179" max="7179" width="14.5703125" customWidth="1"/>
    <col min="7180" max="7180" width="11.140625" customWidth="1"/>
    <col min="7181" max="7181" width="12.28515625" customWidth="1"/>
    <col min="7182" max="7182" width="11.7109375" customWidth="1"/>
    <col min="7183" max="7183" width="11.140625" customWidth="1"/>
    <col min="7184" max="7184" width="12.85546875" customWidth="1"/>
    <col min="7185" max="7185" width="11.5703125" customWidth="1"/>
    <col min="7186" max="7186" width="11.140625" customWidth="1"/>
    <col min="7187" max="7187" width="13.85546875" customWidth="1"/>
    <col min="7188" max="7188" width="21.5703125" customWidth="1"/>
    <col min="7189" max="7189" width="9.7109375" customWidth="1"/>
    <col min="7190" max="7190" width="11.42578125" customWidth="1"/>
    <col min="7191" max="7191" width="11" customWidth="1"/>
    <col min="7192" max="7193" width="9.7109375" customWidth="1"/>
    <col min="7194" max="7194" width="12.85546875" customWidth="1"/>
    <col min="7195" max="7195" width="8.85546875" bestFit="1" customWidth="1"/>
    <col min="7196" max="7196" width="10.5703125" customWidth="1"/>
    <col min="7197" max="7197" width="9.85546875" bestFit="1" customWidth="1"/>
    <col min="7198" max="7198" width="11.140625" customWidth="1"/>
    <col min="7199" max="7199" width="9.85546875" bestFit="1" customWidth="1"/>
    <col min="7200" max="7200" width="10.85546875" customWidth="1"/>
    <col min="7201" max="7201" width="12.140625" bestFit="1" customWidth="1"/>
    <col min="7202" max="7202" width="12.140625" customWidth="1"/>
    <col min="7203" max="7203" width="9.5703125" bestFit="1" customWidth="1"/>
    <col min="7204" max="7204" width="11.140625" customWidth="1"/>
    <col min="7205" max="7205" width="11.7109375" bestFit="1" customWidth="1"/>
    <col min="7206" max="7206" width="11.7109375" customWidth="1"/>
    <col min="7425" max="7425" width="38.7109375" customWidth="1"/>
    <col min="7426" max="7426" width="12.28515625" customWidth="1"/>
    <col min="7427" max="7427" width="11" customWidth="1"/>
    <col min="7428" max="7428" width="13" customWidth="1"/>
    <col min="7429" max="7429" width="11.85546875" customWidth="1"/>
    <col min="7430" max="7430" width="11.140625" customWidth="1"/>
    <col min="7431" max="7431" width="13.42578125" customWidth="1"/>
    <col min="7432" max="7432" width="13" customWidth="1"/>
    <col min="7433" max="7433" width="11.140625" customWidth="1"/>
    <col min="7434" max="7434" width="14.28515625" customWidth="1"/>
    <col min="7435" max="7435" width="14.5703125" customWidth="1"/>
    <col min="7436" max="7436" width="11.140625" customWidth="1"/>
    <col min="7437" max="7437" width="12.28515625" customWidth="1"/>
    <col min="7438" max="7438" width="11.7109375" customWidth="1"/>
    <col min="7439" max="7439" width="11.140625" customWidth="1"/>
    <col min="7440" max="7440" width="12.85546875" customWidth="1"/>
    <col min="7441" max="7441" width="11.5703125" customWidth="1"/>
    <col min="7442" max="7442" width="11.140625" customWidth="1"/>
    <col min="7443" max="7443" width="13.85546875" customWidth="1"/>
    <col min="7444" max="7444" width="21.5703125" customWidth="1"/>
    <col min="7445" max="7445" width="9.7109375" customWidth="1"/>
    <col min="7446" max="7446" width="11.42578125" customWidth="1"/>
    <col min="7447" max="7447" width="11" customWidth="1"/>
    <col min="7448" max="7449" width="9.7109375" customWidth="1"/>
    <col min="7450" max="7450" width="12.85546875" customWidth="1"/>
    <col min="7451" max="7451" width="8.85546875" bestFit="1" customWidth="1"/>
    <col min="7452" max="7452" width="10.5703125" customWidth="1"/>
    <col min="7453" max="7453" width="9.85546875" bestFit="1" customWidth="1"/>
    <col min="7454" max="7454" width="11.140625" customWidth="1"/>
    <col min="7455" max="7455" width="9.85546875" bestFit="1" customWidth="1"/>
    <col min="7456" max="7456" width="10.85546875" customWidth="1"/>
    <col min="7457" max="7457" width="12.140625" bestFit="1" customWidth="1"/>
    <col min="7458" max="7458" width="12.140625" customWidth="1"/>
    <col min="7459" max="7459" width="9.5703125" bestFit="1" customWidth="1"/>
    <col min="7460" max="7460" width="11.140625" customWidth="1"/>
    <col min="7461" max="7461" width="11.7109375" bestFit="1" customWidth="1"/>
    <col min="7462" max="7462" width="11.7109375" customWidth="1"/>
    <col min="7681" max="7681" width="38.7109375" customWidth="1"/>
    <col min="7682" max="7682" width="12.28515625" customWidth="1"/>
    <col min="7683" max="7683" width="11" customWidth="1"/>
    <col min="7684" max="7684" width="13" customWidth="1"/>
    <col min="7685" max="7685" width="11.85546875" customWidth="1"/>
    <col min="7686" max="7686" width="11.140625" customWidth="1"/>
    <col min="7687" max="7687" width="13.42578125" customWidth="1"/>
    <col min="7688" max="7688" width="13" customWidth="1"/>
    <col min="7689" max="7689" width="11.140625" customWidth="1"/>
    <col min="7690" max="7690" width="14.28515625" customWidth="1"/>
    <col min="7691" max="7691" width="14.5703125" customWidth="1"/>
    <col min="7692" max="7692" width="11.140625" customWidth="1"/>
    <col min="7693" max="7693" width="12.28515625" customWidth="1"/>
    <col min="7694" max="7694" width="11.7109375" customWidth="1"/>
    <col min="7695" max="7695" width="11.140625" customWidth="1"/>
    <col min="7696" max="7696" width="12.85546875" customWidth="1"/>
    <col min="7697" max="7697" width="11.5703125" customWidth="1"/>
    <col min="7698" max="7698" width="11.140625" customWidth="1"/>
    <col min="7699" max="7699" width="13.85546875" customWidth="1"/>
    <col min="7700" max="7700" width="21.5703125" customWidth="1"/>
    <col min="7701" max="7701" width="9.7109375" customWidth="1"/>
    <col min="7702" max="7702" width="11.42578125" customWidth="1"/>
    <col min="7703" max="7703" width="11" customWidth="1"/>
    <col min="7704" max="7705" width="9.7109375" customWidth="1"/>
    <col min="7706" max="7706" width="12.85546875" customWidth="1"/>
    <col min="7707" max="7707" width="8.85546875" bestFit="1" customWidth="1"/>
    <col min="7708" max="7708" width="10.5703125" customWidth="1"/>
    <col min="7709" max="7709" width="9.85546875" bestFit="1" customWidth="1"/>
    <col min="7710" max="7710" width="11.140625" customWidth="1"/>
    <col min="7711" max="7711" width="9.85546875" bestFit="1" customWidth="1"/>
    <col min="7712" max="7712" width="10.85546875" customWidth="1"/>
    <col min="7713" max="7713" width="12.140625" bestFit="1" customWidth="1"/>
    <col min="7714" max="7714" width="12.140625" customWidth="1"/>
    <col min="7715" max="7715" width="9.5703125" bestFit="1" customWidth="1"/>
    <col min="7716" max="7716" width="11.140625" customWidth="1"/>
    <col min="7717" max="7717" width="11.7109375" bestFit="1" customWidth="1"/>
    <col min="7718" max="7718" width="11.7109375" customWidth="1"/>
    <col min="7937" max="7937" width="38.7109375" customWidth="1"/>
    <col min="7938" max="7938" width="12.28515625" customWidth="1"/>
    <col min="7939" max="7939" width="11" customWidth="1"/>
    <col min="7940" max="7940" width="13" customWidth="1"/>
    <col min="7941" max="7941" width="11.85546875" customWidth="1"/>
    <col min="7942" max="7942" width="11.140625" customWidth="1"/>
    <col min="7943" max="7943" width="13.42578125" customWidth="1"/>
    <col min="7944" max="7944" width="13" customWidth="1"/>
    <col min="7945" max="7945" width="11.140625" customWidth="1"/>
    <col min="7946" max="7946" width="14.28515625" customWidth="1"/>
    <col min="7947" max="7947" width="14.5703125" customWidth="1"/>
    <col min="7948" max="7948" width="11.140625" customWidth="1"/>
    <col min="7949" max="7949" width="12.28515625" customWidth="1"/>
    <col min="7950" max="7950" width="11.7109375" customWidth="1"/>
    <col min="7951" max="7951" width="11.140625" customWidth="1"/>
    <col min="7952" max="7952" width="12.85546875" customWidth="1"/>
    <col min="7953" max="7953" width="11.5703125" customWidth="1"/>
    <col min="7954" max="7954" width="11.140625" customWidth="1"/>
    <col min="7955" max="7955" width="13.85546875" customWidth="1"/>
    <col min="7956" max="7956" width="21.5703125" customWidth="1"/>
    <col min="7957" max="7957" width="9.7109375" customWidth="1"/>
    <col min="7958" max="7958" width="11.42578125" customWidth="1"/>
    <col min="7959" max="7959" width="11" customWidth="1"/>
    <col min="7960" max="7961" width="9.7109375" customWidth="1"/>
    <col min="7962" max="7962" width="12.85546875" customWidth="1"/>
    <col min="7963" max="7963" width="8.85546875" bestFit="1" customWidth="1"/>
    <col min="7964" max="7964" width="10.5703125" customWidth="1"/>
    <col min="7965" max="7965" width="9.85546875" bestFit="1" customWidth="1"/>
    <col min="7966" max="7966" width="11.140625" customWidth="1"/>
    <col min="7967" max="7967" width="9.85546875" bestFit="1" customWidth="1"/>
    <col min="7968" max="7968" width="10.85546875" customWidth="1"/>
    <col min="7969" max="7969" width="12.140625" bestFit="1" customWidth="1"/>
    <col min="7970" max="7970" width="12.140625" customWidth="1"/>
    <col min="7971" max="7971" width="9.5703125" bestFit="1" customWidth="1"/>
    <col min="7972" max="7972" width="11.140625" customWidth="1"/>
    <col min="7973" max="7973" width="11.7109375" bestFit="1" customWidth="1"/>
    <col min="7974" max="7974" width="11.7109375" customWidth="1"/>
    <col min="8193" max="8193" width="38.7109375" customWidth="1"/>
    <col min="8194" max="8194" width="12.28515625" customWidth="1"/>
    <col min="8195" max="8195" width="11" customWidth="1"/>
    <col min="8196" max="8196" width="13" customWidth="1"/>
    <col min="8197" max="8197" width="11.85546875" customWidth="1"/>
    <col min="8198" max="8198" width="11.140625" customWidth="1"/>
    <col min="8199" max="8199" width="13.42578125" customWidth="1"/>
    <col min="8200" max="8200" width="13" customWidth="1"/>
    <col min="8201" max="8201" width="11.140625" customWidth="1"/>
    <col min="8202" max="8202" width="14.28515625" customWidth="1"/>
    <col min="8203" max="8203" width="14.5703125" customWidth="1"/>
    <col min="8204" max="8204" width="11.140625" customWidth="1"/>
    <col min="8205" max="8205" width="12.28515625" customWidth="1"/>
    <col min="8206" max="8206" width="11.7109375" customWidth="1"/>
    <col min="8207" max="8207" width="11.140625" customWidth="1"/>
    <col min="8208" max="8208" width="12.85546875" customWidth="1"/>
    <col min="8209" max="8209" width="11.5703125" customWidth="1"/>
    <col min="8210" max="8210" width="11.140625" customWidth="1"/>
    <col min="8211" max="8211" width="13.85546875" customWidth="1"/>
    <col min="8212" max="8212" width="21.5703125" customWidth="1"/>
    <col min="8213" max="8213" width="9.7109375" customWidth="1"/>
    <col min="8214" max="8214" width="11.42578125" customWidth="1"/>
    <col min="8215" max="8215" width="11" customWidth="1"/>
    <col min="8216" max="8217" width="9.7109375" customWidth="1"/>
    <col min="8218" max="8218" width="12.85546875" customWidth="1"/>
    <col min="8219" max="8219" width="8.85546875" bestFit="1" customWidth="1"/>
    <col min="8220" max="8220" width="10.5703125" customWidth="1"/>
    <col min="8221" max="8221" width="9.85546875" bestFit="1" customWidth="1"/>
    <col min="8222" max="8222" width="11.140625" customWidth="1"/>
    <col min="8223" max="8223" width="9.85546875" bestFit="1" customWidth="1"/>
    <col min="8224" max="8224" width="10.85546875" customWidth="1"/>
    <col min="8225" max="8225" width="12.140625" bestFit="1" customWidth="1"/>
    <col min="8226" max="8226" width="12.140625" customWidth="1"/>
    <col min="8227" max="8227" width="9.5703125" bestFit="1" customWidth="1"/>
    <col min="8228" max="8228" width="11.140625" customWidth="1"/>
    <col min="8229" max="8229" width="11.7109375" bestFit="1" customWidth="1"/>
    <col min="8230" max="8230" width="11.7109375" customWidth="1"/>
    <col min="8449" max="8449" width="38.7109375" customWidth="1"/>
    <col min="8450" max="8450" width="12.28515625" customWidth="1"/>
    <col min="8451" max="8451" width="11" customWidth="1"/>
    <col min="8452" max="8452" width="13" customWidth="1"/>
    <col min="8453" max="8453" width="11.85546875" customWidth="1"/>
    <col min="8454" max="8454" width="11.140625" customWidth="1"/>
    <col min="8455" max="8455" width="13.42578125" customWidth="1"/>
    <col min="8456" max="8456" width="13" customWidth="1"/>
    <col min="8457" max="8457" width="11.140625" customWidth="1"/>
    <col min="8458" max="8458" width="14.28515625" customWidth="1"/>
    <col min="8459" max="8459" width="14.5703125" customWidth="1"/>
    <col min="8460" max="8460" width="11.140625" customWidth="1"/>
    <col min="8461" max="8461" width="12.28515625" customWidth="1"/>
    <col min="8462" max="8462" width="11.7109375" customWidth="1"/>
    <col min="8463" max="8463" width="11.140625" customWidth="1"/>
    <col min="8464" max="8464" width="12.85546875" customWidth="1"/>
    <col min="8465" max="8465" width="11.5703125" customWidth="1"/>
    <col min="8466" max="8466" width="11.140625" customWidth="1"/>
    <col min="8467" max="8467" width="13.85546875" customWidth="1"/>
    <col min="8468" max="8468" width="21.5703125" customWidth="1"/>
    <col min="8469" max="8469" width="9.7109375" customWidth="1"/>
    <col min="8470" max="8470" width="11.42578125" customWidth="1"/>
    <col min="8471" max="8471" width="11" customWidth="1"/>
    <col min="8472" max="8473" width="9.7109375" customWidth="1"/>
    <col min="8474" max="8474" width="12.85546875" customWidth="1"/>
    <col min="8475" max="8475" width="8.85546875" bestFit="1" customWidth="1"/>
    <col min="8476" max="8476" width="10.5703125" customWidth="1"/>
    <col min="8477" max="8477" width="9.85546875" bestFit="1" customWidth="1"/>
    <col min="8478" max="8478" width="11.140625" customWidth="1"/>
    <col min="8479" max="8479" width="9.85546875" bestFit="1" customWidth="1"/>
    <col min="8480" max="8480" width="10.85546875" customWidth="1"/>
    <col min="8481" max="8481" width="12.140625" bestFit="1" customWidth="1"/>
    <col min="8482" max="8482" width="12.140625" customWidth="1"/>
    <col min="8483" max="8483" width="9.5703125" bestFit="1" customWidth="1"/>
    <col min="8484" max="8484" width="11.140625" customWidth="1"/>
    <col min="8485" max="8485" width="11.7109375" bestFit="1" customWidth="1"/>
    <col min="8486" max="8486" width="11.7109375" customWidth="1"/>
    <col min="8705" max="8705" width="38.7109375" customWidth="1"/>
    <col min="8706" max="8706" width="12.28515625" customWidth="1"/>
    <col min="8707" max="8707" width="11" customWidth="1"/>
    <col min="8708" max="8708" width="13" customWidth="1"/>
    <col min="8709" max="8709" width="11.85546875" customWidth="1"/>
    <col min="8710" max="8710" width="11.140625" customWidth="1"/>
    <col min="8711" max="8711" width="13.42578125" customWidth="1"/>
    <col min="8712" max="8712" width="13" customWidth="1"/>
    <col min="8713" max="8713" width="11.140625" customWidth="1"/>
    <col min="8714" max="8714" width="14.28515625" customWidth="1"/>
    <col min="8715" max="8715" width="14.5703125" customWidth="1"/>
    <col min="8716" max="8716" width="11.140625" customWidth="1"/>
    <col min="8717" max="8717" width="12.28515625" customWidth="1"/>
    <col min="8718" max="8718" width="11.7109375" customWidth="1"/>
    <col min="8719" max="8719" width="11.140625" customWidth="1"/>
    <col min="8720" max="8720" width="12.85546875" customWidth="1"/>
    <col min="8721" max="8721" width="11.5703125" customWidth="1"/>
    <col min="8722" max="8722" width="11.140625" customWidth="1"/>
    <col min="8723" max="8723" width="13.85546875" customWidth="1"/>
    <col min="8724" max="8724" width="21.5703125" customWidth="1"/>
    <col min="8725" max="8725" width="9.7109375" customWidth="1"/>
    <col min="8726" max="8726" width="11.42578125" customWidth="1"/>
    <col min="8727" max="8727" width="11" customWidth="1"/>
    <col min="8728" max="8729" width="9.7109375" customWidth="1"/>
    <col min="8730" max="8730" width="12.85546875" customWidth="1"/>
    <col min="8731" max="8731" width="8.85546875" bestFit="1" customWidth="1"/>
    <col min="8732" max="8732" width="10.5703125" customWidth="1"/>
    <col min="8733" max="8733" width="9.85546875" bestFit="1" customWidth="1"/>
    <col min="8734" max="8734" width="11.140625" customWidth="1"/>
    <col min="8735" max="8735" width="9.85546875" bestFit="1" customWidth="1"/>
    <col min="8736" max="8736" width="10.85546875" customWidth="1"/>
    <col min="8737" max="8737" width="12.140625" bestFit="1" customWidth="1"/>
    <col min="8738" max="8738" width="12.140625" customWidth="1"/>
    <col min="8739" max="8739" width="9.5703125" bestFit="1" customWidth="1"/>
    <col min="8740" max="8740" width="11.140625" customWidth="1"/>
    <col min="8741" max="8741" width="11.7109375" bestFit="1" customWidth="1"/>
    <col min="8742" max="8742" width="11.7109375" customWidth="1"/>
    <col min="8961" max="8961" width="38.7109375" customWidth="1"/>
    <col min="8962" max="8962" width="12.28515625" customWidth="1"/>
    <col min="8963" max="8963" width="11" customWidth="1"/>
    <col min="8964" max="8964" width="13" customWidth="1"/>
    <col min="8965" max="8965" width="11.85546875" customWidth="1"/>
    <col min="8966" max="8966" width="11.140625" customWidth="1"/>
    <col min="8967" max="8967" width="13.42578125" customWidth="1"/>
    <col min="8968" max="8968" width="13" customWidth="1"/>
    <col min="8969" max="8969" width="11.140625" customWidth="1"/>
    <col min="8970" max="8970" width="14.28515625" customWidth="1"/>
    <col min="8971" max="8971" width="14.5703125" customWidth="1"/>
    <col min="8972" max="8972" width="11.140625" customWidth="1"/>
    <col min="8973" max="8973" width="12.28515625" customWidth="1"/>
    <col min="8974" max="8974" width="11.7109375" customWidth="1"/>
    <col min="8975" max="8975" width="11.140625" customWidth="1"/>
    <col min="8976" max="8976" width="12.85546875" customWidth="1"/>
    <col min="8977" max="8977" width="11.5703125" customWidth="1"/>
    <col min="8978" max="8978" width="11.140625" customWidth="1"/>
    <col min="8979" max="8979" width="13.85546875" customWidth="1"/>
    <col min="8980" max="8980" width="21.5703125" customWidth="1"/>
    <col min="8981" max="8981" width="9.7109375" customWidth="1"/>
    <col min="8982" max="8982" width="11.42578125" customWidth="1"/>
    <col min="8983" max="8983" width="11" customWidth="1"/>
    <col min="8984" max="8985" width="9.7109375" customWidth="1"/>
    <col min="8986" max="8986" width="12.85546875" customWidth="1"/>
    <col min="8987" max="8987" width="8.85546875" bestFit="1" customWidth="1"/>
    <col min="8988" max="8988" width="10.5703125" customWidth="1"/>
    <col min="8989" max="8989" width="9.85546875" bestFit="1" customWidth="1"/>
    <col min="8990" max="8990" width="11.140625" customWidth="1"/>
    <col min="8991" max="8991" width="9.85546875" bestFit="1" customWidth="1"/>
    <col min="8992" max="8992" width="10.85546875" customWidth="1"/>
    <col min="8993" max="8993" width="12.140625" bestFit="1" customWidth="1"/>
    <col min="8994" max="8994" width="12.140625" customWidth="1"/>
    <col min="8995" max="8995" width="9.5703125" bestFit="1" customWidth="1"/>
    <col min="8996" max="8996" width="11.140625" customWidth="1"/>
    <col min="8997" max="8997" width="11.7109375" bestFit="1" customWidth="1"/>
    <col min="8998" max="8998" width="11.7109375" customWidth="1"/>
    <col min="9217" max="9217" width="38.7109375" customWidth="1"/>
    <col min="9218" max="9218" width="12.28515625" customWidth="1"/>
    <col min="9219" max="9219" width="11" customWidth="1"/>
    <col min="9220" max="9220" width="13" customWidth="1"/>
    <col min="9221" max="9221" width="11.85546875" customWidth="1"/>
    <col min="9222" max="9222" width="11.140625" customWidth="1"/>
    <col min="9223" max="9223" width="13.42578125" customWidth="1"/>
    <col min="9224" max="9224" width="13" customWidth="1"/>
    <col min="9225" max="9225" width="11.140625" customWidth="1"/>
    <col min="9226" max="9226" width="14.28515625" customWidth="1"/>
    <col min="9227" max="9227" width="14.5703125" customWidth="1"/>
    <col min="9228" max="9228" width="11.140625" customWidth="1"/>
    <col min="9229" max="9229" width="12.28515625" customWidth="1"/>
    <col min="9230" max="9230" width="11.7109375" customWidth="1"/>
    <col min="9231" max="9231" width="11.140625" customWidth="1"/>
    <col min="9232" max="9232" width="12.85546875" customWidth="1"/>
    <col min="9233" max="9233" width="11.5703125" customWidth="1"/>
    <col min="9234" max="9234" width="11.140625" customWidth="1"/>
    <col min="9235" max="9235" width="13.85546875" customWidth="1"/>
    <col min="9236" max="9236" width="21.5703125" customWidth="1"/>
    <col min="9237" max="9237" width="9.7109375" customWidth="1"/>
    <col min="9238" max="9238" width="11.42578125" customWidth="1"/>
    <col min="9239" max="9239" width="11" customWidth="1"/>
    <col min="9240" max="9241" width="9.7109375" customWidth="1"/>
    <col min="9242" max="9242" width="12.85546875" customWidth="1"/>
    <col min="9243" max="9243" width="8.85546875" bestFit="1" customWidth="1"/>
    <col min="9244" max="9244" width="10.5703125" customWidth="1"/>
    <col min="9245" max="9245" width="9.85546875" bestFit="1" customWidth="1"/>
    <col min="9246" max="9246" width="11.140625" customWidth="1"/>
    <col min="9247" max="9247" width="9.85546875" bestFit="1" customWidth="1"/>
    <col min="9248" max="9248" width="10.85546875" customWidth="1"/>
    <col min="9249" max="9249" width="12.140625" bestFit="1" customWidth="1"/>
    <col min="9250" max="9250" width="12.140625" customWidth="1"/>
    <col min="9251" max="9251" width="9.5703125" bestFit="1" customWidth="1"/>
    <col min="9252" max="9252" width="11.140625" customWidth="1"/>
    <col min="9253" max="9253" width="11.7109375" bestFit="1" customWidth="1"/>
    <col min="9254" max="9254" width="11.7109375" customWidth="1"/>
    <col min="9473" max="9473" width="38.7109375" customWidth="1"/>
    <col min="9474" max="9474" width="12.28515625" customWidth="1"/>
    <col min="9475" max="9475" width="11" customWidth="1"/>
    <col min="9476" max="9476" width="13" customWidth="1"/>
    <col min="9477" max="9477" width="11.85546875" customWidth="1"/>
    <col min="9478" max="9478" width="11.140625" customWidth="1"/>
    <col min="9479" max="9479" width="13.42578125" customWidth="1"/>
    <col min="9480" max="9480" width="13" customWidth="1"/>
    <col min="9481" max="9481" width="11.140625" customWidth="1"/>
    <col min="9482" max="9482" width="14.28515625" customWidth="1"/>
    <col min="9483" max="9483" width="14.5703125" customWidth="1"/>
    <col min="9484" max="9484" width="11.140625" customWidth="1"/>
    <col min="9485" max="9485" width="12.28515625" customWidth="1"/>
    <col min="9486" max="9486" width="11.7109375" customWidth="1"/>
    <col min="9487" max="9487" width="11.140625" customWidth="1"/>
    <col min="9488" max="9488" width="12.85546875" customWidth="1"/>
    <col min="9489" max="9489" width="11.5703125" customWidth="1"/>
    <col min="9490" max="9490" width="11.140625" customWidth="1"/>
    <col min="9491" max="9491" width="13.85546875" customWidth="1"/>
    <col min="9492" max="9492" width="21.5703125" customWidth="1"/>
    <col min="9493" max="9493" width="9.7109375" customWidth="1"/>
    <col min="9494" max="9494" width="11.42578125" customWidth="1"/>
    <col min="9495" max="9495" width="11" customWidth="1"/>
    <col min="9496" max="9497" width="9.7109375" customWidth="1"/>
    <col min="9498" max="9498" width="12.85546875" customWidth="1"/>
    <col min="9499" max="9499" width="8.85546875" bestFit="1" customWidth="1"/>
    <col min="9500" max="9500" width="10.5703125" customWidth="1"/>
    <col min="9501" max="9501" width="9.85546875" bestFit="1" customWidth="1"/>
    <col min="9502" max="9502" width="11.140625" customWidth="1"/>
    <col min="9503" max="9503" width="9.85546875" bestFit="1" customWidth="1"/>
    <col min="9504" max="9504" width="10.85546875" customWidth="1"/>
    <col min="9505" max="9505" width="12.140625" bestFit="1" customWidth="1"/>
    <col min="9506" max="9506" width="12.140625" customWidth="1"/>
    <col min="9507" max="9507" width="9.5703125" bestFit="1" customWidth="1"/>
    <col min="9508" max="9508" width="11.140625" customWidth="1"/>
    <col min="9509" max="9509" width="11.7109375" bestFit="1" customWidth="1"/>
    <col min="9510" max="9510" width="11.7109375" customWidth="1"/>
    <col min="9729" max="9729" width="38.7109375" customWidth="1"/>
    <col min="9730" max="9730" width="12.28515625" customWidth="1"/>
    <col min="9731" max="9731" width="11" customWidth="1"/>
    <col min="9732" max="9732" width="13" customWidth="1"/>
    <col min="9733" max="9733" width="11.85546875" customWidth="1"/>
    <col min="9734" max="9734" width="11.140625" customWidth="1"/>
    <col min="9735" max="9735" width="13.42578125" customWidth="1"/>
    <col min="9736" max="9736" width="13" customWidth="1"/>
    <col min="9737" max="9737" width="11.140625" customWidth="1"/>
    <col min="9738" max="9738" width="14.28515625" customWidth="1"/>
    <col min="9739" max="9739" width="14.5703125" customWidth="1"/>
    <col min="9740" max="9740" width="11.140625" customWidth="1"/>
    <col min="9741" max="9741" width="12.28515625" customWidth="1"/>
    <col min="9742" max="9742" width="11.7109375" customWidth="1"/>
    <col min="9743" max="9743" width="11.140625" customWidth="1"/>
    <col min="9744" max="9744" width="12.85546875" customWidth="1"/>
    <col min="9745" max="9745" width="11.5703125" customWidth="1"/>
    <col min="9746" max="9746" width="11.140625" customWidth="1"/>
    <col min="9747" max="9747" width="13.85546875" customWidth="1"/>
    <col min="9748" max="9748" width="21.5703125" customWidth="1"/>
    <col min="9749" max="9749" width="9.7109375" customWidth="1"/>
    <col min="9750" max="9750" width="11.42578125" customWidth="1"/>
    <col min="9751" max="9751" width="11" customWidth="1"/>
    <col min="9752" max="9753" width="9.7109375" customWidth="1"/>
    <col min="9754" max="9754" width="12.85546875" customWidth="1"/>
    <col min="9755" max="9755" width="8.85546875" bestFit="1" customWidth="1"/>
    <col min="9756" max="9756" width="10.5703125" customWidth="1"/>
    <col min="9757" max="9757" width="9.85546875" bestFit="1" customWidth="1"/>
    <col min="9758" max="9758" width="11.140625" customWidth="1"/>
    <col min="9759" max="9759" width="9.85546875" bestFit="1" customWidth="1"/>
    <col min="9760" max="9760" width="10.85546875" customWidth="1"/>
    <col min="9761" max="9761" width="12.140625" bestFit="1" customWidth="1"/>
    <col min="9762" max="9762" width="12.140625" customWidth="1"/>
    <col min="9763" max="9763" width="9.5703125" bestFit="1" customWidth="1"/>
    <col min="9764" max="9764" width="11.140625" customWidth="1"/>
    <col min="9765" max="9765" width="11.7109375" bestFit="1" customWidth="1"/>
    <col min="9766" max="9766" width="11.7109375" customWidth="1"/>
    <col min="9985" max="9985" width="38.7109375" customWidth="1"/>
    <col min="9986" max="9986" width="12.28515625" customWidth="1"/>
    <col min="9987" max="9987" width="11" customWidth="1"/>
    <col min="9988" max="9988" width="13" customWidth="1"/>
    <col min="9989" max="9989" width="11.85546875" customWidth="1"/>
    <col min="9990" max="9990" width="11.140625" customWidth="1"/>
    <col min="9991" max="9991" width="13.42578125" customWidth="1"/>
    <col min="9992" max="9992" width="13" customWidth="1"/>
    <col min="9993" max="9993" width="11.140625" customWidth="1"/>
    <col min="9994" max="9994" width="14.28515625" customWidth="1"/>
    <col min="9995" max="9995" width="14.5703125" customWidth="1"/>
    <col min="9996" max="9996" width="11.140625" customWidth="1"/>
    <col min="9997" max="9997" width="12.28515625" customWidth="1"/>
    <col min="9998" max="9998" width="11.7109375" customWidth="1"/>
    <col min="9999" max="9999" width="11.140625" customWidth="1"/>
    <col min="10000" max="10000" width="12.85546875" customWidth="1"/>
    <col min="10001" max="10001" width="11.5703125" customWidth="1"/>
    <col min="10002" max="10002" width="11.140625" customWidth="1"/>
    <col min="10003" max="10003" width="13.85546875" customWidth="1"/>
    <col min="10004" max="10004" width="21.5703125" customWidth="1"/>
    <col min="10005" max="10005" width="9.7109375" customWidth="1"/>
    <col min="10006" max="10006" width="11.42578125" customWidth="1"/>
    <col min="10007" max="10007" width="11" customWidth="1"/>
    <col min="10008" max="10009" width="9.7109375" customWidth="1"/>
    <col min="10010" max="10010" width="12.85546875" customWidth="1"/>
    <col min="10011" max="10011" width="8.85546875" bestFit="1" customWidth="1"/>
    <col min="10012" max="10012" width="10.5703125" customWidth="1"/>
    <col min="10013" max="10013" width="9.85546875" bestFit="1" customWidth="1"/>
    <col min="10014" max="10014" width="11.140625" customWidth="1"/>
    <col min="10015" max="10015" width="9.85546875" bestFit="1" customWidth="1"/>
    <col min="10016" max="10016" width="10.85546875" customWidth="1"/>
    <col min="10017" max="10017" width="12.140625" bestFit="1" customWidth="1"/>
    <col min="10018" max="10018" width="12.140625" customWidth="1"/>
    <col min="10019" max="10019" width="9.5703125" bestFit="1" customWidth="1"/>
    <col min="10020" max="10020" width="11.140625" customWidth="1"/>
    <col min="10021" max="10021" width="11.7109375" bestFit="1" customWidth="1"/>
    <col min="10022" max="10022" width="11.7109375" customWidth="1"/>
    <col min="10241" max="10241" width="38.7109375" customWidth="1"/>
    <col min="10242" max="10242" width="12.28515625" customWidth="1"/>
    <col min="10243" max="10243" width="11" customWidth="1"/>
    <col min="10244" max="10244" width="13" customWidth="1"/>
    <col min="10245" max="10245" width="11.85546875" customWidth="1"/>
    <col min="10246" max="10246" width="11.140625" customWidth="1"/>
    <col min="10247" max="10247" width="13.42578125" customWidth="1"/>
    <col min="10248" max="10248" width="13" customWidth="1"/>
    <col min="10249" max="10249" width="11.140625" customWidth="1"/>
    <col min="10250" max="10250" width="14.28515625" customWidth="1"/>
    <col min="10251" max="10251" width="14.5703125" customWidth="1"/>
    <col min="10252" max="10252" width="11.140625" customWidth="1"/>
    <col min="10253" max="10253" width="12.28515625" customWidth="1"/>
    <col min="10254" max="10254" width="11.7109375" customWidth="1"/>
    <col min="10255" max="10255" width="11.140625" customWidth="1"/>
    <col min="10256" max="10256" width="12.85546875" customWidth="1"/>
    <col min="10257" max="10257" width="11.5703125" customWidth="1"/>
    <col min="10258" max="10258" width="11.140625" customWidth="1"/>
    <col min="10259" max="10259" width="13.85546875" customWidth="1"/>
    <col min="10260" max="10260" width="21.5703125" customWidth="1"/>
    <col min="10261" max="10261" width="9.7109375" customWidth="1"/>
    <col min="10262" max="10262" width="11.42578125" customWidth="1"/>
    <col min="10263" max="10263" width="11" customWidth="1"/>
    <col min="10264" max="10265" width="9.7109375" customWidth="1"/>
    <col min="10266" max="10266" width="12.85546875" customWidth="1"/>
    <col min="10267" max="10267" width="8.85546875" bestFit="1" customWidth="1"/>
    <col min="10268" max="10268" width="10.5703125" customWidth="1"/>
    <col min="10269" max="10269" width="9.85546875" bestFit="1" customWidth="1"/>
    <col min="10270" max="10270" width="11.140625" customWidth="1"/>
    <col min="10271" max="10271" width="9.85546875" bestFit="1" customWidth="1"/>
    <col min="10272" max="10272" width="10.85546875" customWidth="1"/>
    <col min="10273" max="10273" width="12.140625" bestFit="1" customWidth="1"/>
    <col min="10274" max="10274" width="12.140625" customWidth="1"/>
    <col min="10275" max="10275" width="9.5703125" bestFit="1" customWidth="1"/>
    <col min="10276" max="10276" width="11.140625" customWidth="1"/>
    <col min="10277" max="10277" width="11.7109375" bestFit="1" customWidth="1"/>
    <col min="10278" max="10278" width="11.7109375" customWidth="1"/>
    <col min="10497" max="10497" width="38.7109375" customWidth="1"/>
    <col min="10498" max="10498" width="12.28515625" customWidth="1"/>
    <col min="10499" max="10499" width="11" customWidth="1"/>
    <col min="10500" max="10500" width="13" customWidth="1"/>
    <col min="10501" max="10501" width="11.85546875" customWidth="1"/>
    <col min="10502" max="10502" width="11.140625" customWidth="1"/>
    <col min="10503" max="10503" width="13.42578125" customWidth="1"/>
    <col min="10504" max="10504" width="13" customWidth="1"/>
    <col min="10505" max="10505" width="11.140625" customWidth="1"/>
    <col min="10506" max="10506" width="14.28515625" customWidth="1"/>
    <col min="10507" max="10507" width="14.5703125" customWidth="1"/>
    <col min="10508" max="10508" width="11.140625" customWidth="1"/>
    <col min="10509" max="10509" width="12.28515625" customWidth="1"/>
    <col min="10510" max="10510" width="11.7109375" customWidth="1"/>
    <col min="10511" max="10511" width="11.140625" customWidth="1"/>
    <col min="10512" max="10512" width="12.85546875" customWidth="1"/>
    <col min="10513" max="10513" width="11.5703125" customWidth="1"/>
    <col min="10514" max="10514" width="11.140625" customWidth="1"/>
    <col min="10515" max="10515" width="13.85546875" customWidth="1"/>
    <col min="10516" max="10516" width="21.5703125" customWidth="1"/>
    <col min="10517" max="10517" width="9.7109375" customWidth="1"/>
    <col min="10518" max="10518" width="11.42578125" customWidth="1"/>
    <col min="10519" max="10519" width="11" customWidth="1"/>
    <col min="10520" max="10521" width="9.7109375" customWidth="1"/>
    <col min="10522" max="10522" width="12.85546875" customWidth="1"/>
    <col min="10523" max="10523" width="8.85546875" bestFit="1" customWidth="1"/>
    <col min="10524" max="10524" width="10.5703125" customWidth="1"/>
    <col min="10525" max="10525" width="9.85546875" bestFit="1" customWidth="1"/>
    <col min="10526" max="10526" width="11.140625" customWidth="1"/>
    <col min="10527" max="10527" width="9.85546875" bestFit="1" customWidth="1"/>
    <col min="10528" max="10528" width="10.85546875" customWidth="1"/>
    <col min="10529" max="10529" width="12.140625" bestFit="1" customWidth="1"/>
    <col min="10530" max="10530" width="12.140625" customWidth="1"/>
    <col min="10531" max="10531" width="9.5703125" bestFit="1" customWidth="1"/>
    <col min="10532" max="10532" width="11.140625" customWidth="1"/>
    <col min="10533" max="10533" width="11.7109375" bestFit="1" customWidth="1"/>
    <col min="10534" max="10534" width="11.7109375" customWidth="1"/>
    <col min="10753" max="10753" width="38.7109375" customWidth="1"/>
    <col min="10754" max="10754" width="12.28515625" customWidth="1"/>
    <col min="10755" max="10755" width="11" customWidth="1"/>
    <col min="10756" max="10756" width="13" customWidth="1"/>
    <col min="10757" max="10757" width="11.85546875" customWidth="1"/>
    <col min="10758" max="10758" width="11.140625" customWidth="1"/>
    <col min="10759" max="10759" width="13.42578125" customWidth="1"/>
    <col min="10760" max="10760" width="13" customWidth="1"/>
    <col min="10761" max="10761" width="11.140625" customWidth="1"/>
    <col min="10762" max="10762" width="14.28515625" customWidth="1"/>
    <col min="10763" max="10763" width="14.5703125" customWidth="1"/>
    <col min="10764" max="10764" width="11.140625" customWidth="1"/>
    <col min="10765" max="10765" width="12.28515625" customWidth="1"/>
    <col min="10766" max="10766" width="11.7109375" customWidth="1"/>
    <col min="10767" max="10767" width="11.140625" customWidth="1"/>
    <col min="10768" max="10768" width="12.85546875" customWidth="1"/>
    <col min="10769" max="10769" width="11.5703125" customWidth="1"/>
    <col min="10770" max="10770" width="11.140625" customWidth="1"/>
    <col min="10771" max="10771" width="13.85546875" customWidth="1"/>
    <col min="10772" max="10772" width="21.5703125" customWidth="1"/>
    <col min="10773" max="10773" width="9.7109375" customWidth="1"/>
    <col min="10774" max="10774" width="11.42578125" customWidth="1"/>
    <col min="10775" max="10775" width="11" customWidth="1"/>
    <col min="10776" max="10777" width="9.7109375" customWidth="1"/>
    <col min="10778" max="10778" width="12.85546875" customWidth="1"/>
    <col min="10779" max="10779" width="8.85546875" bestFit="1" customWidth="1"/>
    <col min="10780" max="10780" width="10.5703125" customWidth="1"/>
    <col min="10781" max="10781" width="9.85546875" bestFit="1" customWidth="1"/>
    <col min="10782" max="10782" width="11.140625" customWidth="1"/>
    <col min="10783" max="10783" width="9.85546875" bestFit="1" customWidth="1"/>
    <col min="10784" max="10784" width="10.85546875" customWidth="1"/>
    <col min="10785" max="10785" width="12.140625" bestFit="1" customWidth="1"/>
    <col min="10786" max="10786" width="12.140625" customWidth="1"/>
    <col min="10787" max="10787" width="9.5703125" bestFit="1" customWidth="1"/>
    <col min="10788" max="10788" width="11.140625" customWidth="1"/>
    <col min="10789" max="10789" width="11.7109375" bestFit="1" customWidth="1"/>
    <col min="10790" max="10790" width="11.7109375" customWidth="1"/>
    <col min="11009" max="11009" width="38.7109375" customWidth="1"/>
    <col min="11010" max="11010" width="12.28515625" customWidth="1"/>
    <col min="11011" max="11011" width="11" customWidth="1"/>
    <col min="11012" max="11012" width="13" customWidth="1"/>
    <col min="11013" max="11013" width="11.85546875" customWidth="1"/>
    <col min="11014" max="11014" width="11.140625" customWidth="1"/>
    <col min="11015" max="11015" width="13.42578125" customWidth="1"/>
    <col min="11016" max="11016" width="13" customWidth="1"/>
    <col min="11017" max="11017" width="11.140625" customWidth="1"/>
    <col min="11018" max="11018" width="14.28515625" customWidth="1"/>
    <col min="11019" max="11019" width="14.5703125" customWidth="1"/>
    <col min="11020" max="11020" width="11.140625" customWidth="1"/>
    <col min="11021" max="11021" width="12.28515625" customWidth="1"/>
    <col min="11022" max="11022" width="11.7109375" customWidth="1"/>
    <col min="11023" max="11023" width="11.140625" customWidth="1"/>
    <col min="11024" max="11024" width="12.85546875" customWidth="1"/>
    <col min="11025" max="11025" width="11.5703125" customWidth="1"/>
    <col min="11026" max="11026" width="11.140625" customWidth="1"/>
    <col min="11027" max="11027" width="13.85546875" customWidth="1"/>
    <col min="11028" max="11028" width="21.5703125" customWidth="1"/>
    <col min="11029" max="11029" width="9.7109375" customWidth="1"/>
    <col min="11030" max="11030" width="11.42578125" customWidth="1"/>
    <col min="11031" max="11031" width="11" customWidth="1"/>
    <col min="11032" max="11033" width="9.7109375" customWidth="1"/>
    <col min="11034" max="11034" width="12.85546875" customWidth="1"/>
    <col min="11035" max="11035" width="8.85546875" bestFit="1" customWidth="1"/>
    <col min="11036" max="11036" width="10.5703125" customWidth="1"/>
    <col min="11037" max="11037" width="9.85546875" bestFit="1" customWidth="1"/>
    <col min="11038" max="11038" width="11.140625" customWidth="1"/>
    <col min="11039" max="11039" width="9.85546875" bestFit="1" customWidth="1"/>
    <col min="11040" max="11040" width="10.85546875" customWidth="1"/>
    <col min="11041" max="11041" width="12.140625" bestFit="1" customWidth="1"/>
    <col min="11042" max="11042" width="12.140625" customWidth="1"/>
    <col min="11043" max="11043" width="9.5703125" bestFit="1" customWidth="1"/>
    <col min="11044" max="11044" width="11.140625" customWidth="1"/>
    <col min="11045" max="11045" width="11.7109375" bestFit="1" customWidth="1"/>
    <col min="11046" max="11046" width="11.7109375" customWidth="1"/>
    <col min="11265" max="11265" width="38.7109375" customWidth="1"/>
    <col min="11266" max="11266" width="12.28515625" customWidth="1"/>
    <col min="11267" max="11267" width="11" customWidth="1"/>
    <col min="11268" max="11268" width="13" customWidth="1"/>
    <col min="11269" max="11269" width="11.85546875" customWidth="1"/>
    <col min="11270" max="11270" width="11.140625" customWidth="1"/>
    <col min="11271" max="11271" width="13.42578125" customWidth="1"/>
    <col min="11272" max="11272" width="13" customWidth="1"/>
    <col min="11273" max="11273" width="11.140625" customWidth="1"/>
    <col min="11274" max="11274" width="14.28515625" customWidth="1"/>
    <col min="11275" max="11275" width="14.5703125" customWidth="1"/>
    <col min="11276" max="11276" width="11.140625" customWidth="1"/>
    <col min="11277" max="11277" width="12.28515625" customWidth="1"/>
    <col min="11278" max="11278" width="11.7109375" customWidth="1"/>
    <col min="11279" max="11279" width="11.140625" customWidth="1"/>
    <col min="11280" max="11280" width="12.85546875" customWidth="1"/>
    <col min="11281" max="11281" width="11.5703125" customWidth="1"/>
    <col min="11282" max="11282" width="11.140625" customWidth="1"/>
    <col min="11283" max="11283" width="13.85546875" customWidth="1"/>
    <col min="11284" max="11284" width="21.5703125" customWidth="1"/>
    <col min="11285" max="11285" width="9.7109375" customWidth="1"/>
    <col min="11286" max="11286" width="11.42578125" customWidth="1"/>
    <col min="11287" max="11287" width="11" customWidth="1"/>
    <col min="11288" max="11289" width="9.7109375" customWidth="1"/>
    <col min="11290" max="11290" width="12.85546875" customWidth="1"/>
    <col min="11291" max="11291" width="8.85546875" bestFit="1" customWidth="1"/>
    <col min="11292" max="11292" width="10.5703125" customWidth="1"/>
    <col min="11293" max="11293" width="9.85546875" bestFit="1" customWidth="1"/>
    <col min="11294" max="11294" width="11.140625" customWidth="1"/>
    <col min="11295" max="11295" width="9.85546875" bestFit="1" customWidth="1"/>
    <col min="11296" max="11296" width="10.85546875" customWidth="1"/>
    <col min="11297" max="11297" width="12.140625" bestFit="1" customWidth="1"/>
    <col min="11298" max="11298" width="12.140625" customWidth="1"/>
    <col min="11299" max="11299" width="9.5703125" bestFit="1" customWidth="1"/>
    <col min="11300" max="11300" width="11.140625" customWidth="1"/>
    <col min="11301" max="11301" width="11.7109375" bestFit="1" customWidth="1"/>
    <col min="11302" max="11302" width="11.7109375" customWidth="1"/>
    <col min="11521" max="11521" width="38.7109375" customWidth="1"/>
    <col min="11522" max="11522" width="12.28515625" customWidth="1"/>
    <col min="11523" max="11523" width="11" customWidth="1"/>
    <col min="11524" max="11524" width="13" customWidth="1"/>
    <col min="11525" max="11525" width="11.85546875" customWidth="1"/>
    <col min="11526" max="11526" width="11.140625" customWidth="1"/>
    <col min="11527" max="11527" width="13.42578125" customWidth="1"/>
    <col min="11528" max="11528" width="13" customWidth="1"/>
    <col min="11529" max="11529" width="11.140625" customWidth="1"/>
    <col min="11530" max="11530" width="14.28515625" customWidth="1"/>
    <col min="11531" max="11531" width="14.5703125" customWidth="1"/>
    <col min="11532" max="11532" width="11.140625" customWidth="1"/>
    <col min="11533" max="11533" width="12.28515625" customWidth="1"/>
    <col min="11534" max="11534" width="11.7109375" customWidth="1"/>
    <col min="11535" max="11535" width="11.140625" customWidth="1"/>
    <col min="11536" max="11536" width="12.85546875" customWidth="1"/>
    <col min="11537" max="11537" width="11.5703125" customWidth="1"/>
    <col min="11538" max="11538" width="11.140625" customWidth="1"/>
    <col min="11539" max="11539" width="13.85546875" customWidth="1"/>
    <col min="11540" max="11540" width="21.5703125" customWidth="1"/>
    <col min="11541" max="11541" width="9.7109375" customWidth="1"/>
    <col min="11542" max="11542" width="11.42578125" customWidth="1"/>
    <col min="11543" max="11543" width="11" customWidth="1"/>
    <col min="11544" max="11545" width="9.7109375" customWidth="1"/>
    <col min="11546" max="11546" width="12.85546875" customWidth="1"/>
    <col min="11547" max="11547" width="8.85546875" bestFit="1" customWidth="1"/>
    <col min="11548" max="11548" width="10.5703125" customWidth="1"/>
    <col min="11549" max="11549" width="9.85546875" bestFit="1" customWidth="1"/>
    <col min="11550" max="11550" width="11.140625" customWidth="1"/>
    <col min="11551" max="11551" width="9.85546875" bestFit="1" customWidth="1"/>
    <col min="11552" max="11552" width="10.85546875" customWidth="1"/>
    <col min="11553" max="11553" width="12.140625" bestFit="1" customWidth="1"/>
    <col min="11554" max="11554" width="12.140625" customWidth="1"/>
    <col min="11555" max="11555" width="9.5703125" bestFit="1" customWidth="1"/>
    <col min="11556" max="11556" width="11.140625" customWidth="1"/>
    <col min="11557" max="11557" width="11.7109375" bestFit="1" customWidth="1"/>
    <col min="11558" max="11558" width="11.7109375" customWidth="1"/>
    <col min="11777" max="11777" width="38.7109375" customWidth="1"/>
    <col min="11778" max="11778" width="12.28515625" customWidth="1"/>
    <col min="11779" max="11779" width="11" customWidth="1"/>
    <col min="11780" max="11780" width="13" customWidth="1"/>
    <col min="11781" max="11781" width="11.85546875" customWidth="1"/>
    <col min="11782" max="11782" width="11.140625" customWidth="1"/>
    <col min="11783" max="11783" width="13.42578125" customWidth="1"/>
    <col min="11784" max="11784" width="13" customWidth="1"/>
    <col min="11785" max="11785" width="11.140625" customWidth="1"/>
    <col min="11786" max="11786" width="14.28515625" customWidth="1"/>
    <col min="11787" max="11787" width="14.5703125" customWidth="1"/>
    <col min="11788" max="11788" width="11.140625" customWidth="1"/>
    <col min="11789" max="11789" width="12.28515625" customWidth="1"/>
    <col min="11790" max="11790" width="11.7109375" customWidth="1"/>
    <col min="11791" max="11791" width="11.140625" customWidth="1"/>
    <col min="11792" max="11792" width="12.85546875" customWidth="1"/>
    <col min="11793" max="11793" width="11.5703125" customWidth="1"/>
    <col min="11794" max="11794" width="11.140625" customWidth="1"/>
    <col min="11795" max="11795" width="13.85546875" customWidth="1"/>
    <col min="11796" max="11796" width="21.5703125" customWidth="1"/>
    <col min="11797" max="11797" width="9.7109375" customWidth="1"/>
    <col min="11798" max="11798" width="11.42578125" customWidth="1"/>
    <col min="11799" max="11799" width="11" customWidth="1"/>
    <col min="11800" max="11801" width="9.7109375" customWidth="1"/>
    <col min="11802" max="11802" width="12.85546875" customWidth="1"/>
    <col min="11803" max="11803" width="8.85546875" bestFit="1" customWidth="1"/>
    <col min="11804" max="11804" width="10.5703125" customWidth="1"/>
    <col min="11805" max="11805" width="9.85546875" bestFit="1" customWidth="1"/>
    <col min="11806" max="11806" width="11.140625" customWidth="1"/>
    <col min="11807" max="11807" width="9.85546875" bestFit="1" customWidth="1"/>
    <col min="11808" max="11808" width="10.85546875" customWidth="1"/>
    <col min="11809" max="11809" width="12.140625" bestFit="1" customWidth="1"/>
    <col min="11810" max="11810" width="12.140625" customWidth="1"/>
    <col min="11811" max="11811" width="9.5703125" bestFit="1" customWidth="1"/>
    <col min="11812" max="11812" width="11.140625" customWidth="1"/>
    <col min="11813" max="11813" width="11.7109375" bestFit="1" customWidth="1"/>
    <col min="11814" max="11814" width="11.7109375" customWidth="1"/>
    <col min="12033" max="12033" width="38.7109375" customWidth="1"/>
    <col min="12034" max="12034" width="12.28515625" customWidth="1"/>
    <col min="12035" max="12035" width="11" customWidth="1"/>
    <col min="12036" max="12036" width="13" customWidth="1"/>
    <col min="12037" max="12037" width="11.85546875" customWidth="1"/>
    <col min="12038" max="12038" width="11.140625" customWidth="1"/>
    <col min="12039" max="12039" width="13.42578125" customWidth="1"/>
    <col min="12040" max="12040" width="13" customWidth="1"/>
    <col min="12041" max="12041" width="11.140625" customWidth="1"/>
    <col min="12042" max="12042" width="14.28515625" customWidth="1"/>
    <col min="12043" max="12043" width="14.5703125" customWidth="1"/>
    <col min="12044" max="12044" width="11.140625" customWidth="1"/>
    <col min="12045" max="12045" width="12.28515625" customWidth="1"/>
    <col min="12046" max="12046" width="11.7109375" customWidth="1"/>
    <col min="12047" max="12047" width="11.140625" customWidth="1"/>
    <col min="12048" max="12048" width="12.85546875" customWidth="1"/>
    <col min="12049" max="12049" width="11.5703125" customWidth="1"/>
    <col min="12050" max="12050" width="11.140625" customWidth="1"/>
    <col min="12051" max="12051" width="13.85546875" customWidth="1"/>
    <col min="12052" max="12052" width="21.5703125" customWidth="1"/>
    <col min="12053" max="12053" width="9.7109375" customWidth="1"/>
    <col min="12054" max="12054" width="11.42578125" customWidth="1"/>
    <col min="12055" max="12055" width="11" customWidth="1"/>
    <col min="12056" max="12057" width="9.7109375" customWidth="1"/>
    <col min="12058" max="12058" width="12.85546875" customWidth="1"/>
    <col min="12059" max="12059" width="8.85546875" bestFit="1" customWidth="1"/>
    <col min="12060" max="12060" width="10.5703125" customWidth="1"/>
    <col min="12061" max="12061" width="9.85546875" bestFit="1" customWidth="1"/>
    <col min="12062" max="12062" width="11.140625" customWidth="1"/>
    <col min="12063" max="12063" width="9.85546875" bestFit="1" customWidth="1"/>
    <col min="12064" max="12064" width="10.85546875" customWidth="1"/>
    <col min="12065" max="12065" width="12.140625" bestFit="1" customWidth="1"/>
    <col min="12066" max="12066" width="12.140625" customWidth="1"/>
    <col min="12067" max="12067" width="9.5703125" bestFit="1" customWidth="1"/>
    <col min="12068" max="12068" width="11.140625" customWidth="1"/>
    <col min="12069" max="12069" width="11.7109375" bestFit="1" customWidth="1"/>
    <col min="12070" max="12070" width="11.7109375" customWidth="1"/>
    <col min="12289" max="12289" width="38.7109375" customWidth="1"/>
    <col min="12290" max="12290" width="12.28515625" customWidth="1"/>
    <col min="12291" max="12291" width="11" customWidth="1"/>
    <col min="12292" max="12292" width="13" customWidth="1"/>
    <col min="12293" max="12293" width="11.85546875" customWidth="1"/>
    <col min="12294" max="12294" width="11.140625" customWidth="1"/>
    <col min="12295" max="12295" width="13.42578125" customWidth="1"/>
    <col min="12296" max="12296" width="13" customWidth="1"/>
    <col min="12297" max="12297" width="11.140625" customWidth="1"/>
    <col min="12298" max="12298" width="14.28515625" customWidth="1"/>
    <col min="12299" max="12299" width="14.5703125" customWidth="1"/>
    <col min="12300" max="12300" width="11.140625" customWidth="1"/>
    <col min="12301" max="12301" width="12.28515625" customWidth="1"/>
    <col min="12302" max="12302" width="11.7109375" customWidth="1"/>
    <col min="12303" max="12303" width="11.140625" customWidth="1"/>
    <col min="12304" max="12304" width="12.85546875" customWidth="1"/>
    <col min="12305" max="12305" width="11.5703125" customWidth="1"/>
    <col min="12306" max="12306" width="11.140625" customWidth="1"/>
    <col min="12307" max="12307" width="13.85546875" customWidth="1"/>
    <col min="12308" max="12308" width="21.5703125" customWidth="1"/>
    <col min="12309" max="12309" width="9.7109375" customWidth="1"/>
    <col min="12310" max="12310" width="11.42578125" customWidth="1"/>
    <col min="12311" max="12311" width="11" customWidth="1"/>
    <col min="12312" max="12313" width="9.7109375" customWidth="1"/>
    <col min="12314" max="12314" width="12.85546875" customWidth="1"/>
    <col min="12315" max="12315" width="8.85546875" bestFit="1" customWidth="1"/>
    <col min="12316" max="12316" width="10.5703125" customWidth="1"/>
    <col min="12317" max="12317" width="9.85546875" bestFit="1" customWidth="1"/>
    <col min="12318" max="12318" width="11.140625" customWidth="1"/>
    <col min="12319" max="12319" width="9.85546875" bestFit="1" customWidth="1"/>
    <col min="12320" max="12320" width="10.85546875" customWidth="1"/>
    <col min="12321" max="12321" width="12.140625" bestFit="1" customWidth="1"/>
    <col min="12322" max="12322" width="12.140625" customWidth="1"/>
    <col min="12323" max="12323" width="9.5703125" bestFit="1" customWidth="1"/>
    <col min="12324" max="12324" width="11.140625" customWidth="1"/>
    <col min="12325" max="12325" width="11.7109375" bestFit="1" customWidth="1"/>
    <col min="12326" max="12326" width="11.7109375" customWidth="1"/>
    <col min="12545" max="12545" width="38.7109375" customWidth="1"/>
    <col min="12546" max="12546" width="12.28515625" customWidth="1"/>
    <col min="12547" max="12547" width="11" customWidth="1"/>
    <col min="12548" max="12548" width="13" customWidth="1"/>
    <col min="12549" max="12549" width="11.85546875" customWidth="1"/>
    <col min="12550" max="12550" width="11.140625" customWidth="1"/>
    <col min="12551" max="12551" width="13.42578125" customWidth="1"/>
    <col min="12552" max="12552" width="13" customWidth="1"/>
    <col min="12553" max="12553" width="11.140625" customWidth="1"/>
    <col min="12554" max="12554" width="14.28515625" customWidth="1"/>
    <col min="12555" max="12555" width="14.5703125" customWidth="1"/>
    <col min="12556" max="12556" width="11.140625" customWidth="1"/>
    <col min="12557" max="12557" width="12.28515625" customWidth="1"/>
    <col min="12558" max="12558" width="11.7109375" customWidth="1"/>
    <col min="12559" max="12559" width="11.140625" customWidth="1"/>
    <col min="12560" max="12560" width="12.85546875" customWidth="1"/>
    <col min="12561" max="12561" width="11.5703125" customWidth="1"/>
    <col min="12562" max="12562" width="11.140625" customWidth="1"/>
    <col min="12563" max="12563" width="13.85546875" customWidth="1"/>
    <col min="12564" max="12564" width="21.5703125" customWidth="1"/>
    <col min="12565" max="12565" width="9.7109375" customWidth="1"/>
    <col min="12566" max="12566" width="11.42578125" customWidth="1"/>
    <col min="12567" max="12567" width="11" customWidth="1"/>
    <col min="12568" max="12569" width="9.7109375" customWidth="1"/>
    <col min="12570" max="12570" width="12.85546875" customWidth="1"/>
    <col min="12571" max="12571" width="8.85546875" bestFit="1" customWidth="1"/>
    <col min="12572" max="12572" width="10.5703125" customWidth="1"/>
    <col min="12573" max="12573" width="9.85546875" bestFit="1" customWidth="1"/>
    <col min="12574" max="12574" width="11.140625" customWidth="1"/>
    <col min="12575" max="12575" width="9.85546875" bestFit="1" customWidth="1"/>
    <col min="12576" max="12576" width="10.85546875" customWidth="1"/>
    <col min="12577" max="12577" width="12.140625" bestFit="1" customWidth="1"/>
    <col min="12578" max="12578" width="12.140625" customWidth="1"/>
    <col min="12579" max="12579" width="9.5703125" bestFit="1" customWidth="1"/>
    <col min="12580" max="12580" width="11.140625" customWidth="1"/>
    <col min="12581" max="12581" width="11.7109375" bestFit="1" customWidth="1"/>
    <col min="12582" max="12582" width="11.7109375" customWidth="1"/>
    <col min="12801" max="12801" width="38.7109375" customWidth="1"/>
    <col min="12802" max="12802" width="12.28515625" customWidth="1"/>
    <col min="12803" max="12803" width="11" customWidth="1"/>
    <col min="12804" max="12804" width="13" customWidth="1"/>
    <col min="12805" max="12805" width="11.85546875" customWidth="1"/>
    <col min="12806" max="12806" width="11.140625" customWidth="1"/>
    <col min="12807" max="12807" width="13.42578125" customWidth="1"/>
    <col min="12808" max="12808" width="13" customWidth="1"/>
    <col min="12809" max="12809" width="11.140625" customWidth="1"/>
    <col min="12810" max="12810" width="14.28515625" customWidth="1"/>
    <col min="12811" max="12811" width="14.5703125" customWidth="1"/>
    <col min="12812" max="12812" width="11.140625" customWidth="1"/>
    <col min="12813" max="12813" width="12.28515625" customWidth="1"/>
    <col min="12814" max="12814" width="11.7109375" customWidth="1"/>
    <col min="12815" max="12815" width="11.140625" customWidth="1"/>
    <col min="12816" max="12816" width="12.85546875" customWidth="1"/>
    <col min="12817" max="12817" width="11.5703125" customWidth="1"/>
    <col min="12818" max="12818" width="11.140625" customWidth="1"/>
    <col min="12819" max="12819" width="13.85546875" customWidth="1"/>
    <col min="12820" max="12820" width="21.5703125" customWidth="1"/>
    <col min="12821" max="12821" width="9.7109375" customWidth="1"/>
    <col min="12822" max="12822" width="11.42578125" customWidth="1"/>
    <col min="12823" max="12823" width="11" customWidth="1"/>
    <col min="12824" max="12825" width="9.7109375" customWidth="1"/>
    <col min="12826" max="12826" width="12.85546875" customWidth="1"/>
    <col min="12827" max="12827" width="8.85546875" bestFit="1" customWidth="1"/>
    <col min="12828" max="12828" width="10.5703125" customWidth="1"/>
    <col min="12829" max="12829" width="9.85546875" bestFit="1" customWidth="1"/>
    <col min="12830" max="12830" width="11.140625" customWidth="1"/>
    <col min="12831" max="12831" width="9.85546875" bestFit="1" customWidth="1"/>
    <col min="12832" max="12832" width="10.85546875" customWidth="1"/>
    <col min="12833" max="12833" width="12.140625" bestFit="1" customWidth="1"/>
    <col min="12834" max="12834" width="12.140625" customWidth="1"/>
    <col min="12835" max="12835" width="9.5703125" bestFit="1" customWidth="1"/>
    <col min="12836" max="12836" width="11.140625" customWidth="1"/>
    <col min="12837" max="12837" width="11.7109375" bestFit="1" customWidth="1"/>
    <col min="12838" max="12838" width="11.7109375" customWidth="1"/>
    <col min="13057" max="13057" width="38.7109375" customWidth="1"/>
    <col min="13058" max="13058" width="12.28515625" customWidth="1"/>
    <col min="13059" max="13059" width="11" customWidth="1"/>
    <col min="13060" max="13060" width="13" customWidth="1"/>
    <col min="13061" max="13061" width="11.85546875" customWidth="1"/>
    <col min="13062" max="13062" width="11.140625" customWidth="1"/>
    <col min="13063" max="13063" width="13.42578125" customWidth="1"/>
    <col min="13064" max="13064" width="13" customWidth="1"/>
    <col min="13065" max="13065" width="11.140625" customWidth="1"/>
    <col min="13066" max="13066" width="14.28515625" customWidth="1"/>
    <col min="13067" max="13067" width="14.5703125" customWidth="1"/>
    <col min="13068" max="13068" width="11.140625" customWidth="1"/>
    <col min="13069" max="13069" width="12.28515625" customWidth="1"/>
    <col min="13070" max="13070" width="11.7109375" customWidth="1"/>
    <col min="13071" max="13071" width="11.140625" customWidth="1"/>
    <col min="13072" max="13072" width="12.85546875" customWidth="1"/>
    <col min="13073" max="13073" width="11.5703125" customWidth="1"/>
    <col min="13074" max="13074" width="11.140625" customWidth="1"/>
    <col min="13075" max="13075" width="13.85546875" customWidth="1"/>
    <col min="13076" max="13076" width="21.5703125" customWidth="1"/>
    <col min="13077" max="13077" width="9.7109375" customWidth="1"/>
    <col min="13078" max="13078" width="11.42578125" customWidth="1"/>
    <col min="13079" max="13079" width="11" customWidth="1"/>
    <col min="13080" max="13081" width="9.7109375" customWidth="1"/>
    <col min="13082" max="13082" width="12.85546875" customWidth="1"/>
    <col min="13083" max="13083" width="8.85546875" bestFit="1" customWidth="1"/>
    <col min="13084" max="13084" width="10.5703125" customWidth="1"/>
    <col min="13085" max="13085" width="9.85546875" bestFit="1" customWidth="1"/>
    <col min="13086" max="13086" width="11.140625" customWidth="1"/>
    <col min="13087" max="13087" width="9.85546875" bestFit="1" customWidth="1"/>
    <col min="13088" max="13088" width="10.85546875" customWidth="1"/>
    <col min="13089" max="13089" width="12.140625" bestFit="1" customWidth="1"/>
    <col min="13090" max="13090" width="12.140625" customWidth="1"/>
    <col min="13091" max="13091" width="9.5703125" bestFit="1" customWidth="1"/>
    <col min="13092" max="13092" width="11.140625" customWidth="1"/>
    <col min="13093" max="13093" width="11.7109375" bestFit="1" customWidth="1"/>
    <col min="13094" max="13094" width="11.7109375" customWidth="1"/>
    <col min="13313" max="13313" width="38.7109375" customWidth="1"/>
    <col min="13314" max="13314" width="12.28515625" customWidth="1"/>
    <col min="13315" max="13315" width="11" customWidth="1"/>
    <col min="13316" max="13316" width="13" customWidth="1"/>
    <col min="13317" max="13317" width="11.85546875" customWidth="1"/>
    <col min="13318" max="13318" width="11.140625" customWidth="1"/>
    <col min="13319" max="13319" width="13.42578125" customWidth="1"/>
    <col min="13320" max="13320" width="13" customWidth="1"/>
    <col min="13321" max="13321" width="11.140625" customWidth="1"/>
    <col min="13322" max="13322" width="14.28515625" customWidth="1"/>
    <col min="13323" max="13323" width="14.5703125" customWidth="1"/>
    <col min="13324" max="13324" width="11.140625" customWidth="1"/>
    <col min="13325" max="13325" width="12.28515625" customWidth="1"/>
    <col min="13326" max="13326" width="11.7109375" customWidth="1"/>
    <col min="13327" max="13327" width="11.140625" customWidth="1"/>
    <col min="13328" max="13328" width="12.85546875" customWidth="1"/>
    <col min="13329" max="13329" width="11.5703125" customWidth="1"/>
    <col min="13330" max="13330" width="11.140625" customWidth="1"/>
    <col min="13331" max="13331" width="13.85546875" customWidth="1"/>
    <col min="13332" max="13332" width="21.5703125" customWidth="1"/>
    <col min="13333" max="13333" width="9.7109375" customWidth="1"/>
    <col min="13334" max="13334" width="11.42578125" customWidth="1"/>
    <col min="13335" max="13335" width="11" customWidth="1"/>
    <col min="13336" max="13337" width="9.7109375" customWidth="1"/>
    <col min="13338" max="13338" width="12.85546875" customWidth="1"/>
    <col min="13339" max="13339" width="8.85546875" bestFit="1" customWidth="1"/>
    <col min="13340" max="13340" width="10.5703125" customWidth="1"/>
    <col min="13341" max="13341" width="9.85546875" bestFit="1" customWidth="1"/>
    <col min="13342" max="13342" width="11.140625" customWidth="1"/>
    <col min="13343" max="13343" width="9.85546875" bestFit="1" customWidth="1"/>
    <col min="13344" max="13344" width="10.85546875" customWidth="1"/>
    <col min="13345" max="13345" width="12.140625" bestFit="1" customWidth="1"/>
    <col min="13346" max="13346" width="12.140625" customWidth="1"/>
    <col min="13347" max="13347" width="9.5703125" bestFit="1" customWidth="1"/>
    <col min="13348" max="13348" width="11.140625" customWidth="1"/>
    <col min="13349" max="13349" width="11.7109375" bestFit="1" customWidth="1"/>
    <col min="13350" max="13350" width="11.7109375" customWidth="1"/>
    <col min="13569" max="13569" width="38.7109375" customWidth="1"/>
    <col min="13570" max="13570" width="12.28515625" customWidth="1"/>
    <col min="13571" max="13571" width="11" customWidth="1"/>
    <col min="13572" max="13572" width="13" customWidth="1"/>
    <col min="13573" max="13573" width="11.85546875" customWidth="1"/>
    <col min="13574" max="13574" width="11.140625" customWidth="1"/>
    <col min="13575" max="13575" width="13.42578125" customWidth="1"/>
    <col min="13576" max="13576" width="13" customWidth="1"/>
    <col min="13577" max="13577" width="11.140625" customWidth="1"/>
    <col min="13578" max="13578" width="14.28515625" customWidth="1"/>
    <col min="13579" max="13579" width="14.5703125" customWidth="1"/>
    <col min="13580" max="13580" width="11.140625" customWidth="1"/>
    <col min="13581" max="13581" width="12.28515625" customWidth="1"/>
    <col min="13582" max="13582" width="11.7109375" customWidth="1"/>
    <col min="13583" max="13583" width="11.140625" customWidth="1"/>
    <col min="13584" max="13584" width="12.85546875" customWidth="1"/>
    <col min="13585" max="13585" width="11.5703125" customWidth="1"/>
    <col min="13586" max="13586" width="11.140625" customWidth="1"/>
    <col min="13587" max="13587" width="13.85546875" customWidth="1"/>
    <col min="13588" max="13588" width="21.5703125" customWidth="1"/>
    <col min="13589" max="13589" width="9.7109375" customWidth="1"/>
    <col min="13590" max="13590" width="11.42578125" customWidth="1"/>
    <col min="13591" max="13591" width="11" customWidth="1"/>
    <col min="13592" max="13593" width="9.7109375" customWidth="1"/>
    <col min="13594" max="13594" width="12.85546875" customWidth="1"/>
    <col min="13595" max="13595" width="8.85546875" bestFit="1" customWidth="1"/>
    <col min="13596" max="13596" width="10.5703125" customWidth="1"/>
    <col min="13597" max="13597" width="9.85546875" bestFit="1" customWidth="1"/>
    <col min="13598" max="13598" width="11.140625" customWidth="1"/>
    <col min="13599" max="13599" width="9.85546875" bestFit="1" customWidth="1"/>
    <col min="13600" max="13600" width="10.85546875" customWidth="1"/>
    <col min="13601" max="13601" width="12.140625" bestFit="1" customWidth="1"/>
    <col min="13602" max="13602" width="12.140625" customWidth="1"/>
    <col min="13603" max="13603" width="9.5703125" bestFit="1" customWidth="1"/>
    <col min="13604" max="13604" width="11.140625" customWidth="1"/>
    <col min="13605" max="13605" width="11.7109375" bestFit="1" customWidth="1"/>
    <col min="13606" max="13606" width="11.7109375" customWidth="1"/>
    <col min="13825" max="13825" width="38.7109375" customWidth="1"/>
    <col min="13826" max="13826" width="12.28515625" customWidth="1"/>
    <col min="13827" max="13827" width="11" customWidth="1"/>
    <col min="13828" max="13828" width="13" customWidth="1"/>
    <col min="13829" max="13829" width="11.85546875" customWidth="1"/>
    <col min="13830" max="13830" width="11.140625" customWidth="1"/>
    <col min="13831" max="13831" width="13.42578125" customWidth="1"/>
    <col min="13832" max="13832" width="13" customWidth="1"/>
    <col min="13833" max="13833" width="11.140625" customWidth="1"/>
    <col min="13834" max="13834" width="14.28515625" customWidth="1"/>
    <col min="13835" max="13835" width="14.5703125" customWidth="1"/>
    <col min="13836" max="13836" width="11.140625" customWidth="1"/>
    <col min="13837" max="13837" width="12.28515625" customWidth="1"/>
    <col min="13838" max="13838" width="11.7109375" customWidth="1"/>
    <col min="13839" max="13839" width="11.140625" customWidth="1"/>
    <col min="13840" max="13840" width="12.85546875" customWidth="1"/>
    <col min="13841" max="13841" width="11.5703125" customWidth="1"/>
    <col min="13842" max="13842" width="11.140625" customWidth="1"/>
    <col min="13843" max="13843" width="13.85546875" customWidth="1"/>
    <col min="13844" max="13844" width="21.5703125" customWidth="1"/>
    <col min="13845" max="13845" width="9.7109375" customWidth="1"/>
    <col min="13846" max="13846" width="11.42578125" customWidth="1"/>
    <col min="13847" max="13847" width="11" customWidth="1"/>
    <col min="13848" max="13849" width="9.7109375" customWidth="1"/>
    <col min="13850" max="13850" width="12.85546875" customWidth="1"/>
    <col min="13851" max="13851" width="8.85546875" bestFit="1" customWidth="1"/>
    <col min="13852" max="13852" width="10.5703125" customWidth="1"/>
    <col min="13853" max="13853" width="9.85546875" bestFit="1" customWidth="1"/>
    <col min="13854" max="13854" width="11.140625" customWidth="1"/>
    <col min="13855" max="13855" width="9.85546875" bestFit="1" customWidth="1"/>
    <col min="13856" max="13856" width="10.85546875" customWidth="1"/>
    <col min="13857" max="13857" width="12.140625" bestFit="1" customWidth="1"/>
    <col min="13858" max="13858" width="12.140625" customWidth="1"/>
    <col min="13859" max="13859" width="9.5703125" bestFit="1" customWidth="1"/>
    <col min="13860" max="13860" width="11.140625" customWidth="1"/>
    <col min="13861" max="13861" width="11.7109375" bestFit="1" customWidth="1"/>
    <col min="13862" max="13862" width="11.7109375" customWidth="1"/>
    <col min="14081" max="14081" width="38.7109375" customWidth="1"/>
    <col min="14082" max="14082" width="12.28515625" customWidth="1"/>
    <col min="14083" max="14083" width="11" customWidth="1"/>
    <col min="14084" max="14084" width="13" customWidth="1"/>
    <col min="14085" max="14085" width="11.85546875" customWidth="1"/>
    <col min="14086" max="14086" width="11.140625" customWidth="1"/>
    <col min="14087" max="14087" width="13.42578125" customWidth="1"/>
    <col min="14088" max="14088" width="13" customWidth="1"/>
    <col min="14089" max="14089" width="11.140625" customWidth="1"/>
    <col min="14090" max="14090" width="14.28515625" customWidth="1"/>
    <col min="14091" max="14091" width="14.5703125" customWidth="1"/>
    <col min="14092" max="14092" width="11.140625" customWidth="1"/>
    <col min="14093" max="14093" width="12.28515625" customWidth="1"/>
    <col min="14094" max="14094" width="11.7109375" customWidth="1"/>
    <col min="14095" max="14095" width="11.140625" customWidth="1"/>
    <col min="14096" max="14096" width="12.85546875" customWidth="1"/>
    <col min="14097" max="14097" width="11.5703125" customWidth="1"/>
    <col min="14098" max="14098" width="11.140625" customWidth="1"/>
    <col min="14099" max="14099" width="13.85546875" customWidth="1"/>
    <col min="14100" max="14100" width="21.5703125" customWidth="1"/>
    <col min="14101" max="14101" width="9.7109375" customWidth="1"/>
    <col min="14102" max="14102" width="11.42578125" customWidth="1"/>
    <col min="14103" max="14103" width="11" customWidth="1"/>
    <col min="14104" max="14105" width="9.7109375" customWidth="1"/>
    <col min="14106" max="14106" width="12.85546875" customWidth="1"/>
    <col min="14107" max="14107" width="8.85546875" bestFit="1" customWidth="1"/>
    <col min="14108" max="14108" width="10.5703125" customWidth="1"/>
    <col min="14109" max="14109" width="9.85546875" bestFit="1" customWidth="1"/>
    <col min="14110" max="14110" width="11.140625" customWidth="1"/>
    <col min="14111" max="14111" width="9.85546875" bestFit="1" customWidth="1"/>
    <col min="14112" max="14112" width="10.85546875" customWidth="1"/>
    <col min="14113" max="14113" width="12.140625" bestFit="1" customWidth="1"/>
    <col min="14114" max="14114" width="12.140625" customWidth="1"/>
    <col min="14115" max="14115" width="9.5703125" bestFit="1" customWidth="1"/>
    <col min="14116" max="14116" width="11.140625" customWidth="1"/>
    <col min="14117" max="14117" width="11.7109375" bestFit="1" customWidth="1"/>
    <col min="14118" max="14118" width="11.7109375" customWidth="1"/>
    <col min="14337" max="14337" width="38.7109375" customWidth="1"/>
    <col min="14338" max="14338" width="12.28515625" customWidth="1"/>
    <col min="14339" max="14339" width="11" customWidth="1"/>
    <col min="14340" max="14340" width="13" customWidth="1"/>
    <col min="14341" max="14341" width="11.85546875" customWidth="1"/>
    <col min="14342" max="14342" width="11.140625" customWidth="1"/>
    <col min="14343" max="14343" width="13.42578125" customWidth="1"/>
    <col min="14344" max="14344" width="13" customWidth="1"/>
    <col min="14345" max="14345" width="11.140625" customWidth="1"/>
    <col min="14346" max="14346" width="14.28515625" customWidth="1"/>
    <col min="14347" max="14347" width="14.5703125" customWidth="1"/>
    <col min="14348" max="14348" width="11.140625" customWidth="1"/>
    <col min="14349" max="14349" width="12.28515625" customWidth="1"/>
    <col min="14350" max="14350" width="11.7109375" customWidth="1"/>
    <col min="14351" max="14351" width="11.140625" customWidth="1"/>
    <col min="14352" max="14352" width="12.85546875" customWidth="1"/>
    <col min="14353" max="14353" width="11.5703125" customWidth="1"/>
    <col min="14354" max="14354" width="11.140625" customWidth="1"/>
    <col min="14355" max="14355" width="13.85546875" customWidth="1"/>
    <col min="14356" max="14356" width="21.5703125" customWidth="1"/>
    <col min="14357" max="14357" width="9.7109375" customWidth="1"/>
    <col min="14358" max="14358" width="11.42578125" customWidth="1"/>
    <col min="14359" max="14359" width="11" customWidth="1"/>
    <col min="14360" max="14361" width="9.7109375" customWidth="1"/>
    <col min="14362" max="14362" width="12.85546875" customWidth="1"/>
    <col min="14363" max="14363" width="8.85546875" bestFit="1" customWidth="1"/>
    <col min="14364" max="14364" width="10.5703125" customWidth="1"/>
    <col min="14365" max="14365" width="9.85546875" bestFit="1" customWidth="1"/>
    <col min="14366" max="14366" width="11.140625" customWidth="1"/>
    <col min="14367" max="14367" width="9.85546875" bestFit="1" customWidth="1"/>
    <col min="14368" max="14368" width="10.85546875" customWidth="1"/>
    <col min="14369" max="14369" width="12.140625" bestFit="1" customWidth="1"/>
    <col min="14370" max="14370" width="12.140625" customWidth="1"/>
    <col min="14371" max="14371" width="9.5703125" bestFit="1" customWidth="1"/>
    <col min="14372" max="14372" width="11.140625" customWidth="1"/>
    <col min="14373" max="14373" width="11.7109375" bestFit="1" customWidth="1"/>
    <col min="14374" max="14374" width="11.7109375" customWidth="1"/>
    <col min="14593" max="14593" width="38.7109375" customWidth="1"/>
    <col min="14594" max="14594" width="12.28515625" customWidth="1"/>
    <col min="14595" max="14595" width="11" customWidth="1"/>
    <col min="14596" max="14596" width="13" customWidth="1"/>
    <col min="14597" max="14597" width="11.85546875" customWidth="1"/>
    <col min="14598" max="14598" width="11.140625" customWidth="1"/>
    <col min="14599" max="14599" width="13.42578125" customWidth="1"/>
    <col min="14600" max="14600" width="13" customWidth="1"/>
    <col min="14601" max="14601" width="11.140625" customWidth="1"/>
    <col min="14602" max="14602" width="14.28515625" customWidth="1"/>
    <col min="14603" max="14603" width="14.5703125" customWidth="1"/>
    <col min="14604" max="14604" width="11.140625" customWidth="1"/>
    <col min="14605" max="14605" width="12.28515625" customWidth="1"/>
    <col min="14606" max="14606" width="11.7109375" customWidth="1"/>
    <col min="14607" max="14607" width="11.140625" customWidth="1"/>
    <col min="14608" max="14608" width="12.85546875" customWidth="1"/>
    <col min="14609" max="14609" width="11.5703125" customWidth="1"/>
    <col min="14610" max="14610" width="11.140625" customWidth="1"/>
    <col min="14611" max="14611" width="13.85546875" customWidth="1"/>
    <col min="14612" max="14612" width="21.5703125" customWidth="1"/>
    <col min="14613" max="14613" width="9.7109375" customWidth="1"/>
    <col min="14614" max="14614" width="11.42578125" customWidth="1"/>
    <col min="14615" max="14615" width="11" customWidth="1"/>
    <col min="14616" max="14617" width="9.7109375" customWidth="1"/>
    <col min="14618" max="14618" width="12.85546875" customWidth="1"/>
    <col min="14619" max="14619" width="8.85546875" bestFit="1" customWidth="1"/>
    <col min="14620" max="14620" width="10.5703125" customWidth="1"/>
    <col min="14621" max="14621" width="9.85546875" bestFit="1" customWidth="1"/>
    <col min="14622" max="14622" width="11.140625" customWidth="1"/>
    <col min="14623" max="14623" width="9.85546875" bestFit="1" customWidth="1"/>
    <col min="14624" max="14624" width="10.85546875" customWidth="1"/>
    <col min="14625" max="14625" width="12.140625" bestFit="1" customWidth="1"/>
    <col min="14626" max="14626" width="12.140625" customWidth="1"/>
    <col min="14627" max="14627" width="9.5703125" bestFit="1" customWidth="1"/>
    <col min="14628" max="14628" width="11.140625" customWidth="1"/>
    <col min="14629" max="14629" width="11.7109375" bestFit="1" customWidth="1"/>
    <col min="14630" max="14630" width="11.7109375" customWidth="1"/>
    <col min="14849" max="14849" width="38.7109375" customWidth="1"/>
    <col min="14850" max="14850" width="12.28515625" customWidth="1"/>
    <col min="14851" max="14851" width="11" customWidth="1"/>
    <col min="14852" max="14852" width="13" customWidth="1"/>
    <col min="14853" max="14853" width="11.85546875" customWidth="1"/>
    <col min="14854" max="14854" width="11.140625" customWidth="1"/>
    <col min="14855" max="14855" width="13.42578125" customWidth="1"/>
    <col min="14856" max="14856" width="13" customWidth="1"/>
    <col min="14857" max="14857" width="11.140625" customWidth="1"/>
    <col min="14858" max="14858" width="14.28515625" customWidth="1"/>
    <col min="14859" max="14859" width="14.5703125" customWidth="1"/>
    <col min="14860" max="14860" width="11.140625" customWidth="1"/>
    <col min="14861" max="14861" width="12.28515625" customWidth="1"/>
    <col min="14862" max="14862" width="11.7109375" customWidth="1"/>
    <col min="14863" max="14863" width="11.140625" customWidth="1"/>
    <col min="14864" max="14864" width="12.85546875" customWidth="1"/>
    <col min="14865" max="14865" width="11.5703125" customWidth="1"/>
    <col min="14866" max="14866" width="11.140625" customWidth="1"/>
    <col min="14867" max="14867" width="13.85546875" customWidth="1"/>
    <col min="14868" max="14868" width="21.5703125" customWidth="1"/>
    <col min="14869" max="14869" width="9.7109375" customWidth="1"/>
    <col min="14870" max="14870" width="11.42578125" customWidth="1"/>
    <col min="14871" max="14871" width="11" customWidth="1"/>
    <col min="14872" max="14873" width="9.7109375" customWidth="1"/>
    <col min="14874" max="14874" width="12.85546875" customWidth="1"/>
    <col min="14875" max="14875" width="8.85546875" bestFit="1" customWidth="1"/>
    <col min="14876" max="14876" width="10.5703125" customWidth="1"/>
    <col min="14877" max="14877" width="9.85546875" bestFit="1" customWidth="1"/>
    <col min="14878" max="14878" width="11.140625" customWidth="1"/>
    <col min="14879" max="14879" width="9.85546875" bestFit="1" customWidth="1"/>
    <col min="14880" max="14880" width="10.85546875" customWidth="1"/>
    <col min="14881" max="14881" width="12.140625" bestFit="1" customWidth="1"/>
    <col min="14882" max="14882" width="12.140625" customWidth="1"/>
    <col min="14883" max="14883" width="9.5703125" bestFit="1" customWidth="1"/>
    <col min="14884" max="14884" width="11.140625" customWidth="1"/>
    <col min="14885" max="14885" width="11.7109375" bestFit="1" customWidth="1"/>
    <col min="14886" max="14886" width="11.7109375" customWidth="1"/>
    <col min="15105" max="15105" width="38.7109375" customWidth="1"/>
    <col min="15106" max="15106" width="12.28515625" customWidth="1"/>
    <col min="15107" max="15107" width="11" customWidth="1"/>
    <col min="15108" max="15108" width="13" customWidth="1"/>
    <col min="15109" max="15109" width="11.85546875" customWidth="1"/>
    <col min="15110" max="15110" width="11.140625" customWidth="1"/>
    <col min="15111" max="15111" width="13.42578125" customWidth="1"/>
    <col min="15112" max="15112" width="13" customWidth="1"/>
    <col min="15113" max="15113" width="11.140625" customWidth="1"/>
    <col min="15114" max="15114" width="14.28515625" customWidth="1"/>
    <col min="15115" max="15115" width="14.5703125" customWidth="1"/>
    <col min="15116" max="15116" width="11.140625" customWidth="1"/>
    <col min="15117" max="15117" width="12.28515625" customWidth="1"/>
    <col min="15118" max="15118" width="11.7109375" customWidth="1"/>
    <col min="15119" max="15119" width="11.140625" customWidth="1"/>
    <col min="15120" max="15120" width="12.85546875" customWidth="1"/>
    <col min="15121" max="15121" width="11.5703125" customWidth="1"/>
    <col min="15122" max="15122" width="11.140625" customWidth="1"/>
    <col min="15123" max="15123" width="13.85546875" customWidth="1"/>
    <col min="15124" max="15124" width="21.5703125" customWidth="1"/>
    <col min="15125" max="15125" width="9.7109375" customWidth="1"/>
    <col min="15126" max="15126" width="11.42578125" customWidth="1"/>
    <col min="15127" max="15127" width="11" customWidth="1"/>
    <col min="15128" max="15129" width="9.7109375" customWidth="1"/>
    <col min="15130" max="15130" width="12.85546875" customWidth="1"/>
    <col min="15131" max="15131" width="8.85546875" bestFit="1" customWidth="1"/>
    <col min="15132" max="15132" width="10.5703125" customWidth="1"/>
    <col min="15133" max="15133" width="9.85546875" bestFit="1" customWidth="1"/>
    <col min="15134" max="15134" width="11.140625" customWidth="1"/>
    <col min="15135" max="15135" width="9.85546875" bestFit="1" customWidth="1"/>
    <col min="15136" max="15136" width="10.85546875" customWidth="1"/>
    <col min="15137" max="15137" width="12.140625" bestFit="1" customWidth="1"/>
    <col min="15138" max="15138" width="12.140625" customWidth="1"/>
    <col min="15139" max="15139" width="9.5703125" bestFit="1" customWidth="1"/>
    <col min="15140" max="15140" width="11.140625" customWidth="1"/>
    <col min="15141" max="15141" width="11.7109375" bestFit="1" customWidth="1"/>
    <col min="15142" max="15142" width="11.7109375" customWidth="1"/>
    <col min="15361" max="15361" width="38.7109375" customWidth="1"/>
    <col min="15362" max="15362" width="12.28515625" customWidth="1"/>
    <col min="15363" max="15363" width="11" customWidth="1"/>
    <col min="15364" max="15364" width="13" customWidth="1"/>
    <col min="15365" max="15365" width="11.85546875" customWidth="1"/>
    <col min="15366" max="15366" width="11.140625" customWidth="1"/>
    <col min="15367" max="15367" width="13.42578125" customWidth="1"/>
    <col min="15368" max="15368" width="13" customWidth="1"/>
    <col min="15369" max="15369" width="11.140625" customWidth="1"/>
    <col min="15370" max="15370" width="14.28515625" customWidth="1"/>
    <col min="15371" max="15371" width="14.5703125" customWidth="1"/>
    <col min="15372" max="15372" width="11.140625" customWidth="1"/>
    <col min="15373" max="15373" width="12.28515625" customWidth="1"/>
    <col min="15374" max="15374" width="11.7109375" customWidth="1"/>
    <col min="15375" max="15375" width="11.140625" customWidth="1"/>
    <col min="15376" max="15376" width="12.85546875" customWidth="1"/>
    <col min="15377" max="15377" width="11.5703125" customWidth="1"/>
    <col min="15378" max="15378" width="11.140625" customWidth="1"/>
    <col min="15379" max="15379" width="13.85546875" customWidth="1"/>
    <col min="15380" max="15380" width="21.5703125" customWidth="1"/>
    <col min="15381" max="15381" width="9.7109375" customWidth="1"/>
    <col min="15382" max="15382" width="11.42578125" customWidth="1"/>
    <col min="15383" max="15383" width="11" customWidth="1"/>
    <col min="15384" max="15385" width="9.7109375" customWidth="1"/>
    <col min="15386" max="15386" width="12.85546875" customWidth="1"/>
    <col min="15387" max="15387" width="8.85546875" bestFit="1" customWidth="1"/>
    <col min="15388" max="15388" width="10.5703125" customWidth="1"/>
    <col min="15389" max="15389" width="9.85546875" bestFit="1" customWidth="1"/>
    <col min="15390" max="15390" width="11.140625" customWidth="1"/>
    <col min="15391" max="15391" width="9.85546875" bestFit="1" customWidth="1"/>
    <col min="15392" max="15392" width="10.85546875" customWidth="1"/>
    <col min="15393" max="15393" width="12.140625" bestFit="1" customWidth="1"/>
    <col min="15394" max="15394" width="12.140625" customWidth="1"/>
    <col min="15395" max="15395" width="9.5703125" bestFit="1" customWidth="1"/>
    <col min="15396" max="15396" width="11.140625" customWidth="1"/>
    <col min="15397" max="15397" width="11.7109375" bestFit="1" customWidth="1"/>
    <col min="15398" max="15398" width="11.7109375" customWidth="1"/>
    <col min="15617" max="15617" width="38.7109375" customWidth="1"/>
    <col min="15618" max="15618" width="12.28515625" customWidth="1"/>
    <col min="15619" max="15619" width="11" customWidth="1"/>
    <col min="15620" max="15620" width="13" customWidth="1"/>
    <col min="15621" max="15621" width="11.85546875" customWidth="1"/>
    <col min="15622" max="15622" width="11.140625" customWidth="1"/>
    <col min="15623" max="15623" width="13.42578125" customWidth="1"/>
    <col min="15624" max="15624" width="13" customWidth="1"/>
    <col min="15625" max="15625" width="11.140625" customWidth="1"/>
    <col min="15626" max="15626" width="14.28515625" customWidth="1"/>
    <col min="15627" max="15627" width="14.5703125" customWidth="1"/>
    <col min="15628" max="15628" width="11.140625" customWidth="1"/>
    <col min="15629" max="15629" width="12.28515625" customWidth="1"/>
    <col min="15630" max="15630" width="11.7109375" customWidth="1"/>
    <col min="15631" max="15631" width="11.140625" customWidth="1"/>
    <col min="15632" max="15632" width="12.85546875" customWidth="1"/>
    <col min="15633" max="15633" width="11.5703125" customWidth="1"/>
    <col min="15634" max="15634" width="11.140625" customWidth="1"/>
    <col min="15635" max="15635" width="13.85546875" customWidth="1"/>
    <col min="15636" max="15636" width="21.5703125" customWidth="1"/>
    <col min="15637" max="15637" width="9.7109375" customWidth="1"/>
    <col min="15638" max="15638" width="11.42578125" customWidth="1"/>
    <col min="15639" max="15639" width="11" customWidth="1"/>
    <col min="15640" max="15641" width="9.7109375" customWidth="1"/>
    <col min="15642" max="15642" width="12.85546875" customWidth="1"/>
    <col min="15643" max="15643" width="8.85546875" bestFit="1" customWidth="1"/>
    <col min="15644" max="15644" width="10.5703125" customWidth="1"/>
    <col min="15645" max="15645" width="9.85546875" bestFit="1" customWidth="1"/>
    <col min="15646" max="15646" width="11.140625" customWidth="1"/>
    <col min="15647" max="15647" width="9.85546875" bestFit="1" customWidth="1"/>
    <col min="15648" max="15648" width="10.85546875" customWidth="1"/>
    <col min="15649" max="15649" width="12.140625" bestFit="1" customWidth="1"/>
    <col min="15650" max="15650" width="12.140625" customWidth="1"/>
    <col min="15651" max="15651" width="9.5703125" bestFit="1" customWidth="1"/>
    <col min="15652" max="15652" width="11.140625" customWidth="1"/>
    <col min="15653" max="15653" width="11.7109375" bestFit="1" customWidth="1"/>
    <col min="15654" max="15654" width="11.7109375" customWidth="1"/>
    <col min="15873" max="15873" width="38.7109375" customWidth="1"/>
    <col min="15874" max="15874" width="12.28515625" customWidth="1"/>
    <col min="15875" max="15875" width="11" customWidth="1"/>
    <col min="15876" max="15876" width="13" customWidth="1"/>
    <col min="15877" max="15877" width="11.85546875" customWidth="1"/>
    <col min="15878" max="15878" width="11.140625" customWidth="1"/>
    <col min="15879" max="15879" width="13.42578125" customWidth="1"/>
    <col min="15880" max="15880" width="13" customWidth="1"/>
    <col min="15881" max="15881" width="11.140625" customWidth="1"/>
    <col min="15882" max="15882" width="14.28515625" customWidth="1"/>
    <col min="15883" max="15883" width="14.5703125" customWidth="1"/>
    <col min="15884" max="15884" width="11.140625" customWidth="1"/>
    <col min="15885" max="15885" width="12.28515625" customWidth="1"/>
    <col min="15886" max="15886" width="11.7109375" customWidth="1"/>
    <col min="15887" max="15887" width="11.140625" customWidth="1"/>
    <col min="15888" max="15888" width="12.85546875" customWidth="1"/>
    <col min="15889" max="15889" width="11.5703125" customWidth="1"/>
    <col min="15890" max="15890" width="11.140625" customWidth="1"/>
    <col min="15891" max="15891" width="13.85546875" customWidth="1"/>
    <col min="15892" max="15892" width="21.5703125" customWidth="1"/>
    <col min="15893" max="15893" width="9.7109375" customWidth="1"/>
    <col min="15894" max="15894" width="11.42578125" customWidth="1"/>
    <col min="15895" max="15895" width="11" customWidth="1"/>
    <col min="15896" max="15897" width="9.7109375" customWidth="1"/>
    <col min="15898" max="15898" width="12.85546875" customWidth="1"/>
    <col min="15899" max="15899" width="8.85546875" bestFit="1" customWidth="1"/>
    <col min="15900" max="15900" width="10.5703125" customWidth="1"/>
    <col min="15901" max="15901" width="9.85546875" bestFit="1" customWidth="1"/>
    <col min="15902" max="15902" width="11.140625" customWidth="1"/>
    <col min="15903" max="15903" width="9.85546875" bestFit="1" customWidth="1"/>
    <col min="15904" max="15904" width="10.85546875" customWidth="1"/>
    <col min="15905" max="15905" width="12.140625" bestFit="1" customWidth="1"/>
    <col min="15906" max="15906" width="12.140625" customWidth="1"/>
    <col min="15907" max="15907" width="9.5703125" bestFit="1" customWidth="1"/>
    <col min="15908" max="15908" width="11.140625" customWidth="1"/>
    <col min="15909" max="15909" width="11.7109375" bestFit="1" customWidth="1"/>
    <col min="15910" max="15910" width="11.7109375" customWidth="1"/>
    <col min="16129" max="16129" width="38.7109375" customWidth="1"/>
    <col min="16130" max="16130" width="12.28515625" customWidth="1"/>
    <col min="16131" max="16131" width="11" customWidth="1"/>
    <col min="16132" max="16132" width="13" customWidth="1"/>
    <col min="16133" max="16133" width="11.85546875" customWidth="1"/>
    <col min="16134" max="16134" width="11.140625" customWidth="1"/>
    <col min="16135" max="16135" width="13.42578125" customWidth="1"/>
    <col min="16136" max="16136" width="13" customWidth="1"/>
    <col min="16137" max="16137" width="11.140625" customWidth="1"/>
    <col min="16138" max="16138" width="14.28515625" customWidth="1"/>
    <col min="16139" max="16139" width="14.5703125" customWidth="1"/>
    <col min="16140" max="16140" width="11.140625" customWidth="1"/>
    <col min="16141" max="16141" width="12.28515625" customWidth="1"/>
    <col min="16142" max="16142" width="11.7109375" customWidth="1"/>
    <col min="16143" max="16143" width="11.140625" customWidth="1"/>
    <col min="16144" max="16144" width="12.85546875" customWidth="1"/>
    <col min="16145" max="16145" width="11.5703125" customWidth="1"/>
    <col min="16146" max="16146" width="11.140625" customWidth="1"/>
    <col min="16147" max="16147" width="13.85546875" customWidth="1"/>
    <col min="16148" max="16148" width="21.5703125" customWidth="1"/>
    <col min="16149" max="16149" width="9.7109375" customWidth="1"/>
    <col min="16150" max="16150" width="11.42578125" customWidth="1"/>
    <col min="16151" max="16151" width="11" customWidth="1"/>
    <col min="16152" max="16153" width="9.7109375" customWidth="1"/>
    <col min="16154" max="16154" width="12.85546875" customWidth="1"/>
    <col min="16155" max="16155" width="8.85546875" bestFit="1" customWidth="1"/>
    <col min="16156" max="16156" width="10.5703125" customWidth="1"/>
    <col min="16157" max="16157" width="9.85546875" bestFit="1" customWidth="1"/>
    <col min="16158" max="16158" width="11.140625" customWidth="1"/>
    <col min="16159" max="16159" width="9.85546875" bestFit="1" customWidth="1"/>
    <col min="16160" max="16160" width="10.85546875" customWidth="1"/>
    <col min="16161" max="16161" width="12.140625" bestFit="1" customWidth="1"/>
    <col min="16162" max="16162" width="12.140625" customWidth="1"/>
    <col min="16163" max="16163" width="9.5703125" bestFit="1" customWidth="1"/>
    <col min="16164" max="16164" width="11.140625" customWidth="1"/>
    <col min="16165" max="16165" width="11.7109375" bestFit="1" customWidth="1"/>
    <col min="16166" max="16166" width="11.7109375" customWidth="1"/>
  </cols>
  <sheetData>
    <row r="1" spans="1:20" ht="15.75" x14ac:dyDescent="0.25">
      <c r="A1" s="193" t="s">
        <v>217</v>
      </c>
    </row>
    <row r="2" spans="1:20" x14ac:dyDescent="0.2">
      <c r="A2" s="194"/>
    </row>
    <row r="3" spans="1:20" ht="15.75" x14ac:dyDescent="0.25">
      <c r="A3" s="193" t="s">
        <v>218</v>
      </c>
      <c r="T3" s="226"/>
    </row>
    <row r="4" spans="1:20" ht="33" customHeight="1" x14ac:dyDescent="0.2"/>
    <row r="5" spans="1:20" ht="15" customHeight="1" x14ac:dyDescent="0.2">
      <c r="A5" s="18"/>
      <c r="B5" s="507" t="s">
        <v>0</v>
      </c>
      <c r="C5" s="508"/>
      <c r="D5" s="509"/>
      <c r="E5" s="507" t="s">
        <v>1</v>
      </c>
      <c r="F5" s="508"/>
      <c r="G5" s="509"/>
      <c r="H5" s="507" t="s">
        <v>2</v>
      </c>
      <c r="I5" s="508"/>
      <c r="J5" s="509"/>
      <c r="K5" s="507" t="s">
        <v>3</v>
      </c>
      <c r="L5" s="508"/>
      <c r="M5" s="509"/>
      <c r="N5" s="507" t="s">
        <v>4</v>
      </c>
      <c r="O5" s="508"/>
      <c r="P5" s="509"/>
      <c r="Q5" s="507" t="s">
        <v>5</v>
      </c>
      <c r="R5" s="508"/>
      <c r="S5" s="509"/>
    </row>
    <row r="6" spans="1:20" ht="37.5" customHeight="1" x14ac:dyDescent="0.2">
      <c r="A6" s="36" t="s">
        <v>24</v>
      </c>
      <c r="B6" s="19" t="s">
        <v>18</v>
      </c>
      <c r="C6" s="19" t="s">
        <v>219</v>
      </c>
      <c r="D6" s="16" t="s">
        <v>220</v>
      </c>
      <c r="E6" s="19" t="s">
        <v>18</v>
      </c>
      <c r="F6" s="19" t="s">
        <v>219</v>
      </c>
      <c r="G6" s="16" t="s">
        <v>220</v>
      </c>
      <c r="H6" s="19" t="s">
        <v>18</v>
      </c>
      <c r="I6" s="19" t="s">
        <v>219</v>
      </c>
      <c r="J6" s="16" t="s">
        <v>220</v>
      </c>
      <c r="K6" s="19" t="s">
        <v>18</v>
      </c>
      <c r="L6" s="19" t="s">
        <v>219</v>
      </c>
      <c r="M6" s="16" t="s">
        <v>220</v>
      </c>
      <c r="N6" s="19" t="s">
        <v>18</v>
      </c>
      <c r="O6" s="19" t="s">
        <v>219</v>
      </c>
      <c r="P6" s="16" t="s">
        <v>220</v>
      </c>
      <c r="Q6" s="19" t="s">
        <v>18</v>
      </c>
      <c r="R6" s="19" t="s">
        <v>219</v>
      </c>
      <c r="S6" s="16" t="s">
        <v>220</v>
      </c>
      <c r="T6" s="467" t="s">
        <v>221</v>
      </c>
    </row>
    <row r="7" spans="1:20" ht="12.75" customHeight="1" x14ac:dyDescent="0.2">
      <c r="A7" s="74" t="s">
        <v>25</v>
      </c>
      <c r="B7" s="19"/>
      <c r="C7" s="19"/>
      <c r="D7" s="191"/>
      <c r="E7" s="195"/>
      <c r="F7" s="19"/>
      <c r="G7" s="191"/>
      <c r="H7" s="195"/>
      <c r="I7" s="19"/>
      <c r="J7" s="19"/>
      <c r="K7" s="195"/>
      <c r="L7" s="19"/>
      <c r="M7" s="190"/>
      <c r="N7" s="195"/>
      <c r="O7" s="19"/>
      <c r="P7" s="190"/>
      <c r="Q7" s="195"/>
      <c r="R7" s="19"/>
      <c r="S7" s="190"/>
      <c r="T7" s="190"/>
    </row>
    <row r="8" spans="1:20" x14ac:dyDescent="0.2">
      <c r="A8" s="15" t="s">
        <v>165</v>
      </c>
      <c r="B8" s="196">
        <v>562</v>
      </c>
      <c r="C8" s="197">
        <f>B8*'LI (ExPost &amp; ExAnte)'!B27/1000</f>
        <v>441.84440000000001</v>
      </c>
      <c r="D8" s="445">
        <f>B8*'LI (ExPost &amp; ExAnte)'!B6/1000</f>
        <v>369.17779999999999</v>
      </c>
      <c r="E8" s="198">
        <v>561</v>
      </c>
      <c r="F8" s="14">
        <f>E8*'LI (ExPost &amp; ExAnte)'!C27/1000</f>
        <v>463.947</v>
      </c>
      <c r="G8" s="445">
        <f>E8*'LI (ExPost &amp; ExAnte)'!C6/1000</f>
        <v>368.52089999999998</v>
      </c>
      <c r="H8" s="260">
        <v>562</v>
      </c>
      <c r="I8" s="14">
        <f>H8*'LI (ExPost &amp; ExAnte)'!D27/1000</f>
        <v>437.798</v>
      </c>
      <c r="J8" s="233">
        <f>H8*'LI (ExPost &amp; ExAnte)'!D6/1000</f>
        <v>369.17779999999999</v>
      </c>
      <c r="K8" s="198">
        <v>564</v>
      </c>
      <c r="L8" s="14">
        <f>K8*'LI (ExPost &amp; ExAnte)'!E27/1000</f>
        <v>490.79280000000006</v>
      </c>
      <c r="M8" s="457">
        <f>K8*'LI (ExPost &amp; ExAnte)'!E6/1000</f>
        <v>370.49159999999995</v>
      </c>
      <c r="N8" s="198">
        <v>572</v>
      </c>
      <c r="O8" s="14">
        <f>N8*'LI (ExPost &amp; ExAnte)'!F27/1000</f>
        <v>525.72520000000009</v>
      </c>
      <c r="P8" s="457">
        <f>N8*'LI (ExPost &amp; ExAnte)'!F6/1000</f>
        <v>375.74680000000001</v>
      </c>
      <c r="Q8" s="198">
        <v>580</v>
      </c>
      <c r="R8" s="199">
        <f>Q8*'LI (ExPost &amp; ExAnte)'!G27/1000</f>
        <v>503.96199999999999</v>
      </c>
      <c r="S8" s="457">
        <f>Q8*'LI (ExPost &amp; ExAnte)'!G6/1000</f>
        <v>381.00200000000001</v>
      </c>
      <c r="T8" s="200">
        <v>11439</v>
      </c>
    </row>
    <row r="9" spans="1:20" x14ac:dyDescent="0.2">
      <c r="A9" s="15" t="s">
        <v>166</v>
      </c>
      <c r="B9" s="196">
        <v>68</v>
      </c>
      <c r="C9" s="197">
        <f>B9*'LI (ExPost &amp; ExAnte)'!B27/1000</f>
        <v>53.461600000000004</v>
      </c>
      <c r="D9" s="445">
        <f>B9*'LI (ExPost &amp; ExAnte)'!B6/1000</f>
        <v>44.669199999999996</v>
      </c>
      <c r="E9" s="198">
        <v>69</v>
      </c>
      <c r="F9" s="14">
        <f>E9*'LI (ExPost &amp; ExAnte)'!C27/1000</f>
        <v>57.063000000000002</v>
      </c>
      <c r="G9" s="445">
        <f>E9*'LI (ExPost &amp; ExAnte)'!C6/1000</f>
        <v>45.326099999999997</v>
      </c>
      <c r="H9" s="230">
        <v>68</v>
      </c>
      <c r="I9" s="14">
        <f>H9*'LI (ExPost &amp; ExAnte)'!D27/1000</f>
        <v>52.972000000000001</v>
      </c>
      <c r="J9" s="233">
        <f>H9*'LI (ExPost &amp; ExAnte)'!D6/1000</f>
        <v>44.669199999999996</v>
      </c>
      <c r="K9" s="198">
        <v>68</v>
      </c>
      <c r="L9" s="14">
        <f>K9*'LI (ExPost &amp; ExAnte)'!E27/1000</f>
        <v>59.173600000000008</v>
      </c>
      <c r="M9" s="457">
        <f>K9*'LI (ExPost &amp; ExAnte)'!E6/1000</f>
        <v>44.669199999999996</v>
      </c>
      <c r="N9" s="198">
        <v>68</v>
      </c>
      <c r="O9" s="14">
        <f>N9*'LI (ExPost &amp; ExAnte)'!F27/1000</f>
        <v>62.498800000000003</v>
      </c>
      <c r="P9" s="457">
        <f>N9*'LI (ExPost &amp; ExAnte)'!F6/1000</f>
        <v>44.669199999999996</v>
      </c>
      <c r="Q9" s="198">
        <v>68</v>
      </c>
      <c r="R9" s="199">
        <f>Q9*'LI (ExPost &amp; ExAnte)'!G27/1000</f>
        <v>59.0852</v>
      </c>
      <c r="S9" s="457">
        <f>Q9*'LI (ExPost &amp; ExAnte)'!G6/1000</f>
        <v>44.669199999999996</v>
      </c>
      <c r="T9" s="200">
        <v>11439</v>
      </c>
    </row>
    <row r="10" spans="1:20" x14ac:dyDescent="0.2">
      <c r="A10" s="15" t="s">
        <v>44</v>
      </c>
      <c r="B10" s="196">
        <v>63492</v>
      </c>
      <c r="C10" s="197">
        <f>B10*'LI (ExPost &amp; ExAnte)'!B28/1000</f>
        <v>0</v>
      </c>
      <c r="D10" s="445">
        <f>B10*'LI (ExPost &amp; ExAnte)'!B7/1000</f>
        <v>137.14272</v>
      </c>
      <c r="E10" s="198">
        <v>63157</v>
      </c>
      <c r="F10" s="14">
        <f>E10*'LI (ExPost &amp; ExAnte)'!C28/1000</f>
        <v>0</v>
      </c>
      <c r="G10" s="445">
        <f>E10*'LI (ExPost &amp; ExAnte)'!C7/1000</f>
        <v>136.41911999999999</v>
      </c>
      <c r="H10" s="230">
        <v>62563</v>
      </c>
      <c r="I10" s="14">
        <f>H10*'LI (ExPost &amp; ExAnte)'!D28/1000</f>
        <v>0</v>
      </c>
      <c r="J10" s="233">
        <f>H10*'LI (ExPost &amp; ExAnte)'!D7/1000</f>
        <v>135.13608000000002</v>
      </c>
      <c r="K10" s="198">
        <v>62259</v>
      </c>
      <c r="L10" s="14">
        <f>K10*'LI (ExPost &amp; ExAnte)'!E28/1000</f>
        <v>0</v>
      </c>
      <c r="M10" s="457">
        <f>K10*'LI (ExPost &amp; ExAnte)'!E7/1000</f>
        <v>134.47944000000001</v>
      </c>
      <c r="N10" s="198">
        <v>61879</v>
      </c>
      <c r="O10" s="14">
        <f>N10*'LI (ExPost &amp; ExAnte)'!F28/1000</f>
        <v>0</v>
      </c>
      <c r="P10" s="457">
        <f>N10*'LI (ExPost &amp; ExAnte)'!F7/1000</f>
        <v>133.65864000000002</v>
      </c>
      <c r="Q10" s="198">
        <v>61157</v>
      </c>
      <c r="R10" s="199">
        <f>Q10*'LI (ExPost &amp; ExAnte)'!G28/1000</f>
        <v>86.763435900000005</v>
      </c>
      <c r="S10" s="457">
        <f>Q10*'LI (ExPost &amp; ExAnte)'!G7/1000</f>
        <v>132.09912</v>
      </c>
      <c r="T10" s="200">
        <v>2100470</v>
      </c>
    </row>
    <row r="11" spans="1:20" x14ac:dyDescent="0.2">
      <c r="A11" s="15" t="s">
        <v>45</v>
      </c>
      <c r="B11" s="196">
        <v>2421</v>
      </c>
      <c r="C11" s="197">
        <f>B11*'LI (ExPost &amp; ExAnte)'!B29/1000</f>
        <v>0</v>
      </c>
      <c r="D11" s="445">
        <f>B11*'LI (ExPost &amp; ExAnte)'!B8/1000</f>
        <v>12.778038</v>
      </c>
      <c r="E11" s="198">
        <v>2406</v>
      </c>
      <c r="F11" s="14">
        <f>E11*'LI (ExPost &amp; ExAnte)'!C29/1000</f>
        <v>0</v>
      </c>
      <c r="G11" s="445">
        <f>E11*'LI (ExPost &amp; ExAnte)'!C8/1000</f>
        <v>12.698868000000001</v>
      </c>
      <c r="H11" s="230">
        <v>2389</v>
      </c>
      <c r="I11" s="14">
        <f>H11*'LI (ExPost &amp; ExAnte)'!D29/1000</f>
        <v>0</v>
      </c>
      <c r="J11" s="233">
        <f>H11*'LI (ExPost &amp; ExAnte)'!D8/1000</f>
        <v>12.609142000000002</v>
      </c>
      <c r="K11" s="198">
        <v>2384</v>
      </c>
      <c r="L11" s="14">
        <f>K11*'LI (ExPost &amp; ExAnte)'!E29/1000</f>
        <v>0</v>
      </c>
      <c r="M11" s="457">
        <f>K11*'LI (ExPost &amp; ExAnte)'!E8/1000</f>
        <v>12.582752000000001</v>
      </c>
      <c r="N11" s="198">
        <v>2373</v>
      </c>
      <c r="O11" s="14">
        <v>0</v>
      </c>
      <c r="P11" s="457">
        <f>N11*'LI (ExPost &amp; ExAnte)'!F8/1000</f>
        <v>12.524694000000002</v>
      </c>
      <c r="Q11" s="198">
        <v>2347</v>
      </c>
      <c r="R11" s="199">
        <f>Q11*'LI (ExPost &amp; ExAnte)'!G29/1000</f>
        <v>8.2144999999999992</v>
      </c>
      <c r="S11" s="457">
        <f>Q11*'LI (ExPost &amp; ExAnte)'!G8/1000</f>
        <v>12.387466</v>
      </c>
      <c r="T11" s="200">
        <v>465339</v>
      </c>
    </row>
    <row r="12" spans="1:20" x14ac:dyDescent="0.2">
      <c r="A12" s="15" t="s">
        <v>46</v>
      </c>
      <c r="B12" s="196">
        <v>260120</v>
      </c>
      <c r="C12" s="197">
        <f>B12*'LI (ExPost &amp; ExAnte)'!B28/1000</f>
        <v>0</v>
      </c>
      <c r="D12" s="445">
        <f>B12*'LI (ExPost &amp; ExAnte)'!B7/1000</f>
        <v>561.8592000000001</v>
      </c>
      <c r="E12" s="198">
        <v>259099</v>
      </c>
      <c r="F12" s="14">
        <f>E12*'LI (ExPost &amp; ExAnte)'!C28/1000</f>
        <v>0</v>
      </c>
      <c r="G12" s="445">
        <f>E12*'LI (ExPost &amp; ExAnte)'!C7/1000</f>
        <v>559.65384000000006</v>
      </c>
      <c r="H12" s="230">
        <v>257331</v>
      </c>
      <c r="I12" s="14">
        <f>H12*'LI (ExPost &amp; ExAnte)'!D28/1000</f>
        <v>0</v>
      </c>
      <c r="J12" s="233">
        <f>H12*'LI (ExPost &amp; ExAnte)'!D7/1000</f>
        <v>555.83496000000002</v>
      </c>
      <c r="K12" s="198">
        <v>256440</v>
      </c>
      <c r="L12" s="14">
        <f>K12*'LI (ExPost &amp; ExAnte)'!E28/1000</f>
        <v>0</v>
      </c>
      <c r="M12" s="457">
        <f>K12*'LI (ExPost &amp; ExAnte)'!E7/1000</f>
        <v>553.91039999999998</v>
      </c>
      <c r="N12" s="198">
        <v>255812</v>
      </c>
      <c r="O12" s="14">
        <v>0</v>
      </c>
      <c r="P12" s="457">
        <f>N12*'LI (ExPost &amp; ExAnte)'!F7/1000</f>
        <v>552.55392000000006</v>
      </c>
      <c r="Q12" s="198">
        <v>255341</v>
      </c>
      <c r="R12" s="199">
        <f>Q12*'LI (ExPost &amp; ExAnte)'!G28/1000</f>
        <v>362.25227670000004</v>
      </c>
      <c r="S12" s="457">
        <f>Q12*'LI (ExPost &amp; ExAnte)'!G7/1000</f>
        <v>551.53656000000001</v>
      </c>
      <c r="T12" s="200">
        <v>2100470</v>
      </c>
    </row>
    <row r="13" spans="1:20" x14ac:dyDescent="0.2">
      <c r="A13" s="15" t="s">
        <v>47</v>
      </c>
      <c r="B13" s="196">
        <v>8529</v>
      </c>
      <c r="C13" s="197">
        <f>B13*'LI (ExPost &amp; ExAnte)'!B29/1000</f>
        <v>0</v>
      </c>
      <c r="D13" s="445">
        <f>B13*'LI (ExPost &amp; ExAnte)'!B8/1000</f>
        <v>45.016062000000005</v>
      </c>
      <c r="E13" s="198">
        <v>8508</v>
      </c>
      <c r="F13" s="14">
        <f>E13*'LI (ExPost &amp; ExAnte)'!C29/1000</f>
        <v>0</v>
      </c>
      <c r="G13" s="445">
        <f>E13*'LI (ExPost &amp; ExAnte)'!C8/1000</f>
        <v>44.905224000000004</v>
      </c>
      <c r="H13" s="230">
        <v>8464</v>
      </c>
      <c r="I13" s="14">
        <f>H13*'LI (ExPost &amp; ExAnte)'!D29/1000</f>
        <v>0</v>
      </c>
      <c r="J13" s="233">
        <f>H13*'LI (ExPost &amp; ExAnte)'!D8/1000</f>
        <v>44.672992000000008</v>
      </c>
      <c r="K13" s="198">
        <v>8427</v>
      </c>
      <c r="L13" s="14">
        <f>K13*'LI (ExPost &amp; ExAnte)'!E29/1000</f>
        <v>0</v>
      </c>
      <c r="M13" s="457">
        <f>K13*'LI (ExPost &amp; ExAnte)'!E8/1000</f>
        <v>44.477706000000005</v>
      </c>
      <c r="N13" s="198">
        <v>8385</v>
      </c>
      <c r="O13" s="14">
        <v>0</v>
      </c>
      <c r="P13" s="457">
        <f>N13*'LI (ExPost &amp; ExAnte)'!F8/1000</f>
        <v>44.256030000000003</v>
      </c>
      <c r="Q13" s="198">
        <v>8392</v>
      </c>
      <c r="R13" s="199">
        <f>Q13*'LI (ExPost &amp; ExAnte)'!G29/1000</f>
        <v>29.372</v>
      </c>
      <c r="S13" s="457">
        <f>Q13*'LI (ExPost &amp; ExAnte)'!G8/1000</f>
        <v>44.292976000000003</v>
      </c>
      <c r="T13" s="200">
        <v>465339</v>
      </c>
    </row>
    <row r="14" spans="1:20" x14ac:dyDescent="0.2">
      <c r="A14" s="15" t="s">
        <v>15</v>
      </c>
      <c r="B14" s="196">
        <v>12</v>
      </c>
      <c r="C14" s="197">
        <f>B14*'LI (ExPost &amp; ExAnte)'!B30/1000</f>
        <v>19.162320000000001</v>
      </c>
      <c r="D14" s="445">
        <f>B14*'LI (ExPost &amp; ExAnte)'!B9/1000</f>
        <v>18.204000000000001</v>
      </c>
      <c r="E14" s="198">
        <v>12</v>
      </c>
      <c r="F14" s="14">
        <f>E14*'LI (ExPost &amp; ExAnte)'!C30/1000</f>
        <v>19.192319999999999</v>
      </c>
      <c r="G14" s="445">
        <f>E14*'LI (ExPost &amp; ExAnte)'!C9/1000</f>
        <v>18.204000000000001</v>
      </c>
      <c r="H14" s="230">
        <v>12</v>
      </c>
      <c r="I14" s="14">
        <f>H14*'LI (ExPost &amp; ExAnte)'!D30/1000</f>
        <v>19.213439999999999</v>
      </c>
      <c r="J14" s="233">
        <f>H14*'LI (ExPost &amp; ExAnte)'!D9/1000</f>
        <v>18.204000000000001</v>
      </c>
      <c r="K14" s="198">
        <v>12</v>
      </c>
      <c r="L14" s="14">
        <f>K14*'LI (ExPost &amp; ExAnte)'!E30/1000</f>
        <v>18.664680000000001</v>
      </c>
      <c r="M14" s="457">
        <f>K14*'LI (ExPost &amp; ExAnte)'!E9/1000</f>
        <v>18.204000000000001</v>
      </c>
      <c r="N14" s="198">
        <v>12</v>
      </c>
      <c r="O14" s="14">
        <f>N14*'LI (ExPost &amp; ExAnte)'!F30/1000</f>
        <v>19.318079999999998</v>
      </c>
      <c r="P14" s="457">
        <f>N14*'LI (ExPost &amp; ExAnte)'!F9/1000</f>
        <v>18.204000000000001</v>
      </c>
      <c r="Q14" s="198">
        <v>12</v>
      </c>
      <c r="R14" s="199">
        <f>Q14*'LI (ExPost &amp; ExAnte)'!G30/1000</f>
        <v>18.291360000000001</v>
      </c>
      <c r="S14" s="457">
        <f>Q14*'LI (ExPost &amp; ExAnte)'!G9/1000</f>
        <v>18.204000000000001</v>
      </c>
      <c r="T14" s="201" t="s">
        <v>67</v>
      </c>
    </row>
    <row r="15" spans="1:20" x14ac:dyDescent="0.2">
      <c r="A15" s="15" t="s">
        <v>16</v>
      </c>
      <c r="B15" s="196">
        <v>803</v>
      </c>
      <c r="C15" s="197">
        <f>B15*'LI (ExPost &amp; ExAnte)'!B31/1000</f>
        <v>18.067499999999999</v>
      </c>
      <c r="D15" s="445">
        <f>B15*'LI (ExPost &amp; ExAnte)'!B10/1000</f>
        <v>24.009699999999999</v>
      </c>
      <c r="E15" s="198">
        <v>805</v>
      </c>
      <c r="F15" s="14">
        <f>E15*'LI (ExPost &amp; ExAnte)'!C31/1000</f>
        <v>18.998000000000001</v>
      </c>
      <c r="G15" s="445">
        <f>E15*'LI (ExPost &amp; ExAnte)'!C10/1000</f>
        <v>24.069500000000001</v>
      </c>
      <c r="H15" s="261">
        <v>847</v>
      </c>
      <c r="I15" s="14">
        <f>H15*'LI (ExPost &amp; ExAnte)'!D31/1000</f>
        <v>24.6477</v>
      </c>
      <c r="J15" s="233">
        <f>H15*'LI (ExPost &amp; ExAnte)'!D10/1000</f>
        <v>25.325299999999999</v>
      </c>
      <c r="K15" s="198">
        <v>874</v>
      </c>
      <c r="L15" s="14">
        <f>K15*'LI (ExPost &amp; ExAnte)'!E31/1000</f>
        <v>37.756800000000005</v>
      </c>
      <c r="M15" s="457">
        <f>K15*'LI (ExPost &amp; ExAnte)'!E10/1000</f>
        <v>26.1326</v>
      </c>
      <c r="N15" s="198">
        <v>882</v>
      </c>
      <c r="O15" s="14">
        <f>N15*'LI (ExPost &amp; ExAnte)'!F31/1000</f>
        <v>40.131</v>
      </c>
      <c r="P15" s="457">
        <f>N15*'LI (ExPost &amp; ExAnte)'!F10/1000</f>
        <v>26.3718</v>
      </c>
      <c r="Q15" s="198">
        <v>913</v>
      </c>
      <c r="R15" s="199">
        <f>Q15*'LI (ExPost &amp; ExAnte)'!G31/1000</f>
        <v>39.806800000000003</v>
      </c>
      <c r="S15" s="457">
        <f>Q15*'LI (ExPost &amp; ExAnte)'!G10/1000</f>
        <v>27.298699999999997</v>
      </c>
      <c r="T15" s="200">
        <v>7572</v>
      </c>
    </row>
    <row r="16" spans="1:20" ht="14.25" customHeight="1" thickBot="1" x14ac:dyDescent="0.25">
      <c r="A16" s="75" t="s">
        <v>23</v>
      </c>
      <c r="B16" s="202">
        <f t="shared" ref="B16:S16" si="0">SUM(B8:B15)</f>
        <v>336007</v>
      </c>
      <c r="C16" s="203">
        <f t="shared" si="0"/>
        <v>532.53582000000006</v>
      </c>
      <c r="D16" s="446">
        <f t="shared" si="0"/>
        <v>1212.8567200000002</v>
      </c>
      <c r="E16" s="204">
        <f t="shared" si="0"/>
        <v>334617</v>
      </c>
      <c r="F16" s="205">
        <f t="shared" si="0"/>
        <v>559.20032000000003</v>
      </c>
      <c r="G16" s="450">
        <f t="shared" si="0"/>
        <v>1209.7975520000002</v>
      </c>
      <c r="H16" s="204">
        <f t="shared" si="0"/>
        <v>332236</v>
      </c>
      <c r="I16" s="205">
        <f t="shared" si="0"/>
        <v>534.63113999999996</v>
      </c>
      <c r="J16" s="450">
        <f t="shared" si="0"/>
        <v>1205.6294739999998</v>
      </c>
      <c r="K16" s="204">
        <f t="shared" si="0"/>
        <v>331028</v>
      </c>
      <c r="L16" s="205">
        <f t="shared" si="0"/>
        <v>606.38788</v>
      </c>
      <c r="M16" s="458">
        <f t="shared" si="0"/>
        <v>1204.9476979999997</v>
      </c>
      <c r="N16" s="204">
        <f>SUM(N8:N15)</f>
        <v>329983</v>
      </c>
      <c r="O16" s="205">
        <f>SUM(O8:O15)</f>
        <v>647.67308000000003</v>
      </c>
      <c r="P16" s="458">
        <f>SUM(P8:P15)</f>
        <v>1207.9850839999999</v>
      </c>
      <c r="Q16" s="204">
        <f t="shared" si="0"/>
        <v>328810</v>
      </c>
      <c r="R16" s="206">
        <f t="shared" si="0"/>
        <v>1107.7475726</v>
      </c>
      <c r="S16" s="458">
        <f t="shared" si="0"/>
        <v>1211.490022</v>
      </c>
      <c r="T16" s="207"/>
    </row>
    <row r="17" spans="1:31" ht="16.5" customHeight="1" thickTop="1" x14ac:dyDescent="0.2">
      <c r="A17" s="74" t="s">
        <v>52</v>
      </c>
      <c r="B17" s="208"/>
      <c r="C17" s="208"/>
      <c r="D17" s="191"/>
      <c r="E17" s="209"/>
      <c r="F17" s="208"/>
      <c r="G17" s="451"/>
      <c r="H17" s="209"/>
      <c r="I17" s="210"/>
      <c r="J17" s="453"/>
      <c r="K17" s="209"/>
      <c r="L17" s="208"/>
      <c r="M17" s="459"/>
      <c r="N17" s="209"/>
      <c r="O17" s="210"/>
      <c r="P17" s="460"/>
      <c r="Q17" s="209"/>
      <c r="R17" s="208"/>
      <c r="S17" s="460"/>
      <c r="T17" s="211"/>
      <c r="U17" s="14"/>
      <c r="V17" s="14"/>
      <c r="W17" s="14"/>
      <c r="X17" s="14"/>
      <c r="Y17" s="14"/>
      <c r="Z17" s="14"/>
      <c r="AA17" s="14"/>
      <c r="AB17" s="14"/>
      <c r="AC17" s="14"/>
      <c r="AD17" s="14"/>
      <c r="AE17" s="14"/>
    </row>
    <row r="18" spans="1:31" x14ac:dyDescent="0.2">
      <c r="A18" s="15" t="s">
        <v>164</v>
      </c>
      <c r="B18" s="212">
        <v>4095</v>
      </c>
      <c r="C18" s="197">
        <f>B18*'LI (ExPost &amp; ExAnte)'!B32/1000</f>
        <v>0</v>
      </c>
      <c r="D18" s="447">
        <f>B18*'LI (ExPost &amp; ExAnte)'!B11/1000</f>
        <v>30.712499999999999</v>
      </c>
      <c r="E18" s="198">
        <v>3933</v>
      </c>
      <c r="F18" s="14">
        <f>E18*'LI (ExPost &amp; ExAnte)'!C32/1000</f>
        <v>0</v>
      </c>
      <c r="G18" s="445">
        <f>E18*'LI (ExPost &amp; ExAnte)'!C11/1000</f>
        <v>29.497499999999999</v>
      </c>
      <c r="H18" s="213">
        <v>3819</v>
      </c>
      <c r="I18" s="14">
        <f>H18*'LI (ExPost &amp; ExAnte)'!D32/1000</f>
        <v>0</v>
      </c>
      <c r="J18" s="454">
        <f>H18*'LI (ExPost &amp; ExAnte)'!D11/1000</f>
        <v>28.642499999999998</v>
      </c>
      <c r="K18" s="213">
        <v>3577</v>
      </c>
      <c r="L18" s="14">
        <f>K18*'LI (ExPost &amp; ExAnte)'!E32/1000</f>
        <v>0</v>
      </c>
      <c r="M18" s="457">
        <f>K18*'LI (ExPost &amp; ExAnte)'!E11/1000</f>
        <v>26.827500000000001</v>
      </c>
      <c r="N18" s="213">
        <v>3278</v>
      </c>
      <c r="O18" s="14">
        <f>N18*'LI (ExPost &amp; ExAnte)'!F32/1000</f>
        <v>0</v>
      </c>
      <c r="P18" s="457">
        <f>N18*'LI (ExPost &amp; ExAnte)'!F11/1000</f>
        <v>24.585000000000001</v>
      </c>
      <c r="Q18" s="213">
        <v>2912</v>
      </c>
      <c r="R18" s="214">
        <f>Q18*'LI (ExPost &amp; ExAnte)'!G32/1000</f>
        <v>27.256319999999999</v>
      </c>
      <c r="S18" s="461">
        <f>Q18*'LI (ExPost &amp; ExAnte)'!G11/1000</f>
        <v>21.84</v>
      </c>
      <c r="T18" s="215">
        <v>10955</v>
      </c>
      <c r="U18" s="14"/>
      <c r="V18" s="14"/>
      <c r="W18" s="14"/>
      <c r="X18" s="14"/>
      <c r="Y18" s="14"/>
      <c r="Z18" s="14"/>
      <c r="AA18" s="14"/>
      <c r="AB18" s="14"/>
      <c r="AC18" s="14"/>
      <c r="AD18" s="14"/>
      <c r="AE18" s="14"/>
    </row>
    <row r="19" spans="1:31" x14ac:dyDescent="0.2">
      <c r="A19" s="15" t="s">
        <v>32</v>
      </c>
      <c r="B19" s="212">
        <v>1371</v>
      </c>
      <c r="C19" s="197">
        <f>B19*'LI (ExPost &amp; ExAnte)'!B33/1000</f>
        <v>51.138299999999994</v>
      </c>
      <c r="D19" s="447">
        <f>B19*'LI (ExPost &amp; ExAnte)'!B12/1000</f>
        <v>61.420799999999993</v>
      </c>
      <c r="E19" s="198">
        <v>1359</v>
      </c>
      <c r="F19" s="14">
        <f>E19*'LI (ExPost &amp; ExAnte)'!C33/1000</f>
        <v>52.430219999999998</v>
      </c>
      <c r="G19" s="445">
        <f>E19*'LI (ExPost &amp; ExAnte)'!C12/1000</f>
        <v>60.883199999999995</v>
      </c>
      <c r="H19" s="213">
        <v>1361</v>
      </c>
      <c r="I19" s="14">
        <f>H19*'LI (ExPost &amp; ExAnte)'!D33/1000</f>
        <v>54.834690000000002</v>
      </c>
      <c r="J19" s="454">
        <f>H19*'LI (ExPost &amp; ExAnte)'!D12/1000</f>
        <v>60.972799999999992</v>
      </c>
      <c r="K19" s="213">
        <v>1380</v>
      </c>
      <c r="L19" s="14">
        <f>K19*'LI (ExPost &amp; ExAnte)'!E33/1000</f>
        <v>62.141400000000004</v>
      </c>
      <c r="M19" s="457">
        <f>K19*'LI (ExPost &amp; ExAnte)'!E12/1000</f>
        <v>61.823999999999991</v>
      </c>
      <c r="N19" s="213">
        <v>1365</v>
      </c>
      <c r="O19" s="14">
        <f>N19*'LI (ExPost &amp; ExAnte)'!F33/1000</f>
        <v>63.786449999999995</v>
      </c>
      <c r="P19" s="457">
        <f>N19*'LI (ExPost &amp; ExAnte)'!F12/1000</f>
        <v>61.151999999999994</v>
      </c>
      <c r="Q19" s="213">
        <v>1364</v>
      </c>
      <c r="R19" s="214">
        <f>Q19*'LI (ExPost &amp; ExAnte)'!G33/1000</f>
        <v>61.434559999999998</v>
      </c>
      <c r="S19" s="457">
        <f>Q19*'LI (ExPost &amp; ExAnte)'!G12/1000</f>
        <v>61.107199999999999</v>
      </c>
      <c r="T19" s="200">
        <v>12667</v>
      </c>
      <c r="U19" s="14"/>
      <c r="V19" s="14"/>
      <c r="W19" s="14"/>
      <c r="X19" s="14"/>
      <c r="Y19" s="14"/>
      <c r="Z19" s="14"/>
      <c r="AA19" s="14"/>
      <c r="AB19" s="14"/>
      <c r="AC19" s="14"/>
      <c r="AD19" s="14"/>
      <c r="AE19" s="14"/>
    </row>
    <row r="20" spans="1:31" x14ac:dyDescent="0.2">
      <c r="A20" s="15" t="s">
        <v>222</v>
      </c>
      <c r="B20" s="212">
        <v>106</v>
      </c>
      <c r="C20" s="197">
        <f>B20*'LI (ExPost &amp; ExAnte)'!B35/1000</f>
        <v>0</v>
      </c>
      <c r="D20" s="447">
        <f>B20*'LI (ExPost &amp; ExAnte)'!B14/1000</f>
        <v>0.53402800000000006</v>
      </c>
      <c r="E20" s="198">
        <v>106</v>
      </c>
      <c r="F20" s="14">
        <f>E20*'LI (ExPost &amp; ExAnte)'!C35/1000</f>
        <v>0</v>
      </c>
      <c r="G20" s="445">
        <f>E20*'LI (ExPost &amp; ExAnte)'!C14/1000</f>
        <v>0.53402800000000006</v>
      </c>
      <c r="H20" s="213">
        <v>106</v>
      </c>
      <c r="I20" s="14">
        <f>H20*'LI (ExPost &amp; ExAnte)'!D35/1000</f>
        <v>0</v>
      </c>
      <c r="J20" s="454">
        <f>H20*'LI (ExPost &amp; ExAnte)'!D14/1000</f>
        <v>0.53402800000000006</v>
      </c>
      <c r="K20" s="262">
        <v>106</v>
      </c>
      <c r="L20" s="14">
        <f>K20*'LI (ExPost &amp; ExAnte)'!E35/1000</f>
        <v>0</v>
      </c>
      <c r="M20" s="457">
        <f>K20*'LI (ExPost &amp; ExAnte)'!E14/1000</f>
        <v>0.53402800000000006</v>
      </c>
      <c r="N20" s="213">
        <v>76</v>
      </c>
      <c r="O20" s="14">
        <f>N20*'LI (ExPost &amp; ExAnte)'!F35/1000</f>
        <v>0.76303999999999994</v>
      </c>
      <c r="P20" s="457">
        <f>N20*'LI (ExPost &amp; ExAnte)'!F14/1000</f>
        <v>0.38288800000000001</v>
      </c>
      <c r="Q20" s="213">
        <v>77</v>
      </c>
      <c r="R20" s="214">
        <f>Q20*'LI (ExPost &amp; ExAnte)'!G35/1000</f>
        <v>0.79926000000000008</v>
      </c>
      <c r="S20" s="457">
        <f>Q20*'LI (ExPost &amp; ExAnte)'!G14/1000</f>
        <v>0.38792600000000005</v>
      </c>
      <c r="T20" s="200">
        <v>632432</v>
      </c>
      <c r="U20" s="14"/>
      <c r="V20" s="14"/>
      <c r="W20" s="14"/>
      <c r="X20" s="14"/>
      <c r="Y20" s="14"/>
      <c r="Z20" s="14"/>
      <c r="AA20" s="14"/>
      <c r="AB20" s="14"/>
      <c r="AC20" s="14"/>
      <c r="AD20" s="14"/>
      <c r="AE20" s="14"/>
    </row>
    <row r="21" spans="1:31" x14ac:dyDescent="0.2">
      <c r="A21" s="15" t="s">
        <v>223</v>
      </c>
      <c r="B21" s="212">
        <v>484</v>
      </c>
      <c r="C21" s="197">
        <f>B21*'LI (ExPost &amp; ExAnte)'!B34/1000</f>
        <v>0</v>
      </c>
      <c r="D21" s="447">
        <f>B21*'LI (ExPost &amp; ExAnte)'!B13/1000</f>
        <v>16.891599999999997</v>
      </c>
      <c r="E21" s="198">
        <v>481</v>
      </c>
      <c r="F21" s="14">
        <f>E21*'LI (ExPost &amp; ExAnte)'!C34/1000</f>
        <v>0</v>
      </c>
      <c r="G21" s="445">
        <f>E21*'LI (ExPost &amp; ExAnte)'!C13/1000</f>
        <v>16.786899999999999</v>
      </c>
      <c r="H21" s="213">
        <v>484</v>
      </c>
      <c r="I21" s="14">
        <f>H21*'LI (ExPost &amp; ExAnte)'!D34/1000</f>
        <v>0</v>
      </c>
      <c r="J21" s="454">
        <f>H21*'LI (ExPost &amp; ExAnte)'!D13/1000</f>
        <v>16.891599999999997</v>
      </c>
      <c r="K21" s="262">
        <v>482</v>
      </c>
      <c r="L21" s="14">
        <f>K21*'LI (ExPost &amp; ExAnte)'!E34/1000</f>
        <v>0</v>
      </c>
      <c r="M21" s="457">
        <f>K21*'LI (ExPost &amp; ExAnte)'!E13/1000</f>
        <v>16.8218</v>
      </c>
      <c r="N21" s="213">
        <v>437</v>
      </c>
      <c r="O21" s="14">
        <f>N21*'LI (ExPost &amp; ExAnte)'!F34/1000</f>
        <v>15.675189999999999</v>
      </c>
      <c r="P21" s="457">
        <f>N21*'LI (ExPost &amp; ExAnte)'!F13/1000</f>
        <v>15.251299999999999</v>
      </c>
      <c r="Q21" s="213">
        <v>437</v>
      </c>
      <c r="R21" s="214">
        <f>Q21*'LI (ExPost &amp; ExAnte)'!G34/1000</f>
        <v>16.225810000000003</v>
      </c>
      <c r="S21" s="457">
        <f>Q21*'LI (ExPost &amp; ExAnte)'!G13/1000</f>
        <v>15.251299999999999</v>
      </c>
      <c r="T21" s="200">
        <v>632432</v>
      </c>
      <c r="U21" s="14"/>
      <c r="V21" s="14"/>
      <c r="W21" s="14"/>
      <c r="X21" s="14"/>
      <c r="Y21" s="14"/>
      <c r="Z21" s="14"/>
      <c r="AA21" s="14"/>
      <c r="AB21" s="14"/>
      <c r="AC21" s="14"/>
      <c r="AD21" s="14"/>
      <c r="AE21" s="14"/>
    </row>
    <row r="22" spans="1:31" x14ac:dyDescent="0.2">
      <c r="A22" s="15" t="s">
        <v>224</v>
      </c>
      <c r="B22" s="212">
        <v>1291</v>
      </c>
      <c r="C22" s="197">
        <f>B22*'LI (ExPost &amp; ExAnte)'!B36/1000</f>
        <v>42.590090000000004</v>
      </c>
      <c r="D22" s="447">
        <f>B22*'LI (ExPost &amp; ExAnte)'!B15/1000</f>
        <v>121.17326</v>
      </c>
      <c r="E22" s="198">
        <v>1335</v>
      </c>
      <c r="F22" s="14">
        <f>E22*'LI (ExPost &amp; ExAnte)'!C36/1000</f>
        <v>44.041650000000004</v>
      </c>
      <c r="G22" s="445">
        <f>E22*'LI (ExPost &amp; ExAnte)'!C15/1000</f>
        <v>125.3031</v>
      </c>
      <c r="H22" s="262">
        <v>1338</v>
      </c>
      <c r="I22" s="81">
        <f>H22*'LI (ExPost &amp; ExAnte)'!D36/1000</f>
        <v>44.140620000000006</v>
      </c>
      <c r="J22" s="455">
        <f>H22*'LI (ExPost &amp; ExAnte)'!D15/1000</f>
        <v>125.58467999999999</v>
      </c>
      <c r="K22" s="213">
        <v>1360</v>
      </c>
      <c r="L22" s="14">
        <f>K22*'LI (ExPost &amp; ExAnte)'!E36/1000</f>
        <v>89.596799999999988</v>
      </c>
      <c r="M22" s="457">
        <f>K22*'LI (ExPost &amp; ExAnte)'!E15/1000</f>
        <v>127.64960000000001</v>
      </c>
      <c r="N22" s="213">
        <v>1694</v>
      </c>
      <c r="O22" s="14">
        <f>N22*'LI (ExPost &amp; ExAnte)'!F36/1000</f>
        <v>107.28102</v>
      </c>
      <c r="P22" s="457">
        <f>N22*'LI (ExPost &amp; ExAnte)'!F15/1000</f>
        <v>158.99884</v>
      </c>
      <c r="Q22" s="213">
        <v>1819</v>
      </c>
      <c r="R22" s="214">
        <f>Q22*'LI (ExPost &amp; ExAnte)'!G36/1000</f>
        <v>114.97899000000001</v>
      </c>
      <c r="S22" s="457">
        <f>Q22*'LI (ExPost &amp; ExAnte)'!G15/1000</f>
        <v>170.73133999999999</v>
      </c>
      <c r="T22" s="200">
        <v>632432</v>
      </c>
    </row>
    <row r="23" spans="1:31" x14ac:dyDescent="0.2">
      <c r="A23" s="15" t="s">
        <v>225</v>
      </c>
      <c r="B23" s="212">
        <v>358</v>
      </c>
      <c r="C23" s="197">
        <f>B23*'LI (ExPost &amp; ExAnte)'!B37/1000</f>
        <v>12.565800000000001</v>
      </c>
      <c r="D23" s="447">
        <f>B23*'LI (ExPost &amp; ExAnte)'!B16/1000</f>
        <v>21.58024</v>
      </c>
      <c r="E23" s="198">
        <v>378</v>
      </c>
      <c r="F23" s="14">
        <f>E23*'LI (ExPost &amp; ExAnte)'!C37/1000</f>
        <v>13.267800000000001</v>
      </c>
      <c r="G23" s="445">
        <f>E23*'LI (ExPost &amp; ExAnte)'!C16/1000</f>
        <v>22.78584</v>
      </c>
      <c r="H23" s="262">
        <v>392</v>
      </c>
      <c r="I23" s="81">
        <f>H23*'LI (ExPost &amp; ExAnte)'!D37/1000</f>
        <v>13.7592</v>
      </c>
      <c r="J23" s="455">
        <f>H23*'LI (ExPost &amp; ExAnte)'!D16/1000</f>
        <v>23.629760000000001</v>
      </c>
      <c r="K23" s="213">
        <v>496</v>
      </c>
      <c r="L23" s="14">
        <f>K23*'LI (ExPost &amp; ExAnte)'!E37/1000</f>
        <v>32.046559999999999</v>
      </c>
      <c r="M23" s="457">
        <f>K23*'LI (ExPost &amp; ExAnte)'!E16/1000</f>
        <v>29.898880000000002</v>
      </c>
      <c r="N23" s="213">
        <v>298</v>
      </c>
      <c r="O23" s="14">
        <f>N23*'LI (ExPost &amp; ExAnte)'!F37/1000</f>
        <v>18.1035</v>
      </c>
      <c r="P23" s="457">
        <f>N23*'LI (ExPost &amp; ExAnte)'!F16/1000</f>
        <v>17.963439999999999</v>
      </c>
      <c r="Q23" s="213">
        <v>306</v>
      </c>
      <c r="R23" s="214">
        <f>Q23*'LI (ExPost &amp; ExAnte)'!G37/1000</f>
        <v>19.01484</v>
      </c>
      <c r="S23" s="457">
        <f>Q23*'LI (ExPost &amp; ExAnte)'!G16/1000</f>
        <v>18.445679999999999</v>
      </c>
      <c r="T23" s="200">
        <v>632432</v>
      </c>
    </row>
    <row r="24" spans="1:31" x14ac:dyDescent="0.2">
      <c r="A24" s="15" t="s">
        <v>49</v>
      </c>
      <c r="B24" s="212">
        <v>101</v>
      </c>
      <c r="C24" s="197">
        <f>B24*'LI (ExPost &amp; ExAnte)'!B38/1000</f>
        <v>0</v>
      </c>
      <c r="D24" s="447">
        <f>B24*'LI (ExPost &amp; ExAnte)'!B17/1000</f>
        <v>0</v>
      </c>
      <c r="E24" s="198">
        <v>100</v>
      </c>
      <c r="F24" s="14">
        <f>E24*'LI (ExPost &amp; ExAnte)'!C38/1000</f>
        <v>0</v>
      </c>
      <c r="G24" s="445">
        <f>E24*'LI (ExPost &amp; ExAnte)'!C17/1000</f>
        <v>0</v>
      </c>
      <c r="H24" s="213">
        <v>100</v>
      </c>
      <c r="I24" s="14">
        <f>H24*'LI (ExPost &amp; ExAnte)'!D38/1000</f>
        <v>0</v>
      </c>
      <c r="J24" s="454">
        <f>H24*'LI (ExPost &amp; ExAnte)'!D17/1000</f>
        <v>0</v>
      </c>
      <c r="K24" s="213">
        <v>97</v>
      </c>
      <c r="L24" s="14">
        <f>K24*'LI (ExPost &amp; ExAnte)'!E38/1000</f>
        <v>0</v>
      </c>
      <c r="M24" s="457">
        <f>K24*'LI (ExPost &amp; ExAnte)'!E17/1000</f>
        <v>0</v>
      </c>
      <c r="N24" s="213">
        <v>105</v>
      </c>
      <c r="O24" s="14">
        <f>N24*'LI (ExPost &amp; ExAnte)'!F38/1000</f>
        <v>0</v>
      </c>
      <c r="P24" s="457">
        <f>N24*'LI (ExPost &amp; ExAnte)'!F17/1000</f>
        <v>0</v>
      </c>
      <c r="Q24" s="213">
        <v>110</v>
      </c>
      <c r="R24" s="214">
        <f>Q24*'LI (ExPost &amp; ExAnte)'!G38/1000</f>
        <v>0</v>
      </c>
      <c r="S24" s="457">
        <f>Q24*'LI (ExPost &amp; ExAnte)'!G17/1000</f>
        <v>0</v>
      </c>
      <c r="T24" s="200">
        <v>3059</v>
      </c>
    </row>
    <row r="25" spans="1:31" x14ac:dyDescent="0.2">
      <c r="A25" s="15" t="s">
        <v>35</v>
      </c>
      <c r="B25" s="212">
        <v>0</v>
      </c>
      <c r="C25" s="197">
        <v>0</v>
      </c>
      <c r="D25" s="447">
        <v>0</v>
      </c>
      <c r="E25" s="198">
        <v>0</v>
      </c>
      <c r="F25" s="14">
        <v>0</v>
      </c>
      <c r="G25" s="445">
        <v>0</v>
      </c>
      <c r="H25" s="213">
        <v>0</v>
      </c>
      <c r="I25" s="14">
        <v>0</v>
      </c>
      <c r="J25" s="454">
        <v>0</v>
      </c>
      <c r="K25" s="213">
        <v>0</v>
      </c>
      <c r="L25" s="14">
        <v>0</v>
      </c>
      <c r="M25" s="457">
        <v>0</v>
      </c>
      <c r="N25" s="213">
        <v>0</v>
      </c>
      <c r="O25" s="14">
        <v>0</v>
      </c>
      <c r="P25" s="457">
        <v>0</v>
      </c>
      <c r="Q25" s="213">
        <v>0</v>
      </c>
      <c r="R25" s="214">
        <v>0</v>
      </c>
      <c r="S25" s="457">
        <v>0</v>
      </c>
      <c r="T25" s="200">
        <v>22477</v>
      </c>
      <c r="U25" s="14"/>
      <c r="V25" s="14"/>
      <c r="W25" s="14"/>
      <c r="X25" s="14"/>
      <c r="Y25" s="14"/>
      <c r="Z25" s="14"/>
      <c r="AA25" s="14"/>
      <c r="AB25" s="14"/>
      <c r="AC25" s="14"/>
      <c r="AD25" s="14"/>
      <c r="AE25" s="14"/>
    </row>
    <row r="26" spans="1:31" ht="13.5" thickBot="1" x14ac:dyDescent="0.25">
      <c r="A26" s="75" t="s">
        <v>53</v>
      </c>
      <c r="B26" s="202">
        <f t="shared" ref="B26:S26" si="1">SUM(B18:B25)</f>
        <v>7806</v>
      </c>
      <c r="C26" s="203">
        <f t="shared" si="1"/>
        <v>106.29418999999999</v>
      </c>
      <c r="D26" s="448">
        <f t="shared" si="1"/>
        <v>252.31242800000001</v>
      </c>
      <c r="E26" s="204">
        <f t="shared" si="1"/>
        <v>7692</v>
      </c>
      <c r="F26" s="205">
        <f t="shared" si="1"/>
        <v>109.73966999999999</v>
      </c>
      <c r="G26" s="450">
        <f t="shared" si="1"/>
        <v>255.79056800000001</v>
      </c>
      <c r="H26" s="204">
        <f t="shared" si="1"/>
        <v>7600</v>
      </c>
      <c r="I26" s="205">
        <f t="shared" si="1"/>
        <v>112.73451</v>
      </c>
      <c r="J26" s="203">
        <f t="shared" si="1"/>
        <v>256.25536799999998</v>
      </c>
      <c r="K26" s="204">
        <f t="shared" si="1"/>
        <v>7498</v>
      </c>
      <c r="L26" s="205">
        <f t="shared" si="1"/>
        <v>183.78476000000001</v>
      </c>
      <c r="M26" s="458">
        <f t="shared" si="1"/>
        <v>263.55580800000001</v>
      </c>
      <c r="N26" s="204">
        <f>SUM(N18:N25)</f>
        <v>7253</v>
      </c>
      <c r="O26" s="205">
        <f>SUM(O18:O25)</f>
        <v>205.60919999999999</v>
      </c>
      <c r="P26" s="458">
        <f>SUM(P18:P25)</f>
        <v>278.33346799999998</v>
      </c>
      <c r="Q26" s="204">
        <f t="shared" si="1"/>
        <v>7025</v>
      </c>
      <c r="R26" s="206">
        <f t="shared" si="1"/>
        <v>239.70977999999999</v>
      </c>
      <c r="S26" s="458">
        <f t="shared" si="1"/>
        <v>287.76344599999999</v>
      </c>
      <c r="T26" s="216"/>
      <c r="U26" s="14"/>
      <c r="V26" s="14"/>
      <c r="W26" s="81"/>
      <c r="X26" s="14"/>
      <c r="Y26" s="14"/>
      <c r="Z26" s="14"/>
      <c r="AA26" s="14"/>
      <c r="AB26" s="14"/>
      <c r="AC26" s="14"/>
      <c r="AD26" s="14"/>
      <c r="AE26" s="14"/>
    </row>
    <row r="27" spans="1:31" ht="14.25" thickTop="1" thickBot="1" x14ac:dyDescent="0.25">
      <c r="A27" s="39" t="s">
        <v>26</v>
      </c>
      <c r="B27" s="217">
        <f>+B16+B26</f>
        <v>343813</v>
      </c>
      <c r="C27" s="218">
        <f>+C16+C26</f>
        <v>638.83001000000002</v>
      </c>
      <c r="D27" s="449">
        <f>D16+D26</f>
        <v>1465.1691480000002</v>
      </c>
      <c r="E27" s="219">
        <f>+E16+E26</f>
        <v>342309</v>
      </c>
      <c r="F27" s="220">
        <f>+F16+F26</f>
        <v>668.93999000000008</v>
      </c>
      <c r="G27" s="452">
        <f>+G16+G26</f>
        <v>1465.5881200000003</v>
      </c>
      <c r="H27" s="219">
        <f>+H16+H26</f>
        <v>339836</v>
      </c>
      <c r="I27" s="220">
        <f>I16+I26</f>
        <v>647.36564999999996</v>
      </c>
      <c r="J27" s="456">
        <f>J16+J26</f>
        <v>1461.8848419999999</v>
      </c>
      <c r="K27" s="219">
        <f>+K16+K26</f>
        <v>338526</v>
      </c>
      <c r="L27" s="220">
        <f>L16+L26</f>
        <v>790.17264</v>
      </c>
      <c r="M27" s="458">
        <f>M16+M26</f>
        <v>1468.5035059999998</v>
      </c>
      <c r="N27" s="219">
        <f>+N16+N26</f>
        <v>337236</v>
      </c>
      <c r="O27" s="220">
        <f>O16+O26</f>
        <v>853.28228000000001</v>
      </c>
      <c r="P27" s="458">
        <f>P16+P26</f>
        <v>1486.318552</v>
      </c>
      <c r="Q27" s="219">
        <f>+Q16+Q26</f>
        <v>335835</v>
      </c>
      <c r="R27" s="221">
        <f>R16+R26</f>
        <v>1347.4573525999999</v>
      </c>
      <c r="S27" s="458">
        <f>S16+S26</f>
        <v>1499.2534679999999</v>
      </c>
      <c r="T27" s="222"/>
      <c r="U27" s="14"/>
      <c r="V27" s="14"/>
      <c r="W27" s="14"/>
      <c r="X27" s="14"/>
      <c r="Y27" s="14"/>
      <c r="Z27" s="14"/>
      <c r="AA27" s="14"/>
      <c r="AB27" s="14"/>
      <c r="AC27" s="14"/>
      <c r="AD27" s="14"/>
      <c r="AE27" s="14"/>
    </row>
    <row r="28" spans="1:31" ht="13.5" thickTop="1" x14ac:dyDescent="0.2">
      <c r="J28" s="223"/>
      <c r="K28" s="196"/>
      <c r="L28" s="81"/>
      <c r="T28" s="224"/>
    </row>
    <row r="29" spans="1:31" x14ac:dyDescent="0.2">
      <c r="T29" s="224"/>
    </row>
    <row r="30" spans="1:31" x14ac:dyDescent="0.2">
      <c r="A30" s="18"/>
      <c r="B30" s="507" t="s">
        <v>6</v>
      </c>
      <c r="C30" s="508"/>
      <c r="D30" s="509"/>
      <c r="E30" s="507" t="s">
        <v>7</v>
      </c>
      <c r="F30" s="508"/>
      <c r="G30" s="509"/>
      <c r="H30" s="507" t="s">
        <v>8</v>
      </c>
      <c r="I30" s="508"/>
      <c r="J30" s="509"/>
      <c r="K30" s="507" t="s">
        <v>9</v>
      </c>
      <c r="L30" s="508"/>
      <c r="M30" s="509"/>
      <c r="N30" s="507" t="s">
        <v>10</v>
      </c>
      <c r="O30" s="508"/>
      <c r="P30" s="509"/>
      <c r="Q30" s="507" t="s">
        <v>11</v>
      </c>
      <c r="R30" s="508"/>
      <c r="S30" s="509"/>
      <c r="T30" s="225"/>
      <c r="U30" s="226"/>
    </row>
    <row r="31" spans="1:31" ht="38.25" x14ac:dyDescent="0.2">
      <c r="A31" s="35" t="s">
        <v>24</v>
      </c>
      <c r="B31" s="19" t="s">
        <v>18</v>
      </c>
      <c r="C31" s="19" t="s">
        <v>219</v>
      </c>
      <c r="D31" s="16" t="s">
        <v>220</v>
      </c>
      <c r="E31" s="19" t="s">
        <v>18</v>
      </c>
      <c r="F31" s="19" t="s">
        <v>219</v>
      </c>
      <c r="G31" s="16" t="s">
        <v>220</v>
      </c>
      <c r="H31" s="19" t="s">
        <v>18</v>
      </c>
      <c r="I31" s="19" t="s">
        <v>219</v>
      </c>
      <c r="J31" s="16" t="s">
        <v>220</v>
      </c>
      <c r="K31" s="19" t="s">
        <v>18</v>
      </c>
      <c r="L31" s="19" t="s">
        <v>219</v>
      </c>
      <c r="M31" s="16" t="s">
        <v>220</v>
      </c>
      <c r="N31" s="19" t="s">
        <v>18</v>
      </c>
      <c r="O31" s="19" t="s">
        <v>219</v>
      </c>
      <c r="P31" s="16" t="s">
        <v>220</v>
      </c>
      <c r="Q31" s="19" t="s">
        <v>18</v>
      </c>
      <c r="R31" s="19" t="s">
        <v>219</v>
      </c>
      <c r="S31" s="16" t="s">
        <v>220</v>
      </c>
      <c r="T31" s="227" t="s">
        <v>221</v>
      </c>
      <c r="U31" s="1"/>
    </row>
    <row r="32" spans="1:31" x14ac:dyDescent="0.2">
      <c r="A32" s="74" t="s">
        <v>25</v>
      </c>
      <c r="B32" s="195"/>
      <c r="C32" s="19"/>
      <c r="D32" s="190"/>
      <c r="E32" s="195"/>
      <c r="F32" s="19"/>
      <c r="G32" s="190"/>
      <c r="H32" s="195"/>
      <c r="I32" s="19"/>
      <c r="J32" s="19"/>
      <c r="K32" s="195"/>
      <c r="L32" s="19"/>
      <c r="M32" s="190"/>
      <c r="N32" s="228"/>
      <c r="O32" s="19"/>
      <c r="P32" s="190"/>
      <c r="Q32" s="195"/>
      <c r="R32" s="19"/>
      <c r="S32" s="190"/>
      <c r="T32" s="229"/>
      <c r="U32" s="1"/>
    </row>
    <row r="33" spans="1:21" x14ac:dyDescent="0.2">
      <c r="A33" s="15" t="s">
        <v>165</v>
      </c>
      <c r="B33" s="230">
        <v>586</v>
      </c>
      <c r="C33" s="231">
        <f>B33*'LI (ExPost &amp; ExAnte)'!H27/1000</f>
        <v>499.44779999999997</v>
      </c>
      <c r="D33" s="457">
        <f>B33*'LI (ExPost &amp; ExAnte)'!H6/1000</f>
        <v>384.94339999999994</v>
      </c>
      <c r="E33" s="198">
        <v>592</v>
      </c>
      <c r="F33" s="14">
        <f>E33*'LI (ExPost &amp; ExAnte)'!I27/1000</f>
        <v>504.38400000000001</v>
      </c>
      <c r="G33" s="457">
        <f>E33*'LI (ExPost &amp; ExAnte)'!I6/1000</f>
        <v>388.88479999999998</v>
      </c>
      <c r="H33" s="198">
        <v>595</v>
      </c>
      <c r="I33" s="81">
        <f>H33*'LI (ExPost &amp; ExAnte)'!J27/1000</f>
        <v>512.35450000000003</v>
      </c>
      <c r="J33" s="474">
        <f>H33*'LI (ExPost &amp; ExAnte)'!J6/1000</f>
        <v>390.85550000000001</v>
      </c>
      <c r="K33" s="232">
        <v>594</v>
      </c>
      <c r="L33" s="14">
        <f>K33*'LI (ExPost &amp; ExAnte)'!K27/1000</f>
        <v>540.77760000000001</v>
      </c>
      <c r="M33" s="447">
        <f>K33*'LI (ExPost &amp; ExAnte)'!K6/1000</f>
        <v>390.1986</v>
      </c>
      <c r="N33" s="232">
        <v>0</v>
      </c>
      <c r="O33" s="14">
        <f>N33*'LI (ExPost &amp; ExAnte)'!L27/1000</f>
        <v>0</v>
      </c>
      <c r="P33" s="457">
        <v>0</v>
      </c>
      <c r="Q33" s="198">
        <v>0</v>
      </c>
      <c r="R33" s="233">
        <f>Q33*'LI (ExPost &amp; ExAnte)'!M27/1000</f>
        <v>0</v>
      </c>
      <c r="S33" s="461">
        <v>0</v>
      </c>
      <c r="T33" s="200">
        <v>11439</v>
      </c>
      <c r="U33" s="1"/>
    </row>
    <row r="34" spans="1:21" x14ac:dyDescent="0.2">
      <c r="A34" s="15" t="s">
        <v>166</v>
      </c>
      <c r="B34" s="230">
        <v>68</v>
      </c>
      <c r="C34" s="14">
        <f>B34*'LI (ExPost &amp; ExAnte)'!H27/1000</f>
        <v>57.956399999999995</v>
      </c>
      <c r="D34" s="457">
        <f>B34*'LI (ExPost &amp; ExAnte)'!H6/1000</f>
        <v>44.669199999999996</v>
      </c>
      <c r="E34" s="198">
        <v>68</v>
      </c>
      <c r="F34" s="14">
        <f>E34*'LI (ExPost &amp; ExAnte)'!I27/1000</f>
        <v>57.936</v>
      </c>
      <c r="G34" s="457">
        <f>E34*'LI (ExPost &amp; ExAnte)'!I6/1000</f>
        <v>44.669199999999996</v>
      </c>
      <c r="H34" s="198">
        <v>68</v>
      </c>
      <c r="I34" s="81">
        <f>H34*'LI (ExPost &amp; ExAnte)'!J27/1000</f>
        <v>58.5548</v>
      </c>
      <c r="J34" s="474">
        <f>H34*'LI (ExPost &amp; ExAnte)'!J6/1000</f>
        <v>44.669199999999996</v>
      </c>
      <c r="K34" s="198">
        <v>68</v>
      </c>
      <c r="L34" s="14">
        <f>K34*'LI (ExPost &amp; ExAnte)'!K27/1000</f>
        <v>61.907199999999996</v>
      </c>
      <c r="M34" s="447">
        <f>K34*'LI (ExPost &amp; ExAnte)'!K6/1000</f>
        <v>44.669199999999996</v>
      </c>
      <c r="N34" s="198">
        <v>0</v>
      </c>
      <c r="O34" s="14">
        <f>N34*'LI (ExPost &amp; ExAnte)'!L27/1000</f>
        <v>0</v>
      </c>
      <c r="P34" s="457">
        <v>0</v>
      </c>
      <c r="Q34" s="198">
        <v>0</v>
      </c>
      <c r="R34" s="233">
        <f>Q34*'LI (ExPost &amp; ExAnte)'!M27/1000</f>
        <v>0</v>
      </c>
      <c r="S34" s="457">
        <v>0</v>
      </c>
      <c r="T34" s="200">
        <v>11439</v>
      </c>
      <c r="U34" s="1"/>
    </row>
    <row r="35" spans="1:21" x14ac:dyDescent="0.2">
      <c r="A35" s="15" t="s">
        <v>44</v>
      </c>
      <c r="B35" s="230">
        <v>60811</v>
      </c>
      <c r="C35" s="14">
        <f>B35*'LI (ExPost &amp; ExAnte)'!H28/1000</f>
        <v>101.1043686</v>
      </c>
      <c r="D35" s="457">
        <f>B35*'LI (ExPost &amp; ExAnte)'!H7/1000</f>
        <v>131.35176000000001</v>
      </c>
      <c r="E35" s="198">
        <v>60509</v>
      </c>
      <c r="F35" s="14">
        <f>E35*'LI (ExPost &amp; ExAnte)'!I28/1000</f>
        <v>91.477506200000008</v>
      </c>
      <c r="G35" s="457">
        <f>E35*'LI (ExPost &amp; ExAnte)'!I7/1000</f>
        <v>130.69944000000001</v>
      </c>
      <c r="H35" s="198">
        <v>60251</v>
      </c>
      <c r="I35" s="81">
        <f>H35*'LI (ExPost &amp; ExAnte)'!J28/1000</f>
        <v>93.955409399999994</v>
      </c>
      <c r="J35" s="474">
        <f>H35*'LI (ExPost &amp; ExAnte)'!J7/1000</f>
        <v>130.14215999999999</v>
      </c>
      <c r="K35" s="198">
        <v>60045</v>
      </c>
      <c r="L35" s="14">
        <f>K35*'LI (ExPost &amp; ExAnte)'!K28/1000</f>
        <v>0</v>
      </c>
      <c r="M35" s="447">
        <f>K35*'LI (ExPost &amp; ExAnte)'!K7/1000</f>
        <v>129.69720000000001</v>
      </c>
      <c r="N35" s="198">
        <v>0</v>
      </c>
      <c r="O35" s="14">
        <f>N35*'LI (ExPost &amp; ExAnte)'!L28/1000</f>
        <v>0</v>
      </c>
      <c r="P35" s="457">
        <v>0</v>
      </c>
      <c r="Q35" s="198">
        <v>0</v>
      </c>
      <c r="R35" s="233">
        <f>Q35*'LI (ExPost &amp; ExAnte)'!M28/1000</f>
        <v>0</v>
      </c>
      <c r="S35" s="457">
        <v>0</v>
      </c>
      <c r="T35" s="200">
        <v>2100470</v>
      </c>
      <c r="U35" s="1"/>
    </row>
    <row r="36" spans="1:21" x14ac:dyDescent="0.2">
      <c r="A36" s="15" t="s">
        <v>45</v>
      </c>
      <c r="B36" s="230">
        <v>2334</v>
      </c>
      <c r="C36" s="14">
        <f>B36*'LI (ExPost &amp; ExAnte)'!H29/1000</f>
        <v>11.273219999999998</v>
      </c>
      <c r="D36" s="457">
        <f>B36*'LI (ExPost &amp; ExAnte)'!H8/1000</f>
        <v>12.318852000000001</v>
      </c>
      <c r="E36" s="198">
        <v>2331</v>
      </c>
      <c r="F36" s="14">
        <f>E36*'LI (ExPost &amp; ExAnte)'!I29/1000</f>
        <v>15.011640000000002</v>
      </c>
      <c r="G36" s="457">
        <f>E36*'LI (ExPost &amp; ExAnte)'!I8/1000</f>
        <v>12.303018000000002</v>
      </c>
      <c r="H36" s="198">
        <v>2323</v>
      </c>
      <c r="I36" s="81">
        <f>H36*'LI (ExPost &amp; ExAnte)'!J29/1000</f>
        <v>13.008800000000001</v>
      </c>
      <c r="J36" s="474">
        <f>H36*'LI (ExPost &amp; ExAnte)'!J8/1000</f>
        <v>12.260794000000002</v>
      </c>
      <c r="K36" s="198">
        <v>2315</v>
      </c>
      <c r="L36" s="14">
        <f>K36*'LI (ExPost &amp; ExAnte)'!K29/1000</f>
        <v>0</v>
      </c>
      <c r="M36" s="447">
        <f>K36*'LI (ExPost &amp; ExAnte)'!K8/1000</f>
        <v>12.218570000000001</v>
      </c>
      <c r="N36" s="198">
        <v>0</v>
      </c>
      <c r="O36" s="14">
        <f>N36*'LI (ExPost &amp; ExAnte)'!L29/1000</f>
        <v>0</v>
      </c>
      <c r="P36" s="457">
        <v>0</v>
      </c>
      <c r="Q36" s="198">
        <v>0</v>
      </c>
      <c r="R36" s="233">
        <f>Q36*'LI (ExPost &amp; ExAnte)'!M29/1000</f>
        <v>0</v>
      </c>
      <c r="S36" s="457">
        <v>0</v>
      </c>
      <c r="T36" s="200">
        <v>465339</v>
      </c>
      <c r="U36" s="1"/>
    </row>
    <row r="37" spans="1:21" x14ac:dyDescent="0.2">
      <c r="A37" s="15" t="s">
        <v>46</v>
      </c>
      <c r="B37" s="230">
        <v>255261</v>
      </c>
      <c r="C37" s="14">
        <f>B37*'LI (ExPost &amp; ExAnte)'!H28/1000</f>
        <v>424.3969386</v>
      </c>
      <c r="D37" s="457">
        <f>B37*'LI (ExPost &amp; ExAnte)'!H7/1000</f>
        <v>551.36375999999996</v>
      </c>
      <c r="E37" s="198">
        <v>255911</v>
      </c>
      <c r="F37" s="14">
        <f>E37*'LI (ExPost &amp; ExAnte)'!I28/1000</f>
        <v>386.88624979999997</v>
      </c>
      <c r="G37" s="457">
        <f>E37*'LI (ExPost &amp; ExAnte)'!I7/1000</f>
        <v>552.76775999999995</v>
      </c>
      <c r="H37" s="198">
        <v>256684</v>
      </c>
      <c r="I37" s="81">
        <f>H37*'LI (ExPost &amp; ExAnte)'!J28/1000</f>
        <v>400.27302959999997</v>
      </c>
      <c r="J37" s="474">
        <f>H37*'LI (ExPost &amp; ExAnte)'!J7/1000</f>
        <v>554.43744000000004</v>
      </c>
      <c r="K37" s="198">
        <v>256593</v>
      </c>
      <c r="L37" s="14">
        <f>K37*'LI (ExPost &amp; ExAnte)'!K28/1000</f>
        <v>0</v>
      </c>
      <c r="M37" s="447">
        <f>K37*'LI (ExPost &amp; ExAnte)'!K7/1000</f>
        <v>554.24088000000006</v>
      </c>
      <c r="N37" s="198">
        <v>0</v>
      </c>
      <c r="O37" s="14">
        <f>N37*'LI (ExPost &amp; ExAnte)'!L28/1000</f>
        <v>0</v>
      </c>
      <c r="P37" s="457">
        <v>0</v>
      </c>
      <c r="Q37" s="198">
        <v>0</v>
      </c>
      <c r="R37" s="233">
        <f>Q37*'LI (ExPost &amp; ExAnte)'!M28/1000</f>
        <v>0</v>
      </c>
      <c r="S37" s="457">
        <v>0</v>
      </c>
      <c r="T37" s="200">
        <v>2100470</v>
      </c>
      <c r="U37" s="1"/>
    </row>
    <row r="38" spans="1:21" x14ac:dyDescent="0.2">
      <c r="A38" s="15" t="s">
        <v>47</v>
      </c>
      <c r="B38" s="230">
        <v>8397</v>
      </c>
      <c r="C38" s="14">
        <f>B38*'LI (ExPost &amp; ExAnte)'!H29/1000</f>
        <v>40.557510000000001</v>
      </c>
      <c r="D38" s="457">
        <f>B38*'LI (ExPost &amp; ExAnte)'!H8/1000</f>
        <v>44.319366000000002</v>
      </c>
      <c r="E38" s="198">
        <v>8416</v>
      </c>
      <c r="F38" s="14">
        <f>E38*'LI (ExPost &amp; ExAnte)'!I29/1000</f>
        <v>54.199040000000004</v>
      </c>
      <c r="G38" s="457">
        <f>E38*'LI (ExPost &amp; ExAnte)'!I8/1000</f>
        <v>44.419648000000002</v>
      </c>
      <c r="H38" s="198">
        <v>8405</v>
      </c>
      <c r="I38" s="81">
        <f>H38*'LI (ExPost &amp; ExAnte)'!J29/1000</f>
        <v>47.068000000000005</v>
      </c>
      <c r="J38" s="474">
        <f>H38*'LI (ExPost &amp; ExAnte)'!J8/1000</f>
        <v>44.361590000000007</v>
      </c>
      <c r="K38" s="198">
        <v>8385</v>
      </c>
      <c r="L38" s="14">
        <f>K38*'LI (ExPost &amp; ExAnte)'!K29/1000</f>
        <v>0</v>
      </c>
      <c r="M38" s="447">
        <f>K38*'LI (ExPost &amp; ExAnte)'!K8/1000</f>
        <v>44.256030000000003</v>
      </c>
      <c r="N38" s="198">
        <v>0</v>
      </c>
      <c r="O38" s="14">
        <f>N38*'LI (ExPost &amp; ExAnte)'!L29/1000</f>
        <v>0</v>
      </c>
      <c r="P38" s="457">
        <v>0</v>
      </c>
      <c r="Q38" s="198">
        <v>0</v>
      </c>
      <c r="R38" s="233">
        <f>Q38*'LI (ExPost &amp; ExAnte)'!M29/1000</f>
        <v>0</v>
      </c>
      <c r="S38" s="457">
        <v>0</v>
      </c>
      <c r="T38" s="200">
        <v>465339</v>
      </c>
      <c r="U38" s="1"/>
    </row>
    <row r="39" spans="1:21" x14ac:dyDescent="0.2">
      <c r="A39" s="15" t="s">
        <v>15</v>
      </c>
      <c r="B39" s="230">
        <v>12</v>
      </c>
      <c r="C39" s="14">
        <f>B39*'LI (ExPost &amp; ExAnte)'!H30/1000</f>
        <v>18.127320000000001</v>
      </c>
      <c r="D39" s="457">
        <f>B39*'LI (ExPost &amp; ExAnte)'!H9/1000</f>
        <v>18.204000000000001</v>
      </c>
      <c r="E39" s="198">
        <v>12</v>
      </c>
      <c r="F39" s="14">
        <f>E39*'LI (ExPost &amp; ExAnte)'!I30/1000</f>
        <v>18.385079999999999</v>
      </c>
      <c r="G39" s="457">
        <f>E39*'LI (ExPost &amp; ExAnte)'!I9/1000</f>
        <v>18.204000000000001</v>
      </c>
      <c r="H39" s="198">
        <v>12</v>
      </c>
      <c r="I39" s="81">
        <f>H39*'LI (ExPost &amp; ExAnte)'!J30/1000</f>
        <v>17.63016</v>
      </c>
      <c r="J39" s="474">
        <f>H39*'LI (ExPost &amp; ExAnte)'!J9/1000</f>
        <v>18.204000000000001</v>
      </c>
      <c r="K39" s="198">
        <v>12</v>
      </c>
      <c r="L39" s="14">
        <f>K39*'LI (ExPost &amp; ExAnte)'!K30/1000</f>
        <v>17.406599999999997</v>
      </c>
      <c r="M39" s="447">
        <f>K39*'LI (ExPost &amp; ExAnte)'!K9/1000</f>
        <v>18.204000000000001</v>
      </c>
      <c r="N39" s="198">
        <v>0</v>
      </c>
      <c r="O39" s="14">
        <f>N39*'LI (ExPost &amp; ExAnte)'!L30/1000</f>
        <v>0</v>
      </c>
      <c r="P39" s="457">
        <v>0</v>
      </c>
      <c r="Q39" s="198">
        <v>0</v>
      </c>
      <c r="R39" s="233">
        <f>Q39*'LI (ExPost &amp; ExAnte)'!M30/1000</f>
        <v>0</v>
      </c>
      <c r="S39" s="457">
        <v>0</v>
      </c>
      <c r="T39" s="201" t="s">
        <v>67</v>
      </c>
      <c r="U39" s="1"/>
    </row>
    <row r="40" spans="1:21" x14ac:dyDescent="0.2">
      <c r="A40" s="15" t="s">
        <v>16</v>
      </c>
      <c r="B40" s="230">
        <v>928</v>
      </c>
      <c r="C40" s="14">
        <f>B40*'LI (ExPost &amp; ExAnte)'!H31/1000</f>
        <v>38.697600000000008</v>
      </c>
      <c r="D40" s="457">
        <f>B40*'LI (ExPost &amp; ExAnte)'!H10/1000</f>
        <v>27.747199999999996</v>
      </c>
      <c r="E40" s="234">
        <v>938</v>
      </c>
      <c r="F40" s="235">
        <f>E40*'LI (ExPost &amp; ExAnte)'!I31/1000</f>
        <v>38.927</v>
      </c>
      <c r="G40" s="457">
        <f>E40*'LI (ExPost &amp; ExAnte)'!I10/1000</f>
        <v>28.046199999999995</v>
      </c>
      <c r="H40" s="198">
        <v>973</v>
      </c>
      <c r="I40" s="475">
        <f>H40*'LI (ExPost &amp; ExAnte)'!J31/1000</f>
        <v>38.0443</v>
      </c>
      <c r="J40" s="474">
        <f>H40*'LI (ExPost &amp; ExAnte)'!J10/1000</f>
        <v>29.092699999999997</v>
      </c>
      <c r="K40" s="234">
        <v>1014</v>
      </c>
      <c r="L40" s="14">
        <f>K40*'LI (ExPost &amp; ExAnte)'!K31/1000</f>
        <v>41.168399999999998</v>
      </c>
      <c r="M40" s="447">
        <f>K40*'LI (ExPost &amp; ExAnte)'!K10/1000</f>
        <v>30.3186</v>
      </c>
      <c r="N40" s="198">
        <v>0</v>
      </c>
      <c r="O40" s="235">
        <f>N40*'LI (ExPost &amp; ExAnte)'!L31/1000</f>
        <v>0</v>
      </c>
      <c r="P40" s="457">
        <v>0</v>
      </c>
      <c r="Q40" s="198">
        <v>0</v>
      </c>
      <c r="R40" s="233">
        <f>Q40*'LI (ExPost &amp; ExAnte)'!M31/1000</f>
        <v>0</v>
      </c>
      <c r="S40" s="462">
        <v>0</v>
      </c>
      <c r="T40" s="200">
        <v>7572</v>
      </c>
      <c r="U40" s="1"/>
    </row>
    <row r="41" spans="1:21" ht="13.5" thickBot="1" x14ac:dyDescent="0.25">
      <c r="A41" s="75" t="s">
        <v>23</v>
      </c>
      <c r="B41" s="204">
        <f t="shared" ref="B41:S41" si="2">SUM(B33:B40)</f>
        <v>328397</v>
      </c>
      <c r="C41" s="205">
        <f t="shared" si="2"/>
        <v>1191.5611572000003</v>
      </c>
      <c r="D41" s="458">
        <f t="shared" si="2"/>
        <v>1214.9175379999999</v>
      </c>
      <c r="E41" s="204">
        <f t="shared" si="2"/>
        <v>328777</v>
      </c>
      <c r="F41" s="205">
        <f>SUM(F33:F40)</f>
        <v>1167.206516</v>
      </c>
      <c r="G41" s="458">
        <f t="shared" si="2"/>
        <v>1219.9940659999997</v>
      </c>
      <c r="H41" s="204">
        <f t="shared" si="2"/>
        <v>329311</v>
      </c>
      <c r="I41" s="476">
        <f t="shared" si="2"/>
        <v>1180.8889989999998</v>
      </c>
      <c r="J41" s="203">
        <f t="shared" si="2"/>
        <v>1224.0233840000001</v>
      </c>
      <c r="K41" s="236">
        <f t="shared" si="2"/>
        <v>329026</v>
      </c>
      <c r="L41" s="205">
        <f t="shared" si="2"/>
        <v>661.25980000000004</v>
      </c>
      <c r="M41" s="458">
        <f t="shared" si="2"/>
        <v>1223.8030800000001</v>
      </c>
      <c r="N41" s="204">
        <f t="shared" si="2"/>
        <v>0</v>
      </c>
      <c r="O41" s="205">
        <f t="shared" si="2"/>
        <v>0</v>
      </c>
      <c r="P41" s="458">
        <f>SUM(P33:P40)</f>
        <v>0</v>
      </c>
      <c r="Q41" s="204">
        <f t="shared" si="2"/>
        <v>0</v>
      </c>
      <c r="R41" s="206">
        <f t="shared" si="2"/>
        <v>0</v>
      </c>
      <c r="S41" s="458">
        <f t="shared" si="2"/>
        <v>0</v>
      </c>
      <c r="T41" s="207"/>
      <c r="U41" s="1"/>
    </row>
    <row r="42" spans="1:21" ht="13.5" thickTop="1" x14ac:dyDescent="0.2">
      <c r="A42" s="74" t="s">
        <v>52</v>
      </c>
      <c r="B42" s="209"/>
      <c r="C42" s="210"/>
      <c r="D42" s="459"/>
      <c r="E42" s="209"/>
      <c r="F42" s="210"/>
      <c r="G42" s="459"/>
      <c r="H42" s="209"/>
      <c r="I42" s="477"/>
      <c r="J42" s="478"/>
      <c r="K42" s="209"/>
      <c r="L42" s="210"/>
      <c r="M42" s="459"/>
      <c r="N42" s="209"/>
      <c r="O42" s="210"/>
      <c r="P42" s="459"/>
      <c r="Q42" s="237"/>
      <c r="R42" s="208"/>
      <c r="S42" s="463"/>
      <c r="T42" s="211"/>
      <c r="U42" s="1"/>
    </row>
    <row r="43" spans="1:21" x14ac:dyDescent="0.2">
      <c r="A43" s="15" t="s">
        <v>164</v>
      </c>
      <c r="B43" s="238">
        <v>2826</v>
      </c>
      <c r="C43" s="231">
        <f>B43*'LI (ExPost &amp; ExAnte)'!H32/1000</f>
        <v>21.675419999999999</v>
      </c>
      <c r="D43" s="461">
        <f>B43*'LI (ExPost &amp; ExAnte)'!H11/1000</f>
        <v>21.195</v>
      </c>
      <c r="E43" s="213">
        <v>3017</v>
      </c>
      <c r="F43" s="14">
        <f>E43*'LI (ExPost &amp; ExAnte)'!I32/1000</f>
        <v>25.825520000000001</v>
      </c>
      <c r="G43" s="457">
        <f>E43*'LI (ExPost &amp; ExAnte)'!I11/1000</f>
        <v>22.627500000000001</v>
      </c>
      <c r="H43" s="213">
        <v>3043</v>
      </c>
      <c r="I43" s="81">
        <f>H43*'LI (ExPost &amp; ExAnte)'!J32/1000</f>
        <v>27.813020000000002</v>
      </c>
      <c r="J43" s="455">
        <f>H43*'LI (ExPost &amp; ExAnte)'!J11/1000</f>
        <v>22.822500000000002</v>
      </c>
      <c r="K43" s="213">
        <v>3049</v>
      </c>
      <c r="L43" s="14">
        <f>K43*'LI (ExPost &amp; ExAnte)'!K32/1000</f>
        <v>0</v>
      </c>
      <c r="M43" s="457">
        <f>K43*'LI (ExPost &amp; ExAnte)'!K11/1000</f>
        <v>22.8675</v>
      </c>
      <c r="N43" s="238">
        <v>0</v>
      </c>
      <c r="O43" s="231">
        <f>N43*'LI (ExPost &amp; ExAnte)'!L32/1000</f>
        <v>0</v>
      </c>
      <c r="P43" s="461">
        <f>N43*'LI (ExPost &amp; ExAnte)'!L11/1000</f>
        <v>0</v>
      </c>
      <c r="Q43" s="213">
        <v>0</v>
      </c>
      <c r="R43" s="214">
        <f>Q43*'LI (ExPost &amp; ExAnte)'!M32/1000</f>
        <v>0</v>
      </c>
      <c r="S43" s="461">
        <f>Q43*'LI (ExPost &amp; ExAnte)'!M11/1000</f>
        <v>0</v>
      </c>
      <c r="T43" s="215">
        <v>10955</v>
      </c>
      <c r="U43" s="1"/>
    </row>
    <row r="44" spans="1:21" x14ac:dyDescent="0.2">
      <c r="A44" s="15" t="s">
        <v>32</v>
      </c>
      <c r="B44" s="213">
        <v>1332</v>
      </c>
      <c r="C44" s="14">
        <f>B44*'LI (ExPost &amp; ExAnte)'!H33/1000</f>
        <v>61.591680000000004</v>
      </c>
      <c r="D44" s="457">
        <f>B44*'LI (ExPost &amp; ExAnte)'!H12/1000</f>
        <v>59.6736</v>
      </c>
      <c r="E44" s="213">
        <v>1368</v>
      </c>
      <c r="F44" s="14">
        <f>E44*'LI (ExPost &amp; ExAnte)'!I33/1000</f>
        <v>63.776159999999997</v>
      </c>
      <c r="G44" s="457">
        <f>E44*'LI (ExPost &amp; ExAnte)'!I12/1000</f>
        <v>61.286399999999993</v>
      </c>
      <c r="H44" s="213">
        <v>1360</v>
      </c>
      <c r="I44" s="81">
        <f>H44*'LI (ExPost &amp; ExAnte)'!J33/1000</f>
        <v>63.267200000000003</v>
      </c>
      <c r="J44" s="455">
        <f>H44*'LI (ExPost &amp; ExAnte)'!J12/1000</f>
        <v>60.92799999999999</v>
      </c>
      <c r="K44" s="213">
        <v>1348</v>
      </c>
      <c r="L44" s="14">
        <f>K44*'LI (ExPost &amp; ExAnte)'!K33/1000</f>
        <v>63.23467999999999</v>
      </c>
      <c r="M44" s="457">
        <f>K44*'LI (ExPost &amp; ExAnte)'!K12/1000</f>
        <v>60.390399999999993</v>
      </c>
      <c r="N44" s="213">
        <v>0</v>
      </c>
      <c r="O44" s="14">
        <f>N44*'LI (ExPost &amp; ExAnte)'!L33/1000</f>
        <v>0</v>
      </c>
      <c r="P44" s="457">
        <f>N44*'LI (ExPost &amp; ExAnte)'!L12/1000</f>
        <v>0</v>
      </c>
      <c r="Q44" s="213">
        <v>0</v>
      </c>
      <c r="R44" s="214">
        <f>Q44*'LI (ExPost &amp; ExAnte)'!M33/1000</f>
        <v>0</v>
      </c>
      <c r="S44" s="457">
        <f>Q44*'LI (ExPost &amp; ExAnte)'!M12/1000</f>
        <v>0</v>
      </c>
      <c r="T44" s="200">
        <v>12667</v>
      </c>
      <c r="U44" s="1"/>
    </row>
    <row r="45" spans="1:21" x14ac:dyDescent="0.2">
      <c r="A45" s="15" t="s">
        <v>222</v>
      </c>
      <c r="B45" s="213">
        <v>3</v>
      </c>
      <c r="C45" s="14">
        <f>B45*'LI (ExPost &amp; ExAnte)'!H35/1000</f>
        <v>3.2310000000000005E-2</v>
      </c>
      <c r="D45" s="457">
        <f>B45*'LI (ExPost &amp; ExAnte)'!H14/1000</f>
        <v>1.5114000000000001E-2</v>
      </c>
      <c r="E45" s="213">
        <v>111</v>
      </c>
      <c r="F45" s="14">
        <f>E45*'LI (ExPost &amp; ExAnte)'!I35/1000</f>
        <v>1.22766</v>
      </c>
      <c r="G45" s="457">
        <f>E45*'LI (ExPost &amp; ExAnte)'!I14/1000</f>
        <v>0.5592180000000001</v>
      </c>
      <c r="H45" s="213">
        <v>101</v>
      </c>
      <c r="I45" s="81">
        <f>H45*'LI (ExPost &amp; ExAnte)'!J35/1000</f>
        <v>1.0806999999999998</v>
      </c>
      <c r="J45" s="455">
        <f>H45*'LI (ExPost &amp; ExAnte)'!J14/1000</f>
        <v>0.50883800000000001</v>
      </c>
      <c r="K45" s="213">
        <v>29</v>
      </c>
      <c r="L45" s="14">
        <f>K45*'LI (ExPost &amp; ExAnte)'!K35/1000</f>
        <v>0.29782999999999998</v>
      </c>
      <c r="M45" s="457">
        <f>K45*'LI (ExPost &amp; ExAnte)'!K14/1000</f>
        <v>0.14610200000000001</v>
      </c>
      <c r="N45" s="213">
        <v>0</v>
      </c>
      <c r="O45" s="14">
        <f>N45*'LI (ExPost &amp; ExAnte)'!L35/1000</f>
        <v>0</v>
      </c>
      <c r="P45" s="457">
        <f>N45*'LI (ExPost &amp; ExAnte)'!L14/1000</f>
        <v>0</v>
      </c>
      <c r="Q45" s="213">
        <v>0</v>
      </c>
      <c r="R45" s="214">
        <f>Q45*'LI (ExPost &amp; ExAnte)'!M35/1000</f>
        <v>0</v>
      </c>
      <c r="S45" s="457">
        <f>Q45*'LI (ExPost &amp; ExAnte)'!M14/1000</f>
        <v>0</v>
      </c>
      <c r="T45" s="200">
        <v>632432</v>
      </c>
      <c r="U45" s="1"/>
    </row>
    <row r="46" spans="1:21" x14ac:dyDescent="0.2">
      <c r="A46" s="15" t="s">
        <v>223</v>
      </c>
      <c r="B46" s="213">
        <v>435</v>
      </c>
      <c r="C46" s="14">
        <f>B46*'LI (ExPost &amp; ExAnte)'!H34/1000</f>
        <v>16.751849999999997</v>
      </c>
      <c r="D46" s="457">
        <f>B46*'LI (ExPost &amp; ExAnte)'!H13/1000</f>
        <v>15.1815</v>
      </c>
      <c r="E46" s="213">
        <v>400</v>
      </c>
      <c r="F46" s="14">
        <f>E46*'LI (ExPost &amp; ExAnte)'!I34/1000</f>
        <v>15.756</v>
      </c>
      <c r="G46" s="457">
        <f>E46*'LI (ExPost &amp; ExAnte)'!I13/1000</f>
        <v>13.96</v>
      </c>
      <c r="H46" s="213">
        <v>400</v>
      </c>
      <c r="I46" s="81">
        <f>H46*'LI (ExPost &amp; ExAnte)'!J34/1000</f>
        <v>15.64</v>
      </c>
      <c r="J46" s="455">
        <f>H46*'LI (ExPost &amp; ExAnte)'!J13/1000</f>
        <v>13.96</v>
      </c>
      <c r="K46" s="213">
        <v>401</v>
      </c>
      <c r="L46" s="14">
        <f>K46*'LI (ExPost &amp; ExAnte)'!K34/1000</f>
        <v>14.62848</v>
      </c>
      <c r="M46" s="457">
        <f>K46*'LI (ExPost &amp; ExAnte)'!K13/1000</f>
        <v>13.994899999999999</v>
      </c>
      <c r="N46" s="213">
        <v>0</v>
      </c>
      <c r="O46" s="14">
        <f>N46*'LI (ExPost &amp; ExAnte)'!L34/1000</f>
        <v>0</v>
      </c>
      <c r="P46" s="457">
        <f>N46*'LI (ExPost &amp; ExAnte)'!L13/1000</f>
        <v>0</v>
      </c>
      <c r="Q46" s="213">
        <v>0</v>
      </c>
      <c r="R46" s="214">
        <f>Q46*'LI (ExPost &amp; ExAnte)'!M34/1000</f>
        <v>0</v>
      </c>
      <c r="S46" s="457">
        <f>Q46*'LI (ExPost &amp; ExAnte)'!M13/1000</f>
        <v>0</v>
      </c>
      <c r="T46" s="200">
        <v>632432</v>
      </c>
      <c r="U46" s="1"/>
    </row>
    <row r="47" spans="1:21" x14ac:dyDescent="0.2">
      <c r="A47" s="15" t="s">
        <v>224</v>
      </c>
      <c r="B47" s="213">
        <v>1910</v>
      </c>
      <c r="C47" s="14">
        <f>B47*'LI (ExPost &amp; ExAnte)'!H36/1000</f>
        <v>124.5702</v>
      </c>
      <c r="D47" s="457">
        <f>B47*'LI (ExPost &amp; ExAnte)'!H15/1000</f>
        <v>179.27260000000001</v>
      </c>
      <c r="E47" s="213">
        <v>2034</v>
      </c>
      <c r="F47" s="14">
        <f>E47*'LI (ExPost &amp; ExAnte)'!I36/1000</f>
        <v>135.89154000000002</v>
      </c>
      <c r="G47" s="457">
        <f>E47*'LI (ExPost &amp; ExAnte)'!I15/1000</f>
        <v>190.91123999999999</v>
      </c>
      <c r="H47" s="262">
        <v>2107</v>
      </c>
      <c r="I47" s="81">
        <f>H47*'LI (ExPost &amp; ExAnte)'!J36/1000</f>
        <v>140.5369</v>
      </c>
      <c r="J47" s="455">
        <f>H47*'LI (ExPost &amp; ExAnte)'!J15/1000</f>
        <v>197.76301999999998</v>
      </c>
      <c r="K47" s="213">
        <v>2134</v>
      </c>
      <c r="L47" s="14">
        <f>K47*'LI (ExPost &amp; ExAnte)'!K36/1000</f>
        <v>136.83208000000002</v>
      </c>
      <c r="M47" s="457">
        <f>K47*'LI (ExPost &amp; ExAnte)'!K15/1000</f>
        <v>200.29723999999999</v>
      </c>
      <c r="N47" s="213">
        <v>0</v>
      </c>
      <c r="O47" s="14">
        <f>N47*'LI (ExPost &amp; ExAnte)'!L36/1000</f>
        <v>0</v>
      </c>
      <c r="P47" s="457">
        <f>N47*'LI (ExPost &amp; ExAnte)'!L15/1000</f>
        <v>0</v>
      </c>
      <c r="Q47" s="213">
        <v>0</v>
      </c>
      <c r="R47" s="214">
        <f>Q47*'LI (ExPost &amp; ExAnte)'!M36/1000</f>
        <v>0</v>
      </c>
      <c r="S47" s="457">
        <f>Q47*'LI (ExPost &amp; ExAnte)'!M15/1000</f>
        <v>0</v>
      </c>
      <c r="T47" s="200">
        <v>632432</v>
      </c>
      <c r="U47" s="1"/>
    </row>
    <row r="48" spans="1:21" x14ac:dyDescent="0.2">
      <c r="A48" s="15" t="s">
        <v>225</v>
      </c>
      <c r="B48" s="213">
        <v>375</v>
      </c>
      <c r="C48" s="14">
        <f>B48*'LI (ExPost &amp; ExAnte)'!H37/1000</f>
        <v>24.258749999999999</v>
      </c>
      <c r="D48" s="457">
        <f>B48*'LI (ExPost &amp; ExAnte)'!H16/1000</f>
        <v>22.605</v>
      </c>
      <c r="E48" s="213">
        <v>404</v>
      </c>
      <c r="F48" s="14">
        <f>E48*'LI (ExPost &amp; ExAnte)'!I37/1000</f>
        <v>26.474119999999999</v>
      </c>
      <c r="G48" s="457">
        <f>E48*'LI (ExPost &amp; ExAnte)'!I16/1000</f>
        <v>24.353120000000001</v>
      </c>
      <c r="H48" s="262">
        <v>426</v>
      </c>
      <c r="I48" s="81">
        <f>H48*'LI (ExPost &amp; ExAnte)'!J37/1000</f>
        <v>26.78688</v>
      </c>
      <c r="J48" s="455">
        <f>H48*'LI (ExPost &amp; ExAnte)'!J16/1000</f>
        <v>25.679279999999999</v>
      </c>
      <c r="K48" s="213">
        <v>434</v>
      </c>
      <c r="L48" s="14">
        <f>K48*'LI (ExPost &amp; ExAnte)'!K37/1000</f>
        <v>26.981780000000004</v>
      </c>
      <c r="M48" s="457">
        <f>K48*'LI (ExPost &amp; ExAnte)'!K16/1000</f>
        <v>26.161519999999999</v>
      </c>
      <c r="N48" s="213">
        <v>0</v>
      </c>
      <c r="O48" s="14">
        <f>N48*'LI (ExPost &amp; ExAnte)'!L37/1000</f>
        <v>0</v>
      </c>
      <c r="P48" s="457">
        <f>N48*'LI (ExPost &amp; ExAnte)'!L16/1000</f>
        <v>0</v>
      </c>
      <c r="Q48" s="213">
        <v>0</v>
      </c>
      <c r="R48" s="214">
        <f>Q48*'LI (ExPost &amp; ExAnte)'!M37/1000</f>
        <v>0</v>
      </c>
      <c r="S48" s="457">
        <f>Q48*'LI (ExPost &amp; ExAnte)'!M16/1000</f>
        <v>0</v>
      </c>
      <c r="T48" s="200">
        <v>632432</v>
      </c>
      <c r="U48" s="1"/>
    </row>
    <row r="49" spans="1:26" x14ac:dyDescent="0.2">
      <c r="A49" s="15" t="s">
        <v>49</v>
      </c>
      <c r="B49" s="213">
        <v>120</v>
      </c>
      <c r="C49" s="14">
        <f>B49*'LI (ExPost &amp; ExAnte)'!H38/1000</f>
        <v>6.0960000000000001</v>
      </c>
      <c r="D49" s="457">
        <f>B49*'LI (ExPost &amp; ExAnte)'!H17/1000</f>
        <v>16.283999999999999</v>
      </c>
      <c r="E49" s="213">
        <v>131</v>
      </c>
      <c r="F49" s="14">
        <f>E49*'LI (ExPost &amp; ExAnte)'!I38/1000</f>
        <v>17.553999999999998</v>
      </c>
      <c r="G49" s="457">
        <f>E49*'LI (ExPost &amp; ExAnte)'!I17/1000</f>
        <v>17.671900000000001</v>
      </c>
      <c r="H49" s="213">
        <v>131</v>
      </c>
      <c r="I49" s="81">
        <f>H49*'LI (ExPost &amp; ExAnte)'!J38/1000</f>
        <v>25.8201</v>
      </c>
      <c r="J49" s="455">
        <f>H49*'LI (ExPost &amp; ExAnte)'!J17/1000</f>
        <v>25.7546</v>
      </c>
      <c r="K49" s="213">
        <v>132</v>
      </c>
      <c r="L49" s="14">
        <f>K49*'LI (ExPost &amp; ExAnte)'!K38/1000</f>
        <v>13.701600000000001</v>
      </c>
      <c r="M49" s="457">
        <f>K49*'LI (ExPost &amp; ExAnte)'!K17/1000</f>
        <v>0</v>
      </c>
      <c r="N49" s="213">
        <v>0</v>
      </c>
      <c r="O49" s="14">
        <f>N49*'LI (ExPost &amp; ExAnte)'!L38/1000</f>
        <v>0</v>
      </c>
      <c r="P49" s="457">
        <f>N49*'LI (ExPost &amp; ExAnte)'!L17/1000</f>
        <v>0</v>
      </c>
      <c r="Q49" s="213">
        <v>0</v>
      </c>
      <c r="R49" s="214">
        <f>Q49*'LI (ExPost &amp; ExAnte)'!M38/1000</f>
        <v>0</v>
      </c>
      <c r="S49" s="457">
        <f>Q49*'LI (ExPost &amp; ExAnte)'!M17/1000</f>
        <v>0</v>
      </c>
      <c r="T49" s="200">
        <v>3059</v>
      </c>
      <c r="U49" s="1"/>
    </row>
    <row r="50" spans="1:26" x14ac:dyDescent="0.2">
      <c r="A50" s="15" t="s">
        <v>35</v>
      </c>
      <c r="B50" s="213">
        <v>0</v>
      </c>
      <c r="C50" s="14">
        <v>0</v>
      </c>
      <c r="D50" s="457">
        <v>0</v>
      </c>
      <c r="E50" s="213">
        <v>0</v>
      </c>
      <c r="F50" s="14">
        <v>0</v>
      </c>
      <c r="G50" s="457">
        <v>0</v>
      </c>
      <c r="H50" s="213">
        <v>0</v>
      </c>
      <c r="I50" s="81">
        <v>0</v>
      </c>
      <c r="J50" s="455">
        <v>0</v>
      </c>
      <c r="K50" s="213">
        <v>0</v>
      </c>
      <c r="L50" s="14">
        <v>0</v>
      </c>
      <c r="M50" s="457">
        <v>0</v>
      </c>
      <c r="N50" s="213">
        <v>0</v>
      </c>
      <c r="O50" s="14">
        <v>0</v>
      </c>
      <c r="P50" s="457">
        <v>0</v>
      </c>
      <c r="Q50" s="213">
        <v>0</v>
      </c>
      <c r="R50" s="214">
        <v>0</v>
      </c>
      <c r="S50" s="457">
        <v>0</v>
      </c>
      <c r="T50" s="200">
        <v>22477</v>
      </c>
      <c r="U50" s="1"/>
    </row>
    <row r="51" spans="1:26" ht="13.5" thickBot="1" x14ac:dyDescent="0.25">
      <c r="A51" s="75" t="s">
        <v>53</v>
      </c>
      <c r="B51" s="239">
        <f t="shared" ref="B51:S51" si="3">SUM(B43:B50)</f>
        <v>7001</v>
      </c>
      <c r="C51" s="205">
        <f t="shared" si="3"/>
        <v>254.97620999999998</v>
      </c>
      <c r="D51" s="458">
        <f t="shared" si="3"/>
        <v>314.22681399999999</v>
      </c>
      <c r="E51" s="204">
        <f t="shared" si="3"/>
        <v>7465</v>
      </c>
      <c r="F51" s="205">
        <f t="shared" si="3"/>
        <v>286.505</v>
      </c>
      <c r="G51" s="458">
        <f t="shared" si="3"/>
        <v>331.36937799999998</v>
      </c>
      <c r="H51" s="204">
        <f t="shared" si="3"/>
        <v>7568</v>
      </c>
      <c r="I51" s="205">
        <f t="shared" si="3"/>
        <v>300.94480000000004</v>
      </c>
      <c r="J51" s="465">
        <f t="shared" si="3"/>
        <v>347.41623799999996</v>
      </c>
      <c r="K51" s="204">
        <f t="shared" si="3"/>
        <v>7527</v>
      </c>
      <c r="L51" s="205">
        <f t="shared" si="3"/>
        <v>255.67645000000002</v>
      </c>
      <c r="M51" s="458">
        <f t="shared" si="3"/>
        <v>323.857662</v>
      </c>
      <c r="N51" s="204">
        <f t="shared" si="3"/>
        <v>0</v>
      </c>
      <c r="O51" s="205">
        <f t="shared" si="3"/>
        <v>0</v>
      </c>
      <c r="P51" s="458">
        <f t="shared" si="3"/>
        <v>0</v>
      </c>
      <c r="Q51" s="204">
        <f t="shared" si="3"/>
        <v>0</v>
      </c>
      <c r="R51" s="240">
        <f t="shared" si="3"/>
        <v>0</v>
      </c>
      <c r="S51" s="458">
        <f t="shared" si="3"/>
        <v>0</v>
      </c>
      <c r="T51" s="216"/>
      <c r="U51" s="1"/>
    </row>
    <row r="52" spans="1:26" ht="14.25" thickTop="1" thickBot="1" x14ac:dyDescent="0.25">
      <c r="A52" s="39" t="s">
        <v>26</v>
      </c>
      <c r="B52" s="219">
        <f>+B41+B51</f>
        <v>335398</v>
      </c>
      <c r="C52" s="220">
        <f>C41+C51</f>
        <v>1446.5373672000003</v>
      </c>
      <c r="D52" s="458">
        <f>D41+D51</f>
        <v>1529.1443519999998</v>
      </c>
      <c r="E52" s="219">
        <f>+E41+E51</f>
        <v>336242</v>
      </c>
      <c r="F52" s="220">
        <f>F41+F51</f>
        <v>1453.7115159999998</v>
      </c>
      <c r="G52" s="458">
        <f>G41+G51</f>
        <v>1551.3634439999996</v>
      </c>
      <c r="H52" s="219">
        <f>+H41+H51</f>
        <v>336879</v>
      </c>
      <c r="I52" s="205">
        <f>I41+I51</f>
        <v>1481.8337989999998</v>
      </c>
      <c r="J52" s="456">
        <f>J41+J51</f>
        <v>1571.4396220000001</v>
      </c>
      <c r="K52" s="219">
        <f>+K41+K51</f>
        <v>336553</v>
      </c>
      <c r="L52" s="220">
        <f>L41+L51</f>
        <v>916.93625000000009</v>
      </c>
      <c r="M52" s="464">
        <f>M41+M51</f>
        <v>1547.660742</v>
      </c>
      <c r="N52" s="219">
        <f>+N41+N51</f>
        <v>0</v>
      </c>
      <c r="O52" s="220">
        <f>O41+O51</f>
        <v>0</v>
      </c>
      <c r="P52" s="464">
        <f>P41+P51</f>
        <v>0</v>
      </c>
      <c r="Q52" s="236">
        <f>+Q41+Q51</f>
        <v>0</v>
      </c>
      <c r="R52" s="221">
        <f>R41+R51</f>
        <v>0</v>
      </c>
      <c r="S52" s="464">
        <f>S41+S51</f>
        <v>0</v>
      </c>
      <c r="T52" s="38"/>
      <c r="U52" s="1"/>
    </row>
    <row r="53" spans="1:26" ht="13.5" thickTop="1" x14ac:dyDescent="0.2">
      <c r="A53" s="37"/>
      <c r="B53" s="241"/>
      <c r="C53" s="241"/>
      <c r="D53" s="14"/>
      <c r="E53" s="241"/>
      <c r="F53" s="241"/>
      <c r="G53" s="241"/>
      <c r="H53" s="14"/>
      <c r="I53" s="241"/>
      <c r="J53" s="241"/>
      <c r="K53" s="241"/>
      <c r="L53" s="241"/>
      <c r="M53" s="14"/>
      <c r="N53" s="241"/>
      <c r="O53" s="241"/>
      <c r="P53" s="241"/>
      <c r="Q53" s="14"/>
      <c r="R53" s="241"/>
      <c r="S53" s="241"/>
      <c r="T53" s="241"/>
      <c r="U53" s="14"/>
      <c r="V53" s="241"/>
      <c r="W53" s="241"/>
      <c r="X53" s="81"/>
      <c r="Y53" s="196"/>
      <c r="Z53" s="196"/>
    </row>
    <row r="54" spans="1:26" x14ac:dyDescent="0.2">
      <c r="A54" s="37"/>
      <c r="B54" s="14"/>
      <c r="C54" s="14"/>
      <c r="D54" s="14"/>
      <c r="E54" s="241"/>
      <c r="F54" s="14"/>
      <c r="G54" s="241"/>
      <c r="H54" s="14"/>
      <c r="I54" s="14"/>
      <c r="J54" s="14"/>
      <c r="K54" s="241"/>
      <c r="L54" s="14"/>
      <c r="M54" s="14"/>
      <c r="N54" s="14"/>
      <c r="O54" s="14"/>
      <c r="P54" s="241"/>
      <c r="Q54" s="14"/>
      <c r="R54" s="14"/>
      <c r="S54" s="14"/>
      <c r="T54" s="241"/>
      <c r="U54" s="14"/>
      <c r="V54" s="14"/>
      <c r="W54" s="241"/>
      <c r="X54" s="81"/>
      <c r="Y54" s="81"/>
      <c r="Z54" s="196"/>
    </row>
    <row r="55" spans="1:26" ht="12.75" customHeight="1" x14ac:dyDescent="0.2">
      <c r="A55" s="499" t="s">
        <v>28</v>
      </c>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row>
    <row r="56" spans="1:26" x14ac:dyDescent="0.2">
      <c r="A56" s="500" t="s">
        <v>274</v>
      </c>
      <c r="B56" s="501"/>
      <c r="C56" s="501"/>
      <c r="D56" s="501"/>
      <c r="E56" s="501"/>
      <c r="F56" s="501"/>
      <c r="G56" s="501"/>
      <c r="H56" s="501"/>
      <c r="I56" s="501"/>
      <c r="J56" s="501"/>
      <c r="K56" s="501"/>
      <c r="L56" s="501"/>
      <c r="M56" s="501"/>
      <c r="N56" s="501"/>
      <c r="O56" s="242"/>
      <c r="P56" s="242"/>
      <c r="Q56" s="242"/>
      <c r="R56" s="242"/>
      <c r="S56" s="242"/>
      <c r="T56" s="242"/>
      <c r="U56" s="242"/>
      <c r="V56" s="242"/>
      <c r="W56" s="242"/>
      <c r="X56" s="242"/>
      <c r="Y56" s="242"/>
      <c r="Z56" s="242"/>
    </row>
    <row r="57" spans="1:26" x14ac:dyDescent="0.2">
      <c r="A57" s="502"/>
      <c r="B57" s="501"/>
      <c r="C57" s="501"/>
      <c r="D57" s="501"/>
      <c r="E57" s="501"/>
      <c r="F57" s="501"/>
      <c r="G57" s="501"/>
      <c r="H57" s="501"/>
      <c r="I57" s="501"/>
      <c r="J57" s="501"/>
      <c r="K57" s="501"/>
      <c r="L57" s="501"/>
      <c r="M57" s="501"/>
      <c r="N57" s="501"/>
      <c r="O57" s="242"/>
      <c r="P57" s="242"/>
      <c r="Q57" s="242"/>
      <c r="R57" s="242"/>
      <c r="S57" s="242"/>
      <c r="T57" s="242"/>
      <c r="U57" s="242"/>
      <c r="V57" s="242"/>
      <c r="W57" s="242"/>
      <c r="X57" s="242"/>
      <c r="Y57" s="242"/>
      <c r="Z57" s="242"/>
    </row>
    <row r="58" spans="1:26" ht="38.25" customHeight="1" x14ac:dyDescent="0.2">
      <c r="A58" s="501"/>
      <c r="B58" s="501"/>
      <c r="C58" s="501"/>
      <c r="D58" s="501"/>
      <c r="E58" s="501"/>
      <c r="F58" s="501"/>
      <c r="G58" s="501"/>
      <c r="H58" s="501"/>
      <c r="I58" s="501"/>
      <c r="J58" s="501"/>
      <c r="K58" s="501"/>
      <c r="L58" s="501"/>
      <c r="M58" s="501"/>
      <c r="N58" s="501"/>
      <c r="O58" s="242"/>
      <c r="P58" s="242"/>
      <c r="Q58" s="242"/>
      <c r="R58" s="242"/>
      <c r="S58" s="242"/>
      <c r="T58" s="242"/>
      <c r="U58" s="242"/>
      <c r="V58" s="242"/>
      <c r="W58" s="242"/>
      <c r="X58" s="242"/>
      <c r="Y58" s="242"/>
      <c r="Z58" s="242"/>
    </row>
    <row r="59" spans="1:26" s="269" customFormat="1" x14ac:dyDescent="0.2">
      <c r="A59" s="268"/>
      <c r="B59" s="268"/>
      <c r="C59" s="268"/>
      <c r="D59" s="268"/>
      <c r="E59" s="268"/>
      <c r="F59" s="268"/>
      <c r="G59" s="268"/>
      <c r="H59" s="268"/>
      <c r="I59" s="268"/>
      <c r="J59" s="268"/>
      <c r="K59" s="268"/>
      <c r="L59" s="268"/>
      <c r="M59" s="268"/>
      <c r="N59" s="268"/>
      <c r="O59" s="242"/>
      <c r="P59" s="242"/>
      <c r="Q59" s="242"/>
      <c r="R59" s="242"/>
      <c r="S59" s="242"/>
      <c r="T59" s="242"/>
      <c r="U59" s="242"/>
      <c r="V59" s="242"/>
      <c r="W59" s="242"/>
      <c r="X59" s="242"/>
      <c r="Y59" s="242"/>
      <c r="Z59" s="242"/>
    </row>
    <row r="60" spans="1:26" ht="12.75" customHeight="1" x14ac:dyDescent="0.2">
      <c r="A60" s="503" t="s">
        <v>275</v>
      </c>
      <c r="B60" s="504"/>
      <c r="C60" s="504"/>
      <c r="D60" s="504"/>
      <c r="E60" s="504"/>
      <c r="F60" s="504"/>
      <c r="G60" s="504"/>
      <c r="H60" s="504"/>
      <c r="I60" s="504"/>
      <c r="J60" s="504"/>
      <c r="K60" s="504"/>
      <c r="L60" s="504"/>
      <c r="M60" s="504"/>
      <c r="N60" s="504"/>
      <c r="O60" s="242"/>
      <c r="P60" s="242"/>
      <c r="Q60" s="242"/>
      <c r="R60" s="242"/>
      <c r="S60" s="242"/>
      <c r="T60" s="242"/>
      <c r="U60" s="242"/>
      <c r="V60" s="242"/>
      <c r="W60" s="242"/>
      <c r="X60" s="242"/>
      <c r="Y60" s="242"/>
      <c r="Z60" s="242"/>
    </row>
    <row r="61" spans="1:26" ht="39" customHeight="1" x14ac:dyDescent="0.2">
      <c r="A61" s="504"/>
      <c r="B61" s="504"/>
      <c r="C61" s="504"/>
      <c r="D61" s="504"/>
      <c r="E61" s="504"/>
      <c r="F61" s="504"/>
      <c r="G61" s="504"/>
      <c r="H61" s="504"/>
      <c r="I61" s="504"/>
      <c r="J61" s="504"/>
      <c r="K61" s="504"/>
      <c r="L61" s="504"/>
      <c r="M61" s="504"/>
      <c r="N61" s="504"/>
      <c r="O61" s="243"/>
      <c r="P61" s="243"/>
      <c r="Q61" s="243"/>
      <c r="R61" s="243"/>
      <c r="S61" s="243"/>
      <c r="T61" s="243"/>
      <c r="U61" s="243"/>
      <c r="V61" s="243"/>
      <c r="W61" s="243"/>
      <c r="X61" s="243"/>
      <c r="Y61" s="243"/>
      <c r="Z61" s="243"/>
    </row>
    <row r="62" spans="1:26" ht="12.75" customHeight="1" x14ac:dyDescent="0.2">
      <c r="A62" s="505"/>
      <c r="B62" s="506"/>
      <c r="C62" s="506"/>
      <c r="D62" s="506"/>
      <c r="E62" s="506"/>
      <c r="F62" s="506"/>
      <c r="G62" s="506"/>
      <c r="H62" s="506"/>
      <c r="I62" s="506"/>
      <c r="J62" s="506"/>
      <c r="K62" s="506"/>
      <c r="L62" s="506"/>
      <c r="M62" s="506"/>
      <c r="N62" s="506"/>
      <c r="O62" s="506"/>
      <c r="P62" s="506"/>
      <c r="Q62" s="506"/>
      <c r="R62" s="506"/>
      <c r="S62" s="506"/>
      <c r="T62" s="506"/>
      <c r="U62" s="506"/>
      <c r="V62" s="506"/>
      <c r="W62" s="506"/>
      <c r="X62" s="506"/>
      <c r="Y62" s="506"/>
      <c r="Z62" s="506"/>
    </row>
    <row r="63" spans="1:26" ht="15.75" customHeight="1" x14ac:dyDescent="0.2">
      <c r="A63" s="194" t="s">
        <v>226</v>
      </c>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row>
    <row r="64" spans="1:26" x14ac:dyDescent="0.2">
      <c r="A64" s="245"/>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row>
    <row r="65" spans="1:26" ht="90" customHeight="1" x14ac:dyDescent="0.2">
      <c r="A65" s="498" t="s">
        <v>267</v>
      </c>
      <c r="B65" s="498"/>
      <c r="C65" s="498"/>
      <c r="D65" s="498"/>
      <c r="E65" s="498"/>
      <c r="F65" s="498"/>
      <c r="G65" s="498"/>
      <c r="H65" s="498"/>
      <c r="I65" s="498"/>
      <c r="J65" s="498"/>
      <c r="K65" s="498"/>
      <c r="L65" s="498"/>
      <c r="M65" s="498"/>
      <c r="N65" s="498"/>
      <c r="O65" s="246"/>
      <c r="P65" s="246"/>
      <c r="Q65" s="246"/>
      <c r="R65" s="246"/>
      <c r="S65" s="246"/>
      <c r="T65" s="246"/>
      <c r="U65" s="246"/>
      <c r="V65" s="246"/>
      <c r="W65" s="246"/>
      <c r="X65" s="246"/>
      <c r="Y65" s="246"/>
      <c r="Z65" s="246"/>
    </row>
    <row r="66" spans="1:26" x14ac:dyDescent="0.2">
      <c r="A66" s="247"/>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row>
    <row r="67" spans="1:26" ht="18" customHeight="1" x14ac:dyDescent="0.2">
      <c r="A67" s="498" t="s">
        <v>227</v>
      </c>
      <c r="B67" s="498"/>
      <c r="C67" s="498"/>
      <c r="D67" s="498"/>
      <c r="E67" s="498"/>
      <c r="F67" s="498"/>
      <c r="G67" s="498"/>
      <c r="H67" s="498"/>
      <c r="I67" s="498"/>
      <c r="J67" s="498"/>
      <c r="K67" s="498"/>
      <c r="L67" s="498"/>
      <c r="M67" s="498"/>
      <c r="N67" s="498"/>
      <c r="O67" s="498"/>
      <c r="P67" s="498"/>
      <c r="Q67" s="498"/>
      <c r="R67" s="498"/>
      <c r="S67" s="498"/>
      <c r="T67" s="498"/>
      <c r="U67" s="498"/>
      <c r="V67" s="498"/>
      <c r="W67" s="498"/>
      <c r="X67" s="498"/>
      <c r="Y67" s="498"/>
      <c r="Z67" s="498"/>
    </row>
    <row r="68" spans="1:26" x14ac:dyDescent="0.2">
      <c r="A68" s="496"/>
      <c r="B68" s="497"/>
      <c r="C68" s="497"/>
      <c r="D68" s="497"/>
      <c r="E68" s="497"/>
      <c r="F68" s="497"/>
      <c r="G68" s="497"/>
      <c r="H68" s="497"/>
      <c r="I68" s="497"/>
      <c r="J68" s="497"/>
      <c r="K68" s="497"/>
      <c r="L68" s="497"/>
      <c r="M68" s="497"/>
      <c r="N68" s="497"/>
      <c r="O68" s="497"/>
      <c r="P68" s="497"/>
      <c r="Q68" s="497"/>
      <c r="R68" s="497"/>
      <c r="S68" s="497"/>
      <c r="T68" s="497"/>
      <c r="U68" s="497"/>
      <c r="V68" s="497"/>
      <c r="W68" s="497"/>
      <c r="X68" s="497"/>
      <c r="Y68" s="497"/>
      <c r="Z68" s="497"/>
    </row>
    <row r="69" spans="1:26" ht="30" customHeight="1" x14ac:dyDescent="0.2">
      <c r="O69" s="498"/>
      <c r="P69" s="498"/>
      <c r="Q69" s="498"/>
      <c r="R69" s="498"/>
      <c r="S69" s="498"/>
      <c r="T69" s="498"/>
      <c r="U69" s="498"/>
      <c r="V69" s="498"/>
      <c r="W69" s="498"/>
      <c r="X69" s="498"/>
      <c r="Y69" s="498"/>
      <c r="Z69" s="498"/>
    </row>
    <row r="70" spans="1:26" x14ac:dyDescent="0.2">
      <c r="A70" s="50"/>
    </row>
    <row r="71" spans="1:26" x14ac:dyDescent="0.2">
      <c r="A71" s="49"/>
      <c r="B71" s="49"/>
      <c r="C71" s="49"/>
      <c r="D71" s="49"/>
      <c r="E71" s="49"/>
      <c r="F71" s="49"/>
      <c r="G71" s="49"/>
      <c r="H71" s="49"/>
      <c r="I71" s="49"/>
      <c r="J71" s="49"/>
      <c r="K71" s="49"/>
      <c r="L71" s="49"/>
      <c r="M71" s="49"/>
      <c r="N71" s="49"/>
      <c r="O71" s="49"/>
      <c r="P71" s="49"/>
      <c r="Q71" s="49"/>
      <c r="R71" s="49"/>
      <c r="S71" s="49"/>
    </row>
    <row r="75" spans="1:26" x14ac:dyDescent="0.2">
      <c r="A75" s="68"/>
    </row>
  </sheetData>
  <mergeCells count="21">
    <mergeCell ref="Q30:S30"/>
    <mergeCell ref="B5:D5"/>
    <mergeCell ref="E5:G5"/>
    <mergeCell ref="H5:J5"/>
    <mergeCell ref="K5:M5"/>
    <mergeCell ref="N5:P5"/>
    <mergeCell ref="Q5:S5"/>
    <mergeCell ref="B30:D30"/>
    <mergeCell ref="E30:G30"/>
    <mergeCell ref="H30:J30"/>
    <mergeCell ref="K30:M30"/>
    <mergeCell ref="N30:P30"/>
    <mergeCell ref="A68:Z68"/>
    <mergeCell ref="O69:Z69"/>
    <mergeCell ref="A55:Z55"/>
    <mergeCell ref="A56:N58"/>
    <mergeCell ref="A60:N61"/>
    <mergeCell ref="A62:Z62"/>
    <mergeCell ref="A65:N65"/>
    <mergeCell ref="A67:N67"/>
    <mergeCell ref="O67:Z67"/>
  </mergeCells>
  <printOptions horizontalCentered="1"/>
  <pageMargins left="0.5" right="0.45" top="0.8" bottom="0.17" header="0.3" footer="0.15"/>
  <pageSetup scale="46" orientation="landscape" r:id="rId1"/>
  <headerFooter alignWithMargins="0">
    <oddHeader>&amp;C&amp;"Arial,Bold"Table I-1
SCE Interruptible and Price Responsive Programs
 Subscription Statistics -  Estimated Ex Ante and Ex Post MWs
 2011</oddHeader>
    <oddFooter>&amp;L&amp;F&amp;R&amp;D</oddFooter>
  </headerFooter>
  <ignoredErrors>
    <ignoredError sqref="I36:I37 L36:L37 O36:O37 R36:R37 E52 H52 K52 N52 Q52 C11:C12 D11:D12 F11:G11 I11:J11 F12:G12 I12:J12 L11:M12 P11:P12 K27 N27 Q27 R11:S11 C36:D36 F36:G36 C37:D37 F37:G37 J36:J37 M36:M3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view="pageBreakPreview" zoomScale="75" zoomScaleNormal="154" zoomScaleSheetLayoutView="75" workbookViewId="0">
      <selection activeCell="A2" sqref="A2"/>
    </sheetView>
  </sheetViews>
  <sheetFormatPr defaultRowHeight="12.75" x14ac:dyDescent="0.2"/>
  <cols>
    <col min="1" max="1" width="27" customWidth="1"/>
    <col min="2" max="2" width="8.28515625" customWidth="1"/>
    <col min="3" max="3" width="9.140625" customWidth="1"/>
    <col min="4" max="8" width="7.5703125" customWidth="1"/>
    <col min="9" max="9" width="7.7109375" customWidth="1"/>
    <col min="10" max="10" width="11.5703125" customWidth="1"/>
    <col min="11" max="11" width="8.140625" customWidth="1"/>
    <col min="12" max="12" width="10.85546875" customWidth="1"/>
    <col min="13" max="13" width="10.28515625" customWidth="1"/>
    <col min="14" max="14" width="13.28515625" customWidth="1"/>
    <col min="15" max="15" width="52.42578125" customWidth="1"/>
    <col min="16" max="16" width="15" bestFit="1" customWidth="1"/>
    <col min="17" max="17" width="10.5703125" customWidth="1"/>
    <col min="18" max="18" width="9.85546875" bestFit="1" customWidth="1"/>
    <col min="19" max="19" width="11.140625" customWidth="1"/>
    <col min="20" max="20" width="9.85546875" bestFit="1" customWidth="1"/>
    <col min="21" max="21" width="10.85546875" customWidth="1"/>
    <col min="22" max="22" width="12.140625" bestFit="1" customWidth="1"/>
    <col min="23" max="23" width="12.140625" customWidth="1"/>
    <col min="24" max="24" width="9.5703125" bestFit="1" customWidth="1"/>
    <col min="25" max="25" width="11.140625" customWidth="1"/>
    <col min="26" max="26" width="11.7109375" bestFit="1" customWidth="1"/>
    <col min="27" max="27" width="11.7109375" customWidth="1"/>
  </cols>
  <sheetData>
    <row r="1" spans="1:16" x14ac:dyDescent="0.2">
      <c r="A1" s="194" t="s">
        <v>253</v>
      </c>
    </row>
    <row r="4" spans="1:16" x14ac:dyDescent="0.2">
      <c r="A4" s="84"/>
      <c r="B4" s="511" t="s">
        <v>252</v>
      </c>
      <c r="C4" s="511"/>
      <c r="D4" s="511"/>
      <c r="E4" s="511"/>
      <c r="F4" s="511"/>
      <c r="G4" s="511"/>
      <c r="H4" s="511"/>
      <c r="I4" s="511"/>
      <c r="J4" s="511"/>
      <c r="K4" s="511"/>
      <c r="L4" s="511"/>
      <c r="M4" s="511"/>
      <c r="N4" s="512" t="s">
        <v>221</v>
      </c>
      <c r="O4" s="84"/>
    </row>
    <row r="5" spans="1:16" ht="41.25" customHeight="1" x14ac:dyDescent="0.2">
      <c r="A5" s="257" t="s">
        <v>250</v>
      </c>
      <c r="B5" s="40" t="s">
        <v>0</v>
      </c>
      <c r="C5" s="40" t="s">
        <v>1</v>
      </c>
      <c r="D5" s="40" t="s">
        <v>2</v>
      </c>
      <c r="E5" s="40" t="s">
        <v>3</v>
      </c>
      <c r="F5" s="40" t="s">
        <v>4</v>
      </c>
      <c r="G5" s="40" t="s">
        <v>5</v>
      </c>
      <c r="H5" s="40" t="s">
        <v>6</v>
      </c>
      <c r="I5" s="40" t="s">
        <v>249</v>
      </c>
      <c r="J5" s="40" t="s">
        <v>248</v>
      </c>
      <c r="K5" s="40" t="s">
        <v>9</v>
      </c>
      <c r="L5" s="40" t="s">
        <v>247</v>
      </c>
      <c r="M5" s="40" t="s">
        <v>11</v>
      </c>
      <c r="N5" s="513"/>
      <c r="O5" s="256" t="s">
        <v>246</v>
      </c>
    </row>
    <row r="6" spans="1:16" x14ac:dyDescent="0.2">
      <c r="A6" s="87" t="s">
        <v>12</v>
      </c>
      <c r="B6" s="251">
        <v>656.9</v>
      </c>
      <c r="C6" s="251">
        <v>656.9</v>
      </c>
      <c r="D6" s="251">
        <v>656.9</v>
      </c>
      <c r="E6" s="251">
        <v>656.9</v>
      </c>
      <c r="F6" s="251">
        <v>656.9</v>
      </c>
      <c r="G6" s="251">
        <v>656.9</v>
      </c>
      <c r="H6" s="251">
        <v>656.9</v>
      </c>
      <c r="I6" s="251">
        <v>656.9</v>
      </c>
      <c r="J6" s="251">
        <v>656.9</v>
      </c>
      <c r="K6" s="251">
        <v>656.9</v>
      </c>
      <c r="L6" s="251">
        <v>656.9</v>
      </c>
      <c r="M6" s="251">
        <v>656.9</v>
      </c>
      <c r="N6" s="255">
        <v>11439</v>
      </c>
      <c r="O6" s="41" t="s">
        <v>245</v>
      </c>
      <c r="P6" s="244"/>
    </row>
    <row r="7" spans="1:16" x14ac:dyDescent="0.2">
      <c r="A7" s="87" t="s">
        <v>244</v>
      </c>
      <c r="B7" s="251">
        <v>2.16</v>
      </c>
      <c r="C7" s="251">
        <v>2.16</v>
      </c>
      <c r="D7" s="251">
        <v>2.16</v>
      </c>
      <c r="E7" s="251">
        <v>2.16</v>
      </c>
      <c r="F7" s="251">
        <v>2.16</v>
      </c>
      <c r="G7" s="251">
        <v>2.16</v>
      </c>
      <c r="H7" s="251">
        <v>2.16</v>
      </c>
      <c r="I7" s="251">
        <v>2.16</v>
      </c>
      <c r="J7" s="251">
        <v>2.16</v>
      </c>
      <c r="K7" s="251">
        <v>2.16</v>
      </c>
      <c r="L7" s="251">
        <v>2.16</v>
      </c>
      <c r="M7" s="251">
        <v>2.16</v>
      </c>
      <c r="N7" s="250">
        <v>2100470</v>
      </c>
      <c r="O7" s="41" t="s">
        <v>243</v>
      </c>
      <c r="P7" s="263"/>
    </row>
    <row r="8" spans="1:16" x14ac:dyDescent="0.2">
      <c r="A8" s="87" t="s">
        <v>242</v>
      </c>
      <c r="B8" s="251">
        <f>0.754*7</f>
        <v>5.2780000000000005</v>
      </c>
      <c r="C8" s="251">
        <f t="shared" ref="C8:M8" si="0">0.754*7</f>
        <v>5.2780000000000005</v>
      </c>
      <c r="D8" s="251">
        <f t="shared" si="0"/>
        <v>5.2780000000000005</v>
      </c>
      <c r="E8" s="251">
        <f t="shared" si="0"/>
        <v>5.2780000000000005</v>
      </c>
      <c r="F8" s="251">
        <f t="shared" si="0"/>
        <v>5.2780000000000005</v>
      </c>
      <c r="G8" s="251">
        <f t="shared" si="0"/>
        <v>5.2780000000000005</v>
      </c>
      <c r="H8" s="251">
        <f t="shared" si="0"/>
        <v>5.2780000000000005</v>
      </c>
      <c r="I8" s="251">
        <f t="shared" si="0"/>
        <v>5.2780000000000005</v>
      </c>
      <c r="J8" s="251">
        <f t="shared" si="0"/>
        <v>5.2780000000000005</v>
      </c>
      <c r="K8" s="251">
        <f t="shared" si="0"/>
        <v>5.2780000000000005</v>
      </c>
      <c r="L8" s="251">
        <f t="shared" si="0"/>
        <v>5.2780000000000005</v>
      </c>
      <c r="M8" s="251">
        <f t="shared" si="0"/>
        <v>5.2780000000000005</v>
      </c>
      <c r="N8" s="250">
        <v>465339</v>
      </c>
      <c r="O8" s="41" t="s">
        <v>241</v>
      </c>
      <c r="P8" s="263"/>
    </row>
    <row r="9" spans="1:16" x14ac:dyDescent="0.2">
      <c r="A9" s="87" t="s">
        <v>15</v>
      </c>
      <c r="B9" s="251">
        <v>1517</v>
      </c>
      <c r="C9" s="251">
        <v>1517</v>
      </c>
      <c r="D9" s="251">
        <v>1517</v>
      </c>
      <c r="E9" s="251">
        <v>1517</v>
      </c>
      <c r="F9" s="251">
        <v>1517</v>
      </c>
      <c r="G9" s="251">
        <v>1517</v>
      </c>
      <c r="H9" s="251">
        <v>1517</v>
      </c>
      <c r="I9" s="251">
        <v>1517</v>
      </c>
      <c r="J9" s="251">
        <v>1517</v>
      </c>
      <c r="K9" s="251">
        <v>1517</v>
      </c>
      <c r="L9" s="251">
        <v>1517</v>
      </c>
      <c r="M9" s="251">
        <v>1517</v>
      </c>
      <c r="N9" s="254" t="s">
        <v>67</v>
      </c>
      <c r="O9" s="253" t="s">
        <v>240</v>
      </c>
      <c r="P9" s="263"/>
    </row>
    <row r="10" spans="1:16" x14ac:dyDescent="0.2">
      <c r="A10" s="87" t="s">
        <v>16</v>
      </c>
      <c r="B10" s="251">
        <v>29.9</v>
      </c>
      <c r="C10" s="251">
        <v>29.9</v>
      </c>
      <c r="D10" s="251">
        <v>29.9</v>
      </c>
      <c r="E10" s="251">
        <v>29.9</v>
      </c>
      <c r="F10" s="251">
        <v>29.9</v>
      </c>
      <c r="G10" s="251">
        <v>29.9</v>
      </c>
      <c r="H10" s="251">
        <v>29.9</v>
      </c>
      <c r="I10" s="251">
        <v>29.9</v>
      </c>
      <c r="J10" s="251">
        <v>29.9</v>
      </c>
      <c r="K10" s="251">
        <v>29.9</v>
      </c>
      <c r="L10" s="251">
        <v>29.9</v>
      </c>
      <c r="M10" s="251">
        <v>29.9</v>
      </c>
      <c r="N10" s="250">
        <v>7572</v>
      </c>
      <c r="O10" s="41" t="s">
        <v>239</v>
      </c>
      <c r="P10" s="263"/>
    </row>
    <row r="11" spans="1:16" s="49" customFormat="1" x14ac:dyDescent="0.2">
      <c r="A11" s="87" t="s">
        <v>238</v>
      </c>
      <c r="B11" s="251">
        <v>7.5</v>
      </c>
      <c r="C11" s="251">
        <v>7.5</v>
      </c>
      <c r="D11" s="251">
        <v>7.5</v>
      </c>
      <c r="E11" s="251">
        <v>7.5</v>
      </c>
      <c r="F11" s="251">
        <v>7.5</v>
      </c>
      <c r="G11" s="251">
        <v>7.5</v>
      </c>
      <c r="H11" s="251">
        <v>7.5</v>
      </c>
      <c r="I11" s="251">
        <v>7.5</v>
      </c>
      <c r="J11" s="251">
        <v>7.5</v>
      </c>
      <c r="K11" s="251">
        <v>7.5</v>
      </c>
      <c r="L11" s="251">
        <v>7.5</v>
      </c>
      <c r="M11" s="251">
        <v>7.5</v>
      </c>
      <c r="N11" s="252">
        <v>10955</v>
      </c>
      <c r="O11" s="73" t="s">
        <v>236</v>
      </c>
      <c r="P11" s="265"/>
    </row>
    <row r="12" spans="1:16" x14ac:dyDescent="0.2">
      <c r="A12" s="87" t="s">
        <v>237</v>
      </c>
      <c r="B12" s="271">
        <v>44.8</v>
      </c>
      <c r="C12" s="271">
        <v>44.8</v>
      </c>
      <c r="D12" s="271">
        <v>44.8</v>
      </c>
      <c r="E12" s="271">
        <v>44.8</v>
      </c>
      <c r="F12" s="271">
        <v>44.8</v>
      </c>
      <c r="G12" s="271">
        <v>44.8</v>
      </c>
      <c r="H12" s="271">
        <v>44.8</v>
      </c>
      <c r="I12" s="271">
        <v>44.8</v>
      </c>
      <c r="J12" s="271">
        <v>44.8</v>
      </c>
      <c r="K12" s="271">
        <v>44.8</v>
      </c>
      <c r="L12" s="271">
        <v>44.8</v>
      </c>
      <c r="M12" s="271">
        <v>44.8</v>
      </c>
      <c r="N12" s="250">
        <v>12667</v>
      </c>
      <c r="O12" s="41" t="s">
        <v>236</v>
      </c>
      <c r="P12" s="265"/>
    </row>
    <row r="13" spans="1:16" x14ac:dyDescent="0.2">
      <c r="A13" s="87" t="s">
        <v>235</v>
      </c>
      <c r="B13" s="251">
        <v>34.9</v>
      </c>
      <c r="C13" s="251">
        <v>34.9</v>
      </c>
      <c r="D13" s="251">
        <v>34.9</v>
      </c>
      <c r="E13" s="251">
        <v>34.9</v>
      </c>
      <c r="F13" s="251">
        <v>34.9</v>
      </c>
      <c r="G13" s="251">
        <v>34.9</v>
      </c>
      <c r="H13" s="251">
        <v>34.9</v>
      </c>
      <c r="I13" s="251">
        <v>34.9</v>
      </c>
      <c r="J13" s="251">
        <v>34.9</v>
      </c>
      <c r="K13" s="251">
        <v>34.9</v>
      </c>
      <c r="L13" s="251">
        <v>34.9</v>
      </c>
      <c r="M13" s="251">
        <v>34.9</v>
      </c>
      <c r="N13" s="250">
        <v>632432</v>
      </c>
      <c r="O13" s="41" t="s">
        <v>231</v>
      </c>
      <c r="P13" s="263"/>
    </row>
    <row r="14" spans="1:16" x14ac:dyDescent="0.2">
      <c r="A14" s="87" t="s">
        <v>234</v>
      </c>
      <c r="B14" s="251">
        <v>5.0380000000000003</v>
      </c>
      <c r="C14" s="251">
        <v>5.0380000000000003</v>
      </c>
      <c r="D14" s="251">
        <v>5.0380000000000003</v>
      </c>
      <c r="E14" s="251">
        <v>5.0380000000000003</v>
      </c>
      <c r="F14" s="251">
        <v>5.0380000000000003</v>
      </c>
      <c r="G14" s="251">
        <v>5.0380000000000003</v>
      </c>
      <c r="H14" s="251">
        <v>5.0380000000000003</v>
      </c>
      <c r="I14" s="251">
        <v>5.0380000000000003</v>
      </c>
      <c r="J14" s="251">
        <v>5.0380000000000003</v>
      </c>
      <c r="K14" s="251">
        <v>5.0380000000000003</v>
      </c>
      <c r="L14" s="251">
        <v>5.0380000000000003</v>
      </c>
      <c r="M14" s="251">
        <v>5.0380000000000003</v>
      </c>
      <c r="N14" s="250">
        <v>632432</v>
      </c>
      <c r="O14" s="41" t="s">
        <v>231</v>
      </c>
      <c r="P14" s="263"/>
    </row>
    <row r="15" spans="1:16" x14ac:dyDescent="0.2">
      <c r="A15" s="87" t="s">
        <v>233</v>
      </c>
      <c r="B15" s="251">
        <v>93.86</v>
      </c>
      <c r="C15" s="251">
        <v>93.86</v>
      </c>
      <c r="D15" s="251">
        <v>93.86</v>
      </c>
      <c r="E15" s="251">
        <v>93.86</v>
      </c>
      <c r="F15" s="251">
        <v>93.86</v>
      </c>
      <c r="G15" s="251">
        <v>93.86</v>
      </c>
      <c r="H15" s="251">
        <v>93.86</v>
      </c>
      <c r="I15" s="251">
        <v>93.86</v>
      </c>
      <c r="J15" s="251">
        <v>93.86</v>
      </c>
      <c r="K15" s="251">
        <v>93.86</v>
      </c>
      <c r="L15" s="251">
        <v>93.86</v>
      </c>
      <c r="M15" s="251">
        <v>93.86</v>
      </c>
      <c r="N15" s="250">
        <v>632432</v>
      </c>
      <c r="O15" s="41" t="s">
        <v>231</v>
      </c>
      <c r="P15" s="244"/>
    </row>
    <row r="16" spans="1:16" x14ac:dyDescent="0.2">
      <c r="A16" s="87" t="s">
        <v>232</v>
      </c>
      <c r="B16" s="251">
        <v>60.28</v>
      </c>
      <c r="C16" s="251">
        <v>60.28</v>
      </c>
      <c r="D16" s="251">
        <v>60.28</v>
      </c>
      <c r="E16" s="251">
        <v>60.28</v>
      </c>
      <c r="F16" s="251">
        <v>60.28</v>
      </c>
      <c r="G16" s="251">
        <v>60.28</v>
      </c>
      <c r="H16" s="251">
        <v>60.28</v>
      </c>
      <c r="I16" s="251">
        <v>60.28</v>
      </c>
      <c r="J16" s="251">
        <v>60.28</v>
      </c>
      <c r="K16" s="251">
        <v>60.28</v>
      </c>
      <c r="L16" s="251">
        <v>60.28</v>
      </c>
      <c r="M16" s="251">
        <v>60.28</v>
      </c>
      <c r="N16" s="250">
        <v>632432</v>
      </c>
      <c r="O16" s="41" t="s">
        <v>231</v>
      </c>
      <c r="P16" s="263"/>
    </row>
    <row r="17" spans="1:23" x14ac:dyDescent="0.2">
      <c r="A17" s="87" t="s">
        <v>49</v>
      </c>
      <c r="B17" s="251">
        <v>0</v>
      </c>
      <c r="C17" s="251">
        <v>0</v>
      </c>
      <c r="D17" s="251">
        <v>0</v>
      </c>
      <c r="E17" s="251">
        <v>0</v>
      </c>
      <c r="F17" s="251">
        <v>0</v>
      </c>
      <c r="G17" s="251">
        <v>0</v>
      </c>
      <c r="H17" s="251">
        <v>135.69999999999999</v>
      </c>
      <c r="I17" s="251">
        <v>134.9</v>
      </c>
      <c r="J17" s="251">
        <v>196.6</v>
      </c>
      <c r="K17" s="251">
        <v>0</v>
      </c>
      <c r="L17" s="251">
        <v>0</v>
      </c>
      <c r="M17" s="251">
        <v>0</v>
      </c>
      <c r="N17" s="250">
        <v>3059</v>
      </c>
      <c r="O17" s="41" t="s">
        <v>230</v>
      </c>
      <c r="P17" s="263"/>
      <c r="R17" s="49"/>
    </row>
    <row r="18" spans="1:23" x14ac:dyDescent="0.2">
      <c r="A18" s="87" t="s">
        <v>35</v>
      </c>
      <c r="B18" s="43" t="s">
        <v>67</v>
      </c>
      <c r="C18" s="43" t="s">
        <v>67</v>
      </c>
      <c r="D18" s="43" t="s">
        <v>67</v>
      </c>
      <c r="E18" s="43" t="s">
        <v>67</v>
      </c>
      <c r="F18" s="43" t="s">
        <v>67</v>
      </c>
      <c r="G18" s="43" t="s">
        <v>67</v>
      </c>
      <c r="H18" s="43" t="s">
        <v>67</v>
      </c>
      <c r="I18" s="43" t="s">
        <v>67</v>
      </c>
      <c r="J18" s="43" t="s">
        <v>67</v>
      </c>
      <c r="K18" s="43" t="s">
        <v>67</v>
      </c>
      <c r="L18" s="43" t="s">
        <v>67</v>
      </c>
      <c r="M18" s="43" t="s">
        <v>67</v>
      </c>
      <c r="N18" s="250">
        <v>22477</v>
      </c>
      <c r="O18" s="41" t="s">
        <v>229</v>
      </c>
    </row>
    <row r="20" spans="1:23" x14ac:dyDescent="0.2">
      <c r="A20" s="37" t="s">
        <v>28</v>
      </c>
    </row>
    <row r="21" spans="1:23" ht="59.25" customHeight="1" x14ac:dyDescent="0.2">
      <c r="A21" s="514" t="s">
        <v>266</v>
      </c>
      <c r="B21" s="514"/>
      <c r="C21" s="514"/>
      <c r="D21" s="514"/>
      <c r="E21" s="514"/>
      <c r="F21" s="514"/>
      <c r="G21" s="514"/>
      <c r="H21" s="514"/>
      <c r="I21" s="514"/>
      <c r="J21" s="514"/>
      <c r="K21" s="514"/>
      <c r="L21" s="514"/>
      <c r="M21" s="514"/>
      <c r="N21" s="514"/>
      <c r="O21" s="514"/>
    </row>
    <row r="22" spans="1:23" x14ac:dyDescent="0.2">
      <c r="A22" s="258"/>
      <c r="B22" s="258"/>
      <c r="C22" s="258"/>
      <c r="D22" s="258"/>
      <c r="E22" s="258"/>
      <c r="F22" s="258"/>
      <c r="G22" s="258"/>
      <c r="H22" s="258"/>
      <c r="I22" s="258"/>
      <c r="J22" s="258"/>
      <c r="K22" s="258"/>
      <c r="L22" s="258"/>
      <c r="M22" s="258"/>
      <c r="N22" s="258"/>
      <c r="O22" s="258"/>
    </row>
    <row r="23" spans="1:23" ht="25.5" customHeight="1" x14ac:dyDescent="0.2">
      <c r="A23" s="515" t="s">
        <v>257</v>
      </c>
      <c r="B23" s="515"/>
      <c r="C23" s="515"/>
      <c r="D23" s="515"/>
      <c r="E23" s="515"/>
      <c r="F23" s="515"/>
      <c r="G23" s="515"/>
      <c r="H23" s="515"/>
      <c r="I23" s="515"/>
      <c r="J23" s="515"/>
      <c r="K23" s="515"/>
      <c r="L23" s="515"/>
      <c r="M23" s="515"/>
      <c r="N23" s="515"/>
      <c r="O23" s="515"/>
    </row>
    <row r="25" spans="1:23" x14ac:dyDescent="0.2">
      <c r="A25" s="84"/>
      <c r="B25" s="511" t="s">
        <v>251</v>
      </c>
      <c r="C25" s="511"/>
      <c r="D25" s="511"/>
      <c r="E25" s="511"/>
      <c r="F25" s="511"/>
      <c r="G25" s="511"/>
      <c r="H25" s="511"/>
      <c r="I25" s="511"/>
      <c r="J25" s="511"/>
      <c r="K25" s="511"/>
      <c r="L25" s="511"/>
      <c r="M25" s="511"/>
      <c r="N25" s="512" t="s">
        <v>221</v>
      </c>
      <c r="O25" s="84"/>
    </row>
    <row r="26" spans="1:23" ht="40.5" customHeight="1" x14ac:dyDescent="0.2">
      <c r="A26" s="257" t="s">
        <v>250</v>
      </c>
      <c r="B26" s="40" t="s">
        <v>0</v>
      </c>
      <c r="C26" s="40" t="s">
        <v>1</v>
      </c>
      <c r="D26" s="40" t="s">
        <v>2</v>
      </c>
      <c r="E26" s="40" t="s">
        <v>3</v>
      </c>
      <c r="F26" s="40" t="s">
        <v>4</v>
      </c>
      <c r="G26" s="40" t="s">
        <v>5</v>
      </c>
      <c r="H26" s="40" t="s">
        <v>6</v>
      </c>
      <c r="I26" s="40" t="s">
        <v>249</v>
      </c>
      <c r="J26" s="40" t="s">
        <v>248</v>
      </c>
      <c r="K26" s="40" t="s">
        <v>9</v>
      </c>
      <c r="L26" s="40" t="s">
        <v>247</v>
      </c>
      <c r="M26" s="40" t="s">
        <v>11</v>
      </c>
      <c r="N26" s="513"/>
      <c r="O26" s="256" t="s">
        <v>246</v>
      </c>
      <c r="S26" t="s">
        <v>14</v>
      </c>
    </row>
    <row r="27" spans="1:23" x14ac:dyDescent="0.2">
      <c r="A27" s="87" t="s">
        <v>12</v>
      </c>
      <c r="B27" s="251">
        <v>786.2</v>
      </c>
      <c r="C27" s="251">
        <v>827</v>
      </c>
      <c r="D27" s="251">
        <v>779</v>
      </c>
      <c r="E27" s="251">
        <v>870.2</v>
      </c>
      <c r="F27" s="251">
        <v>919.1</v>
      </c>
      <c r="G27" s="251">
        <v>868.9</v>
      </c>
      <c r="H27" s="251">
        <v>852.3</v>
      </c>
      <c r="I27" s="251">
        <v>852</v>
      </c>
      <c r="J27" s="251">
        <v>861.1</v>
      </c>
      <c r="K27" s="251">
        <v>910.4</v>
      </c>
      <c r="L27" s="251">
        <v>835.6</v>
      </c>
      <c r="M27" s="251">
        <v>716.6</v>
      </c>
      <c r="N27" s="255">
        <v>11439</v>
      </c>
      <c r="O27" s="41" t="s">
        <v>245</v>
      </c>
      <c r="P27" s="264"/>
      <c r="R27" s="49"/>
    </row>
    <row r="28" spans="1:23" x14ac:dyDescent="0.2">
      <c r="A28" s="87" t="s">
        <v>244</v>
      </c>
      <c r="B28" s="251">
        <v>0</v>
      </c>
      <c r="C28" s="251">
        <v>0</v>
      </c>
      <c r="D28" s="251">
        <v>0</v>
      </c>
      <c r="E28" s="251">
        <v>0</v>
      </c>
      <c r="F28" s="251">
        <v>0</v>
      </c>
      <c r="G28" s="251">
        <v>1.4187000000000001</v>
      </c>
      <c r="H28" s="251">
        <v>1.6626000000000001</v>
      </c>
      <c r="I28" s="251">
        <v>1.5118</v>
      </c>
      <c r="J28" s="251">
        <v>1.5593999999999999</v>
      </c>
      <c r="K28" s="251">
        <v>0</v>
      </c>
      <c r="L28" s="251">
        <v>0</v>
      </c>
      <c r="M28" s="251">
        <v>0</v>
      </c>
      <c r="N28" s="250">
        <v>2100470</v>
      </c>
      <c r="O28" s="41" t="s">
        <v>243</v>
      </c>
      <c r="P28" s="408"/>
      <c r="Q28" s="49"/>
      <c r="R28" s="49"/>
      <c r="S28" s="49"/>
    </row>
    <row r="29" spans="1:23" x14ac:dyDescent="0.2">
      <c r="A29" s="87" t="s">
        <v>242</v>
      </c>
      <c r="B29" s="251">
        <v>0</v>
      </c>
      <c r="C29" s="251">
        <v>0</v>
      </c>
      <c r="D29" s="251">
        <v>0</v>
      </c>
      <c r="E29" s="251">
        <v>0</v>
      </c>
      <c r="F29" s="251">
        <v>0</v>
      </c>
      <c r="G29" s="251">
        <f>0.5*7</f>
        <v>3.5</v>
      </c>
      <c r="H29" s="251">
        <f>0.69*7</f>
        <v>4.83</v>
      </c>
      <c r="I29" s="251">
        <f>0.92*7</f>
        <v>6.44</v>
      </c>
      <c r="J29" s="251">
        <f>0.8*7</f>
        <v>5.6000000000000005</v>
      </c>
      <c r="K29" s="251">
        <v>0</v>
      </c>
      <c r="L29" s="251">
        <v>0</v>
      </c>
      <c r="M29" s="251">
        <v>0</v>
      </c>
      <c r="N29" s="250">
        <v>465339</v>
      </c>
      <c r="O29" s="41" t="s">
        <v>241</v>
      </c>
      <c r="P29" s="263"/>
      <c r="W29" s="49"/>
    </row>
    <row r="30" spans="1:23" x14ac:dyDescent="0.2">
      <c r="A30" s="87" t="s">
        <v>15</v>
      </c>
      <c r="B30" s="251">
        <v>1596.86</v>
      </c>
      <c r="C30" s="251">
        <v>1599.36</v>
      </c>
      <c r="D30" s="251">
        <v>1601.12</v>
      </c>
      <c r="E30" s="251">
        <v>1555.39</v>
      </c>
      <c r="F30" s="251">
        <v>1609.84</v>
      </c>
      <c r="G30" s="251">
        <v>1524.28</v>
      </c>
      <c r="H30" s="251">
        <v>1510.61</v>
      </c>
      <c r="I30" s="251">
        <v>1532.09</v>
      </c>
      <c r="J30" s="251">
        <v>1469.18</v>
      </c>
      <c r="K30" s="251">
        <v>1450.55</v>
      </c>
      <c r="L30" s="251">
        <v>1498.27</v>
      </c>
      <c r="M30" s="251">
        <v>1348.11</v>
      </c>
      <c r="N30" s="254" t="s">
        <v>67</v>
      </c>
      <c r="O30" s="253" t="s">
        <v>240</v>
      </c>
      <c r="V30" s="49"/>
    </row>
    <row r="31" spans="1:23" x14ac:dyDescent="0.2">
      <c r="A31" s="87" t="s">
        <v>16</v>
      </c>
      <c r="B31" s="251">
        <v>22.5</v>
      </c>
      <c r="C31" s="251">
        <v>23.6</v>
      </c>
      <c r="D31" s="251">
        <v>29.1</v>
      </c>
      <c r="E31" s="251">
        <v>43.2</v>
      </c>
      <c r="F31" s="251">
        <v>45.5</v>
      </c>
      <c r="G31" s="251">
        <v>43.6</v>
      </c>
      <c r="H31" s="251">
        <v>41.7</v>
      </c>
      <c r="I31" s="251">
        <v>41.5</v>
      </c>
      <c r="J31" s="251">
        <v>39.1</v>
      </c>
      <c r="K31" s="251">
        <v>40.6</v>
      </c>
      <c r="L31" s="251">
        <v>32.6</v>
      </c>
      <c r="M31" s="251">
        <v>22.4</v>
      </c>
      <c r="N31" s="250">
        <v>7572</v>
      </c>
      <c r="O31" s="41" t="s">
        <v>239</v>
      </c>
    </row>
    <row r="32" spans="1:23" x14ac:dyDescent="0.2">
      <c r="A32" s="87" t="s">
        <v>238</v>
      </c>
      <c r="B32" s="251">
        <v>0</v>
      </c>
      <c r="C32" s="251">
        <v>0</v>
      </c>
      <c r="D32" s="251">
        <v>0</v>
      </c>
      <c r="E32" s="251">
        <v>0</v>
      </c>
      <c r="F32" s="251">
        <v>0</v>
      </c>
      <c r="G32" s="251">
        <v>9.36</v>
      </c>
      <c r="H32" s="251">
        <v>7.67</v>
      </c>
      <c r="I32" s="251">
        <v>8.56</v>
      </c>
      <c r="J32" s="251">
        <v>9.14</v>
      </c>
      <c r="K32" s="251">
        <v>0</v>
      </c>
      <c r="L32" s="251">
        <v>0</v>
      </c>
      <c r="M32" s="251">
        <v>0</v>
      </c>
      <c r="N32" s="252">
        <v>10955</v>
      </c>
      <c r="O32" s="41" t="s">
        <v>236</v>
      </c>
    </row>
    <row r="33" spans="1:16" x14ac:dyDescent="0.2">
      <c r="A33" s="87" t="s">
        <v>237</v>
      </c>
      <c r="B33" s="271">
        <v>37.299999999999997</v>
      </c>
      <c r="C33" s="271">
        <v>38.58</v>
      </c>
      <c r="D33" s="271">
        <v>40.29</v>
      </c>
      <c r="E33" s="251">
        <v>45.03</v>
      </c>
      <c r="F33" s="251">
        <v>46.73</v>
      </c>
      <c r="G33" s="251">
        <v>45.04</v>
      </c>
      <c r="H33" s="251">
        <v>46.24</v>
      </c>
      <c r="I33" s="251">
        <v>46.62</v>
      </c>
      <c r="J33" s="251">
        <v>46.52</v>
      </c>
      <c r="K33" s="251">
        <v>46.91</v>
      </c>
      <c r="L33" s="251">
        <v>40.54</v>
      </c>
      <c r="M33" s="251">
        <v>36.29</v>
      </c>
      <c r="N33" s="250">
        <v>12667</v>
      </c>
      <c r="O33" s="41" t="s">
        <v>236</v>
      </c>
      <c r="P33" s="264"/>
    </row>
    <row r="34" spans="1:16" x14ac:dyDescent="0.2">
      <c r="A34" s="87" t="s">
        <v>235</v>
      </c>
      <c r="B34" s="251">
        <v>0</v>
      </c>
      <c r="C34" s="251">
        <v>0</v>
      </c>
      <c r="D34" s="251">
        <v>0</v>
      </c>
      <c r="E34" s="251">
        <v>0</v>
      </c>
      <c r="F34" s="251">
        <v>35.869999999999997</v>
      </c>
      <c r="G34" s="251">
        <v>37.130000000000003</v>
      </c>
      <c r="H34" s="251">
        <v>38.51</v>
      </c>
      <c r="I34" s="251">
        <v>39.39</v>
      </c>
      <c r="J34" s="251">
        <v>39.1</v>
      </c>
      <c r="K34" s="251">
        <v>36.479999999999997</v>
      </c>
      <c r="L34" s="251">
        <v>0</v>
      </c>
      <c r="M34" s="251">
        <v>0</v>
      </c>
      <c r="N34" s="250">
        <v>632432</v>
      </c>
      <c r="O34" s="41" t="s">
        <v>231</v>
      </c>
      <c r="P34" s="264"/>
    </row>
    <row r="35" spans="1:16" x14ac:dyDescent="0.2">
      <c r="A35" s="87" t="s">
        <v>234</v>
      </c>
      <c r="B35" s="251">
        <v>0</v>
      </c>
      <c r="C35" s="251">
        <v>0</v>
      </c>
      <c r="D35" s="251">
        <v>0</v>
      </c>
      <c r="E35" s="251">
        <v>0</v>
      </c>
      <c r="F35" s="251">
        <v>10.039999999999999</v>
      </c>
      <c r="G35" s="251">
        <v>10.38</v>
      </c>
      <c r="H35" s="251">
        <v>10.77</v>
      </c>
      <c r="I35" s="251">
        <v>11.06</v>
      </c>
      <c r="J35" s="251">
        <v>10.7</v>
      </c>
      <c r="K35" s="251">
        <v>10.27</v>
      </c>
      <c r="L35" s="251">
        <v>0</v>
      </c>
      <c r="M35" s="251">
        <v>0</v>
      </c>
      <c r="N35" s="250">
        <v>632432</v>
      </c>
      <c r="O35" s="41" t="s">
        <v>231</v>
      </c>
      <c r="P35" s="264"/>
    </row>
    <row r="36" spans="1:16" x14ac:dyDescent="0.2">
      <c r="A36" s="87" t="s">
        <v>233</v>
      </c>
      <c r="B36" s="251">
        <v>32.99</v>
      </c>
      <c r="C36" s="251">
        <v>32.99</v>
      </c>
      <c r="D36" s="251">
        <v>32.99</v>
      </c>
      <c r="E36" s="251">
        <v>65.88</v>
      </c>
      <c r="F36" s="251">
        <v>63.33</v>
      </c>
      <c r="G36" s="251">
        <v>63.21</v>
      </c>
      <c r="H36" s="251">
        <v>65.22</v>
      </c>
      <c r="I36" s="251">
        <v>66.81</v>
      </c>
      <c r="J36" s="251">
        <v>66.7</v>
      </c>
      <c r="K36" s="251">
        <v>64.12</v>
      </c>
      <c r="L36" s="251">
        <v>32.99</v>
      </c>
      <c r="M36" s="251">
        <v>32.99</v>
      </c>
      <c r="N36" s="250">
        <v>632432</v>
      </c>
      <c r="O36" s="41" t="s">
        <v>231</v>
      </c>
      <c r="P36" s="259"/>
    </row>
    <row r="37" spans="1:16" x14ac:dyDescent="0.2">
      <c r="A37" s="87" t="s">
        <v>232</v>
      </c>
      <c r="B37" s="251">
        <v>35.1</v>
      </c>
      <c r="C37" s="251">
        <v>35.1</v>
      </c>
      <c r="D37" s="251">
        <v>35.1</v>
      </c>
      <c r="E37" s="251">
        <v>64.61</v>
      </c>
      <c r="F37" s="251">
        <v>60.75</v>
      </c>
      <c r="G37" s="251">
        <v>62.14</v>
      </c>
      <c r="H37" s="251">
        <v>64.69</v>
      </c>
      <c r="I37" s="251">
        <v>65.53</v>
      </c>
      <c r="J37" s="251">
        <v>62.88</v>
      </c>
      <c r="K37" s="251">
        <v>62.17</v>
      </c>
      <c r="L37" s="251">
        <v>35.1</v>
      </c>
      <c r="M37" s="251">
        <v>35.1</v>
      </c>
      <c r="N37" s="250">
        <v>632432</v>
      </c>
      <c r="O37" s="41" t="s">
        <v>231</v>
      </c>
    </row>
    <row r="38" spans="1:16" x14ac:dyDescent="0.2">
      <c r="A38" s="87" t="s">
        <v>49</v>
      </c>
      <c r="B38" s="251">
        <v>0</v>
      </c>
      <c r="C38" s="251">
        <v>0</v>
      </c>
      <c r="D38" s="251">
        <v>0</v>
      </c>
      <c r="E38" s="251">
        <v>0</v>
      </c>
      <c r="F38" s="251">
        <v>0</v>
      </c>
      <c r="G38" s="251">
        <v>0</v>
      </c>
      <c r="H38" s="251">
        <v>50.8</v>
      </c>
      <c r="I38" s="251">
        <v>134</v>
      </c>
      <c r="J38" s="251">
        <v>197.1</v>
      </c>
      <c r="K38" s="251">
        <v>103.8</v>
      </c>
      <c r="L38" s="251">
        <v>46</v>
      </c>
      <c r="M38" s="251">
        <v>0</v>
      </c>
      <c r="N38" s="250">
        <v>3059</v>
      </c>
      <c r="O38" s="41" t="s">
        <v>230</v>
      </c>
      <c r="P38" s="265"/>
    </row>
    <row r="39" spans="1:16" x14ac:dyDescent="0.2">
      <c r="A39" s="87" t="s">
        <v>35</v>
      </c>
      <c r="B39" s="43" t="s">
        <v>67</v>
      </c>
      <c r="C39" s="43" t="s">
        <v>67</v>
      </c>
      <c r="D39" s="43" t="s">
        <v>67</v>
      </c>
      <c r="E39" s="171" t="s">
        <v>67</v>
      </c>
      <c r="F39" s="43" t="s">
        <v>67</v>
      </c>
      <c r="G39" s="43" t="s">
        <v>67</v>
      </c>
      <c r="H39" s="43" t="s">
        <v>67</v>
      </c>
      <c r="I39" s="43" t="s">
        <v>67</v>
      </c>
      <c r="J39" s="43" t="s">
        <v>67</v>
      </c>
      <c r="K39" s="43" t="s">
        <v>67</v>
      </c>
      <c r="L39" s="43" t="s">
        <v>67</v>
      </c>
      <c r="M39" s="43" t="s">
        <v>67</v>
      </c>
      <c r="N39" s="250">
        <v>22477</v>
      </c>
      <c r="O39" s="41" t="s">
        <v>229</v>
      </c>
    </row>
    <row r="41" spans="1:16" x14ac:dyDescent="0.2">
      <c r="A41" s="498" t="s">
        <v>28</v>
      </c>
      <c r="B41" s="498"/>
      <c r="C41" s="498"/>
      <c r="D41" s="498"/>
      <c r="E41" s="498"/>
      <c r="F41" s="498"/>
      <c r="G41" s="498"/>
      <c r="H41" s="498"/>
      <c r="I41" s="498"/>
      <c r="J41" s="498"/>
      <c r="K41" s="498"/>
      <c r="L41" s="498"/>
      <c r="M41" s="498"/>
      <c r="N41" s="498"/>
      <c r="O41" s="498"/>
    </row>
    <row r="42" spans="1:16" ht="63" customHeight="1" x14ac:dyDescent="0.2">
      <c r="A42" s="510" t="s">
        <v>268</v>
      </c>
      <c r="B42" s="510"/>
      <c r="C42" s="510"/>
      <c r="D42" s="510"/>
      <c r="E42" s="510"/>
      <c r="F42" s="510"/>
      <c r="G42" s="510"/>
      <c r="H42" s="510"/>
      <c r="I42" s="510"/>
      <c r="J42" s="510"/>
      <c r="K42" s="510"/>
      <c r="L42" s="510"/>
      <c r="M42" s="510"/>
      <c r="N42" s="510"/>
      <c r="O42" s="510"/>
    </row>
    <row r="43" spans="1:16" x14ac:dyDescent="0.2">
      <c r="A43" s="37"/>
      <c r="B43" s="14"/>
      <c r="C43" s="249"/>
      <c r="D43" s="14"/>
      <c r="E43" s="241"/>
      <c r="F43" s="14"/>
      <c r="G43" s="241"/>
      <c r="H43" s="14"/>
      <c r="I43" s="199"/>
      <c r="J43" s="14"/>
      <c r="K43" s="199"/>
      <c r="L43" s="14"/>
      <c r="M43" s="199"/>
      <c r="N43" s="81"/>
    </row>
    <row r="44" spans="1:16" x14ac:dyDescent="0.2">
      <c r="A44" s="37"/>
    </row>
    <row r="45" spans="1:16" x14ac:dyDescent="0.2">
      <c r="A45" s="37" t="s">
        <v>228</v>
      </c>
    </row>
  </sheetData>
  <mergeCells count="8">
    <mergeCell ref="A42:O42"/>
    <mergeCell ref="B4:M4"/>
    <mergeCell ref="N4:N5"/>
    <mergeCell ref="B25:M25"/>
    <mergeCell ref="N25:N26"/>
    <mergeCell ref="A41:O41"/>
    <mergeCell ref="A21:O21"/>
    <mergeCell ref="A23:O23"/>
  </mergeCells>
  <printOptions horizontalCentered="1"/>
  <pageMargins left="0.25" right="0.25" top="0.75" bottom="0.5" header="0.4" footer="0.28000000000000003"/>
  <pageSetup scale="69" orientation="landscape" r:id="rId1"/>
  <headerFooter alignWithMargins="0">
    <oddHeader>&amp;C&amp;"Arial,Bold"Table I-1A
Average Load Impact kW / Customer
2011</oddHead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
  <sheetViews>
    <sheetView zoomScale="50" zoomScaleNormal="50" zoomScaleSheetLayoutView="50" workbookViewId="0">
      <selection activeCell="A2" sqref="A2"/>
    </sheetView>
  </sheetViews>
  <sheetFormatPr defaultRowHeight="18" x14ac:dyDescent="0.25"/>
  <cols>
    <col min="1" max="1" width="45.7109375" style="120" customWidth="1"/>
    <col min="2" max="2" width="16.85546875" style="120" customWidth="1"/>
    <col min="3" max="3" width="14.85546875" style="120" customWidth="1"/>
    <col min="4" max="4" width="13.7109375" style="120" customWidth="1"/>
    <col min="5" max="5" width="18.7109375" style="120" customWidth="1"/>
    <col min="6" max="6" width="15.42578125" style="120" customWidth="1"/>
    <col min="7" max="7" width="14.5703125" style="120" customWidth="1"/>
    <col min="8" max="8" width="13.85546875" style="120" customWidth="1"/>
    <col min="9" max="9" width="18.85546875" style="120" customWidth="1"/>
    <col min="10" max="10" width="15.28515625" style="120" customWidth="1"/>
    <col min="11" max="11" width="14.5703125" style="120" customWidth="1"/>
    <col min="12" max="12" width="13.85546875" style="120" customWidth="1"/>
    <col min="13" max="13" width="18.7109375" style="120" customWidth="1"/>
    <col min="14" max="14" width="15" style="120" customWidth="1"/>
    <col min="15" max="15" width="14.28515625" style="120" customWidth="1"/>
    <col min="16" max="16" width="13.5703125" style="120" customWidth="1"/>
    <col min="17" max="17" width="19.140625" style="120" customWidth="1"/>
    <col min="18" max="18" width="15.42578125" style="120" customWidth="1"/>
    <col min="19" max="19" width="13.7109375" style="120" customWidth="1"/>
    <col min="20" max="20" width="13.85546875" style="120" customWidth="1"/>
    <col min="21" max="21" width="18.85546875" style="120" customWidth="1"/>
    <col min="22" max="22" width="15" style="120" customWidth="1"/>
    <col min="23" max="23" width="13.5703125" style="120" customWidth="1"/>
    <col min="24" max="24" width="13.85546875" style="120" customWidth="1"/>
    <col min="25" max="25" width="18.5703125" style="120" customWidth="1"/>
    <col min="26" max="16384" width="9.140625" style="120"/>
  </cols>
  <sheetData>
    <row r="1" spans="1:25" x14ac:dyDescent="0.25">
      <c r="A1" s="106" t="s">
        <v>192</v>
      </c>
    </row>
    <row r="3" spans="1:25" ht="21.75" customHeight="1" x14ac:dyDescent="0.25">
      <c r="A3" s="110">
        <v>2011</v>
      </c>
      <c r="B3" s="516" t="s">
        <v>0</v>
      </c>
      <c r="C3" s="516"/>
      <c r="D3" s="516"/>
      <c r="E3" s="516"/>
      <c r="F3" s="516" t="s">
        <v>1</v>
      </c>
      <c r="G3" s="516"/>
      <c r="H3" s="516"/>
      <c r="I3" s="516"/>
      <c r="J3" s="516" t="s">
        <v>2</v>
      </c>
      <c r="K3" s="516"/>
      <c r="L3" s="516"/>
      <c r="M3" s="516"/>
      <c r="N3" s="516" t="s">
        <v>3</v>
      </c>
      <c r="O3" s="516"/>
      <c r="P3" s="516"/>
      <c r="Q3" s="516"/>
      <c r="R3" s="516" t="s">
        <v>4</v>
      </c>
      <c r="S3" s="516"/>
      <c r="T3" s="516"/>
      <c r="U3" s="516"/>
      <c r="V3" s="516" t="s">
        <v>5</v>
      </c>
      <c r="W3" s="516"/>
      <c r="X3" s="516"/>
      <c r="Y3" s="516"/>
    </row>
    <row r="4" spans="1:25" ht="79.5" customHeight="1" x14ac:dyDescent="0.25">
      <c r="A4" s="114" t="s">
        <v>112</v>
      </c>
      <c r="B4" s="121" t="s">
        <v>182</v>
      </c>
      <c r="C4" s="121" t="s">
        <v>183</v>
      </c>
      <c r="D4" s="121" t="s">
        <v>184</v>
      </c>
      <c r="E4" s="121" t="s">
        <v>185</v>
      </c>
      <c r="F4" s="121" t="s">
        <v>182</v>
      </c>
      <c r="G4" s="121" t="s">
        <v>183</v>
      </c>
      <c r="H4" s="121" t="s">
        <v>184</v>
      </c>
      <c r="I4" s="121" t="s">
        <v>185</v>
      </c>
      <c r="J4" s="121" t="s">
        <v>182</v>
      </c>
      <c r="K4" s="121" t="s">
        <v>183</v>
      </c>
      <c r="L4" s="121" t="s">
        <v>184</v>
      </c>
      <c r="M4" s="121" t="s">
        <v>185</v>
      </c>
      <c r="N4" s="121" t="s">
        <v>182</v>
      </c>
      <c r="O4" s="121" t="s">
        <v>183</v>
      </c>
      <c r="P4" s="121" t="s">
        <v>184</v>
      </c>
      <c r="Q4" s="121" t="s">
        <v>185</v>
      </c>
      <c r="R4" s="121" t="s">
        <v>182</v>
      </c>
      <c r="S4" s="121" t="s">
        <v>183</v>
      </c>
      <c r="T4" s="121" t="s">
        <v>184</v>
      </c>
      <c r="U4" s="121" t="s">
        <v>185</v>
      </c>
      <c r="V4" s="121" t="s">
        <v>182</v>
      </c>
      <c r="W4" s="121" t="s">
        <v>183</v>
      </c>
      <c r="X4" s="121" t="s">
        <v>184</v>
      </c>
      <c r="Y4" s="121" t="s">
        <v>185</v>
      </c>
    </row>
    <row r="5" spans="1:25" x14ac:dyDescent="0.25">
      <c r="A5" s="122" t="s">
        <v>41</v>
      </c>
      <c r="B5" s="123"/>
      <c r="C5" s="124">
        <v>4.0999999999999996</v>
      </c>
      <c r="D5" s="189">
        <v>3.0591000000000004</v>
      </c>
      <c r="E5" s="111">
        <f t="shared" ref="E5:E10" si="0">SUM(B5:D5)</f>
        <v>7.1591000000000005</v>
      </c>
      <c r="F5" s="122"/>
      <c r="G5" s="192">
        <v>4.0952999999999982</v>
      </c>
      <c r="H5" s="192">
        <v>3.0591000000000004</v>
      </c>
      <c r="I5" s="101">
        <f t="shared" ref="I5:I10" si="1">SUM(G5:H5)</f>
        <v>7.154399999999999</v>
      </c>
      <c r="J5" s="122"/>
      <c r="K5" s="266">
        <v>4.0952999999999982</v>
      </c>
      <c r="L5" s="267">
        <v>3.0591000000000004</v>
      </c>
      <c r="M5" s="101">
        <f t="shared" ref="M5:M10" si="2">SUM(K5:L5)</f>
        <v>7.154399999999999</v>
      </c>
      <c r="N5" s="125"/>
      <c r="O5" s="266">
        <v>4.1252999999999984</v>
      </c>
      <c r="P5" s="267">
        <v>3.0591000000000004</v>
      </c>
      <c r="Q5" s="101">
        <f t="shared" ref="Q5:Q10" si="3">SUM(O5:P5)</f>
        <v>7.1843999999999983</v>
      </c>
      <c r="R5" s="125"/>
      <c r="S5" s="267">
        <v>4.2811000000000003</v>
      </c>
      <c r="T5" s="267">
        <v>3.0590999999999999</v>
      </c>
      <c r="U5" s="101">
        <f t="shared" ref="U5:U10" si="4">SUM(S5:T5)</f>
        <v>7.3402000000000003</v>
      </c>
      <c r="V5" s="125"/>
      <c r="W5" s="266">
        <v>4.4432999999999989</v>
      </c>
      <c r="X5" s="266">
        <v>3.0591000000000004</v>
      </c>
      <c r="Y5" s="101">
        <f t="shared" ref="Y5:Y10" si="5">SUM(W5:X5)</f>
        <v>7.5023999999999997</v>
      </c>
    </row>
    <row r="6" spans="1:25" x14ac:dyDescent="0.25">
      <c r="A6" s="122" t="s">
        <v>172</v>
      </c>
      <c r="B6" s="123"/>
      <c r="C6" s="124">
        <v>3.6</v>
      </c>
      <c r="D6" s="189">
        <v>0.16400000000000001</v>
      </c>
      <c r="E6" s="111">
        <f t="shared" si="0"/>
        <v>3.7640000000000002</v>
      </c>
      <c r="F6" s="122"/>
      <c r="G6" s="192">
        <v>3.9553999999999996</v>
      </c>
      <c r="H6" s="192">
        <v>0.16400000000000001</v>
      </c>
      <c r="I6" s="101">
        <f t="shared" si="1"/>
        <v>4.1193999999999997</v>
      </c>
      <c r="J6" s="122"/>
      <c r="K6" s="266">
        <v>3.9553999999999996</v>
      </c>
      <c r="L6" s="267">
        <v>0.16400000000000001</v>
      </c>
      <c r="M6" s="101">
        <f t="shared" si="2"/>
        <v>4.1193999999999997</v>
      </c>
      <c r="N6" s="125"/>
      <c r="O6" s="266">
        <v>3.8997999999999995</v>
      </c>
      <c r="P6" s="267">
        <v>0.16400000000000001</v>
      </c>
      <c r="Q6" s="101">
        <f t="shared" si="3"/>
        <v>4.0637999999999996</v>
      </c>
      <c r="R6" s="125"/>
      <c r="S6" s="267">
        <v>4.3481999999999985</v>
      </c>
      <c r="T6" s="267">
        <v>0.16400000000000001</v>
      </c>
      <c r="U6" s="101">
        <f t="shared" si="4"/>
        <v>4.5121999999999982</v>
      </c>
      <c r="V6" s="125"/>
      <c r="W6" s="266">
        <v>4.7519</v>
      </c>
      <c r="X6" s="266">
        <v>0.16400000000000001</v>
      </c>
      <c r="Y6" s="101">
        <f t="shared" si="5"/>
        <v>4.9158999999999997</v>
      </c>
    </row>
    <row r="7" spans="1:25" x14ac:dyDescent="0.25">
      <c r="A7" s="122" t="s">
        <v>168</v>
      </c>
      <c r="B7" s="123"/>
      <c r="C7" s="124">
        <v>25.7</v>
      </c>
      <c r="D7" s="189">
        <v>0.47410000000000002</v>
      </c>
      <c r="E7" s="111">
        <f t="shared" si="0"/>
        <v>26.174099999999999</v>
      </c>
      <c r="F7" s="122"/>
      <c r="G7" s="192">
        <v>26.967100000000002</v>
      </c>
      <c r="H7" s="192">
        <v>0.47410000000000002</v>
      </c>
      <c r="I7" s="101">
        <f t="shared" si="1"/>
        <v>27.441200000000002</v>
      </c>
      <c r="J7" s="122"/>
      <c r="K7" s="266">
        <v>27.214800000000004</v>
      </c>
      <c r="L7" s="267">
        <v>0.47410000000000002</v>
      </c>
      <c r="M7" s="101">
        <f t="shared" si="2"/>
        <v>27.688900000000004</v>
      </c>
      <c r="N7" s="125"/>
      <c r="O7" s="266">
        <v>27.214800000000004</v>
      </c>
      <c r="P7" s="267">
        <v>0.84410000000000007</v>
      </c>
      <c r="Q7" s="101">
        <f t="shared" si="3"/>
        <v>28.058900000000005</v>
      </c>
      <c r="R7" s="125"/>
      <c r="S7" s="267">
        <v>27.742800000000049</v>
      </c>
      <c r="T7" s="267">
        <v>0.84410000000000007</v>
      </c>
      <c r="U7" s="101">
        <f>SUM(S7:T7)</f>
        <v>28.58690000000005</v>
      </c>
      <c r="V7" s="125"/>
      <c r="W7" s="266">
        <v>27.346400000000003</v>
      </c>
      <c r="X7" s="266">
        <v>0.60399999999999998</v>
      </c>
      <c r="Y7" s="101">
        <f t="shared" si="5"/>
        <v>27.950400000000002</v>
      </c>
    </row>
    <row r="8" spans="1:25" x14ac:dyDescent="0.25">
      <c r="A8" s="122" t="s">
        <v>169</v>
      </c>
      <c r="B8" s="123"/>
      <c r="C8" s="124">
        <v>3.7</v>
      </c>
      <c r="D8" s="189">
        <v>2.0841999999999996</v>
      </c>
      <c r="E8" s="111">
        <f t="shared" si="0"/>
        <v>5.7842000000000002</v>
      </c>
      <c r="F8" s="122"/>
      <c r="G8" s="192">
        <v>2.7398999999999996</v>
      </c>
      <c r="H8" s="192">
        <v>2.0841999999999996</v>
      </c>
      <c r="I8" s="101">
        <f t="shared" si="1"/>
        <v>4.8240999999999996</v>
      </c>
      <c r="J8" s="122"/>
      <c r="K8" s="266">
        <v>5.4801000000000002</v>
      </c>
      <c r="L8" s="266">
        <v>1.9732000000000001</v>
      </c>
      <c r="M8" s="101">
        <f t="shared" si="2"/>
        <v>7.4533000000000005</v>
      </c>
      <c r="N8" s="125"/>
      <c r="O8" s="266">
        <v>5.4801000000000002</v>
      </c>
      <c r="P8" s="266">
        <v>1.9732000000000001</v>
      </c>
      <c r="Q8" s="101">
        <f t="shared" si="3"/>
        <v>7.4533000000000005</v>
      </c>
      <c r="R8" s="125"/>
      <c r="S8" s="267">
        <v>5.4801000000000002</v>
      </c>
      <c r="T8" s="267">
        <v>2.0841999999999996</v>
      </c>
      <c r="U8" s="101">
        <f t="shared" si="4"/>
        <v>7.5642999999999994</v>
      </c>
      <c r="V8" s="125"/>
      <c r="W8" s="266">
        <v>6.1858000000000004</v>
      </c>
      <c r="X8" s="266">
        <v>2.0841999999999996</v>
      </c>
      <c r="Y8" s="101">
        <f t="shared" si="5"/>
        <v>8.27</v>
      </c>
    </row>
    <row r="9" spans="1:25" x14ac:dyDescent="0.25">
      <c r="A9" s="122" t="s">
        <v>72</v>
      </c>
      <c r="B9" s="123"/>
      <c r="C9" s="124">
        <v>0.7</v>
      </c>
      <c r="D9" s="124">
        <v>0</v>
      </c>
      <c r="E9" s="111">
        <f t="shared" si="0"/>
        <v>0.7</v>
      </c>
      <c r="F9" s="122"/>
      <c r="G9" s="192">
        <v>0.68200000000000005</v>
      </c>
      <c r="H9" s="192">
        <v>0</v>
      </c>
      <c r="I9" s="101">
        <f t="shared" si="1"/>
        <v>0.68200000000000005</v>
      </c>
      <c r="J9" s="122"/>
      <c r="K9" s="266">
        <v>0.68200000000000005</v>
      </c>
      <c r="L9" s="266">
        <v>0</v>
      </c>
      <c r="M9" s="101">
        <f t="shared" si="2"/>
        <v>0.68200000000000005</v>
      </c>
      <c r="N9" s="125"/>
      <c r="O9" s="266">
        <v>0.96189999999999998</v>
      </c>
      <c r="P9" s="266">
        <v>0</v>
      </c>
      <c r="Q9" s="101">
        <f t="shared" si="3"/>
        <v>0.96189999999999998</v>
      </c>
      <c r="R9" s="125"/>
      <c r="S9" s="267">
        <v>0.96189999999999998</v>
      </c>
      <c r="T9" s="267">
        <v>0</v>
      </c>
      <c r="U9" s="101">
        <f t="shared" si="4"/>
        <v>0.96189999999999998</v>
      </c>
      <c r="V9" s="125"/>
      <c r="W9" s="266">
        <v>0.96189999999999998</v>
      </c>
      <c r="X9" s="266">
        <v>0</v>
      </c>
      <c r="Y9" s="101">
        <f t="shared" si="5"/>
        <v>0.96189999999999998</v>
      </c>
    </row>
    <row r="10" spans="1:25" x14ac:dyDescent="0.25">
      <c r="A10" s="122" t="s">
        <v>35</v>
      </c>
      <c r="B10" s="123"/>
      <c r="C10" s="124">
        <v>0</v>
      </c>
      <c r="D10" s="124">
        <v>0</v>
      </c>
      <c r="E10" s="111">
        <f t="shared" si="0"/>
        <v>0</v>
      </c>
      <c r="F10" s="122"/>
      <c r="G10" s="192">
        <v>0</v>
      </c>
      <c r="H10" s="192">
        <v>0</v>
      </c>
      <c r="I10" s="101">
        <f t="shared" si="1"/>
        <v>0</v>
      </c>
      <c r="J10" s="122"/>
      <c r="K10" s="266">
        <v>0</v>
      </c>
      <c r="L10" s="266">
        <v>0</v>
      </c>
      <c r="M10" s="101">
        <f t="shared" si="2"/>
        <v>0</v>
      </c>
      <c r="N10" s="125"/>
      <c r="O10" s="266">
        <v>0</v>
      </c>
      <c r="P10" s="266">
        <v>0</v>
      </c>
      <c r="Q10" s="101">
        <f t="shared" si="3"/>
        <v>0</v>
      </c>
      <c r="R10" s="125"/>
      <c r="S10" s="267">
        <v>0</v>
      </c>
      <c r="T10" s="267">
        <v>0</v>
      </c>
      <c r="U10" s="101">
        <f t="shared" si="4"/>
        <v>0</v>
      </c>
      <c r="V10" s="125"/>
      <c r="W10" s="266">
        <v>0</v>
      </c>
      <c r="X10" s="266">
        <v>0</v>
      </c>
      <c r="Y10" s="101">
        <f t="shared" si="5"/>
        <v>0</v>
      </c>
    </row>
    <row r="11" spans="1:25" x14ac:dyDescent="0.25">
      <c r="A11" s="122"/>
      <c r="B11" s="128"/>
      <c r="C11" s="124"/>
      <c r="D11" s="124"/>
      <c r="E11" s="112"/>
      <c r="F11" s="122"/>
      <c r="G11" s="126"/>
      <c r="H11" s="126"/>
      <c r="I11" s="101"/>
      <c r="J11" s="125"/>
      <c r="K11" s="126"/>
      <c r="L11" s="126"/>
      <c r="M11" s="101"/>
      <c r="N11" s="125"/>
      <c r="O11" s="126"/>
      <c r="P11" s="126"/>
      <c r="Q11" s="101"/>
      <c r="R11" s="125"/>
      <c r="S11" s="126"/>
      <c r="T11" s="126"/>
      <c r="U11" s="101"/>
      <c r="V11" s="125"/>
      <c r="W11" s="126"/>
      <c r="X11" s="126"/>
      <c r="Y11" s="101"/>
    </row>
    <row r="12" spans="1:25" s="106" customFormat="1" x14ac:dyDescent="0.25">
      <c r="A12" s="103" t="s">
        <v>123</v>
      </c>
      <c r="B12" s="129"/>
      <c r="C12" s="102">
        <f>SUM(C5:C11)</f>
        <v>37.800000000000004</v>
      </c>
      <c r="D12" s="102">
        <f>SUM(D5:D11)</f>
        <v>5.7813999999999997</v>
      </c>
      <c r="E12" s="102">
        <f>SUM(E5:E11)</f>
        <v>43.581400000000002</v>
      </c>
      <c r="F12" s="103"/>
      <c r="G12" s="101">
        <f>SUM(G5:G11)</f>
        <v>38.439700000000002</v>
      </c>
      <c r="H12" s="101">
        <f>SUM(H5:H11)</f>
        <v>5.7813999999999997</v>
      </c>
      <c r="I12" s="101">
        <f>SUM(I5:I11)</f>
        <v>44.221100000000007</v>
      </c>
      <c r="J12" s="104"/>
      <c r="K12" s="101">
        <f>SUM(K5:K11)</f>
        <v>41.427600000000005</v>
      </c>
      <c r="L12" s="101">
        <f>SUM(L5:L11)</f>
        <v>5.6704000000000008</v>
      </c>
      <c r="M12" s="101">
        <f>SUM(M5:M11)</f>
        <v>47.097999999999999</v>
      </c>
      <c r="N12" s="104"/>
      <c r="O12" s="101">
        <f>SUM(O5:O11)</f>
        <v>41.681900000000006</v>
      </c>
      <c r="P12" s="101">
        <f>SUM(P5:P11)</f>
        <v>6.0404000000000009</v>
      </c>
      <c r="Q12" s="101">
        <f>SUM(Q5:Q11)</f>
        <v>47.722300000000004</v>
      </c>
      <c r="R12" s="104"/>
      <c r="S12" s="101">
        <f>SUM(S5:S11)</f>
        <v>42.814100000000046</v>
      </c>
      <c r="T12" s="101">
        <f>SUM(T5:T11)</f>
        <v>6.1513999999999989</v>
      </c>
      <c r="U12" s="101">
        <f>SUM(U5:U11)</f>
        <v>48.965500000000048</v>
      </c>
      <c r="V12" s="104"/>
      <c r="W12" s="101">
        <f>SUM(W5:W11)</f>
        <v>43.689300000000003</v>
      </c>
      <c r="X12" s="101">
        <f>SUM(X5:X11)</f>
        <v>5.9113000000000007</v>
      </c>
      <c r="Y12" s="101">
        <f>SUM(Y5:Y11)</f>
        <v>49.6006</v>
      </c>
    </row>
    <row r="13" spans="1:25" ht="3.95" customHeight="1" x14ac:dyDescent="0.25">
      <c r="A13" s="103"/>
      <c r="B13" s="103"/>
      <c r="C13" s="130"/>
      <c r="D13" s="130"/>
      <c r="E13" s="113"/>
      <c r="F13" s="103"/>
      <c r="G13" s="125"/>
      <c r="H13" s="125"/>
      <c r="I13" s="101"/>
      <c r="J13" s="104"/>
      <c r="K13" s="125"/>
      <c r="L13" s="131"/>
      <c r="M13" s="101"/>
      <c r="N13" s="104"/>
      <c r="O13" s="125"/>
      <c r="P13" s="131"/>
      <c r="Q13" s="101"/>
      <c r="R13" s="104"/>
      <c r="S13" s="125"/>
      <c r="T13" s="131"/>
      <c r="U13" s="101"/>
      <c r="V13" s="104"/>
      <c r="W13" s="125"/>
      <c r="X13" s="131"/>
      <c r="Y13" s="101"/>
    </row>
    <row r="14" spans="1:25" x14ac:dyDescent="0.25">
      <c r="A14" s="132" t="s">
        <v>25</v>
      </c>
      <c r="B14" s="132"/>
      <c r="C14" s="121"/>
      <c r="D14" s="121"/>
      <c r="E14" s="114"/>
      <c r="F14" s="132"/>
      <c r="G14" s="133"/>
      <c r="H14" s="134"/>
      <c r="I14" s="134"/>
      <c r="J14" s="135"/>
      <c r="K14" s="133"/>
      <c r="L14" s="134"/>
      <c r="M14" s="101"/>
      <c r="N14" s="135"/>
      <c r="O14" s="133"/>
      <c r="P14" s="134"/>
      <c r="Q14" s="101"/>
      <c r="R14" s="135"/>
      <c r="S14" s="133"/>
      <c r="T14" s="134"/>
      <c r="U14" s="101"/>
      <c r="V14" s="135"/>
      <c r="W14" s="133"/>
      <c r="X14" s="134"/>
      <c r="Y14" s="101"/>
    </row>
    <row r="15" spans="1:25" x14ac:dyDescent="0.25">
      <c r="A15" s="122" t="s">
        <v>171</v>
      </c>
      <c r="B15" s="123"/>
      <c r="C15" s="124">
        <v>0</v>
      </c>
      <c r="D15" s="124">
        <v>0</v>
      </c>
      <c r="E15" s="111">
        <f>SUM(B15:D15)</f>
        <v>0</v>
      </c>
      <c r="F15" s="122"/>
      <c r="G15" s="124">
        <v>0</v>
      </c>
      <c r="H15" s="124">
        <v>0</v>
      </c>
      <c r="I15" s="101">
        <f>SUM(G15:H15)</f>
        <v>0</v>
      </c>
      <c r="J15" s="125"/>
      <c r="K15" s="124">
        <v>0</v>
      </c>
      <c r="L15" s="124">
        <v>0</v>
      </c>
      <c r="M15" s="101">
        <f>SUM(K15:L15)</f>
        <v>0</v>
      </c>
      <c r="N15" s="125"/>
      <c r="O15" s="126">
        <v>0</v>
      </c>
      <c r="P15" s="126">
        <v>0</v>
      </c>
      <c r="Q15" s="101">
        <f>SUM(O15:P15)</f>
        <v>0</v>
      </c>
      <c r="R15" s="125"/>
      <c r="S15" s="126">
        <v>0</v>
      </c>
      <c r="T15" s="126">
        <v>0</v>
      </c>
      <c r="U15" s="101">
        <f>SUM(S15:T15)</f>
        <v>0</v>
      </c>
      <c r="V15" s="125"/>
      <c r="W15" s="126">
        <v>0</v>
      </c>
      <c r="X15" s="126">
        <v>0</v>
      </c>
      <c r="Y15" s="101">
        <f>SUM(W15:X15)</f>
        <v>0</v>
      </c>
    </row>
    <row r="16" spans="1:25" x14ac:dyDescent="0.25">
      <c r="A16" s="122" t="s">
        <v>173</v>
      </c>
      <c r="B16" s="123"/>
      <c r="C16" s="124">
        <v>0</v>
      </c>
      <c r="D16" s="124">
        <v>0</v>
      </c>
      <c r="E16" s="111">
        <f>SUM(B16:D16)</f>
        <v>0</v>
      </c>
      <c r="F16" s="122"/>
      <c r="G16" s="124">
        <v>0</v>
      </c>
      <c r="H16" s="124">
        <v>0</v>
      </c>
      <c r="I16" s="101">
        <f>SUM(G16:H16)</f>
        <v>0</v>
      </c>
      <c r="J16" s="125"/>
      <c r="K16" s="124">
        <v>0</v>
      </c>
      <c r="L16" s="124">
        <v>0</v>
      </c>
      <c r="M16" s="101">
        <f>SUM(K16:L16)</f>
        <v>0</v>
      </c>
      <c r="N16" s="125"/>
      <c r="O16" s="126">
        <v>0</v>
      </c>
      <c r="P16" s="126">
        <v>0</v>
      </c>
      <c r="Q16" s="101">
        <f>SUM(O16:P16)</f>
        <v>0</v>
      </c>
      <c r="R16" s="125"/>
      <c r="S16" s="126">
        <v>0</v>
      </c>
      <c r="T16" s="126">
        <v>0</v>
      </c>
      <c r="U16" s="101">
        <f>SUM(S16:T16)</f>
        <v>0</v>
      </c>
      <c r="V16" s="125"/>
      <c r="W16" s="126">
        <v>0</v>
      </c>
      <c r="X16" s="126">
        <v>0</v>
      </c>
      <c r="Y16" s="101">
        <f>SUM(W16:X16)</f>
        <v>0</v>
      </c>
    </row>
    <row r="17" spans="1:25" x14ac:dyDescent="0.25">
      <c r="A17" s="122" t="s">
        <v>170</v>
      </c>
      <c r="B17" s="123"/>
      <c r="C17" s="124">
        <v>0</v>
      </c>
      <c r="D17" s="124">
        <v>0</v>
      </c>
      <c r="E17" s="111">
        <f>SUM(B17:D17)</f>
        <v>0</v>
      </c>
      <c r="F17" s="122"/>
      <c r="G17" s="124">
        <v>0</v>
      </c>
      <c r="H17" s="124">
        <v>0</v>
      </c>
      <c r="I17" s="101">
        <f>SUM(G17:H17)</f>
        <v>0</v>
      </c>
      <c r="J17" s="125"/>
      <c r="K17" s="124">
        <v>0</v>
      </c>
      <c r="L17" s="124">
        <v>0</v>
      </c>
      <c r="M17" s="101">
        <f>SUM(K17:L17)</f>
        <v>0</v>
      </c>
      <c r="N17" s="125"/>
      <c r="O17" s="126">
        <v>0</v>
      </c>
      <c r="P17" s="126">
        <v>0</v>
      </c>
      <c r="Q17" s="101">
        <f>SUM(O17:P17)</f>
        <v>0</v>
      </c>
      <c r="R17" s="125"/>
      <c r="S17" s="126">
        <v>0</v>
      </c>
      <c r="T17" s="126">
        <v>0</v>
      </c>
      <c r="U17" s="101">
        <f>SUM(S17:T17)</f>
        <v>0</v>
      </c>
      <c r="V17" s="125"/>
      <c r="W17" s="126">
        <v>0</v>
      </c>
      <c r="X17" s="126">
        <v>0</v>
      </c>
      <c r="Y17" s="101">
        <f>SUM(W17:X17)</f>
        <v>0</v>
      </c>
    </row>
    <row r="18" spans="1:25" x14ac:dyDescent="0.25">
      <c r="A18" s="122" t="s">
        <v>15</v>
      </c>
      <c r="B18" s="128"/>
      <c r="C18" s="124">
        <v>0</v>
      </c>
      <c r="D18" s="124">
        <v>0</v>
      </c>
      <c r="E18" s="111">
        <f>SUM(B18:D18)</f>
        <v>0</v>
      </c>
      <c r="F18" s="122"/>
      <c r="G18" s="124">
        <v>0</v>
      </c>
      <c r="H18" s="124">
        <v>0</v>
      </c>
      <c r="I18" s="101">
        <f>SUM(G18:H18)</f>
        <v>0</v>
      </c>
      <c r="J18" s="125"/>
      <c r="K18" s="124">
        <v>0</v>
      </c>
      <c r="L18" s="124">
        <v>0</v>
      </c>
      <c r="M18" s="101">
        <f>SUM(K18:L18)</f>
        <v>0</v>
      </c>
      <c r="N18" s="125"/>
      <c r="O18" s="126">
        <v>0</v>
      </c>
      <c r="P18" s="126">
        <v>0</v>
      </c>
      <c r="Q18" s="101">
        <f>SUM(O18:P18)</f>
        <v>0</v>
      </c>
      <c r="R18" s="125"/>
      <c r="S18" s="126">
        <v>0</v>
      </c>
      <c r="T18" s="126">
        <v>0</v>
      </c>
      <c r="U18" s="101">
        <f>SUM(S18:T18)</f>
        <v>0</v>
      </c>
      <c r="V18" s="125"/>
      <c r="W18" s="126">
        <v>0</v>
      </c>
      <c r="X18" s="126">
        <v>0</v>
      </c>
      <c r="Y18" s="101">
        <f>SUM(W18:X18)</f>
        <v>0</v>
      </c>
    </row>
    <row r="19" spans="1:25" x14ac:dyDescent="0.25">
      <c r="A19" s="136"/>
      <c r="B19" s="137"/>
      <c r="C19" s="138"/>
      <c r="D19" s="138"/>
      <c r="E19" s="111"/>
      <c r="F19" s="136"/>
      <c r="G19" s="126"/>
      <c r="H19" s="126"/>
      <c r="I19" s="125"/>
      <c r="J19" s="139"/>
      <c r="K19" s="126"/>
      <c r="L19" s="126"/>
      <c r="M19" s="101"/>
      <c r="N19" s="139"/>
      <c r="O19" s="126"/>
      <c r="P19" s="126"/>
      <c r="Q19" s="101"/>
      <c r="R19" s="139"/>
      <c r="S19" s="126"/>
      <c r="T19" s="126"/>
      <c r="U19" s="101"/>
      <c r="V19" s="139"/>
      <c r="W19" s="126"/>
      <c r="X19" s="126"/>
      <c r="Y19" s="101"/>
    </row>
    <row r="20" spans="1:25" s="106" customFormat="1" x14ac:dyDescent="0.25">
      <c r="A20" s="103" t="s">
        <v>123</v>
      </c>
      <c r="B20" s="129"/>
      <c r="C20" s="102">
        <f>SUM(C15:C19)</f>
        <v>0</v>
      </c>
      <c r="D20" s="102">
        <f>SUM(D15:D19)</f>
        <v>0</v>
      </c>
      <c r="E20" s="102">
        <f>SUM(E15:E19)</f>
        <v>0</v>
      </c>
      <c r="F20" s="103"/>
      <c r="G20" s="105">
        <f>SUM(G15:G19)</f>
        <v>0</v>
      </c>
      <c r="H20" s="105">
        <f>SUM(H15:H19)</f>
        <v>0</v>
      </c>
      <c r="I20" s="101">
        <f>SUM(I14:I18)</f>
        <v>0</v>
      </c>
      <c r="J20" s="104"/>
      <c r="K20" s="105">
        <f>SUM(K15:K19)</f>
        <v>0</v>
      </c>
      <c r="L20" s="105">
        <f>SUM(L15:L19)</f>
        <v>0</v>
      </c>
      <c r="M20" s="101">
        <f>SUM(M15:M19)</f>
        <v>0</v>
      </c>
      <c r="N20" s="104"/>
      <c r="O20" s="105">
        <f>SUM(O15:O19)</f>
        <v>0</v>
      </c>
      <c r="P20" s="105">
        <f>SUM(P15:P19)</f>
        <v>0</v>
      </c>
      <c r="Q20" s="101">
        <f>SUM(Q15:Q19)</f>
        <v>0</v>
      </c>
      <c r="R20" s="104"/>
      <c r="S20" s="105">
        <f>SUM(S15:S19)</f>
        <v>0</v>
      </c>
      <c r="T20" s="105">
        <f>SUM(T15:T19)</f>
        <v>0</v>
      </c>
      <c r="U20" s="101">
        <f>SUM(U15:U19)</f>
        <v>0</v>
      </c>
      <c r="V20" s="104"/>
      <c r="W20" s="105">
        <f>SUM(W15:W19)</f>
        <v>0</v>
      </c>
      <c r="X20" s="105">
        <f>SUM(X15:X19)</f>
        <v>0</v>
      </c>
      <c r="Y20" s="101">
        <f>SUM(Y15:Y19)</f>
        <v>0</v>
      </c>
    </row>
    <row r="21" spans="1:25" ht="3.95" customHeight="1" x14ac:dyDescent="0.25">
      <c r="A21" s="103"/>
      <c r="B21" s="103"/>
      <c r="C21" s="130"/>
      <c r="D21" s="130"/>
      <c r="E21" s="113"/>
      <c r="F21" s="103"/>
      <c r="G21" s="125"/>
      <c r="H21" s="131"/>
      <c r="I21" s="101"/>
      <c r="J21" s="104"/>
      <c r="K21" s="125"/>
      <c r="L21" s="131"/>
      <c r="M21" s="101">
        <f>SUM(M14:M18)</f>
        <v>0</v>
      </c>
      <c r="N21" s="104"/>
      <c r="O21" s="125"/>
      <c r="P21" s="131"/>
      <c r="Q21" s="101">
        <f>SUM(Q14:Q18)</f>
        <v>0</v>
      </c>
      <c r="R21" s="104"/>
      <c r="S21" s="125"/>
      <c r="T21" s="131"/>
      <c r="U21" s="101">
        <f>SUM(U14:U18)</f>
        <v>0</v>
      </c>
      <c r="V21" s="104"/>
      <c r="W21" s="125"/>
      <c r="X21" s="131"/>
      <c r="Y21" s="101">
        <f>SUM(Y14:Y18)</f>
        <v>0</v>
      </c>
    </row>
    <row r="22" spans="1:25" s="106" customFormat="1" ht="17.25" customHeight="1" x14ac:dyDescent="0.25">
      <c r="A22" s="103" t="s">
        <v>185</v>
      </c>
      <c r="B22" s="103"/>
      <c r="C22" s="102">
        <f>C12+C20</f>
        <v>37.800000000000004</v>
      </c>
      <c r="D22" s="102">
        <f>D12+D20</f>
        <v>5.7813999999999997</v>
      </c>
      <c r="E22" s="102">
        <f>E12+E20</f>
        <v>43.581400000000002</v>
      </c>
      <c r="F22" s="103"/>
      <c r="G22" s="101">
        <f>G12+G20</f>
        <v>38.439700000000002</v>
      </c>
      <c r="H22" s="105">
        <f>H12+H20</f>
        <v>5.7813999999999997</v>
      </c>
      <c r="I22" s="101">
        <f>I12+I20</f>
        <v>44.221100000000007</v>
      </c>
      <c r="J22" s="104"/>
      <c r="K22" s="101">
        <f>K12+K20</f>
        <v>41.427600000000005</v>
      </c>
      <c r="L22" s="105">
        <f>L12+L20</f>
        <v>5.6704000000000008</v>
      </c>
      <c r="M22" s="101">
        <f>M12+M20</f>
        <v>47.097999999999999</v>
      </c>
      <c r="N22" s="104"/>
      <c r="O22" s="101">
        <f>O12+O20</f>
        <v>41.681900000000006</v>
      </c>
      <c r="P22" s="105">
        <f>P12+P20</f>
        <v>6.0404000000000009</v>
      </c>
      <c r="Q22" s="101">
        <f>Q12+Q20</f>
        <v>47.722300000000004</v>
      </c>
      <c r="R22" s="104"/>
      <c r="S22" s="101">
        <f>S12+S20</f>
        <v>42.814100000000046</v>
      </c>
      <c r="T22" s="105">
        <f>T12+T20</f>
        <v>6.1513999999999989</v>
      </c>
      <c r="U22" s="101">
        <f>U12+U20</f>
        <v>48.965500000000048</v>
      </c>
      <c r="V22" s="104"/>
      <c r="W22" s="101">
        <f>W12+W20</f>
        <v>43.689300000000003</v>
      </c>
      <c r="X22" s="105">
        <f>X12+X20</f>
        <v>5.9113000000000007</v>
      </c>
      <c r="Y22" s="101">
        <f>Y12+Y20</f>
        <v>49.6006</v>
      </c>
    </row>
    <row r="23" spans="1:25" ht="17.25" customHeight="1" x14ac:dyDescent="0.25">
      <c r="A23" s="140"/>
      <c r="B23" s="141"/>
      <c r="C23" s="142"/>
      <c r="D23" s="142"/>
      <c r="E23" s="107"/>
      <c r="F23" s="141"/>
      <c r="G23" s="143"/>
      <c r="H23" s="144"/>
      <c r="I23" s="145"/>
      <c r="J23" s="145"/>
      <c r="K23" s="143"/>
      <c r="L23" s="144"/>
      <c r="M23" s="145"/>
      <c r="N23" s="145"/>
      <c r="O23" s="143"/>
      <c r="P23" s="144"/>
      <c r="Q23" s="145"/>
      <c r="R23" s="145"/>
      <c r="S23" s="143"/>
      <c r="T23" s="144"/>
      <c r="U23" s="145"/>
      <c r="V23" s="145"/>
      <c r="W23" s="143"/>
      <c r="X23" s="144"/>
      <c r="Y23" s="145"/>
    </row>
    <row r="24" spans="1:25" x14ac:dyDescent="0.25">
      <c r="A24" s="114" t="s">
        <v>167</v>
      </c>
      <c r="B24" s="136"/>
      <c r="C24" s="146"/>
      <c r="D24" s="146"/>
      <c r="E24" s="115"/>
      <c r="F24" s="147"/>
      <c r="G24" s="148"/>
      <c r="H24" s="148"/>
      <c r="I24" s="149"/>
      <c r="J24" s="149"/>
      <c r="K24" s="148"/>
      <c r="L24" s="148"/>
      <c r="M24" s="149"/>
      <c r="N24" s="149"/>
      <c r="O24" s="148"/>
      <c r="P24" s="148"/>
      <c r="Q24" s="149"/>
      <c r="R24" s="149"/>
      <c r="S24" s="148"/>
      <c r="T24" s="148"/>
      <c r="U24" s="149"/>
      <c r="V24" s="149"/>
      <c r="W24" s="148"/>
      <c r="X24" s="148"/>
      <c r="Y24" s="150"/>
    </row>
    <row r="25" spans="1:25" ht="36" x14ac:dyDescent="0.25">
      <c r="A25" s="151" t="s">
        <v>174</v>
      </c>
      <c r="B25" s="128">
        <v>60.1</v>
      </c>
      <c r="C25" s="123"/>
      <c r="D25" s="128">
        <v>0.3</v>
      </c>
      <c r="E25" s="112"/>
      <c r="F25" s="122">
        <v>62.7</v>
      </c>
      <c r="G25" s="126"/>
      <c r="H25" s="126">
        <v>1</v>
      </c>
      <c r="I25" s="125"/>
      <c r="J25" s="125">
        <v>69.802770000000024</v>
      </c>
      <c r="K25" s="126"/>
      <c r="L25" s="169">
        <v>1</v>
      </c>
      <c r="M25" s="125"/>
      <c r="N25" s="168">
        <v>70.7</v>
      </c>
      <c r="O25" s="126"/>
      <c r="P25" s="169">
        <v>1</v>
      </c>
      <c r="Q25" s="125"/>
      <c r="R25" s="125">
        <v>76.3</v>
      </c>
      <c r="S25" s="126"/>
      <c r="T25" s="126">
        <v>0.7</v>
      </c>
      <c r="U25" s="125"/>
      <c r="V25" s="125">
        <v>78.470770000000002</v>
      </c>
      <c r="W25" s="126"/>
      <c r="X25" s="266">
        <v>1.1566999999999996</v>
      </c>
      <c r="Y25" s="125"/>
    </row>
    <row r="26" spans="1:25" x14ac:dyDescent="0.25">
      <c r="A26" s="122"/>
      <c r="B26" s="122"/>
      <c r="C26" s="152"/>
      <c r="D26" s="152"/>
      <c r="E26" s="153"/>
      <c r="F26" s="122"/>
      <c r="G26" s="126"/>
      <c r="H26" s="126"/>
      <c r="I26" s="125"/>
      <c r="J26" s="125"/>
      <c r="K26" s="126"/>
      <c r="L26" s="126"/>
      <c r="M26" s="125"/>
      <c r="N26" s="125"/>
      <c r="O26" s="126"/>
      <c r="P26" s="126"/>
      <c r="Q26" s="125"/>
      <c r="R26" s="125"/>
      <c r="S26" s="126"/>
      <c r="T26" s="126"/>
      <c r="U26" s="125"/>
      <c r="V26" s="125"/>
      <c r="W26" s="126"/>
      <c r="X26" s="126"/>
      <c r="Y26" s="125"/>
    </row>
    <row r="27" spans="1:25" s="106" customFormat="1" x14ac:dyDescent="0.25">
      <c r="A27" s="100" t="s">
        <v>123</v>
      </c>
      <c r="B27" s="102">
        <f>SUM(B25:B26)</f>
        <v>60.1</v>
      </c>
      <c r="C27" s="102"/>
      <c r="D27" s="102"/>
      <c r="E27" s="102"/>
      <c r="F27" s="154">
        <f>SUM(F25:F26)</f>
        <v>62.7</v>
      </c>
      <c r="G27" s="102"/>
      <c r="H27" s="117"/>
      <c r="I27" s="101"/>
      <c r="J27" s="101">
        <f>SUM(J25:J26)</f>
        <v>69.802770000000024</v>
      </c>
      <c r="K27" s="117"/>
      <c r="L27" s="117"/>
      <c r="M27" s="101"/>
      <c r="N27" s="101">
        <f>SUM(N25:N26)</f>
        <v>70.7</v>
      </c>
      <c r="O27" s="117"/>
      <c r="P27" s="117"/>
      <c r="Q27" s="101"/>
      <c r="R27" s="101">
        <f>SUM(R25:R26)</f>
        <v>76.3</v>
      </c>
      <c r="S27" s="117"/>
      <c r="T27" s="117"/>
      <c r="U27" s="101"/>
      <c r="V27" s="101">
        <f>SUM(V25:V26)</f>
        <v>78.470770000000002</v>
      </c>
      <c r="W27" s="117"/>
      <c r="X27" s="117"/>
      <c r="Y27" s="101"/>
    </row>
    <row r="28" spans="1:25" ht="3.95" customHeight="1" x14ac:dyDescent="0.25">
      <c r="A28" s="103"/>
      <c r="B28" s="130"/>
      <c r="C28" s="130"/>
      <c r="D28" s="130"/>
      <c r="E28" s="113"/>
      <c r="F28" s="103"/>
      <c r="G28" s="125"/>
      <c r="H28" s="131"/>
      <c r="I28" s="101"/>
      <c r="J28" s="104"/>
      <c r="K28" s="125"/>
      <c r="L28" s="131"/>
      <c r="M28" s="101"/>
      <c r="N28" s="104"/>
      <c r="O28" s="125"/>
      <c r="P28" s="131"/>
      <c r="Q28" s="101"/>
      <c r="R28" s="104"/>
      <c r="S28" s="125"/>
      <c r="T28" s="131"/>
      <c r="U28" s="101"/>
      <c r="V28" s="104"/>
      <c r="W28" s="125"/>
      <c r="X28" s="131"/>
      <c r="Y28" s="101"/>
    </row>
    <row r="29" spans="1:25" s="106" customFormat="1" x14ac:dyDescent="0.25">
      <c r="A29" s="103" t="s">
        <v>191</v>
      </c>
      <c r="B29" s="155">
        <f>B27</f>
        <v>60.1</v>
      </c>
      <c r="C29" s="155" t="s">
        <v>67</v>
      </c>
      <c r="D29" s="155" t="s">
        <v>67</v>
      </c>
      <c r="E29" s="155" t="s">
        <v>67</v>
      </c>
      <c r="F29" s="170">
        <f>F27</f>
        <v>62.7</v>
      </c>
      <c r="G29" s="155" t="s">
        <v>67</v>
      </c>
      <c r="H29" s="155" t="s">
        <v>67</v>
      </c>
      <c r="I29" s="155" t="s">
        <v>67</v>
      </c>
      <c r="J29" s="109">
        <f>J27</f>
        <v>69.802770000000024</v>
      </c>
      <c r="K29" s="155" t="s">
        <v>67</v>
      </c>
      <c r="L29" s="155" t="s">
        <v>67</v>
      </c>
      <c r="M29" s="155" t="s">
        <v>67</v>
      </c>
      <c r="N29" s="109">
        <f>N27</f>
        <v>70.7</v>
      </c>
      <c r="O29" s="155" t="s">
        <v>67</v>
      </c>
      <c r="P29" s="155" t="s">
        <v>67</v>
      </c>
      <c r="Q29" s="155" t="s">
        <v>67</v>
      </c>
      <c r="R29" s="109">
        <f>R27</f>
        <v>76.3</v>
      </c>
      <c r="S29" s="155" t="s">
        <v>67</v>
      </c>
      <c r="T29" s="155" t="s">
        <v>67</v>
      </c>
      <c r="U29" s="155" t="s">
        <v>67</v>
      </c>
      <c r="V29" s="109">
        <f>V27</f>
        <v>78.470770000000002</v>
      </c>
      <c r="W29" s="155" t="s">
        <v>67</v>
      </c>
      <c r="X29" s="155" t="s">
        <v>67</v>
      </c>
      <c r="Y29" s="155" t="s">
        <v>67</v>
      </c>
    </row>
    <row r="30" spans="1:25" x14ac:dyDescent="0.25">
      <c r="A30" s="156"/>
      <c r="B30" s="156"/>
      <c r="C30" s="157"/>
      <c r="D30" s="157"/>
      <c r="E30" s="158"/>
      <c r="F30" s="156"/>
      <c r="G30" s="157"/>
      <c r="H30" s="158"/>
      <c r="I30" s="156"/>
      <c r="J30" s="156"/>
      <c r="K30" s="157"/>
      <c r="L30" s="158"/>
      <c r="M30" s="156"/>
      <c r="N30" s="156"/>
      <c r="O30" s="157"/>
      <c r="P30" s="158"/>
      <c r="Q30" s="156"/>
      <c r="R30" s="156"/>
      <c r="S30" s="157"/>
      <c r="T30" s="158"/>
      <c r="U30" s="156"/>
      <c r="V30" s="156"/>
      <c r="W30" s="157"/>
      <c r="X30" s="158"/>
      <c r="Y30" s="156"/>
    </row>
    <row r="32" spans="1:25" x14ac:dyDescent="0.25">
      <c r="A32" s="159"/>
      <c r="B32" s="516" t="s">
        <v>6</v>
      </c>
      <c r="C32" s="516"/>
      <c r="D32" s="516"/>
      <c r="E32" s="516"/>
      <c r="F32" s="516" t="s">
        <v>7</v>
      </c>
      <c r="G32" s="516"/>
      <c r="H32" s="516"/>
      <c r="I32" s="516" t="s">
        <v>6</v>
      </c>
      <c r="J32" s="516" t="s">
        <v>8</v>
      </c>
      <c r="K32" s="516"/>
      <c r="L32" s="516"/>
      <c r="M32" s="516" t="s">
        <v>6</v>
      </c>
      <c r="N32" s="516" t="s">
        <v>9</v>
      </c>
      <c r="O32" s="516"/>
      <c r="P32" s="516"/>
      <c r="Q32" s="516" t="s">
        <v>6</v>
      </c>
      <c r="R32" s="516" t="s">
        <v>10</v>
      </c>
      <c r="S32" s="516"/>
      <c r="T32" s="516"/>
      <c r="U32" s="516" t="s">
        <v>6</v>
      </c>
      <c r="V32" s="516" t="s">
        <v>11</v>
      </c>
      <c r="W32" s="516"/>
      <c r="X32" s="516"/>
      <c r="Y32" s="516" t="s">
        <v>6</v>
      </c>
    </row>
    <row r="33" spans="1:25" ht="54" x14ac:dyDescent="0.25">
      <c r="A33" s="114" t="s">
        <v>112</v>
      </c>
      <c r="B33" s="121" t="s">
        <v>182</v>
      </c>
      <c r="C33" s="121" t="s">
        <v>183</v>
      </c>
      <c r="D33" s="121" t="s">
        <v>184</v>
      </c>
      <c r="E33" s="121" t="s">
        <v>185</v>
      </c>
      <c r="F33" s="121" t="s">
        <v>182</v>
      </c>
      <c r="G33" s="121" t="s">
        <v>183</v>
      </c>
      <c r="H33" s="121" t="s">
        <v>184</v>
      </c>
      <c r="I33" s="121" t="s">
        <v>185</v>
      </c>
      <c r="J33" s="121" t="s">
        <v>182</v>
      </c>
      <c r="K33" s="121" t="s">
        <v>183</v>
      </c>
      <c r="L33" s="121" t="s">
        <v>184</v>
      </c>
      <c r="M33" s="121" t="s">
        <v>185</v>
      </c>
      <c r="N33" s="121" t="s">
        <v>182</v>
      </c>
      <c r="O33" s="121" t="s">
        <v>183</v>
      </c>
      <c r="P33" s="121" t="s">
        <v>184</v>
      </c>
      <c r="Q33" s="121" t="s">
        <v>185</v>
      </c>
      <c r="R33" s="121" t="s">
        <v>182</v>
      </c>
      <c r="S33" s="121" t="s">
        <v>183</v>
      </c>
      <c r="T33" s="121" t="s">
        <v>184</v>
      </c>
      <c r="U33" s="121" t="s">
        <v>185</v>
      </c>
      <c r="V33" s="121" t="s">
        <v>182</v>
      </c>
      <c r="W33" s="121" t="s">
        <v>183</v>
      </c>
      <c r="X33" s="121" t="s">
        <v>184</v>
      </c>
      <c r="Y33" s="121" t="s">
        <v>185</v>
      </c>
    </row>
    <row r="34" spans="1:25" x14ac:dyDescent="0.25">
      <c r="A34" s="122" t="s">
        <v>41</v>
      </c>
      <c r="B34" s="125"/>
      <c r="C34" s="266">
        <v>4.4432999999999989</v>
      </c>
      <c r="D34" s="266">
        <v>3.0591000000000004</v>
      </c>
      <c r="E34" s="101">
        <f t="shared" ref="E34:E39" si="6">SUM(C34:D34)</f>
        <v>7.5023999999999997</v>
      </c>
      <c r="F34" s="125"/>
      <c r="G34" s="266">
        <v>7.0526</v>
      </c>
      <c r="H34" s="266">
        <v>1.3239999999999998</v>
      </c>
      <c r="I34" s="101">
        <f t="shared" ref="I34:I39" si="7">SUM(G34:H34)</f>
        <v>8.3765999999999998</v>
      </c>
      <c r="J34" s="125"/>
      <c r="K34" s="479">
        <v>7.2459000000000016</v>
      </c>
      <c r="L34" s="479">
        <v>1.3239999999999998</v>
      </c>
      <c r="M34" s="101">
        <f t="shared" ref="M34:M39" si="8">SUM(K34:L34)</f>
        <v>8.5699000000000005</v>
      </c>
      <c r="N34" s="125"/>
      <c r="O34" s="266">
        <v>7.7468000000000012</v>
      </c>
      <c r="P34" s="266">
        <v>1.3239999999999998</v>
      </c>
      <c r="Q34" s="101">
        <f t="shared" ref="Q34:Q39" si="9">SUM(O34:P34)</f>
        <v>9.070800000000002</v>
      </c>
      <c r="R34" s="125"/>
      <c r="S34" s="126"/>
      <c r="T34" s="127"/>
      <c r="U34" s="101">
        <f t="shared" ref="U34:U39" si="10">SUM(S34:T34)</f>
        <v>0</v>
      </c>
      <c r="V34" s="125"/>
      <c r="W34" s="182"/>
      <c r="X34" s="183"/>
      <c r="Y34" s="101">
        <f t="shared" ref="Y34:Y39" si="11">SUM(W34:X34)</f>
        <v>0</v>
      </c>
    </row>
    <row r="35" spans="1:25" x14ac:dyDescent="0.25">
      <c r="A35" s="122" t="s">
        <v>172</v>
      </c>
      <c r="B35" s="125"/>
      <c r="C35" s="266">
        <v>4.7116999999999996</v>
      </c>
      <c r="D35" s="266">
        <v>0.16400000000000001</v>
      </c>
      <c r="E35" s="101">
        <f t="shared" si="6"/>
        <v>4.8756999999999993</v>
      </c>
      <c r="F35" s="125"/>
      <c r="G35" s="266">
        <v>5.5782999999999996</v>
      </c>
      <c r="H35" s="266">
        <v>0.16400000000000001</v>
      </c>
      <c r="I35" s="101">
        <f t="shared" si="7"/>
        <v>5.7422999999999993</v>
      </c>
      <c r="J35" s="125"/>
      <c r="K35" s="479">
        <v>7.4797999999999991</v>
      </c>
      <c r="L35" s="479">
        <v>0.16400000000000001</v>
      </c>
      <c r="M35" s="101">
        <f t="shared" si="8"/>
        <v>7.6437999999999988</v>
      </c>
      <c r="N35" s="125"/>
      <c r="O35" s="266">
        <v>7.109799999999999</v>
      </c>
      <c r="P35" s="266">
        <v>0.16400000000000001</v>
      </c>
      <c r="Q35" s="101">
        <f t="shared" si="9"/>
        <v>7.2737999999999987</v>
      </c>
      <c r="R35" s="125"/>
      <c r="S35" s="126"/>
      <c r="T35" s="127"/>
      <c r="U35" s="101">
        <f t="shared" si="10"/>
        <v>0</v>
      </c>
      <c r="V35" s="125"/>
      <c r="W35" s="182"/>
      <c r="X35" s="183"/>
      <c r="Y35" s="101">
        <f t="shared" si="11"/>
        <v>0</v>
      </c>
    </row>
    <row r="36" spans="1:25" x14ac:dyDescent="0.25">
      <c r="A36" s="122" t="s">
        <v>168</v>
      </c>
      <c r="B36" s="125"/>
      <c r="C36" s="266">
        <v>29.409400000000002</v>
      </c>
      <c r="D36" s="266">
        <v>0.60399999999999998</v>
      </c>
      <c r="E36" s="101">
        <f t="shared" si="6"/>
        <v>30.013400000000001</v>
      </c>
      <c r="F36" s="125"/>
      <c r="G36" s="266">
        <v>33.076100000000004</v>
      </c>
      <c r="H36" s="266">
        <v>0.60399999999999998</v>
      </c>
      <c r="I36" s="101">
        <f t="shared" si="7"/>
        <v>33.680100000000003</v>
      </c>
      <c r="J36" s="125"/>
      <c r="K36" s="479">
        <v>33.124699999999997</v>
      </c>
      <c r="L36" s="479">
        <v>0.60399999999999998</v>
      </c>
      <c r="M36" s="101">
        <f t="shared" si="8"/>
        <v>33.728699999999996</v>
      </c>
      <c r="N36" s="125"/>
      <c r="O36" s="266">
        <v>33.456199999999995</v>
      </c>
      <c r="P36" s="266">
        <v>0.60399999999999998</v>
      </c>
      <c r="Q36" s="101">
        <f t="shared" si="9"/>
        <v>34.060199999999995</v>
      </c>
      <c r="R36" s="125"/>
      <c r="S36" s="126"/>
      <c r="T36" s="127"/>
      <c r="U36" s="101">
        <f t="shared" si="10"/>
        <v>0</v>
      </c>
      <c r="V36" s="125"/>
      <c r="W36" s="182"/>
      <c r="X36" s="183"/>
      <c r="Y36" s="101">
        <f t="shared" si="11"/>
        <v>0</v>
      </c>
    </row>
    <row r="37" spans="1:25" x14ac:dyDescent="0.25">
      <c r="A37" s="122" t="s">
        <v>169</v>
      </c>
      <c r="B37" s="125"/>
      <c r="C37" s="266">
        <v>11.928700000000001</v>
      </c>
      <c r="D37" s="266">
        <v>2.0841999999999996</v>
      </c>
      <c r="E37" s="101">
        <f t="shared" si="6"/>
        <v>14.0129</v>
      </c>
      <c r="F37" s="125"/>
      <c r="G37" s="266">
        <v>12.377099999999999</v>
      </c>
      <c r="H37" s="266">
        <v>2.0586000000000002</v>
      </c>
      <c r="I37" s="101">
        <f t="shared" si="7"/>
        <v>14.435699999999999</v>
      </c>
      <c r="J37" s="125"/>
      <c r="K37" s="479">
        <v>14.752099999999995</v>
      </c>
      <c r="L37" s="479">
        <v>3.3875999999999995</v>
      </c>
      <c r="M37" s="101">
        <f t="shared" si="8"/>
        <v>18.139699999999994</v>
      </c>
      <c r="N37" s="125"/>
      <c r="O37" s="266">
        <v>14.311499999999997</v>
      </c>
      <c r="P37" s="266">
        <v>3.4455999999999993</v>
      </c>
      <c r="Q37" s="101">
        <f t="shared" si="9"/>
        <v>17.757099999999998</v>
      </c>
      <c r="R37" s="125"/>
      <c r="S37" s="126"/>
      <c r="T37" s="126"/>
      <c r="U37" s="101">
        <f t="shared" si="10"/>
        <v>0</v>
      </c>
      <c r="V37" s="125"/>
      <c r="W37" s="182"/>
      <c r="X37" s="182"/>
      <c r="Y37" s="101">
        <f t="shared" si="11"/>
        <v>0</v>
      </c>
    </row>
    <row r="38" spans="1:25" x14ac:dyDescent="0.25">
      <c r="A38" s="122" t="s">
        <v>72</v>
      </c>
      <c r="B38" s="125"/>
      <c r="C38" s="266">
        <v>0.96189999999999998</v>
      </c>
      <c r="D38" s="266">
        <v>0</v>
      </c>
      <c r="E38" s="101">
        <f t="shared" si="6"/>
        <v>0.96189999999999998</v>
      </c>
      <c r="F38" s="125"/>
      <c r="G38" s="266">
        <v>0.96189999999999998</v>
      </c>
      <c r="H38" s="266">
        <v>0</v>
      </c>
      <c r="I38" s="101">
        <f t="shared" si="7"/>
        <v>0.96189999999999998</v>
      </c>
      <c r="J38" s="125"/>
      <c r="K38" s="479">
        <v>0.96189999999999998</v>
      </c>
      <c r="L38" s="479">
        <v>0</v>
      </c>
      <c r="M38" s="101">
        <f t="shared" si="8"/>
        <v>0.96189999999999998</v>
      </c>
      <c r="N38" s="125"/>
      <c r="O38" s="266">
        <v>0.96189999999999998</v>
      </c>
      <c r="P38" s="266">
        <v>0</v>
      </c>
      <c r="Q38" s="101">
        <f t="shared" si="9"/>
        <v>0.96189999999999998</v>
      </c>
      <c r="R38" s="125"/>
      <c r="S38" s="126"/>
      <c r="T38" s="126"/>
      <c r="U38" s="101">
        <f t="shared" si="10"/>
        <v>0</v>
      </c>
      <c r="V38" s="125"/>
      <c r="W38" s="182"/>
      <c r="X38" s="182"/>
      <c r="Y38" s="101">
        <f t="shared" si="11"/>
        <v>0</v>
      </c>
    </row>
    <row r="39" spans="1:25" x14ac:dyDescent="0.25">
      <c r="A39" s="122" t="s">
        <v>35</v>
      </c>
      <c r="B39" s="125"/>
      <c r="C39" s="266">
        <v>0</v>
      </c>
      <c r="D39" s="266">
        <v>0</v>
      </c>
      <c r="E39" s="101">
        <f t="shared" si="6"/>
        <v>0</v>
      </c>
      <c r="F39" s="125"/>
      <c r="G39" s="266">
        <v>0</v>
      </c>
      <c r="H39" s="266">
        <v>0</v>
      </c>
      <c r="I39" s="101">
        <f t="shared" si="7"/>
        <v>0</v>
      </c>
      <c r="J39" s="125"/>
      <c r="K39" s="479">
        <v>0</v>
      </c>
      <c r="L39" s="479">
        <v>0</v>
      </c>
      <c r="M39" s="101">
        <f t="shared" si="8"/>
        <v>0</v>
      </c>
      <c r="N39" s="125"/>
      <c r="O39" s="266">
        <v>0</v>
      </c>
      <c r="P39" s="266">
        <v>0</v>
      </c>
      <c r="Q39" s="101">
        <f t="shared" si="9"/>
        <v>0</v>
      </c>
      <c r="R39" s="125"/>
      <c r="S39" s="126"/>
      <c r="T39" s="126"/>
      <c r="U39" s="101">
        <f t="shared" si="10"/>
        <v>0</v>
      </c>
      <c r="V39" s="125"/>
      <c r="W39" s="182"/>
      <c r="X39" s="182"/>
      <c r="Y39" s="101">
        <f t="shared" si="11"/>
        <v>0</v>
      </c>
    </row>
    <row r="40" spans="1:25" x14ac:dyDescent="0.25">
      <c r="A40" s="136"/>
      <c r="B40" s="125"/>
      <c r="C40" s="126"/>
      <c r="D40" s="126"/>
      <c r="E40" s="101"/>
      <c r="F40" s="125"/>
      <c r="G40" s="126"/>
      <c r="H40" s="126"/>
      <c r="I40" s="101"/>
      <c r="J40" s="125"/>
      <c r="K40" s="126"/>
      <c r="L40" s="126"/>
      <c r="M40" s="101"/>
      <c r="N40" s="125"/>
      <c r="O40" s="266"/>
      <c r="P40" s="266"/>
      <c r="Q40" s="101"/>
      <c r="R40" s="125"/>
      <c r="S40" s="126"/>
      <c r="T40" s="126"/>
      <c r="U40" s="101"/>
      <c r="V40" s="125"/>
      <c r="W40" s="126"/>
      <c r="X40" s="126"/>
      <c r="Y40" s="101"/>
    </row>
    <row r="41" spans="1:25" s="106" customFormat="1" x14ac:dyDescent="0.25">
      <c r="A41" s="103" t="s">
        <v>123</v>
      </c>
      <c r="B41" s="104"/>
      <c r="C41" s="101">
        <f>SUM(C34:C40)</f>
        <v>51.454999999999998</v>
      </c>
      <c r="D41" s="101">
        <f>SUM(D34:D40)</f>
        <v>5.9113000000000007</v>
      </c>
      <c r="E41" s="101">
        <f>SUM(E34:E40)</f>
        <v>57.366300000000003</v>
      </c>
      <c r="F41" s="104"/>
      <c r="G41" s="101">
        <f>SUM(G34:G40)</f>
        <v>59.046000000000006</v>
      </c>
      <c r="H41" s="101">
        <f>SUM(H34:H40)</f>
        <v>4.1505999999999998</v>
      </c>
      <c r="I41" s="101">
        <f>SUM(I34:I40)</f>
        <v>63.196600000000004</v>
      </c>
      <c r="J41" s="104"/>
      <c r="K41" s="101">
        <f>SUM(K34:K40)</f>
        <v>63.564399999999992</v>
      </c>
      <c r="L41" s="101">
        <f>SUM(L34:L40)</f>
        <v>5.4795999999999996</v>
      </c>
      <c r="M41" s="101">
        <f>SUM(M34:M40)</f>
        <v>69.043999999999983</v>
      </c>
      <c r="N41" s="104"/>
      <c r="O41" s="101">
        <f>SUM(O34:O40)</f>
        <v>63.586199999999991</v>
      </c>
      <c r="P41" s="101">
        <f>SUM(P34:P40)</f>
        <v>5.5375999999999994</v>
      </c>
      <c r="Q41" s="101">
        <f>SUM(Q34:Q40)</f>
        <v>69.123799999999989</v>
      </c>
      <c r="R41" s="104"/>
      <c r="S41" s="101">
        <f>SUM(S34:S40)</f>
        <v>0</v>
      </c>
      <c r="T41" s="101">
        <f>SUM(T34:T40)</f>
        <v>0</v>
      </c>
      <c r="U41" s="101">
        <f>SUM(U34:U40)</f>
        <v>0</v>
      </c>
      <c r="V41" s="104"/>
      <c r="W41" s="101">
        <f>SUM(W34:W40)</f>
        <v>0</v>
      </c>
      <c r="X41" s="101">
        <f>SUM(X34:X40)</f>
        <v>0</v>
      </c>
      <c r="Y41" s="101">
        <f>SUM(Y34:Y40)</f>
        <v>0</v>
      </c>
    </row>
    <row r="42" spans="1:25" ht="3.95" customHeight="1" x14ac:dyDescent="0.25">
      <c r="A42" s="103"/>
      <c r="B42" s="104"/>
      <c r="C42" s="125"/>
      <c r="D42" s="131"/>
      <c r="E42" s="101"/>
      <c r="F42" s="104"/>
      <c r="G42" s="125"/>
      <c r="H42" s="131"/>
      <c r="I42" s="101"/>
      <c r="J42" s="104"/>
      <c r="K42" s="125"/>
      <c r="L42" s="131"/>
      <c r="M42" s="101"/>
      <c r="N42" s="104"/>
      <c r="O42" s="480"/>
      <c r="P42" s="481"/>
      <c r="Q42" s="482"/>
      <c r="R42" s="104"/>
      <c r="S42" s="125"/>
      <c r="T42" s="131"/>
      <c r="U42" s="101"/>
      <c r="V42" s="104"/>
      <c r="W42" s="125"/>
      <c r="X42" s="131"/>
      <c r="Y42" s="101"/>
    </row>
    <row r="43" spans="1:25" x14ac:dyDescent="0.25">
      <c r="A43" s="132" t="s">
        <v>25</v>
      </c>
      <c r="B43" s="135"/>
      <c r="C43" s="133"/>
      <c r="D43" s="134"/>
      <c r="E43" s="101"/>
      <c r="F43" s="135"/>
      <c r="G43" s="133"/>
      <c r="H43" s="134"/>
      <c r="I43" s="101"/>
      <c r="J43" s="135"/>
      <c r="K43" s="133"/>
      <c r="L43" s="134"/>
      <c r="M43" s="101"/>
      <c r="N43" s="135"/>
      <c r="O43" s="483"/>
      <c r="P43" s="484"/>
      <c r="Q43" s="101"/>
      <c r="R43" s="135"/>
      <c r="S43" s="133"/>
      <c r="T43" s="134"/>
      <c r="U43" s="101"/>
      <c r="V43" s="135"/>
      <c r="W43" s="133"/>
      <c r="X43" s="134"/>
      <c r="Y43" s="101"/>
    </row>
    <row r="44" spans="1:25" x14ac:dyDescent="0.25">
      <c r="A44" s="122" t="s">
        <v>171</v>
      </c>
      <c r="B44" s="125"/>
      <c r="C44" s="126">
        <v>0</v>
      </c>
      <c r="D44" s="126">
        <v>0</v>
      </c>
      <c r="E44" s="101">
        <f>SUM(C44:D44)</f>
        <v>0</v>
      </c>
      <c r="F44" s="125"/>
      <c r="G44" s="126">
        <v>0</v>
      </c>
      <c r="H44" s="126">
        <v>0</v>
      </c>
      <c r="I44" s="101">
        <f>SUM(G44:H44)</f>
        <v>0</v>
      </c>
      <c r="J44" s="125"/>
      <c r="K44" s="192">
        <v>0</v>
      </c>
      <c r="L44" s="192">
        <v>0</v>
      </c>
      <c r="M44" s="101">
        <f>SUM(K44:L44)</f>
        <v>0</v>
      </c>
      <c r="N44" s="125"/>
      <c r="O44" s="192">
        <v>0</v>
      </c>
      <c r="P44" s="192">
        <v>0</v>
      </c>
      <c r="Q44" s="101">
        <f>SUM(O44:P44)</f>
        <v>0</v>
      </c>
      <c r="R44" s="125"/>
      <c r="S44" s="126"/>
      <c r="T44" s="126"/>
      <c r="U44" s="101">
        <f>SUM(S44:T44)</f>
        <v>0</v>
      </c>
      <c r="V44" s="125"/>
      <c r="W44" s="126"/>
      <c r="X44" s="126"/>
      <c r="Y44" s="101">
        <f>SUM(W44:X44)</f>
        <v>0</v>
      </c>
    </row>
    <row r="45" spans="1:25" x14ac:dyDescent="0.25">
      <c r="A45" s="122" t="s">
        <v>173</v>
      </c>
      <c r="B45" s="125"/>
      <c r="C45" s="126">
        <v>0</v>
      </c>
      <c r="D45" s="126">
        <v>0</v>
      </c>
      <c r="E45" s="101">
        <f>SUM(C45:D45)</f>
        <v>0</v>
      </c>
      <c r="F45" s="125"/>
      <c r="G45" s="126">
        <v>0</v>
      </c>
      <c r="H45" s="126">
        <v>0</v>
      </c>
      <c r="I45" s="101">
        <f>SUM(G45:H45)</f>
        <v>0</v>
      </c>
      <c r="J45" s="125"/>
      <c r="K45" s="192">
        <v>0</v>
      </c>
      <c r="L45" s="192">
        <v>0</v>
      </c>
      <c r="M45" s="101">
        <f>SUM(K45:L45)</f>
        <v>0</v>
      </c>
      <c r="N45" s="125"/>
      <c r="O45" s="192">
        <v>0</v>
      </c>
      <c r="P45" s="192">
        <v>0</v>
      </c>
      <c r="Q45" s="101">
        <f>SUM(O45:P45)</f>
        <v>0</v>
      </c>
      <c r="R45" s="125"/>
      <c r="S45" s="126"/>
      <c r="T45" s="126"/>
      <c r="U45" s="101">
        <f>SUM(S45:T45)</f>
        <v>0</v>
      </c>
      <c r="V45" s="125"/>
      <c r="W45" s="126"/>
      <c r="X45" s="126"/>
      <c r="Y45" s="101">
        <f>SUM(W45:X45)</f>
        <v>0</v>
      </c>
    </row>
    <row r="46" spans="1:25" x14ac:dyDescent="0.25">
      <c r="A46" s="122" t="s">
        <v>170</v>
      </c>
      <c r="B46" s="125"/>
      <c r="C46" s="126">
        <v>0</v>
      </c>
      <c r="D46" s="126">
        <v>0</v>
      </c>
      <c r="E46" s="101">
        <f>SUM(C46:D46)</f>
        <v>0</v>
      </c>
      <c r="F46" s="125"/>
      <c r="G46" s="126">
        <v>0</v>
      </c>
      <c r="H46" s="126">
        <v>0</v>
      </c>
      <c r="I46" s="101">
        <f>SUM(G46:H46)</f>
        <v>0</v>
      </c>
      <c r="J46" s="125"/>
      <c r="K46" s="192">
        <v>0</v>
      </c>
      <c r="L46" s="192">
        <v>0</v>
      </c>
      <c r="M46" s="101">
        <f>SUM(K46:L46)</f>
        <v>0</v>
      </c>
      <c r="N46" s="125"/>
      <c r="O46" s="192">
        <v>0</v>
      </c>
      <c r="P46" s="192">
        <v>0</v>
      </c>
      <c r="Q46" s="101">
        <f>SUM(O46:P46)</f>
        <v>0</v>
      </c>
      <c r="R46" s="125"/>
      <c r="S46" s="126"/>
      <c r="T46" s="126"/>
      <c r="U46" s="101">
        <f>SUM(S46:T46)</f>
        <v>0</v>
      </c>
      <c r="V46" s="125"/>
      <c r="W46" s="126"/>
      <c r="X46" s="126"/>
      <c r="Y46" s="101">
        <f>SUM(W46:X46)</f>
        <v>0</v>
      </c>
    </row>
    <row r="47" spans="1:25" x14ac:dyDescent="0.25">
      <c r="A47" s="122" t="s">
        <v>15</v>
      </c>
      <c r="B47" s="125"/>
      <c r="C47" s="126">
        <v>0</v>
      </c>
      <c r="D47" s="126">
        <v>0</v>
      </c>
      <c r="E47" s="101">
        <f>SUM(C47:D47)</f>
        <v>0</v>
      </c>
      <c r="F47" s="125"/>
      <c r="G47" s="126">
        <v>0</v>
      </c>
      <c r="H47" s="126">
        <v>0</v>
      </c>
      <c r="I47" s="101">
        <f>SUM(G47:H47)</f>
        <v>0</v>
      </c>
      <c r="J47" s="125"/>
      <c r="K47" s="192">
        <v>0</v>
      </c>
      <c r="L47" s="192">
        <v>0</v>
      </c>
      <c r="M47" s="101">
        <f>SUM(K47:L47)</f>
        <v>0</v>
      </c>
      <c r="N47" s="125"/>
      <c r="O47" s="192">
        <v>0</v>
      </c>
      <c r="P47" s="192">
        <v>0</v>
      </c>
      <c r="Q47" s="101">
        <f>SUM(O47:P47)</f>
        <v>0</v>
      </c>
      <c r="R47" s="125"/>
      <c r="S47" s="126"/>
      <c r="T47" s="126"/>
      <c r="U47" s="101">
        <f>SUM(S47:T47)</f>
        <v>0</v>
      </c>
      <c r="V47" s="125"/>
      <c r="W47" s="126"/>
      <c r="X47" s="126"/>
      <c r="Y47" s="101">
        <f>SUM(W47:X47)</f>
        <v>0</v>
      </c>
    </row>
    <row r="48" spans="1:25" x14ac:dyDescent="0.25">
      <c r="A48" s="122"/>
      <c r="B48" s="139"/>
      <c r="C48" s="126"/>
      <c r="D48" s="126"/>
      <c r="E48" s="101"/>
      <c r="F48" s="139"/>
      <c r="G48" s="126"/>
      <c r="H48" s="126"/>
      <c r="I48" s="101"/>
      <c r="J48" s="139"/>
      <c r="K48" s="126"/>
      <c r="L48" s="126"/>
      <c r="M48" s="101"/>
      <c r="N48" s="139"/>
      <c r="O48" s="266"/>
      <c r="P48" s="266"/>
      <c r="Q48" s="101"/>
      <c r="R48" s="139"/>
      <c r="S48" s="126"/>
      <c r="T48" s="126"/>
      <c r="U48" s="101"/>
      <c r="V48" s="139"/>
      <c r="W48" s="126"/>
      <c r="X48" s="126"/>
      <c r="Y48" s="101"/>
    </row>
    <row r="49" spans="1:25" s="106" customFormat="1" x14ac:dyDescent="0.25">
      <c r="A49" s="103" t="s">
        <v>123</v>
      </c>
      <c r="B49" s="104"/>
      <c r="C49" s="105">
        <f>SUM(C44:C48)</f>
        <v>0</v>
      </c>
      <c r="D49" s="105">
        <f>SUM(D44:D48)</f>
        <v>0</v>
      </c>
      <c r="E49" s="101">
        <f>SUM(E44:E48)</f>
        <v>0</v>
      </c>
      <c r="F49" s="104"/>
      <c r="G49" s="105">
        <f>SUM(G44:G48)</f>
        <v>0</v>
      </c>
      <c r="H49" s="105">
        <f>SUM(H44:H48)</f>
        <v>0</v>
      </c>
      <c r="I49" s="101">
        <f>SUM(I44:I48)</f>
        <v>0</v>
      </c>
      <c r="J49" s="104"/>
      <c r="K49" s="105">
        <f>SUM(K44:K48)</f>
        <v>0</v>
      </c>
      <c r="L49" s="105">
        <f>SUM(L44:L48)</f>
        <v>0</v>
      </c>
      <c r="M49" s="101">
        <f>SUM(M44:M48)</f>
        <v>0</v>
      </c>
      <c r="N49" s="104"/>
      <c r="O49" s="105">
        <f>SUM(O43:O48)</f>
        <v>0</v>
      </c>
      <c r="P49" s="105">
        <f>SUM(P43:P48)</f>
        <v>0</v>
      </c>
      <c r="Q49" s="101">
        <f>SUM(Q43:Q48)</f>
        <v>0</v>
      </c>
      <c r="R49" s="104"/>
      <c r="S49" s="105">
        <f>SUM(S44:S48)</f>
        <v>0</v>
      </c>
      <c r="T49" s="105">
        <f>SUM(T44:T48)</f>
        <v>0</v>
      </c>
      <c r="U49" s="101">
        <f>SUM(U44:U48)</f>
        <v>0</v>
      </c>
      <c r="V49" s="104"/>
      <c r="W49" s="105">
        <f>SUM(W44:W48)</f>
        <v>0</v>
      </c>
      <c r="X49" s="105">
        <f>SUM(X44:X48)</f>
        <v>0</v>
      </c>
      <c r="Y49" s="101">
        <f>SUM(Y44:Y48)</f>
        <v>0</v>
      </c>
    </row>
    <row r="50" spans="1:25" ht="3.95" customHeight="1" x14ac:dyDescent="0.25">
      <c r="A50" s="103"/>
      <c r="B50" s="104"/>
      <c r="C50" s="125"/>
      <c r="D50" s="131"/>
      <c r="E50" s="101">
        <f>SUM(E43:E47)</f>
        <v>0</v>
      </c>
      <c r="F50" s="104"/>
      <c r="G50" s="125"/>
      <c r="H50" s="131"/>
      <c r="I50" s="101">
        <f>SUM(I43:I47)</f>
        <v>0</v>
      </c>
      <c r="J50" s="104"/>
      <c r="K50" s="125"/>
      <c r="L50" s="131"/>
      <c r="M50" s="101">
        <f>SUM(M43:M47)</f>
        <v>0</v>
      </c>
      <c r="N50" s="104"/>
      <c r="O50" s="480"/>
      <c r="P50" s="481"/>
      <c r="Q50" s="482">
        <f>SUM(Q43:Q48)</f>
        <v>0</v>
      </c>
      <c r="R50" s="104"/>
      <c r="S50" s="125"/>
      <c r="T50" s="131"/>
      <c r="U50" s="101">
        <f>SUM(U43:U47)</f>
        <v>0</v>
      </c>
      <c r="V50" s="104"/>
      <c r="W50" s="125"/>
      <c r="X50" s="131"/>
      <c r="Y50" s="101">
        <f>SUM(Y43:Y47)</f>
        <v>0</v>
      </c>
    </row>
    <row r="51" spans="1:25" ht="17.25" customHeight="1" x14ac:dyDescent="0.25">
      <c r="A51" s="103" t="s">
        <v>185</v>
      </c>
      <c r="B51" s="104"/>
      <c r="C51" s="101">
        <f>C41+C49</f>
        <v>51.454999999999998</v>
      </c>
      <c r="D51" s="105">
        <f>D41+D49</f>
        <v>5.9113000000000007</v>
      </c>
      <c r="E51" s="101">
        <f>E41+E49</f>
        <v>57.366300000000003</v>
      </c>
      <c r="F51" s="104"/>
      <c r="G51" s="101">
        <f>G41+G49</f>
        <v>59.046000000000006</v>
      </c>
      <c r="H51" s="105">
        <f>H41+H49</f>
        <v>4.1505999999999998</v>
      </c>
      <c r="I51" s="101">
        <f>I41+I49</f>
        <v>63.196600000000004</v>
      </c>
      <c r="J51" s="104"/>
      <c r="K51" s="101">
        <f>K41+K49</f>
        <v>63.564399999999992</v>
      </c>
      <c r="L51" s="105">
        <f>L41+L49</f>
        <v>5.4795999999999996</v>
      </c>
      <c r="M51" s="101">
        <f>M41+M49</f>
        <v>69.043999999999983</v>
      </c>
      <c r="N51" s="104"/>
      <c r="O51" s="101">
        <f>O41+O49</f>
        <v>63.586199999999991</v>
      </c>
      <c r="P51" s="105">
        <f>P41+P49</f>
        <v>5.5375999999999994</v>
      </c>
      <c r="Q51" s="101">
        <f>Q41+Q49</f>
        <v>69.123799999999989</v>
      </c>
      <c r="R51" s="104"/>
      <c r="S51" s="101">
        <f>S41+S49</f>
        <v>0</v>
      </c>
      <c r="T51" s="105">
        <f>T41+T49</f>
        <v>0</v>
      </c>
      <c r="U51" s="101">
        <f>U41+U49</f>
        <v>0</v>
      </c>
      <c r="V51" s="104"/>
      <c r="W51" s="101">
        <f>W41+W49</f>
        <v>0</v>
      </c>
      <c r="X51" s="105">
        <f>X41+X49</f>
        <v>0</v>
      </c>
      <c r="Y51" s="101">
        <f>Y41+Y49</f>
        <v>0</v>
      </c>
    </row>
    <row r="52" spans="1:25" ht="17.25" customHeight="1" x14ac:dyDescent="0.25">
      <c r="A52" s="140"/>
      <c r="B52" s="145"/>
      <c r="C52" s="143"/>
      <c r="D52" s="143"/>
      <c r="E52" s="108"/>
      <c r="F52" s="145"/>
      <c r="G52" s="143"/>
      <c r="H52" s="144"/>
      <c r="I52" s="145"/>
      <c r="J52" s="145"/>
      <c r="K52" s="143"/>
      <c r="L52" s="144"/>
      <c r="M52" s="145"/>
      <c r="N52" s="145"/>
      <c r="O52" s="143"/>
      <c r="P52" s="144"/>
      <c r="Q52" s="145"/>
      <c r="R52" s="145"/>
      <c r="S52" s="143"/>
      <c r="T52" s="144"/>
      <c r="U52" s="145"/>
      <c r="V52" s="145"/>
      <c r="W52" s="143"/>
      <c r="X52" s="144"/>
      <c r="Y52" s="145"/>
    </row>
    <row r="53" spans="1:25" x14ac:dyDescent="0.25">
      <c r="A53" s="114" t="s">
        <v>167</v>
      </c>
      <c r="B53" s="139"/>
      <c r="C53" s="148"/>
      <c r="D53" s="148"/>
      <c r="E53" s="116"/>
      <c r="F53" s="149"/>
      <c r="G53" s="148"/>
      <c r="H53" s="148"/>
      <c r="I53" s="149"/>
      <c r="J53" s="149"/>
      <c r="K53" s="148"/>
      <c r="L53" s="148"/>
      <c r="M53" s="149"/>
      <c r="N53" s="149"/>
      <c r="O53" s="148"/>
      <c r="P53" s="148"/>
      <c r="Q53" s="149"/>
      <c r="R53" s="149"/>
      <c r="S53" s="148"/>
      <c r="T53" s="148"/>
      <c r="U53" s="149"/>
      <c r="V53" s="149"/>
      <c r="W53" s="148"/>
      <c r="X53" s="148"/>
      <c r="Y53" s="150"/>
    </row>
    <row r="54" spans="1:25" ht="36" x14ac:dyDescent="0.25">
      <c r="A54" s="151" t="s">
        <v>174</v>
      </c>
      <c r="B54" s="125">
        <v>90</v>
      </c>
      <c r="C54" s="160"/>
      <c r="D54" s="178">
        <v>1.2</v>
      </c>
      <c r="E54" s="117"/>
      <c r="F54" s="125">
        <v>91.5</v>
      </c>
      <c r="G54" s="160"/>
      <c r="H54" s="266">
        <v>0.77810000000000001</v>
      </c>
      <c r="I54" s="117"/>
      <c r="J54" s="125">
        <v>95.645270000000011</v>
      </c>
      <c r="K54" s="160"/>
      <c r="L54" s="266">
        <v>0.2087</v>
      </c>
      <c r="M54" s="117"/>
      <c r="N54" s="125">
        <v>101.5</v>
      </c>
      <c r="O54" s="160"/>
      <c r="P54" s="178">
        <v>0.8</v>
      </c>
      <c r="Q54" s="117"/>
      <c r="R54" s="125"/>
      <c r="S54" s="160"/>
      <c r="T54" s="178"/>
      <c r="U54" s="117"/>
      <c r="V54" s="125"/>
      <c r="W54" s="160"/>
      <c r="X54" s="178"/>
      <c r="Y54" s="117"/>
    </row>
    <row r="55" spans="1:25" x14ac:dyDescent="0.25">
      <c r="A55" s="122"/>
      <c r="B55" s="125"/>
      <c r="C55" s="126"/>
      <c r="D55" s="126"/>
      <c r="E55" s="117"/>
      <c r="F55" s="125"/>
      <c r="G55" s="126"/>
      <c r="H55" s="126"/>
      <c r="I55" s="117"/>
      <c r="J55" s="125"/>
      <c r="K55" s="126"/>
      <c r="L55" s="126"/>
      <c r="M55" s="117"/>
      <c r="N55" s="125"/>
      <c r="O55" s="126"/>
      <c r="P55" s="126"/>
      <c r="Q55" s="117"/>
      <c r="R55" s="125"/>
      <c r="S55" s="126"/>
      <c r="T55" s="126"/>
      <c r="U55" s="117"/>
      <c r="V55" s="125"/>
      <c r="W55" s="126"/>
      <c r="X55" s="126"/>
      <c r="Y55" s="117"/>
    </row>
    <row r="56" spans="1:25" s="106" customFormat="1" x14ac:dyDescent="0.25">
      <c r="A56" s="100" t="s">
        <v>123</v>
      </c>
      <c r="B56" s="104">
        <f>SUM(B54:B55)</f>
        <v>90</v>
      </c>
      <c r="C56" s="104"/>
      <c r="D56" s="104">
        <v>1.2</v>
      </c>
      <c r="E56" s="104"/>
      <c r="F56" s="104">
        <f>SUM(F54:F55)</f>
        <v>91.5</v>
      </c>
      <c r="G56" s="104"/>
      <c r="H56" s="109">
        <v>0.8</v>
      </c>
      <c r="I56" s="104"/>
      <c r="J56" s="104">
        <f>SUM(J54:J55)</f>
        <v>95.645270000000011</v>
      </c>
      <c r="K56" s="104"/>
      <c r="L56" s="104">
        <v>0.2</v>
      </c>
      <c r="M56" s="104"/>
      <c r="N56" s="104">
        <f>SUM(N54:N55)</f>
        <v>101.5</v>
      </c>
      <c r="O56" s="104"/>
      <c r="P56" s="109">
        <f>SUM(P54:P55)</f>
        <v>0.8</v>
      </c>
      <c r="Q56" s="104"/>
      <c r="R56" s="104">
        <f>SUM(R54:R55)</f>
        <v>0</v>
      </c>
      <c r="S56" s="104"/>
      <c r="T56" s="104"/>
      <c r="U56" s="104"/>
      <c r="V56" s="104">
        <f>SUM(V54:V55)</f>
        <v>0</v>
      </c>
      <c r="W56" s="104"/>
      <c r="X56" s="104"/>
      <c r="Y56" s="101"/>
    </row>
    <row r="57" spans="1:25" ht="3.95" customHeight="1" x14ac:dyDescent="0.25">
      <c r="A57" s="103"/>
      <c r="B57" s="125"/>
      <c r="C57" s="125"/>
      <c r="D57" s="125"/>
      <c r="E57" s="105"/>
      <c r="F57" s="125"/>
      <c r="G57" s="125"/>
      <c r="H57" s="125"/>
      <c r="I57" s="105"/>
      <c r="J57" s="125"/>
      <c r="K57" s="125"/>
      <c r="L57" s="125"/>
      <c r="M57" s="105"/>
      <c r="N57" s="125"/>
      <c r="O57" s="125"/>
      <c r="P57" s="125"/>
      <c r="Q57" s="105"/>
      <c r="R57" s="125"/>
      <c r="S57" s="125"/>
      <c r="T57" s="125"/>
      <c r="U57" s="105"/>
      <c r="V57" s="125"/>
      <c r="W57" s="125"/>
      <c r="X57" s="125"/>
      <c r="Y57" s="105"/>
    </row>
    <row r="58" spans="1:25" s="118" customFormat="1" x14ac:dyDescent="0.25">
      <c r="A58" s="103" t="s">
        <v>191</v>
      </c>
      <c r="B58" s="109">
        <f>B56</f>
        <v>90</v>
      </c>
      <c r="C58" s="109" t="s">
        <v>67</v>
      </c>
      <c r="D58" s="109" t="s">
        <v>67</v>
      </c>
      <c r="E58" s="109" t="s">
        <v>67</v>
      </c>
      <c r="F58" s="109">
        <f>F56</f>
        <v>91.5</v>
      </c>
      <c r="G58" s="109" t="s">
        <v>67</v>
      </c>
      <c r="H58" s="109">
        <v>0.8</v>
      </c>
      <c r="I58" s="109" t="s">
        <v>67</v>
      </c>
      <c r="J58" s="109">
        <f>J56</f>
        <v>95.645270000000011</v>
      </c>
      <c r="K58" s="109" t="s">
        <v>67</v>
      </c>
      <c r="L58" s="109">
        <v>0.2</v>
      </c>
      <c r="M58" s="109" t="s">
        <v>67</v>
      </c>
      <c r="N58" s="109">
        <f>N56</f>
        <v>101.5</v>
      </c>
      <c r="O58" s="109" t="s">
        <v>67</v>
      </c>
      <c r="P58" s="109">
        <f>P56</f>
        <v>0.8</v>
      </c>
      <c r="Q58" s="109" t="s">
        <v>67</v>
      </c>
      <c r="R58" s="109">
        <f>R56</f>
        <v>0</v>
      </c>
      <c r="S58" s="109" t="s">
        <v>67</v>
      </c>
      <c r="T58" s="109" t="s">
        <v>67</v>
      </c>
      <c r="U58" s="109" t="s">
        <v>67</v>
      </c>
      <c r="V58" s="109">
        <f>V56</f>
        <v>0</v>
      </c>
      <c r="W58" s="109" t="s">
        <v>67</v>
      </c>
      <c r="X58" s="109" t="s">
        <v>67</v>
      </c>
      <c r="Y58" s="184" t="s">
        <v>67</v>
      </c>
    </row>
    <row r="59" spans="1:25" s="166" customFormat="1" x14ac:dyDescent="0.25">
      <c r="A59" s="156"/>
      <c r="B59" s="161"/>
      <c r="C59" s="161"/>
      <c r="D59" s="161"/>
      <c r="E59" s="162"/>
      <c r="F59" s="163"/>
      <c r="G59" s="164"/>
      <c r="H59" s="165"/>
      <c r="I59" s="163"/>
      <c r="J59" s="163"/>
      <c r="K59" s="164"/>
      <c r="L59" s="165"/>
      <c r="M59" s="163"/>
      <c r="N59" s="163"/>
      <c r="O59" s="164"/>
      <c r="P59" s="165"/>
      <c r="Q59" s="163"/>
      <c r="R59" s="163"/>
      <c r="S59" s="164"/>
      <c r="T59" s="165"/>
      <c r="U59" s="163"/>
      <c r="V59" s="163"/>
      <c r="W59" s="164"/>
      <c r="X59" s="165"/>
      <c r="Y59" s="163"/>
    </row>
    <row r="60" spans="1:25" x14ac:dyDescent="0.25">
      <c r="A60" s="156" t="s">
        <v>28</v>
      </c>
      <c r="B60" s="156"/>
      <c r="C60" s="158"/>
      <c r="D60" s="158"/>
      <c r="E60" s="158"/>
      <c r="F60" s="156"/>
      <c r="G60" s="158"/>
      <c r="H60" s="158"/>
      <c r="I60" s="156"/>
      <c r="J60" s="156"/>
      <c r="K60" s="158"/>
      <c r="L60" s="158"/>
      <c r="M60" s="156"/>
      <c r="N60" s="156"/>
      <c r="O60" s="158"/>
      <c r="P60" s="158"/>
      <c r="Q60" s="156"/>
      <c r="R60" s="156"/>
      <c r="S60" s="158"/>
      <c r="T60" s="158"/>
      <c r="U60" s="156"/>
      <c r="V60" s="156"/>
      <c r="W60" s="158"/>
      <c r="X60" s="158"/>
      <c r="Y60" s="156"/>
    </row>
    <row r="61" spans="1:25" x14ac:dyDescent="0.25">
      <c r="A61" s="156"/>
      <c r="B61" s="156" t="s">
        <v>265</v>
      </c>
      <c r="C61" s="158"/>
      <c r="D61" s="158"/>
      <c r="E61" s="158"/>
      <c r="F61" s="156"/>
      <c r="G61" s="158"/>
      <c r="H61" s="158"/>
      <c r="I61" s="156"/>
      <c r="J61" s="156"/>
      <c r="K61" s="158"/>
      <c r="L61" s="158"/>
      <c r="M61" s="156"/>
      <c r="N61" s="156"/>
      <c r="O61" s="158"/>
      <c r="P61" s="158"/>
      <c r="Q61" s="156"/>
      <c r="R61" s="156"/>
      <c r="S61" s="158"/>
      <c r="T61" s="158"/>
      <c r="U61" s="156"/>
      <c r="V61" s="156"/>
      <c r="W61" s="158"/>
      <c r="X61" s="158"/>
      <c r="Y61" s="156"/>
    </row>
    <row r="62" spans="1:25" ht="24" customHeight="1" x14ac:dyDescent="0.25">
      <c r="A62" s="156"/>
      <c r="B62" s="156" t="s">
        <v>175</v>
      </c>
      <c r="C62" s="158"/>
      <c r="D62" s="158"/>
      <c r="E62" s="158"/>
      <c r="F62" s="156"/>
      <c r="G62" s="158"/>
      <c r="H62" s="158"/>
      <c r="I62" s="156"/>
      <c r="J62" s="156"/>
      <c r="K62" s="158"/>
      <c r="L62" s="158"/>
      <c r="M62" s="156"/>
      <c r="N62" s="156"/>
      <c r="O62" s="158"/>
      <c r="P62" s="158"/>
      <c r="Q62" s="156"/>
      <c r="R62" s="156"/>
      <c r="S62" s="158"/>
      <c r="T62" s="158"/>
      <c r="U62" s="156"/>
      <c r="V62" s="156"/>
      <c r="W62" s="158"/>
      <c r="X62" s="158"/>
      <c r="Y62" s="156"/>
    </row>
    <row r="64" spans="1:25" x14ac:dyDescent="0.25">
      <c r="A64" s="156" t="s">
        <v>182</v>
      </c>
      <c r="B64" s="156" t="s">
        <v>186</v>
      </c>
      <c r="D64" s="158"/>
      <c r="G64" s="158"/>
      <c r="I64" s="156"/>
      <c r="K64" s="158"/>
      <c r="M64" s="156"/>
      <c r="N64" s="86"/>
      <c r="O64" s="158"/>
      <c r="P64" s="158"/>
      <c r="Q64" s="86"/>
      <c r="R64" s="86"/>
      <c r="S64" s="158"/>
      <c r="T64" s="158"/>
      <c r="U64" s="86"/>
      <c r="V64" s="86"/>
      <c r="W64" s="158"/>
      <c r="X64" s="158"/>
      <c r="Y64" s="86"/>
    </row>
    <row r="65" spans="1:25" x14ac:dyDescent="0.25">
      <c r="A65" s="156" t="s">
        <v>190</v>
      </c>
      <c r="B65" s="156" t="s">
        <v>187</v>
      </c>
      <c r="D65" s="158"/>
      <c r="G65" s="158"/>
      <c r="I65" s="156"/>
      <c r="K65" s="158"/>
      <c r="M65" s="156"/>
      <c r="N65" s="86"/>
      <c r="O65" s="158"/>
      <c r="P65" s="158"/>
      <c r="Q65" s="86"/>
      <c r="R65" s="86"/>
      <c r="S65" s="158"/>
      <c r="T65" s="158"/>
      <c r="U65" s="86"/>
      <c r="V65" s="86"/>
      <c r="W65" s="158"/>
      <c r="X65" s="158"/>
      <c r="Y65" s="86"/>
    </row>
    <row r="66" spans="1:25" x14ac:dyDescent="0.25">
      <c r="A66" s="156" t="s">
        <v>184</v>
      </c>
      <c r="B66" s="156" t="s">
        <v>188</v>
      </c>
      <c r="D66" s="158"/>
      <c r="G66" s="158"/>
      <c r="I66" s="156"/>
      <c r="K66" s="158"/>
      <c r="M66" s="156"/>
    </row>
    <row r="67" spans="1:25" x14ac:dyDescent="0.25">
      <c r="A67" s="156"/>
      <c r="B67" s="156"/>
      <c r="C67" s="106" t="s">
        <v>276</v>
      </c>
      <c r="D67" s="158"/>
      <c r="G67" s="158"/>
      <c r="I67" s="156"/>
      <c r="K67" s="158"/>
      <c r="M67" s="156"/>
    </row>
    <row r="68" spans="1:25" x14ac:dyDescent="0.25">
      <c r="A68" s="156"/>
      <c r="B68" s="156"/>
      <c r="C68" s="106" t="s">
        <v>277</v>
      </c>
      <c r="D68" s="158"/>
      <c r="G68" s="158"/>
      <c r="I68" s="156"/>
      <c r="K68" s="158"/>
      <c r="M68" s="156"/>
    </row>
    <row r="69" spans="1:25" x14ac:dyDescent="0.25">
      <c r="A69" s="156" t="s">
        <v>185</v>
      </c>
      <c r="B69" s="156" t="s">
        <v>189</v>
      </c>
      <c r="D69" s="158"/>
      <c r="F69" s="119"/>
      <c r="I69" s="119"/>
      <c r="J69" s="119"/>
      <c r="M69" s="119"/>
      <c r="N69" s="119"/>
      <c r="Q69" s="119"/>
      <c r="R69" s="119"/>
      <c r="U69" s="119"/>
      <c r="V69" s="119"/>
      <c r="Y69" s="119"/>
    </row>
    <row r="70" spans="1:25" x14ac:dyDescent="0.25">
      <c r="A70" s="156" t="s">
        <v>176</v>
      </c>
      <c r="B70" s="156" t="s">
        <v>177</v>
      </c>
      <c r="D70" s="158"/>
      <c r="G70" s="158"/>
      <c r="I70" s="156"/>
      <c r="K70" s="158"/>
      <c r="M70" s="156"/>
      <c r="N70" s="86"/>
      <c r="O70" s="158"/>
      <c r="P70" s="158"/>
      <c r="Q70" s="86"/>
      <c r="R70" s="86"/>
      <c r="S70" s="158"/>
      <c r="T70" s="158"/>
      <c r="U70" s="86"/>
      <c r="V70" s="86"/>
      <c r="W70" s="158"/>
      <c r="X70" s="158"/>
      <c r="Y70" s="86"/>
    </row>
    <row r="71" spans="1:25" x14ac:dyDescent="0.25">
      <c r="A71" s="119"/>
      <c r="B71" s="119"/>
      <c r="F71" s="119"/>
      <c r="I71" s="119"/>
      <c r="J71" s="119"/>
      <c r="M71" s="119"/>
      <c r="N71" s="119"/>
      <c r="Q71" s="119"/>
      <c r="R71" s="119"/>
      <c r="U71" s="119"/>
      <c r="V71" s="119"/>
      <c r="Y71" s="119"/>
    </row>
    <row r="72" spans="1:25" x14ac:dyDescent="0.25">
      <c r="A72" s="119"/>
      <c r="B72" s="119"/>
      <c r="F72" s="119"/>
      <c r="I72" s="119"/>
      <c r="J72" s="119"/>
      <c r="M72" s="119"/>
      <c r="N72" s="119"/>
      <c r="Q72" s="119"/>
      <c r="R72" s="119"/>
      <c r="U72" s="119"/>
      <c r="V72" s="119"/>
      <c r="Y72" s="119"/>
    </row>
    <row r="73" spans="1:25" x14ac:dyDescent="0.25">
      <c r="A73" s="119"/>
      <c r="B73" s="119"/>
      <c r="F73" s="119"/>
      <c r="I73" s="119"/>
      <c r="J73" s="119"/>
      <c r="M73" s="119"/>
      <c r="N73" s="119"/>
      <c r="Q73" s="119"/>
      <c r="R73" s="119"/>
      <c r="U73" s="119"/>
      <c r="V73" s="119"/>
      <c r="Y73" s="119"/>
    </row>
    <row r="74" spans="1:25" x14ac:dyDescent="0.25">
      <c r="A74" s="119"/>
      <c r="F74" s="119"/>
      <c r="I74" s="119"/>
      <c r="J74" s="119"/>
      <c r="M74" s="119"/>
      <c r="N74" s="119"/>
      <c r="Q74" s="119"/>
      <c r="R74" s="119"/>
      <c r="U74" s="119"/>
      <c r="V74" s="119"/>
      <c r="Y74" s="119"/>
    </row>
  </sheetData>
  <mergeCells count="12">
    <mergeCell ref="N3:Q3"/>
    <mergeCell ref="N32:Q32"/>
    <mergeCell ref="R3:U3"/>
    <mergeCell ref="R32:U32"/>
    <mergeCell ref="V3:Y3"/>
    <mergeCell ref="V32:Y32"/>
    <mergeCell ref="B3:E3"/>
    <mergeCell ref="B32:E32"/>
    <mergeCell ref="F3:I3"/>
    <mergeCell ref="F32:I32"/>
    <mergeCell ref="J3:M3"/>
    <mergeCell ref="J32:M32"/>
  </mergeCells>
  <phoneticPr fontId="0" type="noConversion"/>
  <printOptions horizontalCentered="1" verticalCentered="1"/>
  <pageMargins left="0.4" right="0.34" top="1" bottom="1" header="0.5" footer="0.5"/>
  <pageSetup scale="31" orientation="landscape" r:id="rId1"/>
  <headerFooter alignWithMargins="0">
    <oddHeader>&amp;C&amp;14Table I-1B
SCE TA/TI and Auto DR Program Subscription Statistics 
2011</oddHead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
  <sheetViews>
    <sheetView showGridLines="0" view="pageBreakPreview" zoomScale="75" zoomScaleNormal="75" zoomScaleSheetLayoutView="75" workbookViewId="0">
      <pane xSplit="1" topLeftCell="D1" activePane="topRight" state="frozen"/>
      <selection pane="topRight" activeCell="A2" sqref="A2"/>
    </sheetView>
  </sheetViews>
  <sheetFormatPr defaultRowHeight="12.75" x14ac:dyDescent="0.2"/>
  <cols>
    <col min="1" max="1" width="60" style="310" customWidth="1"/>
    <col min="2" max="3" width="13.5703125" style="310" hidden="1" customWidth="1"/>
    <col min="4" max="4" width="13.5703125" style="310" customWidth="1"/>
    <col min="5" max="5" width="16.5703125" style="310" bestFit="1" customWidth="1"/>
    <col min="6" max="6" width="10.7109375" style="310" customWidth="1"/>
    <col min="7" max="8" width="12.28515625" style="310" bestFit="1" customWidth="1"/>
    <col min="9" max="10" width="12" style="310" bestFit="1" customWidth="1"/>
    <col min="11" max="11" width="12.5703125" style="310" bestFit="1" customWidth="1"/>
    <col min="12" max="12" width="12.28515625" style="310" bestFit="1" customWidth="1"/>
    <col min="13" max="13" width="12" style="310" customWidth="1"/>
    <col min="14" max="14" width="11.5703125" style="310" bestFit="1" customWidth="1"/>
    <col min="15" max="15" width="11.85546875" style="310" customWidth="1"/>
    <col min="16" max="16" width="11.7109375" style="310" customWidth="1"/>
    <col min="17" max="17" width="14.42578125" style="310" bestFit="1" customWidth="1"/>
    <col min="18" max="18" width="14.28515625" style="310" customWidth="1"/>
    <col min="19" max="19" width="19" style="274" bestFit="1" customWidth="1"/>
    <col min="20" max="20" width="14.7109375" style="274" customWidth="1"/>
    <col min="21" max="21" width="13.42578125" style="310" bestFit="1" customWidth="1"/>
    <col min="22" max="22" width="9.140625" style="310"/>
    <col min="23" max="23" width="10.7109375" style="310" bestFit="1" customWidth="1"/>
    <col min="24" max="16384" width="9.140625" style="310"/>
  </cols>
  <sheetData>
    <row r="1" spans="1:23" s="274" customFormat="1" x14ac:dyDescent="0.2">
      <c r="A1" s="273" t="s">
        <v>124</v>
      </c>
    </row>
    <row r="2" spans="1:23" s="274" customFormat="1" ht="13.5" thickBot="1" x14ac:dyDescent="0.25"/>
    <row r="3" spans="1:23" s="274" customFormat="1" x14ac:dyDescent="0.2">
      <c r="A3" s="275"/>
      <c r="B3" s="276"/>
      <c r="C3" s="276"/>
      <c r="D3" s="276"/>
      <c r="E3" s="277"/>
      <c r="F3" s="277"/>
      <c r="G3" s="277"/>
      <c r="H3" s="277"/>
      <c r="I3" s="277"/>
      <c r="J3" s="277"/>
      <c r="K3" s="277"/>
      <c r="L3" s="277"/>
      <c r="M3" s="277"/>
      <c r="N3" s="277"/>
      <c r="O3" s="277"/>
      <c r="P3" s="278"/>
      <c r="Q3" s="278"/>
      <c r="R3" s="278"/>
      <c r="S3" s="278"/>
      <c r="T3" s="278"/>
      <c r="U3" s="279"/>
    </row>
    <row r="4" spans="1:23" s="274" customFormat="1" ht="7.5" customHeight="1" x14ac:dyDescent="0.2">
      <c r="A4" s="280"/>
      <c r="B4" s="281"/>
      <c r="C4" s="282"/>
      <c r="D4" s="282"/>
      <c r="E4" s="283"/>
      <c r="F4" s="283"/>
      <c r="G4" s="283"/>
      <c r="H4" s="283"/>
      <c r="I4" s="283"/>
      <c r="J4" s="283"/>
      <c r="K4" s="283"/>
      <c r="L4" s="283"/>
      <c r="M4" s="283"/>
      <c r="N4" s="283"/>
      <c r="O4" s="283"/>
      <c r="P4" s="284"/>
      <c r="Q4" s="284"/>
      <c r="R4" s="284"/>
      <c r="S4" s="284"/>
      <c r="T4" s="284"/>
      <c r="U4" s="285"/>
    </row>
    <row r="5" spans="1:23" s="274" customFormat="1" ht="57.75" customHeight="1" x14ac:dyDescent="0.2">
      <c r="A5" s="286" t="s">
        <v>21</v>
      </c>
      <c r="B5" s="287" t="s">
        <v>113</v>
      </c>
      <c r="C5" s="288" t="s">
        <v>197</v>
      </c>
      <c r="D5" s="288" t="s">
        <v>198</v>
      </c>
      <c r="E5" s="289" t="s">
        <v>0</v>
      </c>
      <c r="F5" s="289" t="s">
        <v>1</v>
      </c>
      <c r="G5" s="289" t="s">
        <v>2</v>
      </c>
      <c r="H5" s="289" t="s">
        <v>3</v>
      </c>
      <c r="I5" s="289" t="s">
        <v>4</v>
      </c>
      <c r="J5" s="289" t="s">
        <v>5</v>
      </c>
      <c r="K5" s="289" t="s">
        <v>6</v>
      </c>
      <c r="L5" s="289" t="s">
        <v>7</v>
      </c>
      <c r="M5" s="289" t="s">
        <v>8</v>
      </c>
      <c r="N5" s="289" t="s">
        <v>9</v>
      </c>
      <c r="O5" s="289" t="s">
        <v>10</v>
      </c>
      <c r="P5" s="289" t="s">
        <v>11</v>
      </c>
      <c r="Q5" s="290" t="s">
        <v>203</v>
      </c>
      <c r="R5" s="290" t="s">
        <v>199</v>
      </c>
      <c r="S5" s="290" t="s">
        <v>115</v>
      </c>
      <c r="T5" s="290" t="s">
        <v>178</v>
      </c>
      <c r="U5" s="290" t="s">
        <v>114</v>
      </c>
    </row>
    <row r="6" spans="1:23" s="274" customFormat="1" x14ac:dyDescent="0.2">
      <c r="A6" s="291" t="s">
        <v>68</v>
      </c>
      <c r="B6" s="292"/>
      <c r="C6" s="291"/>
      <c r="D6" s="291"/>
      <c r="E6" s="293"/>
      <c r="F6" s="293"/>
      <c r="G6" s="293"/>
      <c r="H6" s="293"/>
      <c r="I6" s="293"/>
      <c r="J6" s="293"/>
      <c r="K6" s="293"/>
      <c r="L6" s="293"/>
      <c r="M6" s="293"/>
      <c r="N6" s="293"/>
      <c r="O6" s="293"/>
      <c r="P6" s="293"/>
      <c r="Q6" s="294"/>
      <c r="R6" s="294" t="s">
        <v>14</v>
      </c>
      <c r="S6" s="295"/>
      <c r="T6" s="295"/>
      <c r="U6" s="295"/>
    </row>
    <row r="7" spans="1:23" s="274" customFormat="1" x14ac:dyDescent="0.2">
      <c r="A7" s="296" t="s">
        <v>63</v>
      </c>
      <c r="B7" s="297">
        <v>419531</v>
      </c>
      <c r="C7" s="297">
        <v>401129</v>
      </c>
      <c r="D7" s="297">
        <f t="shared" ref="D7:D12" si="0">B7+C7</f>
        <v>820660</v>
      </c>
      <c r="E7" s="293">
        <v>39718</v>
      </c>
      <c r="F7" s="293">
        <v>33521</v>
      </c>
      <c r="G7" s="293">
        <v>52220</v>
      </c>
      <c r="H7" s="293">
        <v>66222</v>
      </c>
      <c r="I7" s="293">
        <v>68727</v>
      </c>
      <c r="J7" s="293">
        <v>41610.47</v>
      </c>
      <c r="K7" s="293">
        <v>32194</v>
      </c>
      <c r="L7" s="293">
        <v>79317</v>
      </c>
      <c r="M7" s="293">
        <v>31309</v>
      </c>
      <c r="N7" s="293">
        <v>83133</v>
      </c>
      <c r="O7" s="293">
        <v>0</v>
      </c>
      <c r="P7" s="293">
        <v>0</v>
      </c>
      <c r="Q7" s="298">
        <f t="shared" ref="Q7:Q12" si="1">SUM(E7:P7)</f>
        <v>527971.47</v>
      </c>
      <c r="R7" s="298">
        <f t="shared" ref="R7:R12" si="2">+D7+Q7</f>
        <v>1348631.47</v>
      </c>
      <c r="S7" s="299">
        <v>1400000</v>
      </c>
      <c r="T7" s="299"/>
      <c r="U7" s="300">
        <f t="shared" ref="U7:U13" si="3">+R7/S7</f>
        <v>0.96330819285714286</v>
      </c>
    </row>
    <row r="8" spans="1:23" s="274" customFormat="1" x14ac:dyDescent="0.2">
      <c r="A8" s="301" t="s">
        <v>12</v>
      </c>
      <c r="B8" s="297">
        <v>1506744</v>
      </c>
      <c r="C8" s="297">
        <v>743719</v>
      </c>
      <c r="D8" s="297">
        <f t="shared" si="0"/>
        <v>2250463</v>
      </c>
      <c r="E8" s="293">
        <v>54425</v>
      </c>
      <c r="F8" s="293">
        <v>63704</v>
      </c>
      <c r="G8" s="293">
        <v>69577</v>
      </c>
      <c r="H8" s="293">
        <v>59222</v>
      </c>
      <c r="I8" s="293">
        <v>59741</v>
      </c>
      <c r="J8" s="293">
        <v>92612.45</v>
      </c>
      <c r="K8" s="293">
        <v>61867</v>
      </c>
      <c r="L8" s="293">
        <v>78291</v>
      </c>
      <c r="M8" s="293">
        <v>64457</v>
      </c>
      <c r="N8" s="293">
        <v>69238</v>
      </c>
      <c r="O8" s="293">
        <v>0</v>
      </c>
      <c r="P8" s="293">
        <v>0</v>
      </c>
      <c r="Q8" s="298">
        <f t="shared" si="1"/>
        <v>673134.45</v>
      </c>
      <c r="R8" s="298">
        <f t="shared" si="2"/>
        <v>2923597.45</v>
      </c>
      <c r="S8" s="299">
        <v>4702374</v>
      </c>
      <c r="T8" s="299"/>
      <c r="U8" s="300">
        <f t="shared" si="3"/>
        <v>0.6217279718712293</v>
      </c>
    </row>
    <row r="9" spans="1:23" s="274" customFormat="1" x14ac:dyDescent="0.2">
      <c r="A9" s="301" t="s">
        <v>60</v>
      </c>
      <c r="B9" s="297">
        <v>16615143</v>
      </c>
      <c r="C9" s="297">
        <v>6668996</v>
      </c>
      <c r="D9" s="297">
        <f t="shared" si="0"/>
        <v>23284139</v>
      </c>
      <c r="E9" s="293">
        <v>351199</v>
      </c>
      <c r="F9" s="293">
        <v>264194</v>
      </c>
      <c r="G9" s="293">
        <v>248331</v>
      </c>
      <c r="H9" s="293">
        <v>253525</v>
      </c>
      <c r="I9" s="293">
        <v>1195978</v>
      </c>
      <c r="J9" s="293">
        <v>1424996.32</v>
      </c>
      <c r="K9" s="293">
        <v>307415</v>
      </c>
      <c r="L9" s="293">
        <v>698855</v>
      </c>
      <c r="M9" s="293">
        <f>605475+1033</f>
        <v>606508</v>
      </c>
      <c r="N9" s="293">
        <f>346894</f>
        <v>346894</v>
      </c>
      <c r="O9" s="293">
        <v>0</v>
      </c>
      <c r="P9" s="293">
        <v>0</v>
      </c>
      <c r="Q9" s="298">
        <f t="shared" si="1"/>
        <v>5697895.3200000003</v>
      </c>
      <c r="R9" s="298">
        <f t="shared" si="2"/>
        <v>28982034.32</v>
      </c>
      <c r="S9" s="299">
        <f>30334000+8298160</f>
        <v>38632160</v>
      </c>
      <c r="T9" s="299"/>
      <c r="U9" s="300">
        <f t="shared" si="3"/>
        <v>0.75020486351267957</v>
      </c>
    </row>
    <row r="10" spans="1:23" s="274" customFormat="1" x14ac:dyDescent="0.2">
      <c r="A10" s="301" t="s">
        <v>57</v>
      </c>
      <c r="B10" s="297">
        <v>20442</v>
      </c>
      <c r="C10" s="297">
        <v>59409</v>
      </c>
      <c r="D10" s="297">
        <f t="shared" si="0"/>
        <v>79851</v>
      </c>
      <c r="E10" s="293">
        <v>2084</v>
      </c>
      <c r="F10" s="293">
        <v>1927</v>
      </c>
      <c r="G10" s="293">
        <v>2545</v>
      </c>
      <c r="H10" s="293">
        <v>2140</v>
      </c>
      <c r="I10" s="293">
        <v>2330</v>
      </c>
      <c r="J10" s="293">
        <v>2594.3900000000003</v>
      </c>
      <c r="K10" s="293">
        <v>6396</v>
      </c>
      <c r="L10" s="293">
        <v>27383</v>
      </c>
      <c r="M10" s="293">
        <v>2774</v>
      </c>
      <c r="N10" s="293">
        <v>2163</v>
      </c>
      <c r="O10" s="293">
        <v>0</v>
      </c>
      <c r="P10" s="293">
        <v>0</v>
      </c>
      <c r="Q10" s="298">
        <f t="shared" si="1"/>
        <v>52336.39</v>
      </c>
      <c r="R10" s="298">
        <f t="shared" si="2"/>
        <v>132187.39000000001</v>
      </c>
      <c r="S10" s="299">
        <v>408738</v>
      </c>
      <c r="T10" s="299"/>
      <c r="U10" s="300">
        <f t="shared" si="3"/>
        <v>0.32340372072085299</v>
      </c>
    </row>
    <row r="11" spans="1:23" s="274" customFormat="1" x14ac:dyDescent="0.2">
      <c r="A11" s="296" t="s">
        <v>35</v>
      </c>
      <c r="B11" s="297">
        <v>0</v>
      </c>
      <c r="C11" s="297">
        <v>10763</v>
      </c>
      <c r="D11" s="297">
        <f t="shared" si="0"/>
        <v>10763</v>
      </c>
      <c r="E11" s="293">
        <v>0</v>
      </c>
      <c r="F11" s="293">
        <v>0</v>
      </c>
      <c r="G11" s="293">
        <v>675</v>
      </c>
      <c r="H11" s="293">
        <v>352</v>
      </c>
      <c r="I11" s="293">
        <v>0</v>
      </c>
      <c r="J11" s="293">
        <v>0</v>
      </c>
      <c r="K11" s="293">
        <v>0</v>
      </c>
      <c r="L11" s="293">
        <v>0</v>
      </c>
      <c r="M11" s="293">
        <v>433</v>
      </c>
      <c r="N11" s="293">
        <v>0</v>
      </c>
      <c r="O11" s="293">
        <v>0</v>
      </c>
      <c r="P11" s="293">
        <v>0</v>
      </c>
      <c r="Q11" s="298">
        <f t="shared" si="1"/>
        <v>1460</v>
      </c>
      <c r="R11" s="298">
        <f t="shared" si="2"/>
        <v>12223</v>
      </c>
      <c r="S11" s="299">
        <v>52995</v>
      </c>
      <c r="T11" s="299"/>
      <c r="U11" s="300">
        <f t="shared" si="3"/>
        <v>0.23064440041513351</v>
      </c>
    </row>
    <row r="12" spans="1:23" s="274" customFormat="1" x14ac:dyDescent="0.2">
      <c r="A12" s="301" t="s">
        <v>56</v>
      </c>
      <c r="B12" s="297">
        <v>27727</v>
      </c>
      <c r="C12" s="297">
        <v>26663</v>
      </c>
      <c r="D12" s="297">
        <f t="shared" si="0"/>
        <v>54390</v>
      </c>
      <c r="E12" s="293">
        <v>478</v>
      </c>
      <c r="F12" s="293">
        <v>405</v>
      </c>
      <c r="G12" s="293">
        <v>1013</v>
      </c>
      <c r="H12" s="293">
        <v>770</v>
      </c>
      <c r="I12" s="293">
        <v>535</v>
      </c>
      <c r="J12" s="293">
        <v>445.06</v>
      </c>
      <c r="K12" s="293">
        <v>352</v>
      </c>
      <c r="L12" s="293">
        <v>384</v>
      </c>
      <c r="M12" s="293">
        <v>923</v>
      </c>
      <c r="N12" s="293">
        <v>456</v>
      </c>
      <c r="O12" s="293">
        <v>0</v>
      </c>
      <c r="P12" s="293">
        <v>0</v>
      </c>
      <c r="Q12" s="298">
        <f t="shared" si="1"/>
        <v>5761.0599999999995</v>
      </c>
      <c r="R12" s="298">
        <f t="shared" si="2"/>
        <v>60151.06</v>
      </c>
      <c r="S12" s="299">
        <v>197994</v>
      </c>
      <c r="T12" s="299"/>
      <c r="U12" s="300">
        <f t="shared" si="3"/>
        <v>0.30380243845773103</v>
      </c>
    </row>
    <row r="13" spans="1:23" s="274" customFormat="1" x14ac:dyDescent="0.2">
      <c r="A13" s="302" t="s">
        <v>38</v>
      </c>
      <c r="B13" s="303">
        <f t="shared" ref="B13:S13" si="4">SUM(B7:B12)</f>
        <v>18589587</v>
      </c>
      <c r="C13" s="303">
        <f>SUM(C7:C12)</f>
        <v>7910679</v>
      </c>
      <c r="D13" s="303">
        <f>SUM(D7:D12)</f>
        <v>26500266</v>
      </c>
      <c r="E13" s="304">
        <f t="shared" si="4"/>
        <v>447904</v>
      </c>
      <c r="F13" s="304">
        <f t="shared" si="4"/>
        <v>363751</v>
      </c>
      <c r="G13" s="304">
        <f t="shared" si="4"/>
        <v>374361</v>
      </c>
      <c r="H13" s="304">
        <f t="shared" si="4"/>
        <v>382231</v>
      </c>
      <c r="I13" s="304">
        <f t="shared" si="4"/>
        <v>1327311</v>
      </c>
      <c r="J13" s="304">
        <f t="shared" si="4"/>
        <v>1562258.69</v>
      </c>
      <c r="K13" s="304">
        <f t="shared" si="4"/>
        <v>408224</v>
      </c>
      <c r="L13" s="304">
        <f t="shared" si="4"/>
        <v>884230</v>
      </c>
      <c r="M13" s="304">
        <f>SUM(M7:M12)</f>
        <v>706404</v>
      </c>
      <c r="N13" s="304">
        <f>SUM(N7:N12)</f>
        <v>501884</v>
      </c>
      <c r="O13" s="304">
        <f t="shared" si="4"/>
        <v>0</v>
      </c>
      <c r="P13" s="304">
        <f t="shared" si="4"/>
        <v>0</v>
      </c>
      <c r="Q13" s="305">
        <f t="shared" si="4"/>
        <v>6958558.6899999995</v>
      </c>
      <c r="R13" s="305">
        <f>SUM(R7:R12)</f>
        <v>33458824.690000001</v>
      </c>
      <c r="S13" s="305">
        <f t="shared" si="4"/>
        <v>45394261</v>
      </c>
      <c r="T13" s="305"/>
      <c r="U13" s="306">
        <f t="shared" si="3"/>
        <v>0.73707169040597442</v>
      </c>
    </row>
    <row r="14" spans="1:23" x14ac:dyDescent="0.2">
      <c r="A14" s="307"/>
      <c r="B14" s="308"/>
      <c r="C14" s="309"/>
      <c r="D14" s="309"/>
      <c r="Q14" s="311"/>
      <c r="R14" s="311"/>
      <c r="S14" s="312"/>
      <c r="T14" s="312"/>
      <c r="U14" s="311"/>
    </row>
    <row r="15" spans="1:23" x14ac:dyDescent="0.2">
      <c r="A15" s="291" t="s">
        <v>69</v>
      </c>
      <c r="B15" s="292"/>
      <c r="C15" s="291"/>
      <c r="D15" s="291"/>
      <c r="Q15" s="313"/>
      <c r="R15" s="313"/>
      <c r="S15" s="295"/>
      <c r="T15" s="295"/>
      <c r="U15" s="313"/>
    </row>
    <row r="16" spans="1:23" s="274" customFormat="1" x14ac:dyDescent="0.2">
      <c r="A16" s="314" t="s">
        <v>41</v>
      </c>
      <c r="B16" s="297">
        <v>969711</v>
      </c>
      <c r="C16" s="297">
        <v>519237</v>
      </c>
      <c r="D16" s="297">
        <f>B16+C16</f>
        <v>1488948</v>
      </c>
      <c r="E16" s="293">
        <v>16248</v>
      </c>
      <c r="F16" s="293">
        <v>48302</v>
      </c>
      <c r="G16" s="293">
        <v>60120</v>
      </c>
      <c r="H16" s="293">
        <v>21880</v>
      </c>
      <c r="I16" s="293">
        <v>-32827</v>
      </c>
      <c r="J16" s="293">
        <v>13128.989999999998</v>
      </c>
      <c r="K16" s="293">
        <v>26691</v>
      </c>
      <c r="L16" s="293">
        <v>33489</v>
      </c>
      <c r="M16" s="293">
        <v>18177</v>
      </c>
      <c r="N16" s="293">
        <v>22260</v>
      </c>
      <c r="O16" s="293">
        <v>0</v>
      </c>
      <c r="P16" s="293">
        <v>0</v>
      </c>
      <c r="Q16" s="298">
        <f>SUM(E16:P16)</f>
        <v>227468.99</v>
      </c>
      <c r="R16" s="298">
        <f>D16+Q16</f>
        <v>1716416.99</v>
      </c>
      <c r="S16" s="298">
        <f>812299+2026028</f>
        <v>2838327</v>
      </c>
      <c r="T16" s="298">
        <v>2026028</v>
      </c>
      <c r="U16" s="300">
        <f t="shared" ref="U16:U21" si="5">+R16/S16</f>
        <v>0.60472841571813252</v>
      </c>
      <c r="W16" s="315"/>
    </row>
    <row r="17" spans="1:21" s="274" customFormat="1" x14ac:dyDescent="0.2">
      <c r="A17" s="314" t="s">
        <v>111</v>
      </c>
      <c r="B17" s="297">
        <v>736378</v>
      </c>
      <c r="C17" s="297">
        <v>499955</v>
      </c>
      <c r="D17" s="297">
        <f>B17+C17</f>
        <v>1236333</v>
      </c>
      <c r="E17" s="293">
        <v>64400</v>
      </c>
      <c r="F17" s="293">
        <v>62873</v>
      </c>
      <c r="G17" s="293">
        <v>90126</v>
      </c>
      <c r="H17" s="293">
        <v>65257</v>
      </c>
      <c r="I17" s="293">
        <v>64159</v>
      </c>
      <c r="J17" s="293">
        <v>51441.840000000004</v>
      </c>
      <c r="K17" s="293">
        <v>38218</v>
      </c>
      <c r="L17" s="293">
        <v>38008</v>
      </c>
      <c r="M17" s="293">
        <v>33546</v>
      </c>
      <c r="N17" s="293">
        <v>34090</v>
      </c>
      <c r="O17" s="293">
        <v>0</v>
      </c>
      <c r="P17" s="293">
        <v>0</v>
      </c>
      <c r="Q17" s="298">
        <f>SUM(E17:P17)</f>
        <v>542118.84000000008</v>
      </c>
      <c r="R17" s="298">
        <f>D17+Q17</f>
        <v>1778451.84</v>
      </c>
      <c r="S17" s="298">
        <f>2641459-360000</f>
        <v>2281459</v>
      </c>
      <c r="T17" s="298">
        <v>-360000</v>
      </c>
      <c r="U17" s="300">
        <f t="shared" si="5"/>
        <v>0.77952390991904741</v>
      </c>
    </row>
    <row r="18" spans="1:21" s="274" customFormat="1" x14ac:dyDescent="0.2">
      <c r="A18" s="314" t="s">
        <v>71</v>
      </c>
      <c r="B18" s="297">
        <v>327994</v>
      </c>
      <c r="C18" s="297">
        <v>884373</v>
      </c>
      <c r="D18" s="297">
        <f>B18+C18</f>
        <v>1212367</v>
      </c>
      <c r="E18" s="293">
        <v>31019</v>
      </c>
      <c r="F18" s="293">
        <v>30884</v>
      </c>
      <c r="G18" s="293">
        <v>28271</v>
      </c>
      <c r="H18" s="293">
        <v>35634</v>
      </c>
      <c r="I18" s="293">
        <v>38627</v>
      </c>
      <c r="J18" s="293">
        <v>36976.080000000002</v>
      </c>
      <c r="K18" s="293">
        <v>36350</v>
      </c>
      <c r="L18" s="293">
        <v>44449</v>
      </c>
      <c r="M18" s="293">
        <v>38219</v>
      </c>
      <c r="N18" s="293">
        <v>34692</v>
      </c>
      <c r="O18" s="293">
        <v>0</v>
      </c>
      <c r="P18" s="293">
        <v>0</v>
      </c>
      <c r="Q18" s="298">
        <f>SUM(E18:P18)</f>
        <v>355121.08</v>
      </c>
      <c r="R18" s="298">
        <f>D18+Q18</f>
        <v>1567488.08</v>
      </c>
      <c r="S18" s="298">
        <f>259939+3558203</f>
        <v>3818142</v>
      </c>
      <c r="T18" s="298">
        <v>3558203</v>
      </c>
      <c r="U18" s="300">
        <f t="shared" si="5"/>
        <v>0.41053687369406378</v>
      </c>
    </row>
    <row r="19" spans="1:21" x14ac:dyDescent="0.2">
      <c r="A19" s="314" t="s">
        <v>70</v>
      </c>
      <c r="B19" s="297">
        <v>46085</v>
      </c>
      <c r="C19" s="297">
        <v>75078</v>
      </c>
      <c r="D19" s="297">
        <f>B19+C19</f>
        <v>121163</v>
      </c>
      <c r="E19" s="293">
        <v>0</v>
      </c>
      <c r="F19" s="293">
        <v>0</v>
      </c>
      <c r="G19" s="293">
        <v>0</v>
      </c>
      <c r="H19" s="293">
        <v>-1530</v>
      </c>
      <c r="I19" s="293">
        <v>0</v>
      </c>
      <c r="J19" s="293">
        <v>0</v>
      </c>
      <c r="K19" s="293">
        <v>0</v>
      </c>
      <c r="L19" s="293">
        <v>0</v>
      </c>
      <c r="M19" s="293">
        <v>0</v>
      </c>
      <c r="N19" s="293">
        <v>0</v>
      </c>
      <c r="O19" s="293">
        <v>0</v>
      </c>
      <c r="P19" s="293">
        <v>0</v>
      </c>
      <c r="Q19" s="298">
        <f>SUM(E19:P19)</f>
        <v>-1530</v>
      </c>
      <c r="R19" s="298">
        <f>D19+Q19</f>
        <v>119633</v>
      </c>
      <c r="S19" s="298">
        <f>5703864-5584231</f>
        <v>119633</v>
      </c>
      <c r="T19" s="298">
        <v>-5584231</v>
      </c>
      <c r="U19" s="300">
        <f t="shared" si="5"/>
        <v>1</v>
      </c>
    </row>
    <row r="20" spans="1:21" x14ac:dyDescent="0.2">
      <c r="A20" s="314" t="s">
        <v>72</v>
      </c>
      <c r="B20" s="297">
        <v>8258</v>
      </c>
      <c r="C20" s="297">
        <v>88181</v>
      </c>
      <c r="D20" s="297">
        <f>B20+C20</f>
        <v>96439</v>
      </c>
      <c r="E20" s="293">
        <v>6858</v>
      </c>
      <c r="F20" s="293">
        <v>5346</v>
      </c>
      <c r="G20" s="293">
        <v>6847</v>
      </c>
      <c r="H20" s="293">
        <v>6092</v>
      </c>
      <c r="I20" s="293">
        <v>7265</v>
      </c>
      <c r="J20" s="293">
        <v>10061.209999999999</v>
      </c>
      <c r="K20" s="293">
        <v>5970</v>
      </c>
      <c r="L20" s="293">
        <v>6741</v>
      </c>
      <c r="M20" s="293">
        <v>7855</v>
      </c>
      <c r="N20" s="293">
        <v>6413</v>
      </c>
      <c r="O20" s="293">
        <v>0</v>
      </c>
      <c r="P20" s="293">
        <v>0</v>
      </c>
      <c r="Q20" s="316">
        <f>SUM(E20:P20)</f>
        <v>69448.209999999992</v>
      </c>
      <c r="R20" s="298">
        <f>D20+Q20</f>
        <v>165887.21</v>
      </c>
      <c r="S20" s="298">
        <f>70409+360000</f>
        <v>430409</v>
      </c>
      <c r="T20" s="298">
        <v>360000</v>
      </c>
      <c r="U20" s="300">
        <f t="shared" si="5"/>
        <v>0.3854176144086206</v>
      </c>
    </row>
    <row r="21" spans="1:21" s="274" customFormat="1" x14ac:dyDescent="0.2">
      <c r="A21" s="317" t="s">
        <v>39</v>
      </c>
      <c r="B21" s="303">
        <f t="shared" ref="B21:S21" si="6">SUM(B16:B20)</f>
        <v>2088426</v>
      </c>
      <c r="C21" s="303">
        <f>SUM(C16:C20)</f>
        <v>2066824</v>
      </c>
      <c r="D21" s="303">
        <f>SUM(D16:D20)</f>
        <v>4155250</v>
      </c>
      <c r="E21" s="304">
        <f t="shared" si="6"/>
        <v>118525</v>
      </c>
      <c r="F21" s="304">
        <f t="shared" si="6"/>
        <v>147405</v>
      </c>
      <c r="G21" s="304">
        <f t="shared" si="6"/>
        <v>185364</v>
      </c>
      <c r="H21" s="304">
        <f>SUM(H16:H20)</f>
        <v>127333</v>
      </c>
      <c r="I21" s="304">
        <f t="shared" si="6"/>
        <v>77224</v>
      </c>
      <c r="J21" s="304">
        <f t="shared" si="6"/>
        <v>111608.12</v>
      </c>
      <c r="K21" s="304">
        <f t="shared" si="6"/>
        <v>107229</v>
      </c>
      <c r="L21" s="304">
        <f t="shared" si="6"/>
        <v>122687</v>
      </c>
      <c r="M21" s="304">
        <f t="shared" si="6"/>
        <v>97797</v>
      </c>
      <c r="N21" s="304">
        <f t="shared" si="6"/>
        <v>97455</v>
      </c>
      <c r="O21" s="304">
        <f t="shared" si="6"/>
        <v>0</v>
      </c>
      <c r="P21" s="304">
        <f t="shared" si="6"/>
        <v>0</v>
      </c>
      <c r="Q21" s="305">
        <f t="shared" si="6"/>
        <v>1192627.1200000001</v>
      </c>
      <c r="R21" s="305">
        <f>SUM(R16:R20)</f>
        <v>5347877.12</v>
      </c>
      <c r="S21" s="305">
        <f t="shared" si="6"/>
        <v>9487970</v>
      </c>
      <c r="T21" s="305"/>
      <c r="U21" s="306">
        <f t="shared" si="5"/>
        <v>0.56364819028727964</v>
      </c>
    </row>
    <row r="22" spans="1:21" s="274" customFormat="1" x14ac:dyDescent="0.2">
      <c r="A22" s="318"/>
      <c r="B22" s="319"/>
      <c r="C22" s="318"/>
      <c r="D22" s="318"/>
      <c r="E22" s="320"/>
      <c r="F22" s="320"/>
      <c r="G22" s="320"/>
      <c r="H22" s="320"/>
      <c r="I22" s="320"/>
      <c r="J22" s="320"/>
      <c r="K22" s="320"/>
      <c r="L22" s="320"/>
      <c r="M22" s="320"/>
      <c r="N22" s="320"/>
      <c r="O22" s="320"/>
      <c r="P22" s="320"/>
      <c r="Q22" s="298"/>
      <c r="R22" s="298"/>
      <c r="S22" s="298"/>
      <c r="T22" s="298"/>
      <c r="U22" s="298"/>
    </row>
    <row r="23" spans="1:21" s="274" customFormat="1" x14ac:dyDescent="0.2">
      <c r="A23" s="291" t="s">
        <v>73</v>
      </c>
      <c r="B23" s="292"/>
      <c r="C23" s="291"/>
      <c r="D23" s="291"/>
      <c r="E23" s="320"/>
      <c r="F23" s="320"/>
      <c r="G23" s="320"/>
      <c r="H23" s="320"/>
      <c r="I23" s="320"/>
      <c r="J23" s="320"/>
      <c r="K23" s="320"/>
      <c r="L23" s="320"/>
      <c r="M23" s="320"/>
      <c r="N23" s="320"/>
      <c r="O23" s="320"/>
      <c r="P23" s="320"/>
      <c r="Q23" s="298"/>
      <c r="R23" s="298"/>
      <c r="S23" s="298"/>
      <c r="T23" s="298"/>
      <c r="U23" s="298"/>
    </row>
    <row r="24" spans="1:21" s="274" customFormat="1" x14ac:dyDescent="0.2">
      <c r="A24" s="314" t="s">
        <v>126</v>
      </c>
      <c r="B24" s="321">
        <v>738085</v>
      </c>
      <c r="C24" s="321">
        <v>615485</v>
      </c>
      <c r="D24" s="321">
        <f>B24+C24</f>
        <v>1353570</v>
      </c>
      <c r="E24" s="293">
        <v>2145686</v>
      </c>
      <c r="F24" s="293">
        <v>-510364</v>
      </c>
      <c r="G24" s="293">
        <v>-1514136</v>
      </c>
      <c r="H24" s="293">
        <v>162166</v>
      </c>
      <c r="I24" s="293">
        <v>-108831</v>
      </c>
      <c r="J24" s="293">
        <v>816633.84</v>
      </c>
      <c r="K24" s="293">
        <v>-632917</v>
      </c>
      <c r="L24" s="293">
        <v>40634</v>
      </c>
      <c r="M24" s="293">
        <v>62222</v>
      </c>
      <c r="N24" s="293">
        <v>37006</v>
      </c>
      <c r="O24" s="293">
        <v>0</v>
      </c>
      <c r="P24" s="293">
        <v>0</v>
      </c>
      <c r="Q24" s="298">
        <f>SUM(E24:P24)</f>
        <v>498099.83999999997</v>
      </c>
      <c r="R24" s="298">
        <f>D24+Q24</f>
        <v>1851669.8399999999</v>
      </c>
      <c r="S24" s="322">
        <v>2916500</v>
      </c>
      <c r="T24" s="323"/>
      <c r="U24" s="167">
        <f>R24/S24</f>
        <v>0.63489451054345958</v>
      </c>
    </row>
    <row r="25" spans="1:21" s="274" customFormat="1" x14ac:dyDescent="0.2">
      <c r="A25" s="317" t="s">
        <v>74</v>
      </c>
      <c r="B25" s="303">
        <f t="shared" ref="B25:S25" si="7">SUM(B24:B24)</f>
        <v>738085</v>
      </c>
      <c r="C25" s="303">
        <f>SUM(C24:C24)</f>
        <v>615485</v>
      </c>
      <c r="D25" s="303">
        <f>SUM(D24)</f>
        <v>1353570</v>
      </c>
      <c r="E25" s="304">
        <f t="shared" si="7"/>
        <v>2145686</v>
      </c>
      <c r="F25" s="304">
        <f t="shared" si="7"/>
        <v>-510364</v>
      </c>
      <c r="G25" s="304">
        <f t="shared" si="7"/>
        <v>-1514136</v>
      </c>
      <c r="H25" s="304">
        <f t="shared" si="7"/>
        <v>162166</v>
      </c>
      <c r="I25" s="304">
        <f t="shared" si="7"/>
        <v>-108831</v>
      </c>
      <c r="J25" s="304">
        <f t="shared" si="7"/>
        <v>816633.84</v>
      </c>
      <c r="K25" s="304">
        <f t="shared" si="7"/>
        <v>-632917</v>
      </c>
      <c r="L25" s="304">
        <f t="shared" si="7"/>
        <v>40634</v>
      </c>
      <c r="M25" s="304">
        <f t="shared" si="7"/>
        <v>62222</v>
      </c>
      <c r="N25" s="304">
        <f t="shared" si="7"/>
        <v>37006</v>
      </c>
      <c r="O25" s="304">
        <f t="shared" si="7"/>
        <v>0</v>
      </c>
      <c r="P25" s="304">
        <f t="shared" si="7"/>
        <v>0</v>
      </c>
      <c r="Q25" s="305">
        <f t="shared" si="7"/>
        <v>498099.83999999997</v>
      </c>
      <c r="R25" s="305">
        <f>SUM(R24:R24)</f>
        <v>1851669.8399999999</v>
      </c>
      <c r="S25" s="305">
        <f t="shared" si="7"/>
        <v>2916500</v>
      </c>
      <c r="T25" s="298"/>
      <c r="U25" s="300">
        <f>R25/S25</f>
        <v>0.63489451054345958</v>
      </c>
    </row>
    <row r="26" spans="1:21" s="274" customFormat="1" x14ac:dyDescent="0.2">
      <c r="A26" s="314"/>
      <c r="B26" s="324"/>
      <c r="C26" s="314"/>
      <c r="D26" s="314"/>
      <c r="E26" s="293"/>
      <c r="F26" s="293"/>
      <c r="G26" s="293"/>
      <c r="H26" s="293"/>
      <c r="I26" s="293"/>
      <c r="J26" s="293"/>
      <c r="K26" s="293"/>
      <c r="L26" s="320"/>
      <c r="M26" s="293"/>
      <c r="N26" s="293"/>
      <c r="O26" s="293"/>
      <c r="P26" s="293"/>
      <c r="Q26" s="325"/>
      <c r="R26" s="325"/>
      <c r="S26" s="326"/>
      <c r="T26" s="326"/>
      <c r="U26" s="326"/>
    </row>
    <row r="27" spans="1:21" x14ac:dyDescent="0.2">
      <c r="A27" s="291" t="s">
        <v>75</v>
      </c>
      <c r="B27" s="292"/>
      <c r="C27" s="291"/>
      <c r="D27" s="291"/>
      <c r="Q27" s="313"/>
      <c r="R27" s="313"/>
      <c r="S27" s="295"/>
      <c r="T27" s="295"/>
      <c r="U27" s="313"/>
    </row>
    <row r="28" spans="1:21" s="274" customFormat="1" x14ac:dyDescent="0.2">
      <c r="A28" s="314" t="s">
        <v>61</v>
      </c>
      <c r="B28" s="297">
        <v>400860</v>
      </c>
      <c r="C28" s="297">
        <v>1678419</v>
      </c>
      <c r="D28" s="297">
        <f>B28+C28</f>
        <v>2079279</v>
      </c>
      <c r="E28" s="293">
        <v>115892</v>
      </c>
      <c r="F28" s="293">
        <v>87448</v>
      </c>
      <c r="G28" s="293">
        <v>408957</v>
      </c>
      <c r="H28" s="293">
        <v>26559</v>
      </c>
      <c r="I28" s="293">
        <v>291665</v>
      </c>
      <c r="J28" s="293">
        <v>304757.50999999995</v>
      </c>
      <c r="K28" s="293">
        <v>182095</v>
      </c>
      <c r="L28" s="293">
        <v>107813</v>
      </c>
      <c r="M28" s="293">
        <v>181177</v>
      </c>
      <c r="N28" s="293">
        <v>97407</v>
      </c>
      <c r="O28" s="293">
        <v>0</v>
      </c>
      <c r="P28" s="293">
        <v>0</v>
      </c>
      <c r="Q28" s="298">
        <f>SUM(E28:P28)</f>
        <v>1803770.51</v>
      </c>
      <c r="R28" s="298">
        <f>D28+Q28</f>
        <v>3883049.51</v>
      </c>
      <c r="S28" s="298">
        <v>4302881</v>
      </c>
      <c r="T28" s="298"/>
      <c r="U28" s="300">
        <f t="shared" ref="U28:U33" si="8">R28/S28</f>
        <v>0.90243014157258816</v>
      </c>
    </row>
    <row r="29" spans="1:21" x14ac:dyDescent="0.2">
      <c r="A29" s="314" t="s">
        <v>76</v>
      </c>
      <c r="B29" s="297">
        <v>0</v>
      </c>
      <c r="C29" s="297">
        <v>0</v>
      </c>
      <c r="D29" s="297">
        <f>B29+C29</f>
        <v>0</v>
      </c>
      <c r="E29" s="293">
        <v>0</v>
      </c>
      <c r="F29" s="293">
        <v>0</v>
      </c>
      <c r="G29" s="293">
        <v>0</v>
      </c>
      <c r="H29" s="293">
        <v>0</v>
      </c>
      <c r="I29" s="293">
        <v>0</v>
      </c>
      <c r="J29" s="293">
        <v>0</v>
      </c>
      <c r="K29" s="293">
        <v>0</v>
      </c>
      <c r="L29" s="293">
        <v>0</v>
      </c>
      <c r="M29" s="293">
        <v>0</v>
      </c>
      <c r="N29" s="293">
        <v>0</v>
      </c>
      <c r="O29" s="293">
        <v>0</v>
      </c>
      <c r="P29" s="293">
        <v>0</v>
      </c>
      <c r="Q29" s="298">
        <f>SUM(E29:P29)</f>
        <v>0</v>
      </c>
      <c r="R29" s="298">
        <f>D29+Q29</f>
        <v>0</v>
      </c>
      <c r="S29" s="298">
        <v>126019</v>
      </c>
      <c r="T29" s="298"/>
      <c r="U29" s="300">
        <f t="shared" si="8"/>
        <v>0</v>
      </c>
    </row>
    <row r="30" spans="1:21" s="274" customFormat="1" x14ac:dyDescent="0.2">
      <c r="A30" s="314" t="s">
        <v>33</v>
      </c>
      <c r="B30" s="297">
        <v>772035</v>
      </c>
      <c r="C30" s="297">
        <v>1412948</v>
      </c>
      <c r="D30" s="297">
        <f>B30+C30</f>
        <v>2184983</v>
      </c>
      <c r="E30" s="293">
        <v>133602</v>
      </c>
      <c r="F30" s="293">
        <v>64731</v>
      </c>
      <c r="G30" s="293">
        <v>90583</v>
      </c>
      <c r="H30" s="293">
        <v>133517</v>
      </c>
      <c r="I30" s="293">
        <v>194928</v>
      </c>
      <c r="J30" s="293">
        <v>293296.94</v>
      </c>
      <c r="K30" s="293">
        <v>116036</v>
      </c>
      <c r="L30" s="293">
        <v>233368</v>
      </c>
      <c r="M30" s="293">
        <v>103740</v>
      </c>
      <c r="N30" s="293">
        <v>112632</v>
      </c>
      <c r="O30" s="293">
        <v>0</v>
      </c>
      <c r="P30" s="293">
        <v>0</v>
      </c>
      <c r="Q30" s="298">
        <f>SUM(E30:P30)</f>
        <v>1476433.94</v>
      </c>
      <c r="R30" s="298">
        <f>D30+Q30</f>
        <v>3661416.94</v>
      </c>
      <c r="S30" s="298">
        <v>9244405</v>
      </c>
      <c r="T30" s="298"/>
      <c r="U30" s="300">
        <f t="shared" si="8"/>
        <v>0.39606842625350142</v>
      </c>
    </row>
    <row r="31" spans="1:21" s="274" customFormat="1" x14ac:dyDescent="0.2">
      <c r="A31" s="296" t="s">
        <v>107</v>
      </c>
      <c r="B31" s="297">
        <v>1784372</v>
      </c>
      <c r="C31" s="297">
        <v>1994152</v>
      </c>
      <c r="D31" s="297">
        <f>B31+C31</f>
        <v>3778524</v>
      </c>
      <c r="E31" s="293">
        <v>-1122</v>
      </c>
      <c r="F31" s="293">
        <v>269088</v>
      </c>
      <c r="G31" s="293">
        <v>148983</v>
      </c>
      <c r="H31" s="293">
        <v>112224</v>
      </c>
      <c r="I31" s="293">
        <v>189551</v>
      </c>
      <c r="J31" s="293">
        <v>78196.25</v>
      </c>
      <c r="K31" s="293">
        <v>247325</v>
      </c>
      <c r="L31" s="293">
        <v>141999</v>
      </c>
      <c r="M31" s="293">
        <v>128048</v>
      </c>
      <c r="N31" s="293">
        <v>151575</v>
      </c>
      <c r="O31" s="293">
        <v>0</v>
      </c>
      <c r="P31" s="293">
        <v>0</v>
      </c>
      <c r="Q31" s="298">
        <f>SUM(E31:P31)</f>
        <v>1465867.25</v>
      </c>
      <c r="R31" s="298">
        <f>D31+Q31</f>
        <v>5244391.25</v>
      </c>
      <c r="S31" s="322">
        <v>7262525</v>
      </c>
      <c r="T31" s="327"/>
      <c r="U31" s="328">
        <f t="shared" si="8"/>
        <v>0.72211679133634654</v>
      </c>
    </row>
    <row r="32" spans="1:21" s="274" customFormat="1" x14ac:dyDescent="0.2">
      <c r="A32" s="296" t="s">
        <v>108</v>
      </c>
      <c r="B32" s="297">
        <v>2309914</v>
      </c>
      <c r="C32" s="297">
        <v>7704534</v>
      </c>
      <c r="D32" s="297">
        <f>B32+C32</f>
        <v>10014448</v>
      </c>
      <c r="E32" s="293">
        <v>499490</v>
      </c>
      <c r="F32" s="293">
        <v>626757</v>
      </c>
      <c r="G32" s="293">
        <v>118528</v>
      </c>
      <c r="H32" s="293">
        <v>37512</v>
      </c>
      <c r="I32" s="293">
        <v>272550</v>
      </c>
      <c r="J32" s="293">
        <v>357300</v>
      </c>
      <c r="K32" s="293">
        <v>1187308</v>
      </c>
      <c r="L32" s="293">
        <v>1296710</v>
      </c>
      <c r="M32" s="293">
        <v>743502</v>
      </c>
      <c r="N32" s="293">
        <v>308092</v>
      </c>
      <c r="O32" s="293">
        <v>0</v>
      </c>
      <c r="P32" s="293">
        <v>0</v>
      </c>
      <c r="Q32" s="298">
        <f>SUM(E32:P32)</f>
        <v>5447749</v>
      </c>
      <c r="R32" s="298">
        <f>D32+Q32</f>
        <v>15462197</v>
      </c>
      <c r="S32" s="329">
        <v>43000000</v>
      </c>
      <c r="T32" s="323"/>
      <c r="U32" s="330">
        <f t="shared" si="8"/>
        <v>0.35958597674418602</v>
      </c>
    </row>
    <row r="33" spans="1:21" s="274" customFormat="1" x14ac:dyDescent="0.2">
      <c r="A33" s="317" t="s">
        <v>77</v>
      </c>
      <c r="B33" s="303">
        <f>SUM(B28:B32)</f>
        <v>5267181</v>
      </c>
      <c r="C33" s="303">
        <f>SUM(C28:C32)</f>
        <v>12790053</v>
      </c>
      <c r="D33" s="303">
        <f>SUM(D28:D32)</f>
        <v>18057234</v>
      </c>
      <c r="E33" s="304">
        <f t="shared" ref="E33:Q33" si="9">SUM(E28:E32)</f>
        <v>747862</v>
      </c>
      <c r="F33" s="304">
        <f t="shared" si="9"/>
        <v>1048024</v>
      </c>
      <c r="G33" s="304">
        <f t="shared" si="9"/>
        <v>767051</v>
      </c>
      <c r="H33" s="304">
        <f t="shared" si="9"/>
        <v>309812</v>
      </c>
      <c r="I33" s="304">
        <f t="shared" si="9"/>
        <v>948694</v>
      </c>
      <c r="J33" s="304">
        <f t="shared" si="9"/>
        <v>1033550.7</v>
      </c>
      <c r="K33" s="304">
        <f t="shared" si="9"/>
        <v>1732764</v>
      </c>
      <c r="L33" s="304">
        <f t="shared" si="9"/>
        <v>1779890</v>
      </c>
      <c r="M33" s="304">
        <f t="shared" si="9"/>
        <v>1156467</v>
      </c>
      <c r="N33" s="304">
        <f t="shared" si="9"/>
        <v>669706</v>
      </c>
      <c r="O33" s="304">
        <f t="shared" si="9"/>
        <v>0</v>
      </c>
      <c r="P33" s="304">
        <f t="shared" si="9"/>
        <v>0</v>
      </c>
      <c r="Q33" s="305">
        <f t="shared" si="9"/>
        <v>10193820.699999999</v>
      </c>
      <c r="R33" s="305">
        <f>SUM(R28:R32)</f>
        <v>28251054.699999999</v>
      </c>
      <c r="S33" s="305">
        <f>SUM(S28:S32)</f>
        <v>63935830</v>
      </c>
      <c r="T33" s="305"/>
      <c r="U33" s="331">
        <f t="shared" si="8"/>
        <v>0.44186576916261194</v>
      </c>
    </row>
    <row r="34" spans="1:21" s="274" customFormat="1" x14ac:dyDescent="0.2">
      <c r="A34" s="296"/>
      <c r="B34" s="314"/>
      <c r="C34" s="314"/>
      <c r="D34" s="314"/>
      <c r="E34" s="293"/>
      <c r="F34" s="293"/>
      <c r="G34" s="293"/>
      <c r="H34" s="293"/>
      <c r="I34" s="293"/>
      <c r="J34" s="293"/>
      <c r="K34" s="293"/>
      <c r="L34" s="320"/>
      <c r="M34" s="293"/>
      <c r="N34" s="293"/>
      <c r="O34" s="293"/>
      <c r="P34" s="332"/>
      <c r="Q34" s="298"/>
      <c r="R34" s="298"/>
      <c r="S34" s="333"/>
      <c r="T34" s="333"/>
      <c r="U34" s="333"/>
    </row>
    <row r="35" spans="1:21" s="274" customFormat="1" x14ac:dyDescent="0.2">
      <c r="A35" s="291" t="s">
        <v>78</v>
      </c>
      <c r="B35" s="291"/>
      <c r="C35" s="291"/>
      <c r="D35" s="291"/>
      <c r="E35" s="293"/>
      <c r="F35" s="293"/>
      <c r="G35" s="293"/>
      <c r="H35" s="293"/>
      <c r="I35" s="293"/>
      <c r="J35" s="293"/>
      <c r="K35" s="293"/>
      <c r="L35" s="320"/>
      <c r="M35" s="293"/>
      <c r="N35" s="293"/>
      <c r="O35" s="293"/>
      <c r="P35" s="332"/>
      <c r="Q35" s="298"/>
      <c r="R35" s="298"/>
      <c r="S35" s="333"/>
      <c r="T35" s="333"/>
      <c r="U35" s="333"/>
    </row>
    <row r="36" spans="1:21" s="274" customFormat="1" x14ac:dyDescent="0.2">
      <c r="A36" s="296" t="s">
        <v>194</v>
      </c>
      <c r="B36" s="297">
        <v>895342</v>
      </c>
      <c r="C36" s="297">
        <v>913329</v>
      </c>
      <c r="D36" s="297">
        <f>SUM(B36:C36)</f>
        <v>1808671</v>
      </c>
      <c r="E36" s="293">
        <v>22275</v>
      </c>
      <c r="F36" s="293">
        <v>20454</v>
      </c>
      <c r="G36" s="293">
        <v>94523</v>
      </c>
      <c r="H36" s="293">
        <v>44990</v>
      </c>
      <c r="I36" s="293">
        <v>54496</v>
      </c>
      <c r="J36" s="293">
        <v>36836.119999999995</v>
      </c>
      <c r="K36" s="293">
        <v>58087</v>
      </c>
      <c r="L36" s="293">
        <v>206441</v>
      </c>
      <c r="M36" s="293">
        <v>65496</v>
      </c>
      <c r="N36" s="293">
        <v>78491</v>
      </c>
      <c r="O36" s="293">
        <v>0</v>
      </c>
      <c r="P36" s="293">
        <v>0</v>
      </c>
      <c r="Q36" s="298">
        <f>SUM(E36:P36)</f>
        <v>682089.12</v>
      </c>
      <c r="R36" s="298">
        <f>D36+Q36</f>
        <v>2490760.12</v>
      </c>
      <c r="S36" s="298">
        <v>3600000</v>
      </c>
      <c r="T36" s="298"/>
      <c r="U36" s="334">
        <f>R36/S36</f>
        <v>0.69187781111111113</v>
      </c>
    </row>
    <row r="37" spans="1:21" s="274" customFormat="1" x14ac:dyDescent="0.2">
      <c r="A37" s="296" t="s">
        <v>79</v>
      </c>
      <c r="B37" s="297">
        <v>0</v>
      </c>
      <c r="C37" s="297">
        <v>0</v>
      </c>
      <c r="D37" s="297">
        <f>SUM(B37:C37)</f>
        <v>0</v>
      </c>
      <c r="E37" s="293">
        <v>0</v>
      </c>
      <c r="F37" s="293">
        <v>0</v>
      </c>
      <c r="G37" s="293">
        <v>0</v>
      </c>
      <c r="H37" s="293">
        <v>0</v>
      </c>
      <c r="I37" s="293">
        <v>0</v>
      </c>
      <c r="J37" s="293">
        <v>0</v>
      </c>
      <c r="K37" s="293">
        <v>0</v>
      </c>
      <c r="L37" s="293">
        <v>0</v>
      </c>
      <c r="M37" s="293">
        <v>0</v>
      </c>
      <c r="N37" s="293">
        <v>0</v>
      </c>
      <c r="O37" s="293">
        <v>0</v>
      </c>
      <c r="P37" s="293">
        <v>0</v>
      </c>
      <c r="Q37" s="298">
        <f>SUM(E37:P37)</f>
        <v>0</v>
      </c>
      <c r="R37" s="298">
        <f>D37+Q37</f>
        <v>0</v>
      </c>
      <c r="S37" s="298">
        <v>780674</v>
      </c>
      <c r="T37" s="298"/>
      <c r="U37" s="334">
        <f>R37/S37</f>
        <v>0</v>
      </c>
    </row>
    <row r="38" spans="1:21" s="274" customFormat="1" x14ac:dyDescent="0.2">
      <c r="A38" s="296" t="s">
        <v>80</v>
      </c>
      <c r="B38" s="297">
        <v>0</v>
      </c>
      <c r="C38" s="297">
        <v>0</v>
      </c>
      <c r="D38" s="297">
        <f>SUM(B38:C38)</f>
        <v>0</v>
      </c>
      <c r="E38" s="293">
        <v>0</v>
      </c>
      <c r="F38" s="293">
        <v>0</v>
      </c>
      <c r="G38" s="293">
        <v>0</v>
      </c>
      <c r="H38" s="293">
        <v>0</v>
      </c>
      <c r="I38" s="293">
        <v>0</v>
      </c>
      <c r="J38" s="293">
        <v>0</v>
      </c>
      <c r="K38" s="293">
        <v>0</v>
      </c>
      <c r="L38" s="293">
        <v>0</v>
      </c>
      <c r="M38" s="293">
        <v>0</v>
      </c>
      <c r="N38" s="293">
        <v>0</v>
      </c>
      <c r="O38" s="293">
        <v>0</v>
      </c>
      <c r="P38" s="293">
        <v>0</v>
      </c>
      <c r="Q38" s="298">
        <f>SUM(E38:P38)</f>
        <v>0</v>
      </c>
      <c r="R38" s="298">
        <f>D38+Q38</f>
        <v>0</v>
      </c>
      <c r="S38" s="298">
        <v>569750</v>
      </c>
      <c r="T38" s="298"/>
      <c r="U38" s="334">
        <f>R38/S38</f>
        <v>0</v>
      </c>
    </row>
    <row r="39" spans="1:21" s="274" customFormat="1" x14ac:dyDescent="0.2">
      <c r="A39" s="317" t="s">
        <v>81</v>
      </c>
      <c r="B39" s="303">
        <f>SUM(B36:B38)</f>
        <v>895342</v>
      </c>
      <c r="C39" s="303">
        <f>SUM(C36:C38)</f>
        <v>913329</v>
      </c>
      <c r="D39" s="303">
        <f>SUM(D36:D38)</f>
        <v>1808671</v>
      </c>
      <c r="E39" s="304">
        <f t="shared" ref="E39:S39" si="10">SUM(E36:E38)</f>
        <v>22275</v>
      </c>
      <c r="F39" s="304">
        <f t="shared" si="10"/>
        <v>20454</v>
      </c>
      <c r="G39" s="304">
        <f t="shared" si="10"/>
        <v>94523</v>
      </c>
      <c r="H39" s="304">
        <f t="shared" si="10"/>
        <v>44990</v>
      </c>
      <c r="I39" s="304">
        <f t="shared" si="10"/>
        <v>54496</v>
      </c>
      <c r="J39" s="304">
        <f t="shared" si="10"/>
        <v>36836.119999999995</v>
      </c>
      <c r="K39" s="304">
        <f t="shared" si="10"/>
        <v>58087</v>
      </c>
      <c r="L39" s="304">
        <f t="shared" si="10"/>
        <v>206441</v>
      </c>
      <c r="M39" s="304">
        <f t="shared" si="10"/>
        <v>65496</v>
      </c>
      <c r="N39" s="304">
        <f t="shared" si="10"/>
        <v>78491</v>
      </c>
      <c r="O39" s="304">
        <f t="shared" si="10"/>
        <v>0</v>
      </c>
      <c r="P39" s="304">
        <f t="shared" si="10"/>
        <v>0</v>
      </c>
      <c r="Q39" s="305">
        <f t="shared" si="10"/>
        <v>682089.12</v>
      </c>
      <c r="R39" s="305">
        <f>SUM(R36:R38)</f>
        <v>2490760.12</v>
      </c>
      <c r="S39" s="305">
        <f t="shared" si="10"/>
        <v>4950424</v>
      </c>
      <c r="T39" s="305"/>
      <c r="U39" s="331">
        <f>R39/S39</f>
        <v>0.50314076531626384</v>
      </c>
    </row>
    <row r="40" spans="1:21" s="274" customFormat="1" x14ac:dyDescent="0.2">
      <c r="A40" s="296"/>
      <c r="B40" s="314"/>
      <c r="C40" s="314"/>
      <c r="D40" s="314"/>
      <c r="E40" s="293"/>
      <c r="F40" s="293"/>
      <c r="G40" s="293"/>
      <c r="H40" s="293"/>
      <c r="I40" s="293"/>
      <c r="J40" s="293"/>
      <c r="K40" s="293"/>
      <c r="L40" s="320"/>
      <c r="M40" s="293"/>
      <c r="N40" s="293"/>
      <c r="O40" s="293"/>
      <c r="P40" s="332"/>
      <c r="Q40" s="298"/>
      <c r="R40" s="298"/>
      <c r="S40" s="333"/>
      <c r="T40" s="333"/>
      <c r="U40" s="333"/>
    </row>
    <row r="41" spans="1:21" s="274" customFormat="1" x14ac:dyDescent="0.2">
      <c r="A41" s="291" t="s">
        <v>82</v>
      </c>
      <c r="B41" s="291"/>
      <c r="C41" s="291"/>
      <c r="D41" s="291"/>
      <c r="E41" s="293"/>
      <c r="F41" s="293"/>
      <c r="G41" s="293"/>
      <c r="H41" s="293"/>
      <c r="I41" s="293"/>
      <c r="J41" s="293"/>
      <c r="K41" s="293"/>
      <c r="L41" s="320"/>
      <c r="M41" s="293"/>
      <c r="N41" s="293"/>
      <c r="O41" s="293"/>
      <c r="P41" s="332"/>
      <c r="Q41" s="298"/>
      <c r="R41" s="298"/>
      <c r="S41" s="333"/>
      <c r="T41" s="333"/>
      <c r="U41" s="333"/>
    </row>
    <row r="42" spans="1:21" s="274" customFormat="1" x14ac:dyDescent="0.2">
      <c r="A42" s="314" t="s">
        <v>54</v>
      </c>
      <c r="B42" s="297">
        <v>170939</v>
      </c>
      <c r="C42" s="297">
        <v>205144</v>
      </c>
      <c r="D42" s="297">
        <f>SUM(B42:C42)</f>
        <v>376083</v>
      </c>
      <c r="E42" s="335">
        <v>5896</v>
      </c>
      <c r="F42" s="335">
        <v>1699</v>
      </c>
      <c r="G42" s="335">
        <v>2905</v>
      </c>
      <c r="H42" s="335">
        <v>171906</v>
      </c>
      <c r="I42" s="335">
        <v>1996</v>
      </c>
      <c r="J42" s="335">
        <v>66635.81</v>
      </c>
      <c r="K42" s="335">
        <v>17130</v>
      </c>
      <c r="L42" s="335">
        <v>40127</v>
      </c>
      <c r="M42" s="335">
        <v>423914</v>
      </c>
      <c r="N42" s="335">
        <v>555041</v>
      </c>
      <c r="O42" s="335">
        <v>0</v>
      </c>
      <c r="P42" s="335">
        <v>0</v>
      </c>
      <c r="Q42" s="298">
        <f>SUM(E42:P42)</f>
        <v>1287249.81</v>
      </c>
      <c r="R42" s="298">
        <f>D42+Q42</f>
        <v>1663332.81</v>
      </c>
      <c r="S42" s="333">
        <v>4947991</v>
      </c>
      <c r="T42" s="333"/>
      <c r="U42" s="177">
        <f>R42/S42</f>
        <v>0.33616326505040128</v>
      </c>
    </row>
    <row r="43" spans="1:21" s="274" customFormat="1" x14ac:dyDescent="0.2">
      <c r="A43" s="317" t="s">
        <v>83</v>
      </c>
      <c r="B43" s="303">
        <f t="shared" ref="B43:S43" si="11">SUM(B42)</f>
        <v>170939</v>
      </c>
      <c r="C43" s="303">
        <f t="shared" si="11"/>
        <v>205144</v>
      </c>
      <c r="D43" s="303">
        <f>SUM(D42)</f>
        <v>376083</v>
      </c>
      <c r="E43" s="304">
        <f t="shared" si="11"/>
        <v>5896</v>
      </c>
      <c r="F43" s="304">
        <f t="shared" si="11"/>
        <v>1699</v>
      </c>
      <c r="G43" s="304">
        <f t="shared" si="11"/>
        <v>2905</v>
      </c>
      <c r="H43" s="304">
        <f t="shared" si="11"/>
        <v>171906</v>
      </c>
      <c r="I43" s="304">
        <f t="shared" si="11"/>
        <v>1996</v>
      </c>
      <c r="J43" s="304">
        <f t="shared" si="11"/>
        <v>66635.81</v>
      </c>
      <c r="K43" s="304">
        <f t="shared" si="11"/>
        <v>17130</v>
      </c>
      <c r="L43" s="304">
        <f t="shared" si="11"/>
        <v>40127</v>
      </c>
      <c r="M43" s="304">
        <f t="shared" si="11"/>
        <v>423914</v>
      </c>
      <c r="N43" s="304">
        <f t="shared" si="11"/>
        <v>555041</v>
      </c>
      <c r="O43" s="304">
        <f t="shared" si="11"/>
        <v>0</v>
      </c>
      <c r="P43" s="304">
        <f t="shared" si="11"/>
        <v>0</v>
      </c>
      <c r="Q43" s="305">
        <f t="shared" si="11"/>
        <v>1287249.81</v>
      </c>
      <c r="R43" s="305">
        <f>SUM(R42)</f>
        <v>1663332.81</v>
      </c>
      <c r="S43" s="305">
        <f t="shared" si="11"/>
        <v>4947991</v>
      </c>
      <c r="T43" s="305"/>
      <c r="U43" s="188">
        <f>R43/S43</f>
        <v>0.33616326505040128</v>
      </c>
    </row>
    <row r="44" spans="1:21" s="274" customFormat="1" x14ac:dyDescent="0.2">
      <c r="A44" s="296"/>
      <c r="B44" s="297"/>
      <c r="C44" s="297"/>
      <c r="D44" s="297"/>
      <c r="E44" s="293"/>
      <c r="F44" s="293"/>
      <c r="G44" s="293"/>
      <c r="H44" s="293"/>
      <c r="I44" s="293"/>
      <c r="J44" s="293"/>
      <c r="K44" s="293"/>
      <c r="L44" s="320"/>
      <c r="M44" s="293"/>
      <c r="N44" s="293"/>
      <c r="O44" s="293"/>
      <c r="P44" s="332"/>
      <c r="Q44" s="298"/>
      <c r="R44" s="298"/>
      <c r="S44" s="336"/>
      <c r="T44" s="336"/>
      <c r="U44" s="336"/>
    </row>
    <row r="45" spans="1:21" s="274" customFormat="1" x14ac:dyDescent="0.2">
      <c r="A45" s="291" t="s">
        <v>109</v>
      </c>
      <c r="B45" s="291"/>
      <c r="C45" s="291"/>
      <c r="D45" s="291"/>
      <c r="E45" s="293"/>
      <c r="F45" s="293"/>
      <c r="G45" s="293"/>
      <c r="H45" s="293"/>
      <c r="I45" s="293"/>
      <c r="J45" s="293"/>
      <c r="K45" s="293"/>
      <c r="L45" s="320"/>
      <c r="M45" s="293"/>
      <c r="N45" s="293"/>
      <c r="O45" s="293"/>
      <c r="P45" s="332"/>
      <c r="Q45" s="298"/>
      <c r="R45" s="298"/>
      <c r="S45" s="333"/>
      <c r="T45" s="333"/>
      <c r="U45" s="333"/>
    </row>
    <row r="46" spans="1:21" s="274" customFormat="1" x14ac:dyDescent="0.2">
      <c r="A46" s="314" t="s">
        <v>110</v>
      </c>
      <c r="B46" s="297">
        <v>711811</v>
      </c>
      <c r="C46" s="297">
        <v>1666203</v>
      </c>
      <c r="D46" s="297">
        <f>SUM(B46:C46)</f>
        <v>2378014</v>
      </c>
      <c r="E46" s="335">
        <v>187707</v>
      </c>
      <c r="F46" s="335">
        <v>117979</v>
      </c>
      <c r="G46" s="335">
        <v>321757</v>
      </c>
      <c r="H46" s="335">
        <v>91876</v>
      </c>
      <c r="I46" s="335">
        <v>44450</v>
      </c>
      <c r="J46" s="335">
        <v>113601.66</v>
      </c>
      <c r="K46" s="335">
        <v>26618</v>
      </c>
      <c r="L46" s="335">
        <v>52576</v>
      </c>
      <c r="M46" s="335">
        <v>52395</v>
      </c>
      <c r="N46" s="335">
        <v>43231</v>
      </c>
      <c r="O46" s="335">
        <v>0</v>
      </c>
      <c r="P46" s="335">
        <v>0</v>
      </c>
      <c r="Q46" s="298">
        <f>SUM(E46:P46)</f>
        <v>1052190.6600000001</v>
      </c>
      <c r="R46" s="298">
        <f>D46+Q46</f>
        <v>3430204.66</v>
      </c>
      <c r="S46" s="298">
        <v>7074990</v>
      </c>
      <c r="T46" s="298"/>
      <c r="U46" s="334">
        <f>R46/S46</f>
        <v>0.48483526619825612</v>
      </c>
    </row>
    <row r="47" spans="1:21" s="274" customFormat="1" x14ac:dyDescent="0.2">
      <c r="A47" s="317" t="s">
        <v>84</v>
      </c>
      <c r="B47" s="303">
        <f>SUM(B46)</f>
        <v>711811</v>
      </c>
      <c r="C47" s="303">
        <f>SUM(C46)</f>
        <v>1666203</v>
      </c>
      <c r="D47" s="303">
        <f>SUM(D46)</f>
        <v>2378014</v>
      </c>
      <c r="E47" s="304">
        <f t="shared" ref="E47:Q47" si="12">SUM(E46:E46)</f>
        <v>187707</v>
      </c>
      <c r="F47" s="304">
        <f t="shared" si="12"/>
        <v>117979</v>
      </c>
      <c r="G47" s="304">
        <f t="shared" si="12"/>
        <v>321757</v>
      </c>
      <c r="H47" s="304">
        <f t="shared" si="12"/>
        <v>91876</v>
      </c>
      <c r="I47" s="304">
        <f t="shared" si="12"/>
        <v>44450</v>
      </c>
      <c r="J47" s="304">
        <f t="shared" si="12"/>
        <v>113601.66</v>
      </c>
      <c r="K47" s="304">
        <f t="shared" si="12"/>
        <v>26618</v>
      </c>
      <c r="L47" s="304">
        <f t="shared" si="12"/>
        <v>52576</v>
      </c>
      <c r="M47" s="304">
        <f t="shared" si="12"/>
        <v>52395</v>
      </c>
      <c r="N47" s="304">
        <f t="shared" si="12"/>
        <v>43231</v>
      </c>
      <c r="O47" s="304">
        <f t="shared" si="12"/>
        <v>0</v>
      </c>
      <c r="P47" s="304">
        <f t="shared" si="12"/>
        <v>0</v>
      </c>
      <c r="Q47" s="305">
        <f t="shared" si="12"/>
        <v>1052190.6600000001</v>
      </c>
      <c r="R47" s="305">
        <f>SUM(R46)</f>
        <v>3430204.66</v>
      </c>
      <c r="S47" s="305">
        <f>SUM(S46:S46)</f>
        <v>7074990</v>
      </c>
      <c r="T47" s="305"/>
      <c r="U47" s="331">
        <f>R47/S47</f>
        <v>0.48483526619825612</v>
      </c>
    </row>
    <row r="48" spans="1:21" s="274" customFormat="1" x14ac:dyDescent="0.2">
      <c r="A48" s="314"/>
      <c r="B48" s="324"/>
      <c r="C48" s="314"/>
      <c r="D48" s="314"/>
      <c r="E48" s="335"/>
      <c r="F48" s="335"/>
      <c r="G48" s="335"/>
      <c r="H48" s="335"/>
      <c r="I48" s="335"/>
      <c r="J48" s="335"/>
      <c r="K48" s="335"/>
      <c r="L48" s="335"/>
      <c r="M48" s="335"/>
      <c r="N48" s="335"/>
      <c r="O48" s="335"/>
      <c r="P48" s="335"/>
      <c r="Q48" s="298"/>
      <c r="R48" s="298"/>
      <c r="S48" s="298"/>
      <c r="T48" s="298"/>
      <c r="U48" s="334"/>
    </row>
    <row r="49" spans="1:21" s="274" customFormat="1" x14ac:dyDescent="0.2">
      <c r="A49" s="291" t="s">
        <v>85</v>
      </c>
      <c r="B49" s="291"/>
      <c r="C49" s="291"/>
      <c r="D49" s="291"/>
      <c r="E49" s="293"/>
      <c r="F49" s="293"/>
      <c r="G49" s="293"/>
      <c r="H49" s="293"/>
      <c r="I49" s="293"/>
      <c r="J49" s="293"/>
      <c r="K49" s="293"/>
      <c r="L49" s="320"/>
      <c r="M49" s="293"/>
      <c r="N49" s="293"/>
      <c r="O49" s="293"/>
      <c r="P49" s="332"/>
      <c r="Q49" s="298"/>
      <c r="R49" s="298"/>
      <c r="S49" s="333"/>
      <c r="T49" s="333"/>
      <c r="U49" s="337"/>
    </row>
    <row r="50" spans="1:21" s="274" customFormat="1" x14ac:dyDescent="0.2">
      <c r="A50" s="314" t="s">
        <v>65</v>
      </c>
      <c r="B50" s="297">
        <v>0</v>
      </c>
      <c r="C50" s="297">
        <v>113436</v>
      </c>
      <c r="D50" s="297">
        <f>SUM(B50:C50)</f>
        <v>113436</v>
      </c>
      <c r="E50" s="335">
        <v>14773</v>
      </c>
      <c r="F50" s="335">
        <v>15628</v>
      </c>
      <c r="G50" s="335">
        <v>37430</v>
      </c>
      <c r="H50" s="335">
        <v>61721</v>
      </c>
      <c r="I50" s="335">
        <v>116638</v>
      </c>
      <c r="J50" s="335">
        <v>55125.8</v>
      </c>
      <c r="K50" s="335">
        <v>13864</v>
      </c>
      <c r="L50" s="335">
        <v>190817</v>
      </c>
      <c r="M50" s="335">
        <v>17107</v>
      </c>
      <c r="N50" s="335">
        <v>9490</v>
      </c>
      <c r="O50" s="335">
        <v>0</v>
      </c>
      <c r="P50" s="335">
        <v>0</v>
      </c>
      <c r="Q50" s="298">
        <f>SUM(E50:P50)</f>
        <v>532593.80000000005</v>
      </c>
      <c r="R50" s="298">
        <f>D50+Q50</f>
        <v>646029.80000000005</v>
      </c>
      <c r="S50" s="298">
        <v>1102453</v>
      </c>
      <c r="T50" s="298"/>
      <c r="U50" s="334">
        <f>R50/S50</f>
        <v>0.58599305367212939</v>
      </c>
    </row>
    <row r="51" spans="1:21" s="274" customFormat="1" x14ac:dyDescent="0.2">
      <c r="A51" s="314" t="s">
        <v>86</v>
      </c>
      <c r="B51" s="297">
        <v>0</v>
      </c>
      <c r="C51" s="297">
        <v>0</v>
      </c>
      <c r="D51" s="297">
        <f>SUM(B51:C51)</f>
        <v>0</v>
      </c>
      <c r="E51" s="335">
        <v>0</v>
      </c>
      <c r="F51" s="335">
        <v>0</v>
      </c>
      <c r="G51" s="335">
        <v>0</v>
      </c>
      <c r="H51" s="335">
        <v>0</v>
      </c>
      <c r="I51" s="335">
        <v>0</v>
      </c>
      <c r="J51" s="335">
        <v>0</v>
      </c>
      <c r="K51" s="335">
        <v>0</v>
      </c>
      <c r="L51" s="335">
        <v>0</v>
      </c>
      <c r="M51" s="335">
        <v>0</v>
      </c>
      <c r="N51" s="335">
        <v>0</v>
      </c>
      <c r="O51" s="335">
        <v>0</v>
      </c>
      <c r="P51" s="335">
        <v>0</v>
      </c>
      <c r="Q51" s="298">
        <f>SUM(E51:P51)</f>
        <v>0</v>
      </c>
      <c r="R51" s="298">
        <f>D51+Q51</f>
        <v>0</v>
      </c>
      <c r="S51" s="298">
        <f>2535000-2525000</f>
        <v>10000</v>
      </c>
      <c r="T51" s="298">
        <v>-2525000</v>
      </c>
      <c r="U51" s="334">
        <f>R51/S51</f>
        <v>0</v>
      </c>
    </row>
    <row r="52" spans="1:21" s="274" customFormat="1" x14ac:dyDescent="0.2">
      <c r="A52" s="314" t="s">
        <v>87</v>
      </c>
      <c r="B52" s="297">
        <v>887565</v>
      </c>
      <c r="C52" s="297">
        <v>2639454</v>
      </c>
      <c r="D52" s="297">
        <f>SUM(B52:C52)</f>
        <v>3527019</v>
      </c>
      <c r="E52" s="335">
        <v>93442</v>
      </c>
      <c r="F52" s="335">
        <v>175820</v>
      </c>
      <c r="G52" s="335">
        <v>368457</v>
      </c>
      <c r="H52" s="335">
        <v>268213</v>
      </c>
      <c r="I52" s="335">
        <v>409352</v>
      </c>
      <c r="J52" s="335">
        <v>415069.57</v>
      </c>
      <c r="K52" s="335">
        <v>324262</v>
      </c>
      <c r="L52" s="335">
        <v>905513</v>
      </c>
      <c r="M52" s="335">
        <v>345371</v>
      </c>
      <c r="N52" s="335">
        <v>396117</v>
      </c>
      <c r="O52" s="335">
        <v>0</v>
      </c>
      <c r="P52" s="335">
        <v>0</v>
      </c>
      <c r="Q52" s="298">
        <f>SUM(E52:P52)</f>
        <v>3701616.5700000003</v>
      </c>
      <c r="R52" s="298">
        <f>D52+Q52</f>
        <v>7228635.5700000003</v>
      </c>
      <c r="S52" s="323">
        <f>9520967+2525000</f>
        <v>12045967</v>
      </c>
      <c r="T52" s="323">
        <v>2525000</v>
      </c>
      <c r="U52" s="338">
        <f>R52/S52</f>
        <v>0.60008761189533399</v>
      </c>
    </row>
    <row r="53" spans="1:21" s="274" customFormat="1" x14ac:dyDescent="0.2">
      <c r="A53" s="317" t="s">
        <v>88</v>
      </c>
      <c r="B53" s="303">
        <f t="shared" ref="B53:S53" si="13">SUM(B50:B52)</f>
        <v>887565</v>
      </c>
      <c r="C53" s="303">
        <f>SUM(C50:C52)</f>
        <v>2752890</v>
      </c>
      <c r="D53" s="303">
        <f>SUM(D50:D52)</f>
        <v>3640455</v>
      </c>
      <c r="E53" s="304">
        <f t="shared" si="13"/>
        <v>108215</v>
      </c>
      <c r="F53" s="304">
        <f t="shared" si="13"/>
        <v>191448</v>
      </c>
      <c r="G53" s="304">
        <f t="shared" si="13"/>
        <v>405887</v>
      </c>
      <c r="H53" s="304">
        <f>SUM(H50:H52)</f>
        <v>329934</v>
      </c>
      <c r="I53" s="304">
        <f t="shared" si="13"/>
        <v>525990</v>
      </c>
      <c r="J53" s="304">
        <f t="shared" si="13"/>
        <v>470195.37</v>
      </c>
      <c r="K53" s="304">
        <f t="shared" si="13"/>
        <v>338126</v>
      </c>
      <c r="L53" s="304">
        <f t="shared" si="13"/>
        <v>1096330</v>
      </c>
      <c r="M53" s="304">
        <f t="shared" si="13"/>
        <v>362478</v>
      </c>
      <c r="N53" s="304">
        <f t="shared" si="13"/>
        <v>405607</v>
      </c>
      <c r="O53" s="304">
        <f t="shared" si="13"/>
        <v>0</v>
      </c>
      <c r="P53" s="304">
        <f t="shared" si="13"/>
        <v>0</v>
      </c>
      <c r="Q53" s="305">
        <f t="shared" si="13"/>
        <v>4234210.37</v>
      </c>
      <c r="R53" s="305">
        <f t="shared" si="13"/>
        <v>7874665.3700000001</v>
      </c>
      <c r="S53" s="305">
        <f t="shared" si="13"/>
        <v>13158420</v>
      </c>
      <c r="T53" s="305"/>
      <c r="U53" s="331">
        <f>R53/S53</f>
        <v>0.59845067796893547</v>
      </c>
    </row>
    <row r="54" spans="1:21" s="274" customFormat="1" x14ac:dyDescent="0.2">
      <c r="A54" s="314"/>
      <c r="B54" s="324"/>
      <c r="C54" s="314"/>
      <c r="D54" s="314"/>
      <c r="E54" s="335"/>
      <c r="F54" s="335"/>
      <c r="G54" s="335"/>
      <c r="H54" s="335"/>
      <c r="I54" s="335"/>
      <c r="J54" s="335"/>
      <c r="K54" s="335"/>
      <c r="L54" s="335"/>
      <c r="M54" s="335"/>
      <c r="N54" s="335"/>
      <c r="O54" s="335"/>
      <c r="P54" s="335"/>
      <c r="Q54" s="298"/>
      <c r="R54" s="298"/>
      <c r="S54" s="298"/>
      <c r="T54" s="298"/>
      <c r="U54" s="334"/>
    </row>
    <row r="55" spans="1:21" s="274" customFormat="1" x14ac:dyDescent="0.2">
      <c r="A55" s="291" t="s">
        <v>89</v>
      </c>
      <c r="B55" s="291"/>
      <c r="C55" s="291"/>
      <c r="D55" s="291"/>
      <c r="E55" s="293"/>
      <c r="F55" s="293"/>
      <c r="G55" s="293"/>
      <c r="H55" s="293"/>
      <c r="I55" s="293"/>
      <c r="J55" s="293"/>
      <c r="K55" s="293"/>
      <c r="L55" s="320"/>
      <c r="M55" s="293"/>
      <c r="N55" s="293"/>
      <c r="O55" s="293"/>
      <c r="P55" s="332"/>
      <c r="Q55" s="298"/>
      <c r="R55" s="298"/>
      <c r="S55" s="333"/>
      <c r="T55" s="333"/>
      <c r="U55" s="337"/>
    </row>
    <row r="56" spans="1:21" s="274" customFormat="1" x14ac:dyDescent="0.2">
      <c r="A56" s="296" t="s">
        <v>90</v>
      </c>
      <c r="B56" s="297">
        <v>32691</v>
      </c>
      <c r="C56" s="297">
        <v>92287</v>
      </c>
      <c r="D56" s="297">
        <f t="shared" ref="D56:D62" si="14">SUM(B56:C56)</f>
        <v>124978</v>
      </c>
      <c r="E56" s="293">
        <v>12329</v>
      </c>
      <c r="F56" s="293">
        <v>3384</v>
      </c>
      <c r="G56" s="293">
        <v>14577</v>
      </c>
      <c r="H56" s="293">
        <v>66411</v>
      </c>
      <c r="I56" s="293">
        <v>4070</v>
      </c>
      <c r="J56" s="293">
        <v>36926.089999999997</v>
      </c>
      <c r="K56" s="293">
        <v>2551</v>
      </c>
      <c r="L56" s="293">
        <v>8359</v>
      </c>
      <c r="M56" s="293">
        <v>10507</v>
      </c>
      <c r="N56" s="293">
        <v>22747</v>
      </c>
      <c r="O56" s="293">
        <v>0</v>
      </c>
      <c r="P56" s="293">
        <v>0</v>
      </c>
      <c r="Q56" s="298">
        <f t="shared" ref="Q56:Q62" si="15">SUM(E56:P56)</f>
        <v>181861.09</v>
      </c>
      <c r="R56" s="298">
        <f>D56+Q56</f>
        <v>306839.08999999997</v>
      </c>
      <c r="S56" s="298">
        <v>489068</v>
      </c>
      <c r="T56" s="298"/>
      <c r="U56" s="334">
        <f t="shared" ref="U56:U61" si="16">R56/S56</f>
        <v>0.62739555644613831</v>
      </c>
    </row>
    <row r="57" spans="1:21" s="274" customFormat="1" x14ac:dyDescent="0.2">
      <c r="A57" s="296" t="s">
        <v>64</v>
      </c>
      <c r="B57" s="297">
        <v>71414</v>
      </c>
      <c r="C57" s="297">
        <v>262372</v>
      </c>
      <c r="D57" s="297">
        <f t="shared" si="14"/>
        <v>333786</v>
      </c>
      <c r="E57" s="293">
        <v>-9826</v>
      </c>
      <c r="F57" s="293">
        <v>16829</v>
      </c>
      <c r="G57" s="293">
        <v>-21746</v>
      </c>
      <c r="H57" s="293">
        <v>-2795</v>
      </c>
      <c r="I57" s="293">
        <v>-12159</v>
      </c>
      <c r="J57" s="293">
        <v>52743.83</v>
      </c>
      <c r="K57" s="293">
        <v>25961</v>
      </c>
      <c r="L57" s="293">
        <v>14887</v>
      </c>
      <c r="M57" s="293">
        <v>2922</v>
      </c>
      <c r="N57" s="293">
        <v>6604</v>
      </c>
      <c r="O57" s="293">
        <v>0</v>
      </c>
      <c r="P57" s="293">
        <v>0</v>
      </c>
      <c r="Q57" s="298">
        <f t="shared" si="15"/>
        <v>73420.83</v>
      </c>
      <c r="R57" s="298">
        <f t="shared" ref="R57:R62" si="17">D57+Q57</f>
        <v>407206.83</v>
      </c>
      <c r="S57" s="298">
        <v>1529188</v>
      </c>
      <c r="T57" s="298"/>
      <c r="U57" s="334">
        <f t="shared" si="16"/>
        <v>0.26628957982929502</v>
      </c>
    </row>
    <row r="58" spans="1:21" s="274" customFormat="1" x14ac:dyDescent="0.2">
      <c r="A58" s="296" t="s">
        <v>40</v>
      </c>
      <c r="B58" s="297">
        <v>21762</v>
      </c>
      <c r="C58" s="297">
        <v>303668</v>
      </c>
      <c r="D58" s="297">
        <f t="shared" si="14"/>
        <v>325430</v>
      </c>
      <c r="E58" s="293">
        <v>23151</v>
      </c>
      <c r="F58" s="293">
        <v>27701</v>
      </c>
      <c r="G58" s="293">
        <v>18827</v>
      </c>
      <c r="H58" s="293">
        <v>34819</v>
      </c>
      <c r="I58" s="293">
        <v>41907</v>
      </c>
      <c r="J58" s="293">
        <v>48420.160000000003</v>
      </c>
      <c r="K58" s="293">
        <v>55821</v>
      </c>
      <c r="L58" s="293">
        <v>35577</v>
      </c>
      <c r="M58" s="293">
        <v>35106</v>
      </c>
      <c r="N58" s="293">
        <v>46601</v>
      </c>
      <c r="O58" s="293">
        <v>0</v>
      </c>
      <c r="P58" s="293">
        <v>0</v>
      </c>
      <c r="Q58" s="298">
        <f t="shared" si="15"/>
        <v>367930.16000000003</v>
      </c>
      <c r="R58" s="298">
        <f t="shared" si="17"/>
        <v>693360.16</v>
      </c>
      <c r="S58" s="298">
        <v>1685269</v>
      </c>
      <c r="T58" s="298"/>
      <c r="U58" s="334">
        <f t="shared" si="16"/>
        <v>0.4114240278554937</v>
      </c>
    </row>
    <row r="59" spans="1:21" s="274" customFormat="1" x14ac:dyDescent="0.2">
      <c r="A59" s="296" t="s">
        <v>91</v>
      </c>
      <c r="B59" s="297">
        <v>0</v>
      </c>
      <c r="C59" s="297">
        <v>7620</v>
      </c>
      <c r="D59" s="297">
        <f t="shared" si="14"/>
        <v>7620</v>
      </c>
      <c r="E59" s="293">
        <v>882</v>
      </c>
      <c r="F59" s="293">
        <v>779</v>
      </c>
      <c r="G59" s="293">
        <v>21457</v>
      </c>
      <c r="H59" s="293">
        <v>13563</v>
      </c>
      <c r="I59" s="293">
        <v>15329</v>
      </c>
      <c r="J59" s="293">
        <v>851</v>
      </c>
      <c r="K59" s="293">
        <v>707</v>
      </c>
      <c r="L59" s="293">
        <v>1228</v>
      </c>
      <c r="M59" s="293">
        <v>1135</v>
      </c>
      <c r="N59" s="293">
        <v>-1260</v>
      </c>
      <c r="O59" s="293">
        <v>0</v>
      </c>
      <c r="P59" s="293">
        <v>0</v>
      </c>
      <c r="Q59" s="298">
        <f t="shared" si="15"/>
        <v>54671</v>
      </c>
      <c r="R59" s="298">
        <f t="shared" si="17"/>
        <v>62291</v>
      </c>
      <c r="S59" s="298">
        <v>120768</v>
      </c>
      <c r="T59" s="298"/>
      <c r="U59" s="334">
        <f t="shared" si="16"/>
        <v>0.51579060678325384</v>
      </c>
    </row>
    <row r="60" spans="1:21" s="274" customFormat="1" x14ac:dyDescent="0.2">
      <c r="A60" s="296" t="s">
        <v>92</v>
      </c>
      <c r="B60" s="297">
        <v>103419</v>
      </c>
      <c r="C60" s="297">
        <v>310453</v>
      </c>
      <c r="D60" s="297">
        <f t="shared" si="14"/>
        <v>413872</v>
      </c>
      <c r="E60" s="293">
        <v>38234</v>
      </c>
      <c r="F60" s="293">
        <v>26582</v>
      </c>
      <c r="G60" s="293">
        <v>69448</v>
      </c>
      <c r="H60" s="293">
        <v>17643</v>
      </c>
      <c r="I60" s="293">
        <v>14924</v>
      </c>
      <c r="J60" s="293">
        <v>25530</v>
      </c>
      <c r="K60" s="293">
        <v>20831</v>
      </c>
      <c r="L60" s="293">
        <v>62221</v>
      </c>
      <c r="M60" s="293">
        <v>50341</v>
      </c>
      <c r="N60" s="293">
        <v>24252</v>
      </c>
      <c r="O60" s="293">
        <v>0</v>
      </c>
      <c r="P60" s="293">
        <v>0</v>
      </c>
      <c r="Q60" s="298">
        <f t="shared" si="15"/>
        <v>350006</v>
      </c>
      <c r="R60" s="298">
        <f t="shared" si="17"/>
        <v>763878</v>
      </c>
      <c r="S60" s="298">
        <v>2604093</v>
      </c>
      <c r="T60" s="298"/>
      <c r="U60" s="334">
        <f t="shared" si="16"/>
        <v>0.29333744992978361</v>
      </c>
    </row>
    <row r="61" spans="1:21" s="274" customFormat="1" x14ac:dyDescent="0.2">
      <c r="A61" s="296" t="s">
        <v>93</v>
      </c>
      <c r="B61" s="297">
        <v>113347</v>
      </c>
      <c r="C61" s="297">
        <v>414185</v>
      </c>
      <c r="D61" s="297">
        <f t="shared" si="14"/>
        <v>527532</v>
      </c>
      <c r="E61" s="293">
        <v>25278</v>
      </c>
      <c r="F61" s="293">
        <v>18335</v>
      </c>
      <c r="G61" s="293">
        <v>33574</v>
      </c>
      <c r="H61" s="293">
        <v>29620</v>
      </c>
      <c r="I61" s="293">
        <v>27239</v>
      </c>
      <c r="J61" s="293">
        <v>64606.02</v>
      </c>
      <c r="K61" s="293">
        <v>46073</v>
      </c>
      <c r="L61" s="293">
        <v>36139</v>
      </c>
      <c r="M61" s="293">
        <v>22178</v>
      </c>
      <c r="N61" s="293">
        <v>27473</v>
      </c>
      <c r="O61" s="293">
        <v>0</v>
      </c>
      <c r="P61" s="293">
        <v>0</v>
      </c>
      <c r="Q61" s="298">
        <f t="shared" si="15"/>
        <v>330515.02</v>
      </c>
      <c r="R61" s="298">
        <f t="shared" si="17"/>
        <v>858047.02</v>
      </c>
      <c r="S61" s="298">
        <v>2953078</v>
      </c>
      <c r="T61" s="298"/>
      <c r="U61" s="334">
        <f t="shared" si="16"/>
        <v>0.29056022902205769</v>
      </c>
    </row>
    <row r="62" spans="1:21" s="274" customFormat="1" x14ac:dyDescent="0.2">
      <c r="A62" s="339" t="s">
        <v>62</v>
      </c>
      <c r="B62" s="297">
        <v>162</v>
      </c>
      <c r="C62" s="297">
        <v>-199</v>
      </c>
      <c r="D62" s="297">
        <f t="shared" si="14"/>
        <v>-37</v>
      </c>
      <c r="E62" s="293">
        <v>52</v>
      </c>
      <c r="F62" s="293">
        <v>0</v>
      </c>
      <c r="G62" s="293">
        <v>0</v>
      </c>
      <c r="H62" s="293">
        <v>-52</v>
      </c>
      <c r="I62" s="293">
        <v>0</v>
      </c>
      <c r="J62" s="293">
        <v>0</v>
      </c>
      <c r="K62" s="293">
        <v>0</v>
      </c>
      <c r="L62" s="293">
        <v>0</v>
      </c>
      <c r="M62" s="293">
        <v>0</v>
      </c>
      <c r="N62" s="293">
        <v>0</v>
      </c>
      <c r="O62" s="293">
        <v>0</v>
      </c>
      <c r="P62" s="293">
        <v>0</v>
      </c>
      <c r="Q62" s="333">
        <f t="shared" si="15"/>
        <v>0</v>
      </c>
      <c r="R62" s="298">
        <f t="shared" si="17"/>
        <v>-37</v>
      </c>
      <c r="S62" s="298">
        <v>0</v>
      </c>
      <c r="T62" s="298"/>
      <c r="U62" s="340" t="s">
        <v>67</v>
      </c>
    </row>
    <row r="63" spans="1:21" s="274" customFormat="1" x14ac:dyDescent="0.2">
      <c r="A63" s="317" t="s">
        <v>95</v>
      </c>
      <c r="B63" s="303">
        <f t="shared" ref="B63:S63" si="18">SUM(B56:B62)</f>
        <v>342795</v>
      </c>
      <c r="C63" s="303">
        <f>SUM(C56:C62)</f>
        <v>1390386</v>
      </c>
      <c r="D63" s="303">
        <f>SUM(D56:D62)</f>
        <v>1733181</v>
      </c>
      <c r="E63" s="304">
        <f t="shared" si="18"/>
        <v>90100</v>
      </c>
      <c r="F63" s="304">
        <f t="shared" si="18"/>
        <v>93610</v>
      </c>
      <c r="G63" s="304">
        <f t="shared" si="18"/>
        <v>136137</v>
      </c>
      <c r="H63" s="304">
        <f t="shared" si="18"/>
        <v>159209</v>
      </c>
      <c r="I63" s="304">
        <f t="shared" si="18"/>
        <v>91310</v>
      </c>
      <c r="J63" s="304">
        <f t="shared" si="18"/>
        <v>229077.1</v>
      </c>
      <c r="K63" s="304">
        <f t="shared" si="18"/>
        <v>151944</v>
      </c>
      <c r="L63" s="304">
        <f t="shared" si="18"/>
        <v>158411</v>
      </c>
      <c r="M63" s="304">
        <f t="shared" si="18"/>
        <v>122189</v>
      </c>
      <c r="N63" s="304">
        <f t="shared" si="18"/>
        <v>126417</v>
      </c>
      <c r="O63" s="304">
        <f t="shared" si="18"/>
        <v>0</v>
      </c>
      <c r="P63" s="304">
        <f t="shared" si="18"/>
        <v>0</v>
      </c>
      <c r="Q63" s="305">
        <f t="shared" si="18"/>
        <v>1358404.1</v>
      </c>
      <c r="R63" s="305">
        <f t="shared" si="18"/>
        <v>3091585.1</v>
      </c>
      <c r="S63" s="305">
        <f t="shared" si="18"/>
        <v>9381464</v>
      </c>
      <c r="T63" s="305"/>
      <c r="U63" s="331">
        <f>R63/S63</f>
        <v>0.3295418604175212</v>
      </c>
    </row>
    <row r="64" spans="1:21" s="274" customFormat="1" x14ac:dyDescent="0.2">
      <c r="A64" s="341"/>
      <c r="B64" s="319"/>
      <c r="C64" s="318"/>
      <c r="D64" s="318"/>
      <c r="E64" s="293"/>
      <c r="F64" s="293"/>
      <c r="G64" s="293"/>
      <c r="H64" s="293"/>
      <c r="I64" s="293"/>
      <c r="J64" s="293"/>
      <c r="K64" s="293"/>
      <c r="L64" s="293"/>
      <c r="M64" s="293"/>
      <c r="N64" s="293"/>
      <c r="O64" s="293"/>
      <c r="P64" s="293"/>
      <c r="Q64" s="298"/>
      <c r="R64" s="298"/>
      <c r="S64" s="298"/>
      <c r="T64" s="298"/>
      <c r="U64" s="334"/>
    </row>
    <row r="65" spans="1:21" s="274" customFormat="1" x14ac:dyDescent="0.2">
      <c r="A65" s="291" t="s">
        <v>94</v>
      </c>
      <c r="B65" s="292"/>
      <c r="C65" s="291"/>
      <c r="D65" s="291"/>
      <c r="E65" s="293"/>
      <c r="F65" s="293"/>
      <c r="G65" s="293"/>
      <c r="H65" s="293"/>
      <c r="I65" s="293"/>
      <c r="J65" s="293"/>
      <c r="K65" s="293"/>
      <c r="L65" s="293"/>
      <c r="M65" s="293"/>
      <c r="N65" s="293"/>
      <c r="O65" s="293"/>
      <c r="P65" s="293"/>
      <c r="Q65" s="298"/>
      <c r="R65" s="298"/>
      <c r="S65" s="298"/>
      <c r="T65" s="298"/>
      <c r="U65" s="334"/>
    </row>
    <row r="66" spans="1:21" x14ac:dyDescent="0.2">
      <c r="A66" s="314" t="s">
        <v>97</v>
      </c>
      <c r="B66" s="297">
        <v>0</v>
      </c>
      <c r="C66" s="297">
        <v>5343</v>
      </c>
      <c r="D66" s="297">
        <f t="shared" ref="D66:D73" si="19">SUM(B66:C66)</f>
        <v>5343</v>
      </c>
      <c r="E66" s="335">
        <v>1646</v>
      </c>
      <c r="F66" s="335">
        <v>326</v>
      </c>
      <c r="G66" s="335">
        <v>8913</v>
      </c>
      <c r="H66" s="335">
        <v>8435</v>
      </c>
      <c r="I66" s="335">
        <v>12461</v>
      </c>
      <c r="J66" s="335">
        <v>10670</v>
      </c>
      <c r="K66" s="335">
        <v>8206</v>
      </c>
      <c r="L66" s="335">
        <v>10501</v>
      </c>
      <c r="M66" s="335">
        <v>9931</v>
      </c>
      <c r="N66" s="335">
        <v>4769</v>
      </c>
      <c r="O66" s="335">
        <v>0</v>
      </c>
      <c r="P66" s="335">
        <v>0</v>
      </c>
      <c r="Q66" s="298">
        <f t="shared" ref="Q66:Q73" si="20">SUM(E66:P66)</f>
        <v>75858</v>
      </c>
      <c r="R66" s="298">
        <f>D66+Q66</f>
        <v>81201</v>
      </c>
      <c r="S66" s="298">
        <f>831674+T66</f>
        <v>731674</v>
      </c>
      <c r="T66" s="298">
        <v>-100000</v>
      </c>
      <c r="U66" s="334">
        <f t="shared" ref="U66:U74" si="21">R66/S66</f>
        <v>0.11097975327809927</v>
      </c>
    </row>
    <row r="67" spans="1:21" x14ac:dyDescent="0.2">
      <c r="A67" s="314" t="s">
        <v>98</v>
      </c>
      <c r="B67" s="297">
        <v>0</v>
      </c>
      <c r="C67" s="297">
        <v>11734</v>
      </c>
      <c r="D67" s="297">
        <f t="shared" si="19"/>
        <v>11734</v>
      </c>
      <c r="E67" s="335">
        <v>1606</v>
      </c>
      <c r="F67" s="335">
        <v>3997</v>
      </c>
      <c r="G67" s="335">
        <v>5859</v>
      </c>
      <c r="H67" s="335">
        <v>1539</v>
      </c>
      <c r="I67" s="335">
        <v>909</v>
      </c>
      <c r="J67" s="335">
        <v>7658.23</v>
      </c>
      <c r="K67" s="335">
        <v>11773</v>
      </c>
      <c r="L67" s="335">
        <v>9642</v>
      </c>
      <c r="M67" s="335">
        <v>5989</v>
      </c>
      <c r="N67" s="335">
        <v>18577</v>
      </c>
      <c r="O67" s="335">
        <v>0</v>
      </c>
      <c r="P67" s="335">
        <v>0</v>
      </c>
      <c r="Q67" s="298">
        <f t="shared" si="20"/>
        <v>67549.23</v>
      </c>
      <c r="R67" s="298">
        <f t="shared" ref="R67:R73" si="22">D67+Q67</f>
        <v>79283.23</v>
      </c>
      <c r="S67" s="298">
        <f>417066+T67</f>
        <v>317066</v>
      </c>
      <c r="T67" s="298">
        <v>-100000</v>
      </c>
      <c r="U67" s="334">
        <f t="shared" si="21"/>
        <v>0.2500527650394555</v>
      </c>
    </row>
    <row r="68" spans="1:21" x14ac:dyDescent="0.2">
      <c r="A68" s="314" t="s">
        <v>99</v>
      </c>
      <c r="B68" s="297">
        <v>0</v>
      </c>
      <c r="C68" s="297">
        <v>63867</v>
      </c>
      <c r="D68" s="297">
        <f t="shared" si="19"/>
        <v>63867</v>
      </c>
      <c r="E68" s="335">
        <v>8954</v>
      </c>
      <c r="F68" s="335">
        <v>3473</v>
      </c>
      <c r="G68" s="335">
        <v>22885</v>
      </c>
      <c r="H68" s="335">
        <v>10722</v>
      </c>
      <c r="I68" s="335">
        <v>7076</v>
      </c>
      <c r="J68" s="335">
        <v>11249.61</v>
      </c>
      <c r="K68" s="335">
        <v>3574</v>
      </c>
      <c r="L68" s="335">
        <v>11559</v>
      </c>
      <c r="M68" s="335">
        <v>3054</v>
      </c>
      <c r="N68" s="335">
        <v>3136</v>
      </c>
      <c r="O68" s="335">
        <v>0</v>
      </c>
      <c r="P68" s="335">
        <v>0</v>
      </c>
      <c r="Q68" s="298">
        <f t="shared" si="20"/>
        <v>85682.61</v>
      </c>
      <c r="R68" s="298">
        <f t="shared" si="22"/>
        <v>149549.60999999999</v>
      </c>
      <c r="S68" s="298">
        <v>327003</v>
      </c>
      <c r="T68" s="298"/>
      <c r="U68" s="334">
        <f t="shared" si="21"/>
        <v>0.45733406115540221</v>
      </c>
    </row>
    <row r="69" spans="1:21" x14ac:dyDescent="0.2">
      <c r="A69" s="314" t="s">
        <v>100</v>
      </c>
      <c r="B69" s="297">
        <v>0</v>
      </c>
      <c r="C69" s="297">
        <v>14047</v>
      </c>
      <c r="D69" s="297">
        <f t="shared" si="19"/>
        <v>14047</v>
      </c>
      <c r="E69" s="335">
        <v>2178</v>
      </c>
      <c r="F69" s="335">
        <v>4994</v>
      </c>
      <c r="G69" s="335">
        <v>6119</v>
      </c>
      <c r="H69" s="335">
        <v>-937</v>
      </c>
      <c r="I69" s="335">
        <v>427</v>
      </c>
      <c r="J69" s="335">
        <v>9118.75</v>
      </c>
      <c r="K69" s="335">
        <v>1811</v>
      </c>
      <c r="L69" s="335">
        <v>-4445</v>
      </c>
      <c r="M69" s="335">
        <v>3399</v>
      </c>
      <c r="N69" s="335">
        <v>1416</v>
      </c>
      <c r="O69" s="335">
        <v>0</v>
      </c>
      <c r="P69" s="335">
        <v>0</v>
      </c>
      <c r="Q69" s="298">
        <f t="shared" si="20"/>
        <v>24080.75</v>
      </c>
      <c r="R69" s="298">
        <f t="shared" si="22"/>
        <v>38127.75</v>
      </c>
      <c r="S69" s="298">
        <f>291628+T69</f>
        <v>231628</v>
      </c>
      <c r="T69" s="298">
        <v>-60000</v>
      </c>
      <c r="U69" s="334">
        <f t="shared" si="21"/>
        <v>0.16460768991659039</v>
      </c>
    </row>
    <row r="70" spans="1:21" x14ac:dyDescent="0.2">
      <c r="A70" s="314" t="s">
        <v>101</v>
      </c>
      <c r="B70" s="297">
        <v>0</v>
      </c>
      <c r="C70" s="297">
        <v>13866</v>
      </c>
      <c r="D70" s="297">
        <f t="shared" si="19"/>
        <v>13866</v>
      </c>
      <c r="E70" s="335">
        <v>1253</v>
      </c>
      <c r="F70" s="335">
        <v>1475</v>
      </c>
      <c r="G70" s="335">
        <v>2797</v>
      </c>
      <c r="H70" s="335">
        <v>399638</v>
      </c>
      <c r="I70" s="335">
        <v>-19603</v>
      </c>
      <c r="J70" s="335">
        <v>3057.29</v>
      </c>
      <c r="K70" s="335">
        <v>1058</v>
      </c>
      <c r="L70" s="335">
        <v>1982</v>
      </c>
      <c r="M70" s="335">
        <v>18479</v>
      </c>
      <c r="N70" s="335">
        <v>1799</v>
      </c>
      <c r="O70" s="335">
        <v>0</v>
      </c>
      <c r="P70" s="335">
        <v>0</v>
      </c>
      <c r="Q70" s="298">
        <f t="shared" si="20"/>
        <v>411935.29</v>
      </c>
      <c r="R70" s="298">
        <f t="shared" si="22"/>
        <v>425801.29</v>
      </c>
      <c r="S70" s="298">
        <f>149485+T70</f>
        <v>434485</v>
      </c>
      <c r="T70" s="298">
        <v>285000</v>
      </c>
      <c r="U70" s="334">
        <f>R70/S70</f>
        <v>0.98001378643681591</v>
      </c>
    </row>
    <row r="71" spans="1:21" x14ac:dyDescent="0.2">
      <c r="A71" s="314" t="s">
        <v>102</v>
      </c>
      <c r="B71" s="297">
        <v>0</v>
      </c>
      <c r="C71" s="297">
        <v>1</v>
      </c>
      <c r="D71" s="297">
        <f t="shared" si="19"/>
        <v>1</v>
      </c>
      <c r="E71" s="335">
        <v>15</v>
      </c>
      <c r="F71" s="335">
        <v>0</v>
      </c>
      <c r="G71" s="335">
        <v>-5</v>
      </c>
      <c r="H71" s="335">
        <v>-15</v>
      </c>
      <c r="I71" s="335">
        <v>0</v>
      </c>
      <c r="J71" s="335">
        <v>0</v>
      </c>
      <c r="K71" s="335">
        <v>0</v>
      </c>
      <c r="L71" s="335">
        <v>0</v>
      </c>
      <c r="M71" s="335">
        <v>0</v>
      </c>
      <c r="N71" s="335">
        <v>0</v>
      </c>
      <c r="O71" s="335">
        <v>0</v>
      </c>
      <c r="P71" s="335">
        <v>0</v>
      </c>
      <c r="Q71" s="298">
        <f t="shared" si="20"/>
        <v>-5</v>
      </c>
      <c r="R71" s="298">
        <f t="shared" si="22"/>
        <v>-4</v>
      </c>
      <c r="S71" s="298">
        <f>543492+T71</f>
        <v>293492</v>
      </c>
      <c r="T71" s="298">
        <f>-125000-125000</f>
        <v>-250000</v>
      </c>
      <c r="U71" s="334">
        <f t="shared" si="21"/>
        <v>-1.3628991590912188E-5</v>
      </c>
    </row>
    <row r="72" spans="1:21" x14ac:dyDescent="0.2">
      <c r="A72" s="314" t="s">
        <v>103</v>
      </c>
      <c r="B72" s="297">
        <v>0</v>
      </c>
      <c r="C72" s="297">
        <v>14070</v>
      </c>
      <c r="D72" s="297">
        <f t="shared" si="19"/>
        <v>14070</v>
      </c>
      <c r="E72" s="335">
        <v>1314</v>
      </c>
      <c r="F72" s="335">
        <v>1218</v>
      </c>
      <c r="G72" s="335">
        <v>3600</v>
      </c>
      <c r="H72" s="335">
        <v>5038</v>
      </c>
      <c r="I72" s="335">
        <v>415</v>
      </c>
      <c r="J72" s="335">
        <v>8376.68</v>
      </c>
      <c r="K72" s="335">
        <v>1414</v>
      </c>
      <c r="L72" s="335">
        <v>4184</v>
      </c>
      <c r="M72" s="335">
        <v>-1132</v>
      </c>
      <c r="N72" s="335">
        <v>1611</v>
      </c>
      <c r="O72" s="335">
        <v>0</v>
      </c>
      <c r="P72" s="335">
        <v>0</v>
      </c>
      <c r="Q72" s="298">
        <f t="shared" si="20"/>
        <v>26038.68</v>
      </c>
      <c r="R72" s="298">
        <f t="shared" si="22"/>
        <v>40108.68</v>
      </c>
      <c r="S72" s="298">
        <v>310401</v>
      </c>
      <c r="T72" s="298"/>
      <c r="U72" s="334">
        <f t="shared" si="21"/>
        <v>0.1292156919597553</v>
      </c>
    </row>
    <row r="73" spans="1:21" x14ac:dyDescent="0.2">
      <c r="A73" s="342" t="s">
        <v>104</v>
      </c>
      <c r="B73" s="297">
        <v>0</v>
      </c>
      <c r="C73" s="297">
        <v>57289</v>
      </c>
      <c r="D73" s="297">
        <f t="shared" si="19"/>
        <v>57289</v>
      </c>
      <c r="E73" s="335">
        <v>29110</v>
      </c>
      <c r="F73" s="335">
        <v>23584</v>
      </c>
      <c r="G73" s="335">
        <v>17766</v>
      </c>
      <c r="H73" s="335">
        <v>25695</v>
      </c>
      <c r="I73" s="335">
        <v>17176</v>
      </c>
      <c r="J73" s="335">
        <v>13454.89</v>
      </c>
      <c r="K73" s="335">
        <v>45377</v>
      </c>
      <c r="L73" s="335">
        <v>11865</v>
      </c>
      <c r="M73" s="335">
        <v>8160</v>
      </c>
      <c r="N73" s="335">
        <v>9191</v>
      </c>
      <c r="O73" s="335">
        <v>0</v>
      </c>
      <c r="P73" s="335">
        <v>0</v>
      </c>
      <c r="Q73" s="298">
        <f t="shared" si="20"/>
        <v>201378.89</v>
      </c>
      <c r="R73" s="298">
        <f t="shared" si="22"/>
        <v>258667.89</v>
      </c>
      <c r="S73" s="298">
        <f>88785+T73</f>
        <v>313785</v>
      </c>
      <c r="T73" s="298">
        <f>125000+100000</f>
        <v>225000</v>
      </c>
      <c r="U73" s="334">
        <f t="shared" si="21"/>
        <v>0.8243475309527224</v>
      </c>
    </row>
    <row r="74" spans="1:21" s="274" customFormat="1" x14ac:dyDescent="0.2">
      <c r="A74" s="317" t="s">
        <v>96</v>
      </c>
      <c r="B74" s="303">
        <f t="shared" ref="B74:Q74" si="23">SUM(B66:B73)</f>
        <v>0</v>
      </c>
      <c r="C74" s="303">
        <f>SUM(C66:C73)</f>
        <v>180217</v>
      </c>
      <c r="D74" s="303">
        <f>SUM(D66:D73)</f>
        <v>180217</v>
      </c>
      <c r="E74" s="343">
        <f t="shared" si="23"/>
        <v>46076</v>
      </c>
      <c r="F74" s="343">
        <f t="shared" si="23"/>
        <v>39067</v>
      </c>
      <c r="G74" s="343">
        <f t="shared" si="23"/>
        <v>67934</v>
      </c>
      <c r="H74" s="343">
        <f>SUM(H66:H73)</f>
        <v>450115</v>
      </c>
      <c r="I74" s="343">
        <f t="shared" si="23"/>
        <v>18861</v>
      </c>
      <c r="J74" s="343">
        <f t="shared" si="23"/>
        <v>63585.45</v>
      </c>
      <c r="K74" s="343">
        <f t="shared" si="23"/>
        <v>73213</v>
      </c>
      <c r="L74" s="343">
        <f t="shared" si="23"/>
        <v>45288</v>
      </c>
      <c r="M74" s="343">
        <f t="shared" si="23"/>
        <v>47880</v>
      </c>
      <c r="N74" s="343">
        <f t="shared" si="23"/>
        <v>40499</v>
      </c>
      <c r="O74" s="343">
        <f t="shared" si="23"/>
        <v>0</v>
      </c>
      <c r="P74" s="343">
        <f t="shared" si="23"/>
        <v>0</v>
      </c>
      <c r="Q74" s="305">
        <f t="shared" si="23"/>
        <v>892518.45</v>
      </c>
      <c r="R74" s="305">
        <f>SUM(R66:R73)</f>
        <v>1072735.45</v>
      </c>
      <c r="S74" s="305">
        <f>SUM(S66:S73)</f>
        <v>2959534</v>
      </c>
      <c r="T74" s="305"/>
      <c r="U74" s="331">
        <f t="shared" si="21"/>
        <v>0.36246768916998418</v>
      </c>
    </row>
    <row r="75" spans="1:21" s="274" customFormat="1" x14ac:dyDescent="0.2">
      <c r="A75" s="318"/>
      <c r="B75" s="319"/>
      <c r="C75" s="318"/>
      <c r="D75" s="318"/>
      <c r="E75" s="293"/>
      <c r="F75" s="293"/>
      <c r="G75" s="293"/>
      <c r="H75" s="293"/>
      <c r="I75" s="293"/>
      <c r="J75" s="293"/>
      <c r="K75" s="293"/>
      <c r="L75" s="293"/>
      <c r="M75" s="293"/>
      <c r="N75" s="293"/>
      <c r="O75" s="293"/>
      <c r="P75" s="293"/>
      <c r="Q75" s="298"/>
      <c r="R75" s="298"/>
      <c r="S75" s="298"/>
      <c r="T75" s="298"/>
      <c r="U75" s="334"/>
    </row>
    <row r="76" spans="1:21" s="274" customFormat="1" x14ac:dyDescent="0.2">
      <c r="A76" s="344" t="s">
        <v>106</v>
      </c>
      <c r="B76" s="303">
        <v>98439</v>
      </c>
      <c r="C76" s="303">
        <v>-93445</v>
      </c>
      <c r="D76" s="303">
        <f>SUM(B76:C76)</f>
        <v>4994</v>
      </c>
      <c r="E76" s="304">
        <v>347</v>
      </c>
      <c r="F76" s="304">
        <v>352</v>
      </c>
      <c r="G76" s="304">
        <v>245</v>
      </c>
      <c r="H76" s="304">
        <v>-6240</v>
      </c>
      <c r="I76" s="304">
        <v>-45838</v>
      </c>
      <c r="J76" s="304">
        <v>46073</v>
      </c>
      <c r="K76" s="304">
        <v>4473</v>
      </c>
      <c r="L76" s="304">
        <v>-4058</v>
      </c>
      <c r="M76" s="304">
        <v>715</v>
      </c>
      <c r="N76" s="304">
        <v>1386</v>
      </c>
      <c r="O76" s="304">
        <v>0</v>
      </c>
      <c r="P76" s="304">
        <v>0</v>
      </c>
      <c r="Q76" s="345">
        <f>SUM(E76:P76)</f>
        <v>-2545</v>
      </c>
      <c r="R76" s="345">
        <f>D76+Q76</f>
        <v>2449</v>
      </c>
      <c r="S76" s="345">
        <v>0</v>
      </c>
      <c r="T76" s="345"/>
      <c r="U76" s="346" t="s">
        <v>67</v>
      </c>
    </row>
    <row r="77" spans="1:21" s="274" customFormat="1" x14ac:dyDescent="0.2">
      <c r="A77" s="347"/>
      <c r="B77" s="348"/>
      <c r="C77" s="347"/>
      <c r="D77" s="347"/>
      <c r="E77" s="293"/>
      <c r="F77" s="320"/>
      <c r="G77" s="320"/>
      <c r="H77" s="320"/>
      <c r="I77" s="320"/>
      <c r="J77" s="320"/>
      <c r="K77" s="320"/>
      <c r="L77" s="320"/>
      <c r="M77" s="320"/>
      <c r="N77" s="320"/>
      <c r="O77" s="320"/>
      <c r="P77" s="293"/>
      <c r="Q77" s="298"/>
      <c r="R77" s="298"/>
      <c r="S77" s="298"/>
      <c r="T77" s="298"/>
      <c r="U77" s="334"/>
    </row>
    <row r="78" spans="1:21" ht="15" customHeight="1" thickBot="1" x14ac:dyDescent="0.25">
      <c r="A78" s="349" t="s">
        <v>34</v>
      </c>
      <c r="B78" s="350">
        <f>B13+B21+B25+B33+B39+B43+B47+B53+B63+B74+B76</f>
        <v>29790170</v>
      </c>
      <c r="C78" s="350">
        <f>C13+C21+C25+C33+C39+C43+C47+C53+C63+C74+C76</f>
        <v>30397765</v>
      </c>
      <c r="D78" s="350">
        <f>D13+D21+D25+D33+D39+D43+D47+D53+D63+D74+D76</f>
        <v>60187935</v>
      </c>
      <c r="E78" s="351">
        <f t="shared" ref="E78:P78" si="24">+E13+E21+E25+E33+E39+E43+E47+E53+E63+E74+E76</f>
        <v>3920593</v>
      </c>
      <c r="F78" s="351">
        <f t="shared" si="24"/>
        <v>1513425</v>
      </c>
      <c r="G78" s="351">
        <f t="shared" si="24"/>
        <v>842028</v>
      </c>
      <c r="H78" s="351">
        <f t="shared" si="24"/>
        <v>2223332</v>
      </c>
      <c r="I78" s="351">
        <f t="shared" si="24"/>
        <v>2935663</v>
      </c>
      <c r="J78" s="351">
        <f t="shared" si="24"/>
        <v>4550055.8599999994</v>
      </c>
      <c r="K78" s="351">
        <f t="shared" si="24"/>
        <v>2284891</v>
      </c>
      <c r="L78" s="351">
        <f t="shared" si="24"/>
        <v>4422556</v>
      </c>
      <c r="M78" s="351">
        <f t="shared" si="24"/>
        <v>3097957</v>
      </c>
      <c r="N78" s="351">
        <f t="shared" si="24"/>
        <v>2556723</v>
      </c>
      <c r="O78" s="351">
        <f t="shared" si="24"/>
        <v>0</v>
      </c>
      <c r="P78" s="351">
        <f t="shared" si="24"/>
        <v>0</v>
      </c>
      <c r="Q78" s="352">
        <f>Q13+Q21+Q25+Q33+Q39+Q43+Q47+Q53+Q63+Q74+Q76</f>
        <v>28347223.860000003</v>
      </c>
      <c r="R78" s="352">
        <f>R13+R21+R25+R33+R39+R43+R47+R53+R63+R74+R76</f>
        <v>88535158.860000014</v>
      </c>
      <c r="S78" s="352">
        <f>S13+S21+S25+S33+S39+S43+S47+S53+S63+S74</f>
        <v>164207384</v>
      </c>
      <c r="T78" s="352"/>
      <c r="U78" s="353">
        <f>R78/S78</f>
        <v>0.53916673357392997</v>
      </c>
    </row>
    <row r="79" spans="1:21" ht="15" customHeight="1" thickTop="1" thickBot="1" x14ac:dyDescent="0.25">
      <c r="A79" s="354"/>
      <c r="B79" s="355"/>
      <c r="C79" s="356"/>
      <c r="D79" s="356"/>
      <c r="E79" s="293"/>
      <c r="F79" s="293"/>
      <c r="G79" s="293"/>
      <c r="H79" s="293"/>
      <c r="I79" s="293"/>
      <c r="J79" s="293"/>
      <c r="K79" s="293"/>
      <c r="L79" s="293"/>
      <c r="M79" s="293"/>
      <c r="N79" s="293"/>
      <c r="O79" s="293"/>
      <c r="P79" s="293"/>
      <c r="Q79" s="293"/>
      <c r="R79" s="293"/>
      <c r="S79" s="293"/>
      <c r="T79" s="293"/>
      <c r="U79" s="293"/>
    </row>
    <row r="80" spans="1:21" ht="32.25" customHeight="1" thickBot="1" x14ac:dyDescent="0.25">
      <c r="A80" s="357" t="s">
        <v>307</v>
      </c>
      <c r="B80" s="358"/>
      <c r="C80" s="358"/>
      <c r="D80" s="358"/>
      <c r="E80" s="359">
        <v>21833554</v>
      </c>
      <c r="F80" s="293"/>
      <c r="G80" s="293"/>
      <c r="H80" s="293"/>
      <c r="I80" s="293"/>
      <c r="J80" s="293"/>
      <c r="K80" s="293"/>
      <c r="L80" s="293"/>
      <c r="M80" s="293"/>
      <c r="N80" s="293"/>
      <c r="O80" s="293"/>
      <c r="P80" s="293"/>
      <c r="Q80" s="293"/>
      <c r="R80" s="293"/>
      <c r="S80" s="293"/>
      <c r="T80" s="293"/>
      <c r="U80" s="293"/>
    </row>
    <row r="81" spans="1:21" ht="15" customHeight="1" x14ac:dyDescent="0.2">
      <c r="A81" s="354"/>
      <c r="B81" s="356"/>
      <c r="C81" s="356"/>
      <c r="D81" s="356"/>
      <c r="E81" s="293"/>
      <c r="F81" s="293"/>
      <c r="G81" s="293"/>
      <c r="H81" s="293"/>
      <c r="I81" s="293"/>
      <c r="J81" s="293"/>
      <c r="K81" s="293"/>
      <c r="L81" s="293"/>
      <c r="M81" s="293"/>
      <c r="N81" s="293"/>
      <c r="O81" s="293"/>
      <c r="P81" s="293"/>
      <c r="Q81" s="293"/>
      <c r="R81" s="293"/>
      <c r="S81" s="293"/>
      <c r="T81" s="293"/>
      <c r="U81" s="293"/>
    </row>
    <row r="82" spans="1:21" ht="15" customHeight="1" x14ac:dyDescent="0.2">
      <c r="A82" s="354"/>
      <c r="B82" s="356"/>
      <c r="C82" s="356"/>
      <c r="D82" s="356"/>
      <c r="E82" s="293"/>
      <c r="F82" s="293"/>
      <c r="G82" s="293"/>
      <c r="H82" s="293"/>
      <c r="I82" s="293"/>
      <c r="J82" s="293"/>
      <c r="K82" s="293"/>
      <c r="L82" s="293"/>
      <c r="M82" s="293"/>
      <c r="N82" s="293"/>
      <c r="O82" s="293"/>
      <c r="P82" s="293"/>
      <c r="Q82" s="293"/>
      <c r="R82" s="293"/>
      <c r="S82" s="293"/>
      <c r="T82" s="293"/>
      <c r="U82" s="293"/>
    </row>
    <row r="83" spans="1:21" ht="10.5" customHeight="1" thickBot="1" x14ac:dyDescent="0.25">
      <c r="A83" s="360"/>
      <c r="B83" s="361"/>
      <c r="C83" s="361"/>
      <c r="D83" s="361"/>
      <c r="E83" s="362"/>
      <c r="F83" s="362"/>
      <c r="G83" s="362"/>
      <c r="H83" s="362"/>
      <c r="I83" s="362"/>
      <c r="J83" s="362"/>
      <c r="K83" s="362"/>
      <c r="L83" s="362"/>
      <c r="M83" s="362"/>
      <c r="N83" s="362"/>
      <c r="O83" s="362"/>
      <c r="P83" s="362"/>
      <c r="Q83" s="362"/>
      <c r="R83" s="362"/>
      <c r="S83" s="363"/>
      <c r="T83" s="363"/>
      <c r="U83" s="364"/>
    </row>
    <row r="85" spans="1:21" s="274" customFormat="1" x14ac:dyDescent="0.2">
      <c r="A85" s="274" t="s">
        <v>66</v>
      </c>
      <c r="Q85" s="315"/>
      <c r="R85" s="315"/>
    </row>
    <row r="86" spans="1:21" s="274" customFormat="1" x14ac:dyDescent="0.2">
      <c r="A86" s="274" t="s">
        <v>260</v>
      </c>
      <c r="Q86" s="315"/>
      <c r="R86" s="315"/>
    </row>
    <row r="87" spans="1:21" s="274" customFormat="1" x14ac:dyDescent="0.2">
      <c r="A87" s="274" t="s">
        <v>105</v>
      </c>
      <c r="P87" s="315"/>
      <c r="Q87" s="315"/>
      <c r="R87" s="315"/>
      <c r="S87" s="315"/>
      <c r="T87" s="315"/>
      <c r="U87" s="315"/>
    </row>
    <row r="88" spans="1:21" s="274" customFormat="1" x14ac:dyDescent="0.2">
      <c r="A88" s="365" t="s">
        <v>127</v>
      </c>
      <c r="B88" s="365"/>
      <c r="C88" s="365"/>
      <c r="D88" s="365"/>
      <c r="Q88" s="274" t="s">
        <v>14</v>
      </c>
    </row>
    <row r="89" spans="1:21" s="274" customFormat="1" x14ac:dyDescent="0.2">
      <c r="A89" s="366" t="s">
        <v>179</v>
      </c>
      <c r="B89" s="366"/>
      <c r="C89" s="366"/>
      <c r="D89" s="366"/>
      <c r="G89" s="80"/>
    </row>
    <row r="90" spans="1:21" x14ac:dyDescent="0.2">
      <c r="A90" s="473" t="s">
        <v>309</v>
      </c>
      <c r="B90" s="366"/>
      <c r="C90" s="366"/>
      <c r="D90" s="366"/>
      <c r="E90" s="274"/>
      <c r="F90" s="274"/>
      <c r="G90" s="274"/>
      <c r="H90" s="274"/>
      <c r="I90" s="274"/>
      <c r="J90" s="274"/>
      <c r="K90" s="274"/>
      <c r="L90" s="274"/>
      <c r="M90" s="274"/>
      <c r="P90" s="367"/>
    </row>
    <row r="91" spans="1:21" x14ac:dyDescent="0.2">
      <c r="A91" s="366"/>
      <c r="B91" s="366"/>
      <c r="C91" s="366"/>
      <c r="D91" s="366"/>
      <c r="E91" s="274"/>
      <c r="F91" s="274"/>
      <c r="G91" s="368"/>
      <c r="H91" s="78"/>
      <c r="I91" s="367"/>
    </row>
    <row r="92" spans="1:21" x14ac:dyDescent="0.2">
      <c r="G92" s="368"/>
      <c r="H92" s="78"/>
      <c r="I92" s="367"/>
    </row>
    <row r="93" spans="1:21" x14ac:dyDescent="0.2">
      <c r="G93" s="368"/>
      <c r="H93" s="78"/>
      <c r="I93" s="367"/>
    </row>
    <row r="94" spans="1:21" x14ac:dyDescent="0.2">
      <c r="G94" s="368"/>
      <c r="H94" s="78"/>
      <c r="I94" s="367"/>
    </row>
    <row r="95" spans="1:21" x14ac:dyDescent="0.2">
      <c r="G95" s="369"/>
      <c r="H95" s="79"/>
    </row>
    <row r="96" spans="1:21" x14ac:dyDescent="0.2">
      <c r="G96" s="370"/>
      <c r="H96" s="78"/>
      <c r="I96" s="367"/>
    </row>
    <row r="97" spans="7:9" x14ac:dyDescent="0.2">
      <c r="G97" s="370"/>
      <c r="H97" s="78"/>
      <c r="I97" s="367"/>
    </row>
    <row r="98" spans="7:9" x14ac:dyDescent="0.2">
      <c r="G98" s="370"/>
      <c r="H98" s="78"/>
      <c r="I98" s="367"/>
    </row>
    <row r="99" spans="7:9" x14ac:dyDescent="0.2">
      <c r="G99" s="370"/>
      <c r="H99" s="78"/>
      <c r="I99" s="367"/>
    </row>
    <row r="100" spans="7:9" x14ac:dyDescent="0.2">
      <c r="G100" s="370"/>
      <c r="H100" s="78"/>
      <c r="I100" s="367"/>
    </row>
    <row r="101" spans="7:9" x14ac:dyDescent="0.2">
      <c r="G101" s="369"/>
      <c r="H101" s="371"/>
      <c r="I101" s="367"/>
    </row>
  </sheetData>
  <printOptions horizontalCentered="1"/>
  <pageMargins left="0.5" right="0.5" top="0.63" bottom="0.51" header="0.26" footer="0.25"/>
  <pageSetup scale="43" orientation="landscape" r:id="rId1"/>
  <headerFooter alignWithMargins="0">
    <oddHeader xml:space="preserve">&amp;C&amp;"Arial,Bold"Table I-2
SCE Demand Response Programs and Activities
Incremental Cost 
2011 Funding (1)&amp;"Arial,Regular"
</oddHeader>
    <oddFooter>&amp;L&amp;F&amp;R&amp;D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zoomScaleNormal="100" workbookViewId="0"/>
  </sheetViews>
  <sheetFormatPr defaultRowHeight="12.75" x14ac:dyDescent="0.2"/>
  <cols>
    <col min="1" max="1" width="18.7109375" style="409" customWidth="1"/>
    <col min="2" max="2" width="16.85546875" style="409" customWidth="1"/>
    <col min="3" max="3" width="58.5703125" style="409" customWidth="1"/>
    <col min="4" max="4" width="11.5703125" style="409" customWidth="1"/>
    <col min="5" max="5" width="78.140625" style="409" customWidth="1"/>
    <col min="6" max="16384" width="9.140625" style="409"/>
  </cols>
  <sheetData>
    <row r="3" spans="1:5" x14ac:dyDescent="0.2">
      <c r="A3" s="89" t="s">
        <v>116</v>
      </c>
    </row>
    <row r="5" spans="1:5" s="89" customFormat="1" x14ac:dyDescent="0.2">
      <c r="A5" s="89" t="s">
        <v>117</v>
      </c>
      <c r="B5" s="89" t="s">
        <v>195</v>
      </c>
    </row>
    <row r="6" spans="1:5" s="89" customFormat="1" x14ac:dyDescent="0.2">
      <c r="B6" s="89" t="s">
        <v>118</v>
      </c>
    </row>
    <row r="8" spans="1:5" ht="13.5" thickBot="1" x14ac:dyDescent="0.25"/>
    <row r="9" spans="1:5" s="90" customFormat="1" ht="13.5" thickBot="1" x14ac:dyDescent="0.25">
      <c r="A9" s="185" t="s">
        <v>122</v>
      </c>
      <c r="B9" s="186" t="s">
        <v>119</v>
      </c>
      <c r="C9" s="186" t="s">
        <v>121</v>
      </c>
      <c r="D9" s="186" t="s">
        <v>22</v>
      </c>
      <c r="E9" s="187" t="s">
        <v>120</v>
      </c>
    </row>
    <row r="10" spans="1:5" ht="89.25" x14ac:dyDescent="0.2">
      <c r="A10" s="410" t="s">
        <v>206</v>
      </c>
      <c r="B10" s="411">
        <v>1050000</v>
      </c>
      <c r="C10" s="412" t="s">
        <v>207</v>
      </c>
      <c r="D10" s="413">
        <v>40298</v>
      </c>
      <c r="E10" s="414" t="s">
        <v>212</v>
      </c>
    </row>
    <row r="11" spans="1:5" ht="89.25" x14ac:dyDescent="0.2">
      <c r="A11" s="415" t="s">
        <v>206</v>
      </c>
      <c r="B11" s="416">
        <f>(5703864/2)-B10</f>
        <v>1801932</v>
      </c>
      <c r="C11" s="417" t="s">
        <v>208</v>
      </c>
      <c r="D11" s="418">
        <v>40298</v>
      </c>
      <c r="E11" s="419" t="s">
        <v>213</v>
      </c>
    </row>
    <row r="12" spans="1:5" ht="76.5" x14ac:dyDescent="0.2">
      <c r="A12" s="415" t="s">
        <v>206</v>
      </c>
      <c r="B12" s="416">
        <f>110000+250000</f>
        <v>360000</v>
      </c>
      <c r="C12" s="417" t="s">
        <v>209</v>
      </c>
      <c r="D12" s="418">
        <v>40451</v>
      </c>
      <c r="E12" s="419" t="s">
        <v>214</v>
      </c>
    </row>
    <row r="13" spans="1:5" ht="76.5" x14ac:dyDescent="0.2">
      <c r="A13" s="415" t="s">
        <v>206</v>
      </c>
      <c r="B13" s="416">
        <f>2838327-812299-B10</f>
        <v>976028</v>
      </c>
      <c r="C13" s="417" t="s">
        <v>207</v>
      </c>
      <c r="D13" s="418">
        <v>40543</v>
      </c>
      <c r="E13" s="419" t="s">
        <v>215</v>
      </c>
    </row>
    <row r="14" spans="1:5" ht="76.5" x14ac:dyDescent="0.2">
      <c r="A14" s="415" t="s">
        <v>206</v>
      </c>
      <c r="B14" s="416">
        <f>3818142-259939-B11</f>
        <v>1756271</v>
      </c>
      <c r="C14" s="417" t="s">
        <v>208</v>
      </c>
      <c r="D14" s="418">
        <v>40543</v>
      </c>
      <c r="E14" s="419" t="s">
        <v>216</v>
      </c>
    </row>
    <row r="15" spans="1:5" ht="63.75" x14ac:dyDescent="0.2">
      <c r="A15" s="420" t="s">
        <v>210</v>
      </c>
      <c r="B15" s="421">
        <v>2525000</v>
      </c>
      <c r="C15" s="422" t="s">
        <v>211</v>
      </c>
      <c r="D15" s="423">
        <v>40543</v>
      </c>
      <c r="E15" s="424" t="s">
        <v>288</v>
      </c>
    </row>
    <row r="16" spans="1:5" ht="76.5" x14ac:dyDescent="0.2">
      <c r="A16" s="433" t="s">
        <v>254</v>
      </c>
      <c r="B16" s="434">
        <v>125000</v>
      </c>
      <c r="C16" s="435" t="s">
        <v>255</v>
      </c>
      <c r="D16" s="436">
        <v>40602</v>
      </c>
      <c r="E16" s="437" t="s">
        <v>256</v>
      </c>
    </row>
    <row r="17" spans="1:5" ht="38.25" x14ac:dyDescent="0.2">
      <c r="A17" s="415" t="s">
        <v>254</v>
      </c>
      <c r="B17" s="416">
        <v>125000</v>
      </c>
      <c r="C17" s="417" t="s">
        <v>261</v>
      </c>
      <c r="D17" s="418">
        <v>40663</v>
      </c>
      <c r="E17" s="419" t="s">
        <v>262</v>
      </c>
    </row>
    <row r="18" spans="1:5" ht="38.25" x14ac:dyDescent="0.2">
      <c r="A18" s="415" t="s">
        <v>254</v>
      </c>
      <c r="B18" s="416">
        <v>100000</v>
      </c>
      <c r="C18" s="417" t="s">
        <v>263</v>
      </c>
      <c r="D18" s="418">
        <v>40663</v>
      </c>
      <c r="E18" s="419" t="s">
        <v>262</v>
      </c>
    </row>
    <row r="19" spans="1:5" ht="38.25" x14ac:dyDescent="0.2">
      <c r="A19" s="433" t="s">
        <v>254</v>
      </c>
      <c r="B19" s="434">
        <v>60000</v>
      </c>
      <c r="C19" s="435" t="s">
        <v>264</v>
      </c>
      <c r="D19" s="436">
        <v>40663</v>
      </c>
      <c r="E19" s="437" t="s">
        <v>262</v>
      </c>
    </row>
    <row r="20" spans="1:5" ht="77.25" thickBot="1" x14ac:dyDescent="0.25">
      <c r="A20" s="425" t="s">
        <v>254</v>
      </c>
      <c r="B20" s="426">
        <v>100000</v>
      </c>
      <c r="C20" s="427" t="s">
        <v>286</v>
      </c>
      <c r="D20" s="428">
        <v>40755</v>
      </c>
      <c r="E20" s="429" t="s">
        <v>287</v>
      </c>
    </row>
    <row r="21" spans="1:5" x14ac:dyDescent="0.2">
      <c r="A21" s="420"/>
      <c r="B21" s="421"/>
      <c r="C21" s="422"/>
      <c r="D21" s="423"/>
      <c r="E21" s="424"/>
    </row>
    <row r="22" spans="1:5" x14ac:dyDescent="0.2">
      <c r="A22" s="438" t="s">
        <v>123</v>
      </c>
      <c r="B22" s="179">
        <f>SUM(B10:B20)</f>
        <v>8979231</v>
      </c>
      <c r="C22" s="430"/>
      <c r="D22" s="430"/>
      <c r="E22" s="440"/>
    </row>
    <row r="23" spans="1:5" x14ac:dyDescent="0.2">
      <c r="A23" s="439"/>
      <c r="B23" s="431"/>
      <c r="C23" s="431"/>
      <c r="D23" s="431"/>
      <c r="E23" s="440"/>
    </row>
    <row r="24" spans="1:5" x14ac:dyDescent="0.2">
      <c r="A24" s="439"/>
      <c r="B24" s="431"/>
      <c r="C24" s="431"/>
      <c r="D24" s="431"/>
      <c r="E24" s="441"/>
    </row>
    <row r="25" spans="1:5" x14ac:dyDescent="0.2">
      <c r="A25" s="439" t="s">
        <v>28</v>
      </c>
      <c r="B25" s="431"/>
      <c r="C25" s="431"/>
      <c r="D25" s="431"/>
      <c r="E25" s="441"/>
    </row>
    <row r="26" spans="1:5" x14ac:dyDescent="0.2">
      <c r="A26" s="439"/>
      <c r="B26" s="431"/>
      <c r="C26" s="431"/>
      <c r="D26" s="431"/>
      <c r="E26" s="441"/>
    </row>
    <row r="27" spans="1:5" ht="13.5" thickBot="1" x14ac:dyDescent="0.25">
      <c r="A27" s="442"/>
      <c r="B27" s="443"/>
      <c r="C27" s="443"/>
      <c r="D27" s="443"/>
      <c r="E27" s="444"/>
    </row>
    <row r="28" spans="1:5" s="432" customFormat="1" x14ac:dyDescent="0.2"/>
    <row r="29" spans="1:5" s="432" customFormat="1" x14ac:dyDescent="0.2"/>
  </sheetData>
  <phoneticPr fontId="35" type="noConversion"/>
  <pageMargins left="0.5" right="0.5" top="1" bottom="0.47" header="0.5" footer="0.5"/>
  <pageSetup scale="70" orientation="landscape" r:id="rId1"/>
  <headerFooter alignWithMargins="0">
    <oddHeader>&amp;CTable I-2A
SCE Demand Response Programs and Activities Fund Shifting
2011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showGridLines="0" zoomScale="75" zoomScaleNormal="75" workbookViewId="0">
      <pane xSplit="1" topLeftCell="D1" activePane="topRight" state="frozen"/>
      <selection pane="topRight"/>
    </sheetView>
  </sheetViews>
  <sheetFormatPr defaultRowHeight="12.75" x14ac:dyDescent="0.2"/>
  <cols>
    <col min="1" max="1" width="60.5703125" style="310" customWidth="1"/>
    <col min="2" max="3" width="13.7109375" style="310" hidden="1" customWidth="1"/>
    <col min="4" max="4" width="13.7109375" style="310" customWidth="1"/>
    <col min="5" max="5" width="13" style="310" customWidth="1"/>
    <col min="6" max="7" width="10.7109375" style="310" customWidth="1"/>
    <col min="8" max="8" width="11.28515625" style="310" customWidth="1"/>
    <col min="9" max="12" width="10.7109375" style="310" customWidth="1"/>
    <col min="13" max="13" width="12" style="310" customWidth="1"/>
    <col min="14" max="14" width="10.7109375" style="310" customWidth="1"/>
    <col min="15" max="15" width="11.85546875" style="310" customWidth="1"/>
    <col min="16" max="16" width="11.7109375" style="310" customWidth="1"/>
    <col min="17" max="18" width="14.140625" style="310" customWidth="1"/>
    <col min="19" max="19" width="14.85546875" style="310" customWidth="1"/>
    <col min="20" max="20" width="9.140625" style="310"/>
    <col min="21" max="21" width="10" style="310" bestFit="1" customWidth="1"/>
    <col min="22" max="16384" width="9.140625" style="310"/>
  </cols>
  <sheetData>
    <row r="1" spans="1:20" s="274" customFormat="1" x14ac:dyDescent="0.2">
      <c r="A1" s="366" t="s">
        <v>128</v>
      </c>
      <c r="B1" s="366"/>
      <c r="C1" s="366"/>
      <c r="D1" s="366"/>
    </row>
    <row r="2" spans="1:20" s="274" customFormat="1" ht="13.5" thickBot="1" x14ac:dyDescent="0.25">
      <c r="A2" s="366"/>
      <c r="B2" s="366"/>
      <c r="C2" s="366"/>
      <c r="D2" s="366"/>
    </row>
    <row r="3" spans="1:20" s="274" customFormat="1" x14ac:dyDescent="0.2">
      <c r="A3" s="276"/>
      <c r="B3" s="276"/>
      <c r="C3" s="276"/>
      <c r="D3" s="276"/>
      <c r="E3" s="277"/>
      <c r="F3" s="277"/>
      <c r="G3" s="277"/>
      <c r="H3" s="277"/>
      <c r="I3" s="277"/>
      <c r="J3" s="277"/>
      <c r="K3" s="277"/>
      <c r="L3" s="277"/>
      <c r="M3" s="277"/>
      <c r="N3" s="277"/>
      <c r="O3" s="277"/>
      <c r="P3" s="278"/>
      <c r="Q3" s="278"/>
      <c r="R3" s="278"/>
      <c r="S3" s="372"/>
    </row>
    <row r="4" spans="1:20" s="274" customFormat="1" ht="7.5" customHeight="1" x14ac:dyDescent="0.2">
      <c r="A4" s="282"/>
      <c r="B4" s="282"/>
      <c r="C4" s="282"/>
      <c r="D4" s="282"/>
      <c r="E4" s="283"/>
      <c r="F4" s="283"/>
      <c r="G4" s="283"/>
      <c r="H4" s="283"/>
      <c r="I4" s="283"/>
      <c r="J4" s="283"/>
      <c r="K4" s="283"/>
      <c r="L4" s="283"/>
      <c r="M4" s="283"/>
      <c r="N4" s="283"/>
      <c r="O4" s="283"/>
      <c r="P4" s="284"/>
      <c r="Q4" s="284"/>
      <c r="R4" s="284"/>
      <c r="S4" s="373"/>
    </row>
    <row r="5" spans="1:20" s="274" customFormat="1" ht="70.5" customHeight="1" x14ac:dyDescent="0.2">
      <c r="A5" s="286" t="s">
        <v>21</v>
      </c>
      <c r="B5" s="374" t="s">
        <v>129</v>
      </c>
      <c r="C5" s="375" t="s">
        <v>157</v>
      </c>
      <c r="D5" s="375" t="s">
        <v>201</v>
      </c>
      <c r="E5" s="289" t="s">
        <v>0</v>
      </c>
      <c r="F5" s="289" t="s">
        <v>1</v>
      </c>
      <c r="G5" s="289" t="s">
        <v>2</v>
      </c>
      <c r="H5" s="289" t="s">
        <v>3</v>
      </c>
      <c r="I5" s="289" t="s">
        <v>4</v>
      </c>
      <c r="J5" s="289" t="s">
        <v>5</v>
      </c>
      <c r="K5" s="289" t="s">
        <v>6</v>
      </c>
      <c r="L5" s="289" t="s">
        <v>7</v>
      </c>
      <c r="M5" s="289" t="s">
        <v>8</v>
      </c>
      <c r="N5" s="289" t="s">
        <v>9</v>
      </c>
      <c r="O5" s="289" t="s">
        <v>10</v>
      </c>
      <c r="P5" s="289" t="s">
        <v>11</v>
      </c>
      <c r="Q5" s="290" t="s">
        <v>200</v>
      </c>
      <c r="R5" s="290" t="s">
        <v>202</v>
      </c>
      <c r="S5" s="287" t="s">
        <v>130</v>
      </c>
    </row>
    <row r="6" spans="1:20" s="274" customFormat="1" x14ac:dyDescent="0.2">
      <c r="A6" s="291" t="s">
        <v>131</v>
      </c>
      <c r="B6" s="376"/>
      <c r="C6" s="377"/>
      <c r="D6" s="378"/>
      <c r="E6" s="293"/>
      <c r="F6" s="293"/>
      <c r="G6" s="293"/>
      <c r="H6" s="293"/>
      <c r="I6" s="293"/>
      <c r="J6" s="293"/>
      <c r="K6" s="293"/>
      <c r="L6" s="293"/>
      <c r="M6" s="293"/>
      <c r="N6" s="293"/>
      <c r="O6" s="293"/>
      <c r="P6" s="293"/>
      <c r="Q6" s="294"/>
      <c r="R6" s="294"/>
      <c r="S6" s="379"/>
    </row>
    <row r="7" spans="1:20" s="274" customFormat="1" x14ac:dyDescent="0.2">
      <c r="A7" s="314" t="s">
        <v>132</v>
      </c>
      <c r="B7" s="380">
        <v>-233964</v>
      </c>
      <c r="C7" s="293">
        <v>0</v>
      </c>
      <c r="D7" s="298">
        <f>SUM(B7:C7)</f>
        <v>-233964</v>
      </c>
      <c r="E7" s="293">
        <v>0</v>
      </c>
      <c r="F7" s="293">
        <v>0</v>
      </c>
      <c r="G7" s="293">
        <v>0</v>
      </c>
      <c r="H7" s="293">
        <v>0</v>
      </c>
      <c r="I7" s="293">
        <v>0</v>
      </c>
      <c r="J7" s="293">
        <v>0</v>
      </c>
      <c r="K7" s="293">
        <v>0</v>
      </c>
      <c r="L7" s="293">
        <v>0</v>
      </c>
      <c r="M7" s="293">
        <v>0</v>
      </c>
      <c r="N7" s="293">
        <v>0</v>
      </c>
      <c r="O7" s="293">
        <v>0</v>
      </c>
      <c r="P7" s="293">
        <v>0</v>
      </c>
      <c r="Q7" s="298">
        <f t="shared" ref="Q7:Q28" si="0">SUM(E7:P7)</f>
        <v>0</v>
      </c>
      <c r="R7" s="298">
        <f>D7+Q7</f>
        <v>-233964</v>
      </c>
      <c r="S7" s="381">
        <v>0</v>
      </c>
    </row>
    <row r="8" spans="1:20" s="274" customFormat="1" x14ac:dyDescent="0.2">
      <c r="A8" s="314" t="s">
        <v>35</v>
      </c>
      <c r="B8" s="380">
        <v>0</v>
      </c>
      <c r="C8" s="293">
        <v>0</v>
      </c>
      <c r="D8" s="298">
        <f t="shared" ref="D8:D28" si="1">SUM(B8:C8)</f>
        <v>0</v>
      </c>
      <c r="E8" s="293">
        <v>0</v>
      </c>
      <c r="F8" s="293">
        <v>0</v>
      </c>
      <c r="G8" s="293">
        <v>0</v>
      </c>
      <c r="H8" s="293">
        <v>0</v>
      </c>
      <c r="I8" s="293">
        <v>0</v>
      </c>
      <c r="J8" s="293">
        <v>0</v>
      </c>
      <c r="K8" s="293">
        <v>0</v>
      </c>
      <c r="L8" s="293">
        <v>0</v>
      </c>
      <c r="M8" s="293">
        <v>0</v>
      </c>
      <c r="N8" s="293">
        <v>0</v>
      </c>
      <c r="O8" s="293">
        <v>0</v>
      </c>
      <c r="P8" s="293">
        <v>0</v>
      </c>
      <c r="Q8" s="298">
        <f t="shared" si="0"/>
        <v>0</v>
      </c>
      <c r="R8" s="298">
        <f t="shared" ref="R8:R28" si="2">D8+Q8</f>
        <v>0</v>
      </c>
      <c r="S8" s="381">
        <v>0</v>
      </c>
    </row>
    <row r="9" spans="1:20" s="274" customFormat="1" x14ac:dyDescent="0.2">
      <c r="A9" s="314" t="s">
        <v>133</v>
      </c>
      <c r="B9" s="380">
        <v>0</v>
      </c>
      <c r="C9" s="293">
        <v>0</v>
      </c>
      <c r="D9" s="298">
        <f t="shared" si="1"/>
        <v>0</v>
      </c>
      <c r="E9" s="293">
        <v>0</v>
      </c>
      <c r="F9" s="293">
        <v>0</v>
      </c>
      <c r="G9" s="293">
        <v>0</v>
      </c>
      <c r="H9" s="293">
        <v>0</v>
      </c>
      <c r="I9" s="293">
        <v>0</v>
      </c>
      <c r="J9" s="293">
        <v>0</v>
      </c>
      <c r="K9" s="293">
        <v>0</v>
      </c>
      <c r="L9" s="293">
        <v>0</v>
      </c>
      <c r="M9" s="293">
        <v>0</v>
      </c>
      <c r="N9" s="293">
        <v>0</v>
      </c>
      <c r="O9" s="293">
        <v>0</v>
      </c>
      <c r="P9" s="293">
        <v>0</v>
      </c>
      <c r="Q9" s="298">
        <f t="shared" si="0"/>
        <v>0</v>
      </c>
      <c r="R9" s="298">
        <f t="shared" si="2"/>
        <v>0</v>
      </c>
      <c r="S9" s="381">
        <v>0</v>
      </c>
    </row>
    <row r="10" spans="1:20" s="274" customFormat="1" x14ac:dyDescent="0.2">
      <c r="A10" s="314" t="s">
        <v>41</v>
      </c>
      <c r="B10" s="380">
        <v>-116838</v>
      </c>
      <c r="C10" s="293">
        <v>0</v>
      </c>
      <c r="D10" s="298">
        <f t="shared" si="1"/>
        <v>-116838</v>
      </c>
      <c r="E10" s="293">
        <v>0</v>
      </c>
      <c r="F10" s="293">
        <v>0</v>
      </c>
      <c r="G10" s="293">
        <v>0</v>
      </c>
      <c r="H10" s="293">
        <v>0</v>
      </c>
      <c r="I10" s="293">
        <v>0</v>
      </c>
      <c r="J10" s="293">
        <v>0</v>
      </c>
      <c r="K10" s="293">
        <v>0</v>
      </c>
      <c r="L10" s="293">
        <v>0</v>
      </c>
      <c r="M10" s="293">
        <v>0</v>
      </c>
      <c r="N10" s="293">
        <v>0</v>
      </c>
      <c r="O10" s="293">
        <v>0</v>
      </c>
      <c r="P10" s="293">
        <v>0</v>
      </c>
      <c r="Q10" s="298">
        <f t="shared" si="0"/>
        <v>0</v>
      </c>
      <c r="R10" s="298">
        <f t="shared" si="2"/>
        <v>-116838</v>
      </c>
      <c r="S10" s="381">
        <v>0</v>
      </c>
    </row>
    <row r="11" spans="1:20" s="274" customFormat="1" x14ac:dyDescent="0.2">
      <c r="A11" s="314" t="s">
        <v>17</v>
      </c>
      <c r="B11" s="380">
        <v>109426</v>
      </c>
      <c r="C11" s="293">
        <v>351</v>
      </c>
      <c r="D11" s="298">
        <f t="shared" si="1"/>
        <v>109777</v>
      </c>
      <c r="E11" s="293">
        <v>0</v>
      </c>
      <c r="F11" s="293">
        <v>0</v>
      </c>
      <c r="G11" s="293">
        <v>0</v>
      </c>
      <c r="H11" s="293">
        <v>0</v>
      </c>
      <c r="I11" s="293">
        <v>0</v>
      </c>
      <c r="J11" s="293">
        <v>0</v>
      </c>
      <c r="K11" s="293">
        <v>0</v>
      </c>
      <c r="L11" s="293">
        <v>0</v>
      </c>
      <c r="M11" s="293">
        <v>0</v>
      </c>
      <c r="N11" s="293">
        <v>0</v>
      </c>
      <c r="O11" s="293">
        <v>0</v>
      </c>
      <c r="P11" s="293">
        <v>0</v>
      </c>
      <c r="Q11" s="298">
        <f t="shared" si="0"/>
        <v>0</v>
      </c>
      <c r="R11" s="298">
        <f t="shared" si="2"/>
        <v>109777</v>
      </c>
      <c r="S11" s="382">
        <f>9172+45000</f>
        <v>54172</v>
      </c>
      <c r="T11" s="383"/>
    </row>
    <row r="12" spans="1:20" s="274" customFormat="1" x14ac:dyDescent="0.2">
      <c r="A12" s="314" t="s">
        <v>134</v>
      </c>
      <c r="B12" s="380">
        <v>0</v>
      </c>
      <c r="C12" s="293">
        <v>0</v>
      </c>
      <c r="D12" s="298">
        <f t="shared" si="1"/>
        <v>0</v>
      </c>
      <c r="E12" s="293">
        <v>0</v>
      </c>
      <c r="F12" s="293">
        <v>0</v>
      </c>
      <c r="G12" s="293">
        <v>0</v>
      </c>
      <c r="H12" s="293">
        <v>0</v>
      </c>
      <c r="I12" s="293">
        <v>0</v>
      </c>
      <c r="J12" s="293">
        <v>0</v>
      </c>
      <c r="K12" s="293">
        <v>0</v>
      </c>
      <c r="L12" s="293">
        <v>0</v>
      </c>
      <c r="M12" s="293">
        <v>0</v>
      </c>
      <c r="N12" s="293">
        <v>0</v>
      </c>
      <c r="O12" s="293">
        <v>0</v>
      </c>
      <c r="P12" s="293">
        <v>0</v>
      </c>
      <c r="Q12" s="298">
        <f t="shared" si="0"/>
        <v>0</v>
      </c>
      <c r="R12" s="298">
        <f t="shared" si="2"/>
        <v>0</v>
      </c>
      <c r="S12" s="382">
        <v>0</v>
      </c>
    </row>
    <row r="13" spans="1:20" s="274" customFormat="1" x14ac:dyDescent="0.2">
      <c r="A13" s="339" t="s">
        <v>135</v>
      </c>
      <c r="B13" s="380">
        <v>1263946</v>
      </c>
      <c r="C13" s="293">
        <v>-5</v>
      </c>
      <c r="D13" s="298">
        <f t="shared" si="1"/>
        <v>1263941</v>
      </c>
      <c r="E13" s="293">
        <v>2472</v>
      </c>
      <c r="F13" s="293">
        <v>0</v>
      </c>
      <c r="G13" s="293">
        <v>0</v>
      </c>
      <c r="H13" s="293">
        <v>0</v>
      </c>
      <c r="I13" s="293">
        <v>0</v>
      </c>
      <c r="J13" s="293">
        <v>0</v>
      </c>
      <c r="K13" s="293">
        <v>0</v>
      </c>
      <c r="L13" s="293">
        <v>0</v>
      </c>
      <c r="M13" s="293">
        <v>0</v>
      </c>
      <c r="N13" s="293">
        <v>0</v>
      </c>
      <c r="O13" s="293">
        <v>0</v>
      </c>
      <c r="P13" s="293">
        <v>0</v>
      </c>
      <c r="Q13" s="298">
        <f t="shared" si="0"/>
        <v>2472</v>
      </c>
      <c r="R13" s="298">
        <f t="shared" si="2"/>
        <v>1266413</v>
      </c>
      <c r="S13" s="382">
        <f>580917+789119+41785</f>
        <v>1411821</v>
      </c>
    </row>
    <row r="14" spans="1:20" s="274" customFormat="1" x14ac:dyDescent="0.2">
      <c r="A14" s="339" t="s">
        <v>12</v>
      </c>
      <c r="B14" s="380">
        <v>23959</v>
      </c>
      <c r="C14" s="293">
        <v>20</v>
      </c>
      <c r="D14" s="298">
        <f t="shared" si="1"/>
        <v>23979</v>
      </c>
      <c r="E14" s="293">
        <v>0</v>
      </c>
      <c r="F14" s="293">
        <v>0</v>
      </c>
      <c r="G14" s="293">
        <v>0</v>
      </c>
      <c r="H14" s="293">
        <v>0</v>
      </c>
      <c r="I14" s="293">
        <v>0</v>
      </c>
      <c r="J14" s="293">
        <v>0</v>
      </c>
      <c r="K14" s="293">
        <v>2</v>
      </c>
      <c r="L14" s="293">
        <v>1</v>
      </c>
      <c r="M14" s="293">
        <v>32</v>
      </c>
      <c r="N14" s="293">
        <v>-813</v>
      </c>
      <c r="O14" s="293">
        <v>0</v>
      </c>
      <c r="P14" s="293">
        <v>0</v>
      </c>
      <c r="Q14" s="298">
        <f t="shared" si="0"/>
        <v>-778</v>
      </c>
      <c r="R14" s="298">
        <f t="shared" si="2"/>
        <v>23201</v>
      </c>
      <c r="S14" s="382">
        <v>197500</v>
      </c>
    </row>
    <row r="15" spans="1:20" s="274" customFormat="1" x14ac:dyDescent="0.2">
      <c r="A15" s="314" t="s">
        <v>16</v>
      </c>
      <c r="B15" s="380">
        <v>10116</v>
      </c>
      <c r="C15" s="293">
        <v>713</v>
      </c>
      <c r="D15" s="298">
        <f t="shared" si="1"/>
        <v>10829</v>
      </c>
      <c r="E15" s="293">
        <v>6</v>
      </c>
      <c r="F15" s="293">
        <v>40</v>
      </c>
      <c r="G15" s="293">
        <v>0</v>
      </c>
      <c r="H15" s="293">
        <v>-1342</v>
      </c>
      <c r="I15" s="293">
        <v>0</v>
      </c>
      <c r="J15" s="293">
        <v>0</v>
      </c>
      <c r="K15" s="293">
        <v>0</v>
      </c>
      <c r="L15" s="293">
        <v>0</v>
      </c>
      <c r="M15" s="293">
        <v>0</v>
      </c>
      <c r="N15" s="293">
        <v>0</v>
      </c>
      <c r="O15" s="293">
        <v>0</v>
      </c>
      <c r="P15" s="293">
        <v>0</v>
      </c>
      <c r="Q15" s="298">
        <f t="shared" si="0"/>
        <v>-1296</v>
      </c>
      <c r="R15" s="298">
        <f t="shared" si="2"/>
        <v>9533</v>
      </c>
      <c r="S15" s="382">
        <v>0</v>
      </c>
    </row>
    <row r="16" spans="1:20" s="274" customFormat="1" x14ac:dyDescent="0.2">
      <c r="A16" s="314" t="s">
        <v>136</v>
      </c>
      <c r="B16" s="380">
        <v>305022</v>
      </c>
      <c r="C16" s="293">
        <v>0</v>
      </c>
      <c r="D16" s="298">
        <f t="shared" si="1"/>
        <v>305022</v>
      </c>
      <c r="E16" s="293">
        <v>0</v>
      </c>
      <c r="F16" s="293">
        <v>211622</v>
      </c>
      <c r="G16" s="293">
        <v>746673</v>
      </c>
      <c r="H16" s="293">
        <v>264012</v>
      </c>
      <c r="I16" s="293">
        <v>-746648</v>
      </c>
      <c r="J16" s="293">
        <v>-475659.19</v>
      </c>
      <c r="K16" s="293">
        <v>0</v>
      </c>
      <c r="L16" s="293">
        <v>0</v>
      </c>
      <c r="M16" s="293">
        <v>0</v>
      </c>
      <c r="N16" s="293">
        <v>0</v>
      </c>
      <c r="O16" s="293">
        <v>0</v>
      </c>
      <c r="P16" s="293">
        <v>0</v>
      </c>
      <c r="Q16" s="298">
        <f t="shared" si="0"/>
        <v>-0.19000000000232831</v>
      </c>
      <c r="R16" s="298">
        <f t="shared" si="2"/>
        <v>305021.81</v>
      </c>
      <c r="S16" s="382">
        <f>388843+166279</f>
        <v>555122</v>
      </c>
    </row>
    <row r="17" spans="1:20" s="274" customFormat="1" x14ac:dyDescent="0.2">
      <c r="A17" s="314" t="s">
        <v>137</v>
      </c>
      <c r="B17" s="380">
        <v>3968315</v>
      </c>
      <c r="C17" s="293">
        <v>1762995</v>
      </c>
      <c r="D17" s="298">
        <f t="shared" si="1"/>
        <v>5731310</v>
      </c>
      <c r="E17" s="293">
        <v>337975</v>
      </c>
      <c r="F17" s="293">
        <v>0</v>
      </c>
      <c r="G17" s="293">
        <v>0</v>
      </c>
      <c r="H17" s="293">
        <v>0</v>
      </c>
      <c r="I17" s="293">
        <v>0</v>
      </c>
      <c r="J17" s="293">
        <v>0</v>
      </c>
      <c r="K17" s="293">
        <v>0</v>
      </c>
      <c r="L17" s="293">
        <v>0</v>
      </c>
      <c r="M17" s="293">
        <v>0</v>
      </c>
      <c r="N17" s="293">
        <v>0</v>
      </c>
      <c r="O17" s="293">
        <v>0</v>
      </c>
      <c r="P17" s="293">
        <v>0</v>
      </c>
      <c r="Q17" s="298">
        <f t="shared" si="0"/>
        <v>337975</v>
      </c>
      <c r="R17" s="298">
        <f t="shared" si="2"/>
        <v>6069285</v>
      </c>
      <c r="S17" s="382">
        <v>8487565</v>
      </c>
    </row>
    <row r="18" spans="1:20" s="274" customFormat="1" x14ac:dyDescent="0.2">
      <c r="A18" s="314" t="s">
        <v>138</v>
      </c>
      <c r="B18" s="380">
        <v>-8748</v>
      </c>
      <c r="C18" s="293">
        <v>1552</v>
      </c>
      <c r="D18" s="298">
        <f t="shared" si="1"/>
        <v>-7196</v>
      </c>
      <c r="E18" s="293">
        <v>0</v>
      </c>
      <c r="F18" s="293">
        <v>0</v>
      </c>
      <c r="G18" s="293">
        <v>0</v>
      </c>
      <c r="H18" s="293">
        <v>0</v>
      </c>
      <c r="I18" s="293">
        <v>11</v>
      </c>
      <c r="J18" s="293">
        <v>48.58</v>
      </c>
      <c r="K18" s="293">
        <v>0</v>
      </c>
      <c r="L18" s="293">
        <v>0</v>
      </c>
      <c r="M18" s="293">
        <v>0</v>
      </c>
      <c r="N18" s="293">
        <v>-1616</v>
      </c>
      <c r="O18" s="293">
        <v>0</v>
      </c>
      <c r="P18" s="293">
        <v>0</v>
      </c>
      <c r="Q18" s="298">
        <f t="shared" si="0"/>
        <v>-1556.42</v>
      </c>
      <c r="R18" s="298">
        <f t="shared" si="2"/>
        <v>-8752.42</v>
      </c>
      <c r="S18" s="382">
        <v>0</v>
      </c>
    </row>
    <row r="19" spans="1:20" s="274" customFormat="1" x14ac:dyDescent="0.2">
      <c r="A19" s="339" t="s">
        <v>139</v>
      </c>
      <c r="B19" s="380">
        <v>135</v>
      </c>
      <c r="C19" s="293">
        <v>0</v>
      </c>
      <c r="D19" s="298">
        <f t="shared" si="1"/>
        <v>135</v>
      </c>
      <c r="E19" s="293">
        <v>0</v>
      </c>
      <c r="F19" s="293">
        <v>0</v>
      </c>
      <c r="G19" s="293">
        <v>0</v>
      </c>
      <c r="H19" s="293">
        <v>0</v>
      </c>
      <c r="I19" s="293">
        <v>0</v>
      </c>
      <c r="J19" s="293">
        <v>0</v>
      </c>
      <c r="K19" s="293">
        <v>0</v>
      </c>
      <c r="L19" s="293">
        <v>0</v>
      </c>
      <c r="M19" s="293">
        <v>0</v>
      </c>
      <c r="N19" s="293">
        <v>0</v>
      </c>
      <c r="O19" s="293">
        <v>0</v>
      </c>
      <c r="P19" s="293">
        <v>0</v>
      </c>
      <c r="Q19" s="298">
        <f t="shared" si="0"/>
        <v>0</v>
      </c>
      <c r="R19" s="298">
        <f t="shared" si="2"/>
        <v>135</v>
      </c>
      <c r="S19" s="382">
        <v>0</v>
      </c>
    </row>
    <row r="20" spans="1:20" s="274" customFormat="1" x14ac:dyDescent="0.2">
      <c r="A20" s="339" t="s">
        <v>140</v>
      </c>
      <c r="B20" s="380">
        <v>135</v>
      </c>
      <c r="C20" s="293">
        <v>0</v>
      </c>
      <c r="D20" s="298">
        <f t="shared" si="1"/>
        <v>135</v>
      </c>
      <c r="E20" s="293">
        <v>0</v>
      </c>
      <c r="F20" s="293">
        <v>0</v>
      </c>
      <c r="G20" s="293">
        <v>0</v>
      </c>
      <c r="H20" s="293">
        <v>0</v>
      </c>
      <c r="I20" s="293">
        <v>0</v>
      </c>
      <c r="J20" s="293">
        <v>36347.160000000018</v>
      </c>
      <c r="K20" s="293">
        <v>0</v>
      </c>
      <c r="L20" s="293">
        <v>0</v>
      </c>
      <c r="M20" s="293">
        <v>0</v>
      </c>
      <c r="N20" s="293">
        <v>0</v>
      </c>
      <c r="O20" s="293">
        <v>0</v>
      </c>
      <c r="P20" s="293">
        <v>0</v>
      </c>
      <c r="Q20" s="298">
        <f t="shared" si="0"/>
        <v>36347.160000000018</v>
      </c>
      <c r="R20" s="298">
        <f t="shared" si="2"/>
        <v>36482.160000000018</v>
      </c>
      <c r="S20" s="382">
        <v>20950</v>
      </c>
    </row>
    <row r="21" spans="1:20" s="274" customFormat="1" x14ac:dyDescent="0.2">
      <c r="A21" s="339" t="s">
        <v>141</v>
      </c>
      <c r="B21" s="380">
        <v>13632</v>
      </c>
      <c r="C21" s="293">
        <v>0</v>
      </c>
      <c r="D21" s="298">
        <f t="shared" si="1"/>
        <v>13632</v>
      </c>
      <c r="E21" s="293">
        <v>0</v>
      </c>
      <c r="F21" s="293">
        <v>0</v>
      </c>
      <c r="G21" s="293">
        <v>0</v>
      </c>
      <c r="H21" s="293">
        <v>0</v>
      </c>
      <c r="I21" s="293">
        <v>0</v>
      </c>
      <c r="J21" s="293">
        <v>0</v>
      </c>
      <c r="K21" s="293">
        <v>0</v>
      </c>
      <c r="L21" s="293">
        <v>0</v>
      </c>
      <c r="M21" s="293">
        <v>0</v>
      </c>
      <c r="N21" s="293">
        <v>0</v>
      </c>
      <c r="O21" s="293">
        <v>0</v>
      </c>
      <c r="P21" s="293">
        <v>0</v>
      </c>
      <c r="Q21" s="298">
        <f t="shared" si="0"/>
        <v>0</v>
      </c>
      <c r="R21" s="298">
        <f t="shared" si="2"/>
        <v>13632</v>
      </c>
      <c r="S21" s="382">
        <v>0</v>
      </c>
    </row>
    <row r="22" spans="1:20" s="274" customFormat="1" x14ac:dyDescent="0.2">
      <c r="A22" s="314" t="s">
        <v>142</v>
      </c>
      <c r="B22" s="380">
        <v>989</v>
      </c>
      <c r="C22" s="293">
        <v>0</v>
      </c>
      <c r="D22" s="298">
        <f t="shared" si="1"/>
        <v>989</v>
      </c>
      <c r="E22" s="293">
        <v>0</v>
      </c>
      <c r="F22" s="293">
        <v>0</v>
      </c>
      <c r="G22" s="293">
        <v>0</v>
      </c>
      <c r="H22" s="293">
        <v>0</v>
      </c>
      <c r="I22" s="293">
        <v>0</v>
      </c>
      <c r="J22" s="293">
        <v>0</v>
      </c>
      <c r="K22" s="293">
        <v>0</v>
      </c>
      <c r="L22" s="293">
        <v>0</v>
      </c>
      <c r="M22" s="293">
        <v>0</v>
      </c>
      <c r="N22" s="293">
        <v>0</v>
      </c>
      <c r="O22" s="293">
        <v>0</v>
      </c>
      <c r="P22" s="293">
        <v>0</v>
      </c>
      <c r="Q22" s="298">
        <f t="shared" si="0"/>
        <v>0</v>
      </c>
      <c r="R22" s="298">
        <f t="shared" si="2"/>
        <v>989</v>
      </c>
      <c r="S22" s="382">
        <v>0</v>
      </c>
    </row>
    <row r="23" spans="1:20" s="274" customFormat="1" x14ac:dyDescent="0.2">
      <c r="A23" s="314" t="s">
        <v>143</v>
      </c>
      <c r="B23" s="380">
        <v>2556225.58</v>
      </c>
      <c r="C23" s="293">
        <v>1300125</v>
      </c>
      <c r="D23" s="298">
        <f t="shared" si="1"/>
        <v>3856350.58</v>
      </c>
      <c r="E23" s="293">
        <v>19644</v>
      </c>
      <c r="F23" s="293">
        <v>24468</v>
      </c>
      <c r="G23" s="293">
        <v>14223</v>
      </c>
      <c r="H23" s="293">
        <v>132010</v>
      </c>
      <c r="I23" s="293">
        <v>16358</v>
      </c>
      <c r="J23" s="293">
        <v>233992.9</v>
      </c>
      <c r="K23" s="293">
        <v>10463</v>
      </c>
      <c r="L23" s="293">
        <v>31634</v>
      </c>
      <c r="M23" s="293">
        <v>14745</v>
      </c>
      <c r="N23" s="293">
        <v>9938</v>
      </c>
      <c r="O23" s="293">
        <v>0</v>
      </c>
      <c r="P23" s="293">
        <v>0</v>
      </c>
      <c r="Q23" s="298">
        <f t="shared" si="0"/>
        <v>507475.9</v>
      </c>
      <c r="R23" s="298">
        <f t="shared" si="2"/>
        <v>4363826.4800000004</v>
      </c>
      <c r="S23" s="382">
        <f>7417916+350</f>
        <v>7418266</v>
      </c>
      <c r="T23" s="293"/>
    </row>
    <row r="24" spans="1:20" s="274" customFormat="1" x14ac:dyDescent="0.2">
      <c r="A24" s="314" t="s">
        <v>144</v>
      </c>
      <c r="B24" s="380">
        <v>317564</v>
      </c>
      <c r="C24" s="293">
        <v>38</v>
      </c>
      <c r="D24" s="298">
        <f t="shared" si="1"/>
        <v>317602</v>
      </c>
      <c r="E24" s="293">
        <v>0</v>
      </c>
      <c r="F24" s="293">
        <v>-12280</v>
      </c>
      <c r="G24" s="293">
        <v>12280</v>
      </c>
      <c r="H24" s="293">
        <v>0</v>
      </c>
      <c r="I24" s="293">
        <v>0</v>
      </c>
      <c r="J24" s="293">
        <v>0</v>
      </c>
      <c r="K24" s="293">
        <v>0</v>
      </c>
      <c r="L24" s="293">
        <v>0</v>
      </c>
      <c r="M24" s="293">
        <v>0</v>
      </c>
      <c r="N24" s="293">
        <v>-16665</v>
      </c>
      <c r="O24" s="293">
        <v>0</v>
      </c>
      <c r="P24" s="293">
        <v>0</v>
      </c>
      <c r="Q24" s="298">
        <f t="shared" si="0"/>
        <v>-16665</v>
      </c>
      <c r="R24" s="298">
        <f t="shared" si="2"/>
        <v>300937</v>
      </c>
      <c r="S24" s="382">
        <v>67242</v>
      </c>
    </row>
    <row r="25" spans="1:20" s="274" customFormat="1" x14ac:dyDescent="0.2">
      <c r="A25" s="314" t="s">
        <v>145</v>
      </c>
      <c r="B25" s="380">
        <v>-384841</v>
      </c>
      <c r="C25" s="293">
        <v>-8831</v>
      </c>
      <c r="D25" s="298">
        <f t="shared" si="1"/>
        <v>-393672</v>
      </c>
      <c r="E25" s="293">
        <v>0</v>
      </c>
      <c r="F25" s="293">
        <v>0</v>
      </c>
      <c r="G25" s="293">
        <v>0</v>
      </c>
      <c r="H25" s="293">
        <v>0</v>
      </c>
      <c r="I25" s="293">
        <v>0</v>
      </c>
      <c r="J25" s="293">
        <v>0</v>
      </c>
      <c r="K25" s="293">
        <v>0</v>
      </c>
      <c r="L25" s="293">
        <v>0</v>
      </c>
      <c r="M25" s="293">
        <v>0</v>
      </c>
      <c r="N25" s="293">
        <v>0</v>
      </c>
      <c r="O25" s="293">
        <v>0</v>
      </c>
      <c r="P25" s="293">
        <v>0</v>
      </c>
      <c r="Q25" s="298">
        <f t="shared" si="0"/>
        <v>0</v>
      </c>
      <c r="R25" s="298">
        <f t="shared" si="2"/>
        <v>-393672</v>
      </c>
      <c r="S25" s="382">
        <v>0</v>
      </c>
    </row>
    <row r="26" spans="1:20" s="274" customFormat="1" x14ac:dyDescent="0.2">
      <c r="A26" s="314" t="s">
        <v>61</v>
      </c>
      <c r="B26" s="380">
        <v>42580</v>
      </c>
      <c r="C26" s="293">
        <v>0</v>
      </c>
      <c r="D26" s="298">
        <f t="shared" si="1"/>
        <v>42580</v>
      </c>
      <c r="E26" s="293">
        <v>0</v>
      </c>
      <c r="F26" s="293">
        <v>0</v>
      </c>
      <c r="G26" s="293">
        <v>0</v>
      </c>
      <c r="H26" s="293">
        <v>0</v>
      </c>
      <c r="I26" s="293">
        <v>0</v>
      </c>
      <c r="J26" s="293">
        <v>0</v>
      </c>
      <c r="K26" s="293">
        <v>0</v>
      </c>
      <c r="L26" s="293">
        <v>0</v>
      </c>
      <c r="M26" s="293">
        <v>0</v>
      </c>
      <c r="N26" s="293">
        <v>0</v>
      </c>
      <c r="O26" s="293">
        <v>0</v>
      </c>
      <c r="P26" s="293">
        <v>0</v>
      </c>
      <c r="Q26" s="298">
        <f t="shared" si="0"/>
        <v>0</v>
      </c>
      <c r="R26" s="298">
        <f t="shared" si="2"/>
        <v>42580</v>
      </c>
      <c r="S26" s="382">
        <v>0</v>
      </c>
    </row>
    <row r="27" spans="1:20" s="274" customFormat="1" x14ac:dyDescent="0.2">
      <c r="A27" s="314" t="s">
        <v>146</v>
      </c>
      <c r="B27" s="380">
        <v>-54632</v>
      </c>
      <c r="C27" s="293">
        <v>0</v>
      </c>
      <c r="D27" s="298">
        <f t="shared" si="1"/>
        <v>-54632</v>
      </c>
      <c r="E27" s="293">
        <v>0</v>
      </c>
      <c r="F27" s="293">
        <v>0</v>
      </c>
      <c r="G27" s="293">
        <v>0</v>
      </c>
      <c r="H27" s="293">
        <v>0</v>
      </c>
      <c r="I27" s="293">
        <v>0</v>
      </c>
      <c r="J27" s="293">
        <v>0</v>
      </c>
      <c r="K27" s="293">
        <v>0</v>
      </c>
      <c r="L27" s="293">
        <v>0</v>
      </c>
      <c r="M27" s="293">
        <v>0</v>
      </c>
      <c r="N27" s="293">
        <v>0</v>
      </c>
      <c r="O27" s="293">
        <v>0</v>
      </c>
      <c r="P27" s="293">
        <v>0</v>
      </c>
      <c r="Q27" s="298">
        <f t="shared" si="0"/>
        <v>0</v>
      </c>
      <c r="R27" s="298">
        <f t="shared" si="2"/>
        <v>-54632</v>
      </c>
      <c r="S27" s="382">
        <v>0</v>
      </c>
    </row>
    <row r="28" spans="1:20" s="274" customFormat="1" x14ac:dyDescent="0.2">
      <c r="A28" s="314" t="s">
        <v>55</v>
      </c>
      <c r="B28" s="298">
        <v>0</v>
      </c>
      <c r="C28" s="293">
        <v>0</v>
      </c>
      <c r="D28" s="298">
        <f t="shared" si="1"/>
        <v>0</v>
      </c>
      <c r="E28" s="293">
        <v>0</v>
      </c>
      <c r="F28" s="293">
        <v>0</v>
      </c>
      <c r="G28" s="293">
        <v>0</v>
      </c>
      <c r="H28" s="293">
        <v>0</v>
      </c>
      <c r="I28" s="293">
        <v>0</v>
      </c>
      <c r="J28" s="293">
        <v>0</v>
      </c>
      <c r="K28" s="293">
        <v>0</v>
      </c>
      <c r="L28" s="293">
        <v>0</v>
      </c>
      <c r="M28" s="293">
        <v>0</v>
      </c>
      <c r="N28" s="293">
        <v>0</v>
      </c>
      <c r="O28" s="293">
        <v>0</v>
      </c>
      <c r="P28" s="293">
        <v>0</v>
      </c>
      <c r="Q28" s="298">
        <f t="shared" si="0"/>
        <v>0</v>
      </c>
      <c r="R28" s="298">
        <f t="shared" si="2"/>
        <v>0</v>
      </c>
      <c r="S28" s="382">
        <v>2590</v>
      </c>
      <c r="T28" s="383"/>
    </row>
    <row r="29" spans="1:20" s="274" customFormat="1" x14ac:dyDescent="0.2">
      <c r="A29" s="317" t="s">
        <v>38</v>
      </c>
      <c r="B29" s="384">
        <f t="shared" ref="B29:S29" si="3">SUM(B7:B28)</f>
        <v>7813021.5800000001</v>
      </c>
      <c r="C29" s="304">
        <f>SUM(C7:C28)</f>
        <v>3056958</v>
      </c>
      <c r="D29" s="345">
        <f>SUM(D7:D28)</f>
        <v>10869979.58</v>
      </c>
      <c r="E29" s="304">
        <f t="shared" si="3"/>
        <v>360097</v>
      </c>
      <c r="F29" s="304">
        <f t="shared" si="3"/>
        <v>223850</v>
      </c>
      <c r="G29" s="304">
        <f t="shared" si="3"/>
        <v>773176</v>
      </c>
      <c r="H29" s="304">
        <f t="shared" si="3"/>
        <v>394680</v>
      </c>
      <c r="I29" s="304">
        <f t="shared" si="3"/>
        <v>-730279</v>
      </c>
      <c r="J29" s="304">
        <f t="shared" si="3"/>
        <v>-205270.54999999996</v>
      </c>
      <c r="K29" s="304">
        <f t="shared" si="3"/>
        <v>10465</v>
      </c>
      <c r="L29" s="304">
        <f t="shared" si="3"/>
        <v>31635</v>
      </c>
      <c r="M29" s="304">
        <f t="shared" si="3"/>
        <v>14777</v>
      </c>
      <c r="N29" s="304">
        <f t="shared" si="3"/>
        <v>-9156</v>
      </c>
      <c r="O29" s="304">
        <f t="shared" si="3"/>
        <v>0</v>
      </c>
      <c r="P29" s="304">
        <f t="shared" si="3"/>
        <v>0</v>
      </c>
      <c r="Q29" s="305">
        <f>SUM(Q7:Q28)</f>
        <v>863974.45000000007</v>
      </c>
      <c r="R29" s="305">
        <f>SUM(R7:R28)</f>
        <v>11733954.030000001</v>
      </c>
      <c r="S29" s="385">
        <f t="shared" si="3"/>
        <v>18215228</v>
      </c>
    </row>
    <row r="30" spans="1:20" s="274" customFormat="1" x14ac:dyDescent="0.2">
      <c r="A30" s="341"/>
      <c r="B30" s="386"/>
      <c r="C30" s="387"/>
      <c r="D30" s="388"/>
      <c r="E30" s="293"/>
      <c r="F30" s="293"/>
      <c r="G30" s="293"/>
      <c r="H30" s="293"/>
      <c r="I30" s="293"/>
      <c r="J30" s="293"/>
      <c r="K30" s="293"/>
      <c r="L30" s="293"/>
      <c r="M30" s="293"/>
      <c r="N30" s="293"/>
      <c r="O30" s="293"/>
      <c r="P30" s="293"/>
      <c r="Q30" s="298"/>
      <c r="R30" s="298"/>
      <c r="S30" s="382"/>
    </row>
    <row r="31" spans="1:20" s="274" customFormat="1" ht="25.5" x14ac:dyDescent="0.2">
      <c r="A31" s="291" t="s">
        <v>147</v>
      </c>
      <c r="B31" s="376"/>
      <c r="C31" s="377"/>
      <c r="D31" s="389"/>
      <c r="E31" s="293"/>
      <c r="F31" s="293"/>
      <c r="G31" s="293"/>
      <c r="H31" s="293"/>
      <c r="I31" s="293"/>
      <c r="J31" s="293"/>
      <c r="K31" s="293"/>
      <c r="L31" s="293"/>
      <c r="M31" s="293"/>
      <c r="N31" s="293"/>
      <c r="O31" s="293"/>
      <c r="P31" s="293"/>
      <c r="Q31" s="298"/>
      <c r="R31" s="298"/>
      <c r="S31" s="382"/>
    </row>
    <row r="32" spans="1:20" s="274" customFormat="1" x14ac:dyDescent="0.2">
      <c r="A32" s="314" t="s">
        <v>54</v>
      </c>
      <c r="B32" s="298">
        <v>601616</v>
      </c>
      <c r="C32" s="293">
        <v>0</v>
      </c>
      <c r="D32" s="298">
        <f>SUM(B32:C32)</f>
        <v>601616</v>
      </c>
      <c r="E32" s="335">
        <v>0</v>
      </c>
      <c r="F32" s="335">
        <v>0</v>
      </c>
      <c r="G32" s="335">
        <v>0</v>
      </c>
      <c r="H32" s="335">
        <v>0</v>
      </c>
      <c r="I32" s="335">
        <v>0</v>
      </c>
      <c r="J32" s="335">
        <v>0</v>
      </c>
      <c r="K32" s="335">
        <v>0</v>
      </c>
      <c r="L32" s="335">
        <v>0</v>
      </c>
      <c r="M32" s="335">
        <v>0</v>
      </c>
      <c r="N32" s="335">
        <v>0</v>
      </c>
      <c r="O32" s="335">
        <v>0</v>
      </c>
      <c r="P32" s="335">
        <v>0</v>
      </c>
      <c r="Q32" s="298">
        <f>SUM(E32:P32)</f>
        <v>0</v>
      </c>
      <c r="R32" s="298">
        <f>D32+Q32</f>
        <v>601616</v>
      </c>
      <c r="S32" s="382">
        <v>75198</v>
      </c>
    </row>
    <row r="33" spans="1:20" s="274" customFormat="1" x14ac:dyDescent="0.2">
      <c r="A33" s="314" t="s">
        <v>148</v>
      </c>
      <c r="B33" s="298">
        <v>172995</v>
      </c>
      <c r="C33" s="293">
        <v>0</v>
      </c>
      <c r="D33" s="298">
        <f>SUM(B33:C33)</f>
        <v>172995</v>
      </c>
      <c r="E33" s="335">
        <v>0</v>
      </c>
      <c r="F33" s="335">
        <v>0</v>
      </c>
      <c r="G33" s="335">
        <v>0</v>
      </c>
      <c r="H33" s="335">
        <v>0</v>
      </c>
      <c r="I33" s="335">
        <v>0</v>
      </c>
      <c r="J33" s="335">
        <v>0</v>
      </c>
      <c r="K33" s="335">
        <v>0</v>
      </c>
      <c r="L33" s="335">
        <v>0</v>
      </c>
      <c r="M33" s="335">
        <v>0</v>
      </c>
      <c r="N33" s="335">
        <v>0</v>
      </c>
      <c r="O33" s="335">
        <v>0</v>
      </c>
      <c r="P33" s="335">
        <v>0</v>
      </c>
      <c r="Q33" s="298">
        <f>SUM(E33:P33)</f>
        <v>0</v>
      </c>
      <c r="R33" s="298">
        <f>D33+Q33</f>
        <v>172995</v>
      </c>
      <c r="S33" s="382">
        <f>150000+90+814</f>
        <v>150904</v>
      </c>
    </row>
    <row r="34" spans="1:20" s="274" customFormat="1" x14ac:dyDescent="0.2">
      <c r="A34" s="314" t="s">
        <v>33</v>
      </c>
      <c r="B34" s="298">
        <v>28930</v>
      </c>
      <c r="C34" s="293">
        <v>0</v>
      </c>
      <c r="D34" s="298">
        <f>SUM(B34:C34)</f>
        <v>28930</v>
      </c>
      <c r="E34" s="335">
        <v>0</v>
      </c>
      <c r="F34" s="335">
        <v>0</v>
      </c>
      <c r="G34" s="335">
        <v>0</v>
      </c>
      <c r="H34" s="335">
        <v>0</v>
      </c>
      <c r="I34" s="335">
        <v>0</v>
      </c>
      <c r="J34" s="335">
        <v>0</v>
      </c>
      <c r="K34" s="335">
        <v>0</v>
      </c>
      <c r="L34" s="335">
        <v>0</v>
      </c>
      <c r="M34" s="335">
        <v>0</v>
      </c>
      <c r="N34" s="335">
        <v>0</v>
      </c>
      <c r="O34" s="335">
        <v>0</v>
      </c>
      <c r="P34" s="335">
        <v>0</v>
      </c>
      <c r="Q34" s="298">
        <f>SUM(E34:P34)</f>
        <v>0</v>
      </c>
      <c r="R34" s="298">
        <f>D34+Q34</f>
        <v>28930</v>
      </c>
      <c r="S34" s="382">
        <v>0</v>
      </c>
    </row>
    <row r="35" spans="1:20" s="274" customFormat="1" x14ac:dyDescent="0.2">
      <c r="A35" s="317" t="s">
        <v>39</v>
      </c>
      <c r="B35" s="390">
        <f t="shared" ref="B35:P35" si="4">SUM(B32:B34)</f>
        <v>803541</v>
      </c>
      <c r="C35" s="343">
        <f>SUM(C32:C34)</f>
        <v>0</v>
      </c>
      <c r="D35" s="305">
        <f>SUM(D32:D34)</f>
        <v>803541</v>
      </c>
      <c r="E35" s="343">
        <f t="shared" si="4"/>
        <v>0</v>
      </c>
      <c r="F35" s="343">
        <f t="shared" si="4"/>
        <v>0</v>
      </c>
      <c r="G35" s="343">
        <f t="shared" si="4"/>
        <v>0</v>
      </c>
      <c r="H35" s="343">
        <f t="shared" si="4"/>
        <v>0</v>
      </c>
      <c r="I35" s="343">
        <f t="shared" si="4"/>
        <v>0</v>
      </c>
      <c r="J35" s="343">
        <f t="shared" si="4"/>
        <v>0</v>
      </c>
      <c r="K35" s="343">
        <f t="shared" si="4"/>
        <v>0</v>
      </c>
      <c r="L35" s="343">
        <f t="shared" si="4"/>
        <v>0</v>
      </c>
      <c r="M35" s="343">
        <f t="shared" si="4"/>
        <v>0</v>
      </c>
      <c r="N35" s="343">
        <f t="shared" si="4"/>
        <v>0</v>
      </c>
      <c r="O35" s="343">
        <f t="shared" si="4"/>
        <v>0</v>
      </c>
      <c r="P35" s="343">
        <f t="shared" si="4"/>
        <v>0</v>
      </c>
      <c r="Q35" s="305">
        <f>SUM(Q32:Q34)</f>
        <v>0</v>
      </c>
      <c r="R35" s="305">
        <f>SUM(R32:R34)</f>
        <v>803541</v>
      </c>
      <c r="S35" s="385">
        <f>SUM(S32:S33)</f>
        <v>226102</v>
      </c>
    </row>
    <row r="36" spans="1:20" s="274" customFormat="1" x14ac:dyDescent="0.2">
      <c r="A36" s="347"/>
      <c r="B36" s="391"/>
      <c r="C36" s="392"/>
      <c r="D36" s="393"/>
      <c r="E36" s="293"/>
      <c r="F36" s="320"/>
      <c r="G36" s="320"/>
      <c r="H36" s="320"/>
      <c r="I36" s="320"/>
      <c r="J36" s="320"/>
      <c r="K36" s="320"/>
      <c r="L36" s="320"/>
      <c r="M36" s="320"/>
      <c r="N36" s="320"/>
      <c r="O36" s="320"/>
      <c r="P36" s="293"/>
      <c r="Q36" s="298"/>
      <c r="R36" s="298"/>
      <c r="S36" s="382"/>
    </row>
    <row r="37" spans="1:20" s="274" customFormat="1" x14ac:dyDescent="0.2">
      <c r="A37" s="291" t="s">
        <v>149</v>
      </c>
      <c r="B37" s="376"/>
      <c r="C37" s="377"/>
      <c r="D37" s="389"/>
      <c r="E37" s="293"/>
      <c r="F37" s="320"/>
      <c r="G37" s="320"/>
      <c r="H37" s="320"/>
      <c r="I37" s="320"/>
      <c r="J37" s="320"/>
      <c r="K37" s="320"/>
      <c r="L37" s="320"/>
      <c r="M37" s="320"/>
      <c r="N37" s="320"/>
      <c r="O37" s="320"/>
      <c r="P37" s="293"/>
      <c r="Q37" s="298"/>
      <c r="R37" s="298"/>
      <c r="S37" s="382"/>
    </row>
    <row r="38" spans="1:20" s="274" customFormat="1" x14ac:dyDescent="0.2">
      <c r="A38" s="314" t="s">
        <v>150</v>
      </c>
      <c r="B38" s="394">
        <v>0</v>
      </c>
      <c r="C38" s="335">
        <v>0</v>
      </c>
      <c r="D38" s="336">
        <f>SUM(B38:C38)</f>
        <v>0</v>
      </c>
      <c r="E38" s="335">
        <v>0</v>
      </c>
      <c r="F38" s="335">
        <v>0</v>
      </c>
      <c r="G38" s="335">
        <v>0</v>
      </c>
      <c r="H38" s="335">
        <v>0</v>
      </c>
      <c r="I38" s="335">
        <v>0</v>
      </c>
      <c r="J38" s="335">
        <v>0</v>
      </c>
      <c r="K38" s="335">
        <v>0</v>
      </c>
      <c r="L38" s="335">
        <v>0</v>
      </c>
      <c r="M38" s="335">
        <v>0</v>
      </c>
      <c r="N38" s="335">
        <v>0</v>
      </c>
      <c r="O38" s="335">
        <v>0</v>
      </c>
      <c r="P38" s="335">
        <v>0</v>
      </c>
      <c r="Q38" s="298">
        <f>SUM(E38:P38)</f>
        <v>0</v>
      </c>
      <c r="R38" s="298">
        <f>D38+Q38</f>
        <v>0</v>
      </c>
      <c r="S38" s="395">
        <v>-432350</v>
      </c>
    </row>
    <row r="39" spans="1:20" s="274" customFormat="1" x14ac:dyDescent="0.2">
      <c r="A39" s="314" t="s">
        <v>151</v>
      </c>
      <c r="B39" s="394">
        <v>-13044</v>
      </c>
      <c r="C39" s="335">
        <v>0</v>
      </c>
      <c r="D39" s="336">
        <f>SUM(B39:C39)</f>
        <v>-13044</v>
      </c>
      <c r="E39" s="335">
        <v>0</v>
      </c>
      <c r="F39" s="335">
        <v>0</v>
      </c>
      <c r="G39" s="335">
        <v>0</v>
      </c>
      <c r="H39" s="335">
        <v>0</v>
      </c>
      <c r="I39" s="335">
        <v>0</v>
      </c>
      <c r="J39" s="335">
        <v>0</v>
      </c>
      <c r="K39" s="335">
        <v>0</v>
      </c>
      <c r="L39" s="335">
        <v>0</v>
      </c>
      <c r="M39" s="335">
        <v>0</v>
      </c>
      <c r="N39" s="335">
        <v>0</v>
      </c>
      <c r="O39" s="335">
        <v>0</v>
      </c>
      <c r="P39" s="335">
        <v>0</v>
      </c>
      <c r="Q39" s="298">
        <f>SUM(E39:P39)</f>
        <v>0</v>
      </c>
      <c r="R39" s="298">
        <f>D39+Q39</f>
        <v>-13044</v>
      </c>
      <c r="S39" s="382">
        <v>0</v>
      </c>
    </row>
    <row r="40" spans="1:20" s="274" customFormat="1" x14ac:dyDescent="0.2">
      <c r="A40" s="314" t="s">
        <v>152</v>
      </c>
      <c r="B40" s="394">
        <v>4810</v>
      </c>
      <c r="C40" s="335">
        <v>0</v>
      </c>
      <c r="D40" s="336">
        <f>SUM(B40:C40)</f>
        <v>4810</v>
      </c>
      <c r="E40" s="335">
        <v>0</v>
      </c>
      <c r="F40" s="335">
        <v>0</v>
      </c>
      <c r="G40" s="335">
        <v>0</v>
      </c>
      <c r="H40" s="335">
        <v>0</v>
      </c>
      <c r="I40" s="335">
        <v>0</v>
      </c>
      <c r="J40" s="335">
        <v>0</v>
      </c>
      <c r="K40" s="335">
        <v>0</v>
      </c>
      <c r="L40" s="335">
        <v>0</v>
      </c>
      <c r="M40" s="335">
        <v>0</v>
      </c>
      <c r="N40" s="335">
        <v>0</v>
      </c>
      <c r="O40" s="335">
        <v>0</v>
      </c>
      <c r="P40" s="335">
        <v>0</v>
      </c>
      <c r="Q40" s="298">
        <f>SUM(E40:P40)</f>
        <v>0</v>
      </c>
      <c r="R40" s="298">
        <f>D40+Q40</f>
        <v>4810</v>
      </c>
      <c r="S40" s="382">
        <v>4799</v>
      </c>
      <c r="T40" s="383"/>
    </row>
    <row r="41" spans="1:20" s="274" customFormat="1" x14ac:dyDescent="0.2">
      <c r="A41" s="314" t="s">
        <v>65</v>
      </c>
      <c r="B41" s="396">
        <v>8330</v>
      </c>
      <c r="C41" s="335">
        <v>0</v>
      </c>
      <c r="D41" s="336">
        <f>SUM(B41:C41)</f>
        <v>8330</v>
      </c>
      <c r="E41" s="335">
        <v>0</v>
      </c>
      <c r="F41" s="335">
        <v>0</v>
      </c>
      <c r="G41" s="335">
        <v>0</v>
      </c>
      <c r="H41" s="335">
        <v>0</v>
      </c>
      <c r="I41" s="293">
        <v>0</v>
      </c>
      <c r="J41" s="293">
        <v>0</v>
      </c>
      <c r="K41" s="293">
        <v>0</v>
      </c>
      <c r="L41" s="293">
        <v>0</v>
      </c>
      <c r="M41" s="293">
        <v>0</v>
      </c>
      <c r="N41" s="293">
        <v>0</v>
      </c>
      <c r="O41" s="293">
        <v>0</v>
      </c>
      <c r="P41" s="293">
        <v>0</v>
      </c>
      <c r="Q41" s="298">
        <f>SUM(E41:P41)</f>
        <v>0</v>
      </c>
      <c r="R41" s="298">
        <f>D41+Q41</f>
        <v>8330</v>
      </c>
      <c r="S41" s="382">
        <v>9550</v>
      </c>
    </row>
    <row r="42" spans="1:20" x14ac:dyDescent="0.2">
      <c r="A42" s="397" t="s">
        <v>153</v>
      </c>
      <c r="B42" s="305">
        <f t="shared" ref="B42:S42" si="5">SUM(B38:B41)</f>
        <v>96</v>
      </c>
      <c r="C42" s="343">
        <f>SUM(C38:C41)</f>
        <v>0</v>
      </c>
      <c r="D42" s="305">
        <f>SUM(D38:D41)</f>
        <v>96</v>
      </c>
      <c r="E42" s="343">
        <f t="shared" si="5"/>
        <v>0</v>
      </c>
      <c r="F42" s="343">
        <f t="shared" si="5"/>
        <v>0</v>
      </c>
      <c r="G42" s="343">
        <f t="shared" si="5"/>
        <v>0</v>
      </c>
      <c r="H42" s="343">
        <f t="shared" si="5"/>
        <v>0</v>
      </c>
      <c r="I42" s="343">
        <f t="shared" si="5"/>
        <v>0</v>
      </c>
      <c r="J42" s="343">
        <f t="shared" si="5"/>
        <v>0</v>
      </c>
      <c r="K42" s="343">
        <f t="shared" si="5"/>
        <v>0</v>
      </c>
      <c r="L42" s="343">
        <f t="shared" si="5"/>
        <v>0</v>
      </c>
      <c r="M42" s="343">
        <f t="shared" si="5"/>
        <v>0</v>
      </c>
      <c r="N42" s="343">
        <f t="shared" si="5"/>
        <v>0</v>
      </c>
      <c r="O42" s="343">
        <f t="shared" si="5"/>
        <v>0</v>
      </c>
      <c r="P42" s="343">
        <f t="shared" si="5"/>
        <v>0</v>
      </c>
      <c r="Q42" s="305">
        <f>SUM(Q38:Q41)</f>
        <v>0</v>
      </c>
      <c r="R42" s="305">
        <f>SUM(R38:R41)</f>
        <v>96</v>
      </c>
      <c r="S42" s="398">
        <f t="shared" si="5"/>
        <v>-418001</v>
      </c>
    </row>
    <row r="43" spans="1:20" x14ac:dyDescent="0.2">
      <c r="A43" s="347"/>
      <c r="B43" s="391"/>
      <c r="C43" s="392"/>
      <c r="D43" s="393"/>
      <c r="E43" s="293"/>
      <c r="F43" s="293"/>
      <c r="G43" s="293"/>
      <c r="H43" s="293"/>
      <c r="I43" s="293"/>
      <c r="J43" s="293"/>
      <c r="K43" s="293"/>
      <c r="L43" s="293"/>
      <c r="M43" s="293"/>
      <c r="N43" s="293"/>
      <c r="O43" s="293"/>
      <c r="P43" s="293"/>
      <c r="Q43" s="325"/>
      <c r="R43" s="298"/>
      <c r="S43" s="382"/>
    </row>
    <row r="44" spans="1:20" x14ac:dyDescent="0.2">
      <c r="A44" s="291" t="s">
        <v>154</v>
      </c>
      <c r="B44" s="376"/>
      <c r="C44" s="377"/>
      <c r="D44" s="389"/>
      <c r="E44" s="293"/>
      <c r="F44" s="293"/>
      <c r="G44" s="293"/>
      <c r="H44" s="293"/>
      <c r="I44" s="293"/>
      <c r="J44" s="293"/>
      <c r="K44" s="293"/>
      <c r="L44" s="293"/>
      <c r="M44" s="293"/>
      <c r="N44" s="293"/>
      <c r="O44" s="293"/>
      <c r="P44" s="293"/>
      <c r="Q44" s="298"/>
      <c r="R44" s="298"/>
      <c r="S44" s="382"/>
    </row>
    <row r="45" spans="1:20" x14ac:dyDescent="0.2">
      <c r="A45" s="339" t="s">
        <v>12</v>
      </c>
      <c r="B45" s="399">
        <v>0</v>
      </c>
      <c r="C45" s="293">
        <v>2</v>
      </c>
      <c r="D45" s="298">
        <f>SUM(B45:C45)</f>
        <v>2</v>
      </c>
      <c r="E45" s="293">
        <v>0</v>
      </c>
      <c r="F45" s="293">
        <v>0</v>
      </c>
      <c r="G45" s="293">
        <v>0</v>
      </c>
      <c r="H45" s="293">
        <v>0</v>
      </c>
      <c r="I45" s="293">
        <v>0</v>
      </c>
      <c r="J45" s="293">
        <v>0</v>
      </c>
      <c r="K45" s="293">
        <v>0</v>
      </c>
      <c r="L45" s="293">
        <v>0</v>
      </c>
      <c r="M45" s="293">
        <v>0</v>
      </c>
      <c r="N45" s="293">
        <v>0</v>
      </c>
      <c r="O45" s="293">
        <v>0</v>
      </c>
      <c r="P45" s="293">
        <v>0</v>
      </c>
      <c r="Q45" s="298">
        <f>SUM(E45:P45)</f>
        <v>0</v>
      </c>
      <c r="R45" s="298">
        <f>D45+Q45</f>
        <v>2</v>
      </c>
      <c r="S45" s="382">
        <v>664</v>
      </c>
    </row>
    <row r="46" spans="1:20" x14ac:dyDescent="0.2">
      <c r="A46" s="397" t="s">
        <v>155</v>
      </c>
      <c r="B46" s="399">
        <f>SUM(B45)</f>
        <v>0</v>
      </c>
      <c r="C46" s="400">
        <f>SUM(C45)</f>
        <v>2</v>
      </c>
      <c r="D46" s="305">
        <f>SUM(D45)</f>
        <v>2</v>
      </c>
      <c r="E46" s="343">
        <f t="shared" ref="E46:Q46" si="6">SUM(E45:E45)</f>
        <v>0</v>
      </c>
      <c r="F46" s="343">
        <f t="shared" si="6"/>
        <v>0</v>
      </c>
      <c r="G46" s="343">
        <f t="shared" si="6"/>
        <v>0</v>
      </c>
      <c r="H46" s="343">
        <f t="shared" si="6"/>
        <v>0</v>
      </c>
      <c r="I46" s="343">
        <f t="shared" si="6"/>
        <v>0</v>
      </c>
      <c r="J46" s="343">
        <f t="shared" si="6"/>
        <v>0</v>
      </c>
      <c r="K46" s="343">
        <f t="shared" si="6"/>
        <v>0</v>
      </c>
      <c r="L46" s="343">
        <f t="shared" si="6"/>
        <v>0</v>
      </c>
      <c r="M46" s="343">
        <f t="shared" si="6"/>
        <v>0</v>
      </c>
      <c r="N46" s="343">
        <f t="shared" si="6"/>
        <v>0</v>
      </c>
      <c r="O46" s="343">
        <f t="shared" si="6"/>
        <v>0</v>
      </c>
      <c r="P46" s="343">
        <f t="shared" si="6"/>
        <v>0</v>
      </c>
      <c r="Q46" s="305">
        <f t="shared" si="6"/>
        <v>0</v>
      </c>
      <c r="R46" s="305">
        <f>SUM(R45)</f>
        <v>2</v>
      </c>
      <c r="S46" s="385">
        <f>SUM(S45:S45)</f>
        <v>664</v>
      </c>
    </row>
    <row r="47" spans="1:20" ht="15" customHeight="1" thickBot="1" x14ac:dyDescent="0.25">
      <c r="A47" s="349" t="s">
        <v>34</v>
      </c>
      <c r="B47" s="399">
        <f>B29+B35+B42+B46</f>
        <v>8616658.5800000001</v>
      </c>
      <c r="C47" s="401">
        <f>C29+C35+C42+C46</f>
        <v>3056960</v>
      </c>
      <c r="D47" s="352">
        <f>D29+D35+D42+D46</f>
        <v>11673618.58</v>
      </c>
      <c r="E47" s="351">
        <f>+E29+E35+E42+E46</f>
        <v>360097</v>
      </c>
      <c r="F47" s="351">
        <f t="shared" ref="F47:P47" si="7">+F29+F35+F42+F46</f>
        <v>223850</v>
      </c>
      <c r="G47" s="351">
        <f t="shared" si="7"/>
        <v>773176</v>
      </c>
      <c r="H47" s="351">
        <f t="shared" si="7"/>
        <v>394680</v>
      </c>
      <c r="I47" s="351">
        <f t="shared" si="7"/>
        <v>-730279</v>
      </c>
      <c r="J47" s="351">
        <f t="shared" si="7"/>
        <v>-205270.54999999996</v>
      </c>
      <c r="K47" s="351">
        <f t="shared" si="7"/>
        <v>10465</v>
      </c>
      <c r="L47" s="351">
        <f t="shared" si="7"/>
        <v>31635</v>
      </c>
      <c r="M47" s="351">
        <f t="shared" si="7"/>
        <v>14777</v>
      </c>
      <c r="N47" s="351">
        <f t="shared" si="7"/>
        <v>-9156</v>
      </c>
      <c r="O47" s="351">
        <f t="shared" si="7"/>
        <v>0</v>
      </c>
      <c r="P47" s="351">
        <f t="shared" si="7"/>
        <v>0</v>
      </c>
      <c r="Q47" s="352">
        <f>Q29+Q35+Q42+Q46</f>
        <v>863974.45000000007</v>
      </c>
      <c r="R47" s="352">
        <f>R29+R35+R42+R46</f>
        <v>12537593.030000001</v>
      </c>
      <c r="S47" s="402">
        <f>S29+S35+S42+S46</f>
        <v>18023993</v>
      </c>
    </row>
    <row r="48" spans="1:20" ht="10.5" customHeight="1" thickTop="1" thickBot="1" x14ac:dyDescent="0.25">
      <c r="A48" s="360"/>
      <c r="B48" s="403"/>
      <c r="C48" s="361"/>
      <c r="D48" s="361"/>
      <c r="E48" s="362"/>
      <c r="F48" s="362"/>
      <c r="G48" s="362"/>
      <c r="H48" s="362"/>
      <c r="I48" s="362"/>
      <c r="J48" s="362"/>
      <c r="K48" s="362"/>
      <c r="L48" s="362"/>
      <c r="M48" s="362"/>
      <c r="N48" s="362"/>
      <c r="O48" s="362"/>
      <c r="P48" s="362"/>
      <c r="Q48" s="362"/>
      <c r="R48" s="362"/>
      <c r="S48" s="404"/>
      <c r="T48" s="405"/>
    </row>
    <row r="49" spans="1:20" x14ac:dyDescent="0.2">
      <c r="T49" s="405"/>
    </row>
    <row r="50" spans="1:20" s="274" customFormat="1" x14ac:dyDescent="0.2">
      <c r="A50" s="274" t="s">
        <v>156</v>
      </c>
      <c r="Q50" s="315"/>
      <c r="R50" s="315"/>
      <c r="S50" s="315"/>
    </row>
    <row r="51" spans="1:20" s="274" customFormat="1" x14ac:dyDescent="0.2">
      <c r="A51" s="274" t="s">
        <v>204</v>
      </c>
      <c r="P51" s="315"/>
      <c r="Q51" s="315"/>
      <c r="R51" s="315"/>
      <c r="S51" s="406"/>
    </row>
    <row r="52" spans="1:20" s="274" customFormat="1" x14ac:dyDescent="0.2">
      <c r="A52" s="365"/>
      <c r="B52" s="365"/>
      <c r="C52" s="365"/>
      <c r="D52" s="365"/>
      <c r="Q52" s="274" t="s">
        <v>14</v>
      </c>
      <c r="S52" s="406"/>
    </row>
    <row r="53" spans="1:20" s="274" customFormat="1" x14ac:dyDescent="0.2">
      <c r="A53" s="366"/>
      <c r="B53" s="366"/>
      <c r="C53" s="366"/>
      <c r="D53" s="366"/>
      <c r="G53" s="80"/>
      <c r="S53" s="406"/>
    </row>
    <row r="54" spans="1:20" x14ac:dyDescent="0.2">
      <c r="A54" s="366"/>
      <c r="B54" s="366"/>
      <c r="C54" s="366"/>
      <c r="D54" s="366"/>
      <c r="E54" s="274"/>
      <c r="F54" s="274"/>
      <c r="G54" s="274"/>
      <c r="H54" s="274"/>
      <c r="I54" s="274"/>
      <c r="J54" s="274"/>
      <c r="K54" s="274"/>
      <c r="L54" s="274"/>
      <c r="M54" s="274"/>
      <c r="P54" s="367"/>
      <c r="S54" s="407"/>
    </row>
    <row r="55" spans="1:20" x14ac:dyDescent="0.2">
      <c r="A55" s="366"/>
      <c r="B55" s="366"/>
      <c r="C55" s="366"/>
      <c r="D55" s="366"/>
      <c r="E55" s="274"/>
      <c r="F55" s="274"/>
      <c r="G55" s="368"/>
      <c r="H55" s="78"/>
      <c r="I55" s="367"/>
      <c r="S55" s="407"/>
    </row>
    <row r="56" spans="1:20" x14ac:dyDescent="0.2">
      <c r="G56" s="368"/>
      <c r="H56" s="78"/>
      <c r="I56" s="367"/>
      <c r="S56" s="407"/>
    </row>
    <row r="57" spans="1:20" x14ac:dyDescent="0.2">
      <c r="G57" s="368"/>
      <c r="H57" s="78"/>
      <c r="I57" s="367"/>
      <c r="S57" s="407"/>
    </row>
    <row r="58" spans="1:20" x14ac:dyDescent="0.2">
      <c r="G58" s="368"/>
      <c r="H58" s="78"/>
      <c r="I58" s="367"/>
      <c r="S58" s="407"/>
    </row>
    <row r="59" spans="1:20" x14ac:dyDescent="0.2">
      <c r="G59" s="369"/>
      <c r="H59" s="79"/>
      <c r="S59" s="407"/>
    </row>
    <row r="60" spans="1:20" x14ac:dyDescent="0.2">
      <c r="G60" s="370"/>
      <c r="H60" s="78"/>
      <c r="I60" s="367"/>
      <c r="S60" s="407"/>
    </row>
    <row r="61" spans="1:20" x14ac:dyDescent="0.2">
      <c r="G61" s="370"/>
      <c r="H61" s="78"/>
      <c r="I61" s="367"/>
      <c r="S61" s="407"/>
    </row>
    <row r="62" spans="1:20" x14ac:dyDescent="0.2">
      <c r="G62" s="370"/>
      <c r="H62" s="78"/>
      <c r="I62" s="367"/>
      <c r="S62" s="407"/>
    </row>
    <row r="63" spans="1:20" x14ac:dyDescent="0.2">
      <c r="G63" s="370"/>
      <c r="H63" s="78"/>
      <c r="I63" s="367"/>
    </row>
    <row r="64" spans="1:20" x14ac:dyDescent="0.2">
      <c r="G64" s="370"/>
      <c r="H64" s="78"/>
      <c r="I64" s="367"/>
    </row>
    <row r="65" spans="7:9" x14ac:dyDescent="0.2">
      <c r="G65" s="369"/>
      <c r="H65" s="371"/>
      <c r="I65" s="367"/>
    </row>
  </sheetData>
  <printOptions horizontalCentered="1"/>
  <pageMargins left="0.5" right="0.5" top="1" bottom="1" header="0.5" footer="0.5"/>
  <pageSetup scale="51" orientation="landscape" r:id="rId1"/>
  <headerFooter alignWithMargins="0">
    <oddHeader xml:space="preserve">&amp;C&amp;"Arial,Bold"Table I-2B
SCE Demand Response Programs and Activities
Incremental Cost
Carryover Funding (1)
2011
&amp;"Arial,Regular"
</oddHeader>
    <oddFooter>&amp;L&amp;F&amp;R&amp;D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2"/>
  <sheetViews>
    <sheetView view="pageBreakPreview" zoomScale="75" zoomScaleNormal="75" zoomScaleSheetLayoutView="75" workbookViewId="0">
      <selection activeCell="A2" sqref="A2"/>
    </sheetView>
  </sheetViews>
  <sheetFormatPr defaultColWidth="9.140625" defaultRowHeight="12.75" x14ac:dyDescent="0.2"/>
  <cols>
    <col min="1" max="1" width="49.7109375" style="486" customWidth="1"/>
    <col min="2" max="2" width="12.42578125" style="172" customWidth="1"/>
    <col min="3" max="3" width="17.5703125" style="92" customWidth="1"/>
    <col min="4" max="4" width="37.42578125" style="486" bestFit="1" customWidth="1"/>
    <col min="5" max="5" width="17.28515625" style="486" customWidth="1"/>
    <col min="6" max="6" width="22" style="486" bestFit="1" customWidth="1"/>
    <col min="7" max="7" width="16" style="486" customWidth="1"/>
    <col min="8" max="16384" width="9.140625" style="486"/>
  </cols>
  <sheetData>
    <row r="1" spans="1:7" x14ac:dyDescent="0.2">
      <c r="A1" s="91" t="s">
        <v>125</v>
      </c>
    </row>
    <row r="2" spans="1:7" x14ac:dyDescent="0.2">
      <c r="A2" s="91"/>
    </row>
    <row r="3" spans="1:7" ht="38.25" x14ac:dyDescent="0.2">
      <c r="A3" s="94" t="s">
        <v>122</v>
      </c>
      <c r="B3" s="487" t="s">
        <v>48</v>
      </c>
      <c r="C3" s="93" t="s">
        <v>22</v>
      </c>
      <c r="D3" s="29" t="s">
        <v>30</v>
      </c>
      <c r="E3" s="29" t="s">
        <v>31</v>
      </c>
      <c r="F3" s="29" t="s">
        <v>27</v>
      </c>
      <c r="G3" s="29" t="s">
        <v>29</v>
      </c>
    </row>
    <row r="4" spans="1:7" x14ac:dyDescent="0.2">
      <c r="A4" s="95" t="s">
        <v>68</v>
      </c>
      <c r="B4" s="43"/>
      <c r="C4" s="174"/>
      <c r="D4" s="41"/>
      <c r="E4" s="42"/>
      <c r="F4" s="42"/>
      <c r="G4" s="42"/>
    </row>
    <row r="5" spans="1:7" x14ac:dyDescent="0.2">
      <c r="A5" s="270"/>
      <c r="B5" s="270"/>
      <c r="C5" s="489"/>
      <c r="D5" s="270"/>
      <c r="E5" s="469"/>
      <c r="F5" s="466"/>
      <c r="G5" s="270"/>
    </row>
    <row r="6" spans="1:7" x14ac:dyDescent="0.2">
      <c r="A6" s="270" t="s">
        <v>300</v>
      </c>
      <c r="B6" s="270">
        <v>1</v>
      </c>
      <c r="C6" s="489">
        <v>40807</v>
      </c>
      <c r="D6" s="270" t="s">
        <v>298</v>
      </c>
      <c r="E6" s="469" t="s">
        <v>272</v>
      </c>
      <c r="F6" s="466" t="s">
        <v>302</v>
      </c>
      <c r="G6" s="270"/>
    </row>
    <row r="7" spans="1:7" x14ac:dyDescent="0.2">
      <c r="A7" s="270" t="s">
        <v>12</v>
      </c>
      <c r="B7" s="270">
        <v>2</v>
      </c>
      <c r="C7" s="489">
        <v>40807</v>
      </c>
      <c r="D7" s="270" t="s">
        <v>298</v>
      </c>
      <c r="E7" s="469">
        <v>569519</v>
      </c>
      <c r="F7" s="466" t="s">
        <v>259</v>
      </c>
      <c r="G7" s="270"/>
    </row>
    <row r="8" spans="1:7" x14ac:dyDescent="0.2">
      <c r="A8" s="270"/>
      <c r="B8" s="43"/>
      <c r="C8" s="174"/>
      <c r="D8" s="43"/>
      <c r="E8" s="97"/>
      <c r="F8" s="82"/>
      <c r="G8" s="43"/>
    </row>
    <row r="9" spans="1:7" x14ac:dyDescent="0.2">
      <c r="A9" s="490"/>
      <c r="B9" s="43"/>
      <c r="C9" s="174"/>
      <c r="D9" s="41"/>
      <c r="E9" s="97"/>
      <c r="F9" s="43"/>
      <c r="G9" s="43"/>
    </row>
    <row r="10" spans="1:7" x14ac:dyDescent="0.2">
      <c r="A10" s="95" t="s">
        <v>69</v>
      </c>
      <c r="B10" s="171"/>
      <c r="C10" s="174"/>
      <c r="D10" s="41"/>
      <c r="E10" s="48"/>
      <c r="F10" s="82"/>
      <c r="G10" s="43"/>
    </row>
    <row r="11" spans="1:7" x14ac:dyDescent="0.2">
      <c r="A11" s="171"/>
      <c r="B11" s="171"/>
      <c r="C11" s="174"/>
      <c r="D11" s="171"/>
      <c r="E11" s="175"/>
      <c r="F11" s="176"/>
      <c r="G11" s="171"/>
    </row>
    <row r="12" spans="1:7" s="49" customFormat="1" x14ac:dyDescent="0.2">
      <c r="A12" s="270" t="s">
        <v>111</v>
      </c>
      <c r="B12" s="270">
        <v>1</v>
      </c>
      <c r="C12" s="489">
        <v>40715</v>
      </c>
      <c r="D12" s="270" t="s">
        <v>295</v>
      </c>
      <c r="E12" s="272">
        <v>32470</v>
      </c>
      <c r="F12" s="466" t="s">
        <v>270</v>
      </c>
      <c r="G12" s="270">
        <v>4</v>
      </c>
    </row>
    <row r="13" spans="1:7" s="49" customFormat="1" x14ac:dyDescent="0.2">
      <c r="A13" s="270" t="s">
        <v>273</v>
      </c>
      <c r="B13" s="270">
        <v>2</v>
      </c>
      <c r="C13" s="489">
        <v>40716</v>
      </c>
      <c r="D13" s="270" t="s">
        <v>269</v>
      </c>
      <c r="E13" s="272">
        <v>620</v>
      </c>
      <c r="F13" s="466" t="s">
        <v>271</v>
      </c>
      <c r="G13" s="270">
        <v>1</v>
      </c>
    </row>
    <row r="14" spans="1:7" s="49" customFormat="1" x14ac:dyDescent="0.2">
      <c r="A14" s="270" t="s">
        <v>273</v>
      </c>
      <c r="B14" s="270">
        <v>3</v>
      </c>
      <c r="C14" s="489">
        <v>40729</v>
      </c>
      <c r="D14" s="270" t="s">
        <v>269</v>
      </c>
      <c r="E14" s="272">
        <v>0</v>
      </c>
      <c r="F14" s="466" t="s">
        <v>270</v>
      </c>
      <c r="G14" s="270">
        <v>5</v>
      </c>
    </row>
    <row r="15" spans="1:7" s="49" customFormat="1" x14ac:dyDescent="0.2">
      <c r="A15" s="270" t="s">
        <v>111</v>
      </c>
      <c r="B15" s="270">
        <v>4</v>
      </c>
      <c r="C15" s="489">
        <v>40729</v>
      </c>
      <c r="D15" s="270" t="s">
        <v>295</v>
      </c>
      <c r="E15" s="272">
        <v>49330</v>
      </c>
      <c r="F15" s="466" t="s">
        <v>270</v>
      </c>
      <c r="G15" s="270">
        <v>8</v>
      </c>
    </row>
    <row r="16" spans="1:7" s="49" customFormat="1" x14ac:dyDescent="0.2">
      <c r="A16" s="270" t="s">
        <v>168</v>
      </c>
      <c r="B16" s="270">
        <v>5</v>
      </c>
      <c r="C16" s="489">
        <v>40729</v>
      </c>
      <c r="D16" s="270" t="s">
        <v>269</v>
      </c>
      <c r="E16" s="272">
        <v>116264</v>
      </c>
      <c r="F16" s="466" t="s">
        <v>282</v>
      </c>
      <c r="G16" s="270">
        <v>8</v>
      </c>
    </row>
    <row r="17" spans="1:9" s="49" customFormat="1" x14ac:dyDescent="0.2">
      <c r="A17" s="270" t="s">
        <v>273</v>
      </c>
      <c r="B17" s="270">
        <v>6</v>
      </c>
      <c r="C17" s="489">
        <v>40730</v>
      </c>
      <c r="D17" s="270" t="s">
        <v>269</v>
      </c>
      <c r="E17" s="272">
        <v>0</v>
      </c>
      <c r="F17" s="466" t="s">
        <v>270</v>
      </c>
      <c r="G17" s="270">
        <v>9</v>
      </c>
    </row>
    <row r="18" spans="1:9" s="49" customFormat="1" x14ac:dyDescent="0.2">
      <c r="A18" s="270" t="s">
        <v>273</v>
      </c>
      <c r="B18" s="270">
        <v>7</v>
      </c>
      <c r="C18" s="489">
        <v>40731</v>
      </c>
      <c r="D18" s="270" t="s">
        <v>269</v>
      </c>
      <c r="E18" s="272">
        <v>0</v>
      </c>
      <c r="F18" s="466" t="s">
        <v>285</v>
      </c>
      <c r="G18" s="270">
        <v>10</v>
      </c>
    </row>
    <row r="19" spans="1:9" s="49" customFormat="1" x14ac:dyDescent="0.2">
      <c r="A19" s="270" t="s">
        <v>111</v>
      </c>
      <c r="B19" s="270">
        <v>8</v>
      </c>
      <c r="C19" s="489">
        <v>40743</v>
      </c>
      <c r="D19" s="270" t="s">
        <v>295</v>
      </c>
      <c r="E19" s="272">
        <v>40230</v>
      </c>
      <c r="F19" s="466" t="s">
        <v>270</v>
      </c>
      <c r="G19" s="270">
        <v>12</v>
      </c>
    </row>
    <row r="20" spans="1:9" s="49" customFormat="1" x14ac:dyDescent="0.2">
      <c r="A20" s="270" t="s">
        <v>283</v>
      </c>
      <c r="B20" s="270">
        <v>9</v>
      </c>
      <c r="C20" s="489">
        <v>40752</v>
      </c>
      <c r="D20" s="270" t="s">
        <v>269</v>
      </c>
      <c r="E20" s="272">
        <v>9690</v>
      </c>
      <c r="F20" s="466" t="s">
        <v>284</v>
      </c>
      <c r="G20" s="270">
        <v>3</v>
      </c>
    </row>
    <row r="21" spans="1:9" s="49" customFormat="1" x14ac:dyDescent="0.2">
      <c r="A21" s="270" t="s">
        <v>273</v>
      </c>
      <c r="B21" s="270">
        <v>10</v>
      </c>
      <c r="C21" s="489">
        <v>40756</v>
      </c>
      <c r="D21" s="270" t="s">
        <v>269</v>
      </c>
      <c r="E21" s="272">
        <v>2110</v>
      </c>
      <c r="F21" s="468" t="s">
        <v>289</v>
      </c>
      <c r="G21" s="272">
        <v>13</v>
      </c>
      <c r="H21" s="471"/>
      <c r="I21" s="491"/>
    </row>
    <row r="22" spans="1:9" s="49" customFormat="1" x14ac:dyDescent="0.2">
      <c r="A22" s="270" t="s">
        <v>111</v>
      </c>
      <c r="B22" s="270">
        <v>11</v>
      </c>
      <c r="C22" s="489">
        <v>40756</v>
      </c>
      <c r="D22" s="270" t="s">
        <v>295</v>
      </c>
      <c r="E22" s="48">
        <v>33720</v>
      </c>
      <c r="F22" s="466" t="s">
        <v>270</v>
      </c>
      <c r="G22" s="272">
        <v>16</v>
      </c>
      <c r="H22" s="471"/>
      <c r="I22" s="491"/>
    </row>
    <row r="23" spans="1:9" s="49" customFormat="1" x14ac:dyDescent="0.2">
      <c r="A23" s="270" t="s">
        <v>273</v>
      </c>
      <c r="B23" s="270">
        <v>12</v>
      </c>
      <c r="C23" s="489">
        <v>40757</v>
      </c>
      <c r="D23" s="270" t="s">
        <v>269</v>
      </c>
      <c r="E23" s="272">
        <v>1670</v>
      </c>
      <c r="F23" s="468" t="s">
        <v>289</v>
      </c>
      <c r="G23" s="272">
        <v>16</v>
      </c>
      <c r="H23" s="471"/>
      <c r="I23" s="491"/>
    </row>
    <row r="24" spans="1:9" s="49" customFormat="1" x14ac:dyDescent="0.2">
      <c r="A24" s="270" t="s">
        <v>273</v>
      </c>
      <c r="B24" s="270">
        <v>13</v>
      </c>
      <c r="C24" s="489">
        <v>40758</v>
      </c>
      <c r="D24" s="270" t="s">
        <v>269</v>
      </c>
      <c r="E24" s="272">
        <v>1200</v>
      </c>
      <c r="F24" s="43" t="s">
        <v>290</v>
      </c>
      <c r="G24" s="272">
        <v>18</v>
      </c>
      <c r="H24" s="471"/>
      <c r="I24" s="491"/>
    </row>
    <row r="25" spans="1:9" s="49" customFormat="1" x14ac:dyDescent="0.2">
      <c r="A25" s="270" t="s">
        <v>111</v>
      </c>
      <c r="B25" s="270">
        <v>14</v>
      </c>
      <c r="C25" s="489">
        <v>40758</v>
      </c>
      <c r="D25" s="270" t="s">
        <v>295</v>
      </c>
      <c r="E25" s="48">
        <v>42020</v>
      </c>
      <c r="F25" s="466" t="s">
        <v>270</v>
      </c>
      <c r="G25" s="272">
        <v>20</v>
      </c>
      <c r="H25" s="471"/>
      <c r="I25" s="491"/>
    </row>
    <row r="26" spans="1:9" s="49" customFormat="1" x14ac:dyDescent="0.2">
      <c r="A26" s="270" t="s">
        <v>273</v>
      </c>
      <c r="B26" s="270">
        <v>15</v>
      </c>
      <c r="C26" s="489">
        <v>40759</v>
      </c>
      <c r="D26" s="270" t="s">
        <v>269</v>
      </c>
      <c r="E26" s="272">
        <v>460</v>
      </c>
      <c r="F26" s="43" t="s">
        <v>291</v>
      </c>
      <c r="G26" s="272">
        <v>19</v>
      </c>
      <c r="H26" s="471"/>
      <c r="I26" s="491"/>
    </row>
    <row r="27" spans="1:9" s="49" customFormat="1" x14ac:dyDescent="0.2">
      <c r="A27" s="270" t="s">
        <v>111</v>
      </c>
      <c r="B27" s="270">
        <v>16</v>
      </c>
      <c r="C27" s="489">
        <v>40767</v>
      </c>
      <c r="D27" s="270" t="s">
        <v>295</v>
      </c>
      <c r="E27" s="48">
        <v>41490</v>
      </c>
      <c r="F27" s="466" t="s">
        <v>270</v>
      </c>
      <c r="G27" s="272">
        <v>24</v>
      </c>
      <c r="H27" s="471"/>
      <c r="I27" s="491"/>
    </row>
    <row r="28" spans="1:9" s="49" customFormat="1" x14ac:dyDescent="0.2">
      <c r="A28" s="270" t="s">
        <v>273</v>
      </c>
      <c r="B28" s="270">
        <v>17</v>
      </c>
      <c r="C28" s="489">
        <v>40771</v>
      </c>
      <c r="D28" s="270" t="s">
        <v>269</v>
      </c>
      <c r="E28" s="272">
        <v>2500</v>
      </c>
      <c r="F28" s="43" t="s">
        <v>290</v>
      </c>
      <c r="G28" s="272">
        <v>21</v>
      </c>
      <c r="H28" s="471"/>
      <c r="I28" s="491"/>
    </row>
    <row r="29" spans="1:9" s="49" customFormat="1" x14ac:dyDescent="0.2">
      <c r="A29" s="270" t="s">
        <v>111</v>
      </c>
      <c r="B29" s="270">
        <v>18</v>
      </c>
      <c r="C29" s="489">
        <v>40771</v>
      </c>
      <c r="D29" s="270" t="s">
        <v>295</v>
      </c>
      <c r="E29" s="48">
        <v>45190</v>
      </c>
      <c r="F29" s="466" t="s">
        <v>270</v>
      </c>
      <c r="G29" s="272">
        <v>28</v>
      </c>
      <c r="H29" s="471"/>
      <c r="I29" s="491"/>
    </row>
    <row r="30" spans="1:9" s="49" customFormat="1" x14ac:dyDescent="0.2">
      <c r="A30" s="270" t="s">
        <v>273</v>
      </c>
      <c r="B30" s="270">
        <v>19</v>
      </c>
      <c r="C30" s="489">
        <v>40772</v>
      </c>
      <c r="D30" s="270" t="s">
        <v>269</v>
      </c>
      <c r="E30" s="272">
        <v>2510</v>
      </c>
      <c r="F30" s="43" t="s">
        <v>290</v>
      </c>
      <c r="G30" s="272">
        <v>23</v>
      </c>
      <c r="H30" s="471"/>
      <c r="I30" s="491"/>
    </row>
    <row r="31" spans="1:9" s="49" customFormat="1" x14ac:dyDescent="0.2">
      <c r="A31" s="270" t="s">
        <v>273</v>
      </c>
      <c r="B31" s="270">
        <v>20</v>
      </c>
      <c r="C31" s="489">
        <v>40773</v>
      </c>
      <c r="D31" s="270" t="s">
        <v>269</v>
      </c>
      <c r="E31" s="272">
        <v>2240</v>
      </c>
      <c r="F31" s="468" t="s">
        <v>289</v>
      </c>
      <c r="G31" s="272">
        <v>26</v>
      </c>
      <c r="H31" s="471"/>
      <c r="I31" s="491"/>
    </row>
    <row r="32" spans="1:9" s="49" customFormat="1" x14ac:dyDescent="0.2">
      <c r="A32" s="270" t="s">
        <v>111</v>
      </c>
      <c r="B32" s="270">
        <v>21</v>
      </c>
      <c r="C32" s="489">
        <v>40773</v>
      </c>
      <c r="D32" s="270" t="s">
        <v>295</v>
      </c>
      <c r="E32" s="48">
        <v>46510</v>
      </c>
      <c r="F32" s="466" t="s">
        <v>270</v>
      </c>
      <c r="G32" s="272">
        <v>32</v>
      </c>
      <c r="H32" s="471"/>
      <c r="I32" s="491"/>
    </row>
    <row r="33" spans="1:9" s="49" customFormat="1" x14ac:dyDescent="0.2">
      <c r="A33" s="270" t="s">
        <v>273</v>
      </c>
      <c r="B33" s="270">
        <v>22</v>
      </c>
      <c r="C33" s="489">
        <v>40774</v>
      </c>
      <c r="D33" s="270" t="s">
        <v>269</v>
      </c>
      <c r="E33" s="272">
        <v>740</v>
      </c>
      <c r="F33" s="43" t="s">
        <v>290</v>
      </c>
      <c r="G33" s="272">
        <v>28</v>
      </c>
      <c r="H33" s="471"/>
      <c r="I33" s="491"/>
    </row>
    <row r="34" spans="1:9" s="49" customFormat="1" x14ac:dyDescent="0.2">
      <c r="A34" s="270" t="s">
        <v>273</v>
      </c>
      <c r="B34" s="270">
        <v>23</v>
      </c>
      <c r="C34" s="489">
        <v>40777</v>
      </c>
      <c r="D34" s="270" t="s">
        <v>269</v>
      </c>
      <c r="E34" s="272">
        <v>2850</v>
      </c>
      <c r="F34" s="43" t="s">
        <v>290</v>
      </c>
      <c r="G34" s="272">
        <v>30</v>
      </c>
      <c r="H34" s="471"/>
      <c r="I34" s="491"/>
    </row>
    <row r="35" spans="1:9" s="49" customFormat="1" x14ac:dyDescent="0.2">
      <c r="A35" s="270" t="s">
        <v>273</v>
      </c>
      <c r="B35" s="270">
        <v>24</v>
      </c>
      <c r="C35" s="489">
        <v>40778</v>
      </c>
      <c r="D35" s="270" t="s">
        <v>269</v>
      </c>
      <c r="E35" s="272">
        <v>2530</v>
      </c>
      <c r="F35" s="43" t="s">
        <v>290</v>
      </c>
      <c r="G35" s="272">
        <v>32</v>
      </c>
      <c r="H35" s="471"/>
      <c r="I35" s="491"/>
    </row>
    <row r="36" spans="1:9" s="49" customFormat="1" x14ac:dyDescent="0.2">
      <c r="A36" s="470" t="s">
        <v>111</v>
      </c>
      <c r="B36" s="270">
        <v>25</v>
      </c>
      <c r="C36" s="489">
        <v>40778</v>
      </c>
      <c r="D36" s="270" t="s">
        <v>295</v>
      </c>
      <c r="E36" s="48">
        <v>52340</v>
      </c>
      <c r="F36" s="466" t="s">
        <v>270</v>
      </c>
      <c r="G36" s="272">
        <v>36</v>
      </c>
      <c r="H36" s="471"/>
      <c r="I36" s="491"/>
    </row>
    <row r="37" spans="1:9" s="49" customFormat="1" x14ac:dyDescent="0.2">
      <c r="A37" s="270" t="s">
        <v>273</v>
      </c>
      <c r="B37" s="270">
        <v>26</v>
      </c>
      <c r="C37" s="489">
        <v>40779</v>
      </c>
      <c r="D37" s="270" t="s">
        <v>269</v>
      </c>
      <c r="E37" s="272">
        <v>2600</v>
      </c>
      <c r="F37" s="171" t="s">
        <v>290</v>
      </c>
      <c r="G37" s="272">
        <v>34</v>
      </c>
      <c r="H37" s="471"/>
      <c r="I37" s="491"/>
    </row>
    <row r="38" spans="1:9" s="49" customFormat="1" x14ac:dyDescent="0.2">
      <c r="A38" s="270" t="s">
        <v>283</v>
      </c>
      <c r="B38" s="270">
        <v>27</v>
      </c>
      <c r="C38" s="489">
        <v>40780</v>
      </c>
      <c r="D38" s="270" t="s">
        <v>269</v>
      </c>
      <c r="E38" s="272">
        <v>15530</v>
      </c>
      <c r="F38" s="43" t="s">
        <v>259</v>
      </c>
      <c r="G38" s="272">
        <v>5</v>
      </c>
      <c r="H38" s="471"/>
      <c r="I38" s="491"/>
    </row>
    <row r="39" spans="1:9" s="49" customFormat="1" x14ac:dyDescent="0.2">
      <c r="A39" s="270" t="s">
        <v>111</v>
      </c>
      <c r="B39" s="270">
        <v>28</v>
      </c>
      <c r="C39" s="489">
        <v>40781</v>
      </c>
      <c r="D39" s="270" t="s">
        <v>295</v>
      </c>
      <c r="E39" s="272">
        <v>63730</v>
      </c>
      <c r="F39" s="466" t="s">
        <v>270</v>
      </c>
      <c r="G39" s="270">
        <v>40</v>
      </c>
    </row>
    <row r="40" spans="1:9" s="49" customFormat="1" x14ac:dyDescent="0.2">
      <c r="A40" s="270" t="s">
        <v>168</v>
      </c>
      <c r="B40" s="270">
        <v>29</v>
      </c>
      <c r="C40" s="489">
        <v>40781</v>
      </c>
      <c r="D40" s="270" t="s">
        <v>269</v>
      </c>
      <c r="E40" s="272">
        <v>61135</v>
      </c>
      <c r="F40" s="466" t="s">
        <v>282</v>
      </c>
      <c r="G40" s="270">
        <v>16</v>
      </c>
    </row>
    <row r="41" spans="1:9" s="49" customFormat="1" x14ac:dyDescent="0.2">
      <c r="A41" s="270" t="s">
        <v>111</v>
      </c>
      <c r="B41" s="270">
        <v>30</v>
      </c>
      <c r="C41" s="489">
        <v>40792</v>
      </c>
      <c r="D41" s="270" t="s">
        <v>295</v>
      </c>
      <c r="E41" s="272">
        <v>43410</v>
      </c>
      <c r="F41" s="466" t="s">
        <v>270</v>
      </c>
      <c r="G41" s="270">
        <v>44</v>
      </c>
    </row>
    <row r="42" spans="1:9" s="49" customFormat="1" x14ac:dyDescent="0.2">
      <c r="A42" s="270" t="s">
        <v>168</v>
      </c>
      <c r="B42" s="270">
        <v>31</v>
      </c>
      <c r="C42" s="489">
        <v>40793</v>
      </c>
      <c r="D42" s="270" t="s">
        <v>269</v>
      </c>
      <c r="E42" s="272">
        <v>78787</v>
      </c>
      <c r="F42" s="466" t="s">
        <v>282</v>
      </c>
      <c r="G42" s="270">
        <v>24</v>
      </c>
    </row>
    <row r="43" spans="1:9" s="49" customFormat="1" x14ac:dyDescent="0.2">
      <c r="A43" s="270" t="s">
        <v>273</v>
      </c>
      <c r="B43" s="270">
        <v>32</v>
      </c>
      <c r="C43" s="489">
        <v>40793</v>
      </c>
      <c r="D43" s="270" t="s">
        <v>269</v>
      </c>
      <c r="E43" s="492">
        <v>18608.689999999999</v>
      </c>
      <c r="F43" s="466" t="s">
        <v>301</v>
      </c>
      <c r="G43" s="270">
        <v>38</v>
      </c>
    </row>
    <row r="44" spans="1:9" s="49" customFormat="1" x14ac:dyDescent="0.2">
      <c r="A44" s="270" t="s">
        <v>283</v>
      </c>
      <c r="B44" s="270">
        <v>33</v>
      </c>
      <c r="C44" s="489">
        <v>40793</v>
      </c>
      <c r="D44" s="270" t="s">
        <v>269</v>
      </c>
      <c r="E44" s="492">
        <v>89250.52</v>
      </c>
      <c r="F44" s="466" t="s">
        <v>270</v>
      </c>
      <c r="G44" s="270">
        <v>9</v>
      </c>
    </row>
    <row r="45" spans="1:9" s="49" customFormat="1" x14ac:dyDescent="0.2">
      <c r="A45" s="270" t="s">
        <v>273</v>
      </c>
      <c r="B45" s="270">
        <v>34</v>
      </c>
      <c r="C45" s="489">
        <v>40794</v>
      </c>
      <c r="D45" s="270" t="s">
        <v>269</v>
      </c>
      <c r="E45" s="492">
        <v>19233.240000000002</v>
      </c>
      <c r="F45" s="466" t="s">
        <v>270</v>
      </c>
      <c r="G45" s="270">
        <v>42</v>
      </c>
    </row>
    <row r="46" spans="1:9" s="49" customFormat="1" x14ac:dyDescent="0.2">
      <c r="A46" s="270" t="s">
        <v>168</v>
      </c>
      <c r="B46" s="270">
        <v>35</v>
      </c>
      <c r="C46" s="489">
        <v>40794</v>
      </c>
      <c r="D46" s="270" t="s">
        <v>269</v>
      </c>
      <c r="E46" s="492">
        <v>97862</v>
      </c>
      <c r="F46" s="466" t="s">
        <v>282</v>
      </c>
      <c r="G46" s="270">
        <v>32</v>
      </c>
    </row>
    <row r="47" spans="1:9" s="49" customFormat="1" x14ac:dyDescent="0.2">
      <c r="A47" s="270" t="s">
        <v>111</v>
      </c>
      <c r="B47" s="270">
        <v>36</v>
      </c>
      <c r="C47" s="489">
        <v>40809</v>
      </c>
      <c r="D47" s="270" t="s">
        <v>295</v>
      </c>
      <c r="E47" s="492">
        <v>42740</v>
      </c>
      <c r="F47" s="466" t="s">
        <v>270</v>
      </c>
      <c r="G47" s="270">
        <v>48</v>
      </c>
    </row>
    <row r="48" spans="1:9" s="49" customFormat="1" x14ac:dyDescent="0.2">
      <c r="A48" s="270" t="s">
        <v>168</v>
      </c>
      <c r="B48" s="270">
        <v>37</v>
      </c>
      <c r="C48" s="489">
        <v>40829</v>
      </c>
      <c r="D48" s="270" t="s">
        <v>269</v>
      </c>
      <c r="E48" s="492">
        <v>56518</v>
      </c>
      <c r="F48" s="466" t="s">
        <v>282</v>
      </c>
      <c r="G48" s="270">
        <v>40</v>
      </c>
    </row>
    <row r="49" spans="1:7" s="49" customFormat="1" x14ac:dyDescent="0.2">
      <c r="A49" s="270" t="s">
        <v>273</v>
      </c>
      <c r="B49" s="270">
        <v>38</v>
      </c>
      <c r="C49" s="489">
        <v>40829</v>
      </c>
      <c r="D49" s="270" t="s">
        <v>269</v>
      </c>
      <c r="E49" s="272" t="s">
        <v>272</v>
      </c>
      <c r="F49" s="468" t="s">
        <v>289</v>
      </c>
      <c r="G49" s="270">
        <v>45</v>
      </c>
    </row>
    <row r="50" spans="1:7" s="49" customFormat="1" x14ac:dyDescent="0.2">
      <c r="A50" s="270" t="s">
        <v>273</v>
      </c>
      <c r="B50" s="270">
        <v>39</v>
      </c>
      <c r="C50" s="489">
        <v>40830</v>
      </c>
      <c r="D50" s="270" t="s">
        <v>269</v>
      </c>
      <c r="E50" s="272" t="s">
        <v>272</v>
      </c>
      <c r="F50" s="468" t="s">
        <v>289</v>
      </c>
      <c r="G50" s="270">
        <v>48</v>
      </c>
    </row>
    <row r="51" spans="1:7" s="49" customFormat="1" x14ac:dyDescent="0.2">
      <c r="A51" s="270"/>
      <c r="B51" s="270"/>
      <c r="C51" s="489"/>
      <c r="D51" s="270"/>
      <c r="E51" s="272"/>
      <c r="F51" s="466"/>
      <c r="G51" s="270"/>
    </row>
    <row r="52" spans="1:7" s="49" customFormat="1" x14ac:dyDescent="0.2">
      <c r="A52" s="270"/>
      <c r="B52" s="270"/>
      <c r="C52" s="489"/>
      <c r="D52" s="270"/>
      <c r="E52" s="272"/>
      <c r="F52" s="466"/>
      <c r="G52" s="270"/>
    </row>
    <row r="53" spans="1:7" s="49" customFormat="1" x14ac:dyDescent="0.2">
      <c r="A53" s="73"/>
      <c r="B53" s="270"/>
      <c r="C53" s="489"/>
      <c r="D53" s="270"/>
      <c r="E53" s="272"/>
      <c r="F53" s="466"/>
      <c r="G53" s="270"/>
    </row>
    <row r="54" spans="1:7" x14ac:dyDescent="0.2">
      <c r="A54" s="270"/>
      <c r="B54" s="171"/>
      <c r="C54" s="174"/>
      <c r="D54" s="41"/>
      <c r="E54" s="48"/>
      <c r="F54" s="43"/>
      <c r="G54" s="43"/>
    </row>
    <row r="55" spans="1:7" x14ac:dyDescent="0.2">
      <c r="A55" s="95" t="s">
        <v>73</v>
      </c>
      <c r="B55" s="171"/>
      <c r="C55" s="174"/>
      <c r="D55" s="41"/>
      <c r="E55" s="48"/>
      <c r="F55" s="69"/>
      <c r="G55" s="43"/>
    </row>
    <row r="56" spans="1:7" x14ac:dyDescent="0.2">
      <c r="A56" s="95"/>
      <c r="B56" s="171"/>
      <c r="C56" s="174"/>
      <c r="D56" s="41"/>
      <c r="E56" s="48"/>
      <c r="F56" s="69"/>
      <c r="G56" s="43"/>
    </row>
    <row r="57" spans="1:7" x14ac:dyDescent="0.2">
      <c r="A57" s="270" t="s">
        <v>306</v>
      </c>
      <c r="B57" s="171">
        <v>1</v>
      </c>
      <c r="C57" s="174">
        <v>40654</v>
      </c>
      <c r="D57" s="43" t="s">
        <v>258</v>
      </c>
      <c r="E57" s="492">
        <v>34830</v>
      </c>
      <c r="F57" s="43" t="s">
        <v>259</v>
      </c>
      <c r="G57" s="42">
        <v>2</v>
      </c>
    </row>
    <row r="58" spans="1:7" x14ac:dyDescent="0.2">
      <c r="A58" s="270" t="s">
        <v>306</v>
      </c>
      <c r="B58" s="270">
        <v>2</v>
      </c>
      <c r="C58" s="493">
        <v>40717</v>
      </c>
      <c r="D58" s="43" t="s">
        <v>258</v>
      </c>
      <c r="E58" s="492">
        <v>88731</v>
      </c>
      <c r="F58" s="43" t="s">
        <v>259</v>
      </c>
      <c r="G58" s="494">
        <v>4</v>
      </c>
    </row>
    <row r="59" spans="1:7" x14ac:dyDescent="0.2">
      <c r="A59" s="270" t="s">
        <v>306</v>
      </c>
      <c r="B59" s="270">
        <v>3</v>
      </c>
      <c r="C59" s="493">
        <v>40752</v>
      </c>
      <c r="D59" s="43" t="s">
        <v>296</v>
      </c>
      <c r="E59" s="492">
        <v>98840.93</v>
      </c>
      <c r="F59" s="468" t="s">
        <v>281</v>
      </c>
      <c r="G59" s="494">
        <v>6</v>
      </c>
    </row>
    <row r="60" spans="1:7" x14ac:dyDescent="0.2">
      <c r="A60" s="270" t="s">
        <v>293</v>
      </c>
      <c r="B60" s="270">
        <v>4</v>
      </c>
      <c r="C60" s="493">
        <v>40752</v>
      </c>
      <c r="D60" s="43" t="s">
        <v>296</v>
      </c>
      <c r="E60" s="492">
        <v>17568.310000000001</v>
      </c>
      <c r="F60" s="468" t="s">
        <v>281</v>
      </c>
      <c r="G60" s="494">
        <v>8</v>
      </c>
    </row>
    <row r="61" spans="1:7" x14ac:dyDescent="0.2">
      <c r="A61" s="270" t="s">
        <v>306</v>
      </c>
      <c r="B61" s="270">
        <v>5</v>
      </c>
      <c r="C61" s="493">
        <v>40780</v>
      </c>
      <c r="D61" s="43" t="s">
        <v>258</v>
      </c>
      <c r="E61" s="492">
        <v>118760.11</v>
      </c>
      <c r="F61" s="468" t="s">
        <v>281</v>
      </c>
      <c r="G61" s="494">
        <v>10</v>
      </c>
    </row>
    <row r="62" spans="1:7" x14ac:dyDescent="0.2">
      <c r="A62" s="270" t="s">
        <v>293</v>
      </c>
      <c r="B62" s="171">
        <v>6</v>
      </c>
      <c r="C62" s="174">
        <v>40780</v>
      </c>
      <c r="D62" s="43" t="s">
        <v>258</v>
      </c>
      <c r="E62" s="495">
        <v>19085.29</v>
      </c>
      <c r="F62" s="468" t="s">
        <v>281</v>
      </c>
      <c r="G62" s="43">
        <v>12</v>
      </c>
    </row>
    <row r="63" spans="1:7" x14ac:dyDescent="0.2">
      <c r="A63" s="270" t="s">
        <v>306</v>
      </c>
      <c r="B63" s="171">
        <v>7</v>
      </c>
      <c r="C63" s="174">
        <v>40828</v>
      </c>
      <c r="D63" s="43" t="s">
        <v>258</v>
      </c>
      <c r="E63" s="472" t="s">
        <v>272</v>
      </c>
      <c r="F63" s="485" t="s">
        <v>308</v>
      </c>
      <c r="G63" s="43">
        <v>14</v>
      </c>
    </row>
    <row r="64" spans="1:7" x14ac:dyDescent="0.2">
      <c r="A64" s="96"/>
      <c r="B64" s="171"/>
      <c r="C64" s="174"/>
      <c r="D64" s="41"/>
      <c r="E64" s="48"/>
      <c r="F64" s="82"/>
      <c r="G64" s="43"/>
    </row>
    <row r="65" spans="1:7" ht="25.5" x14ac:dyDescent="0.2">
      <c r="A65" s="95" t="s">
        <v>78</v>
      </c>
      <c r="B65" s="43"/>
      <c r="C65" s="174"/>
      <c r="D65" s="41"/>
      <c r="E65" s="41"/>
      <c r="F65" s="41"/>
      <c r="G65" s="41"/>
    </row>
    <row r="66" spans="1:7" x14ac:dyDescent="0.2">
      <c r="A66" s="270"/>
      <c r="B66" s="270"/>
      <c r="C66" s="489"/>
      <c r="D66" s="43"/>
      <c r="E66" s="469"/>
      <c r="F66" s="466"/>
      <c r="G66" s="270"/>
    </row>
    <row r="67" spans="1:7" x14ac:dyDescent="0.2">
      <c r="A67" s="270" t="s">
        <v>278</v>
      </c>
      <c r="B67" s="270">
        <v>1</v>
      </c>
      <c r="C67" s="489">
        <v>40750</v>
      </c>
      <c r="D67" s="468" t="s">
        <v>279</v>
      </c>
      <c r="E67" s="469">
        <v>57520</v>
      </c>
      <c r="F67" s="466" t="s">
        <v>280</v>
      </c>
      <c r="G67" s="270"/>
    </row>
    <row r="68" spans="1:7" x14ac:dyDescent="0.2">
      <c r="A68" s="270" t="s">
        <v>278</v>
      </c>
      <c r="B68" s="270">
        <v>2</v>
      </c>
      <c r="C68" s="489">
        <v>40758</v>
      </c>
      <c r="D68" s="468" t="s">
        <v>279</v>
      </c>
      <c r="E68" s="469">
        <v>32920</v>
      </c>
      <c r="F68" s="466" t="s">
        <v>280</v>
      </c>
      <c r="G68" s="270"/>
    </row>
    <row r="69" spans="1:7" x14ac:dyDescent="0.2">
      <c r="A69" s="270" t="s">
        <v>278</v>
      </c>
      <c r="B69" s="270">
        <v>3</v>
      </c>
      <c r="C69" s="489">
        <v>40763</v>
      </c>
      <c r="D69" s="468" t="s">
        <v>279</v>
      </c>
      <c r="E69" s="469">
        <v>33050</v>
      </c>
      <c r="F69" s="466" t="s">
        <v>294</v>
      </c>
      <c r="G69" s="270"/>
    </row>
    <row r="70" spans="1:7" x14ac:dyDescent="0.2">
      <c r="A70" s="270" t="s">
        <v>278</v>
      </c>
      <c r="B70" s="270">
        <v>4</v>
      </c>
      <c r="C70" s="489">
        <v>40773</v>
      </c>
      <c r="D70" s="468" t="s">
        <v>279</v>
      </c>
      <c r="E70" s="469">
        <v>35240</v>
      </c>
      <c r="F70" s="466" t="s">
        <v>280</v>
      </c>
      <c r="G70" s="270"/>
    </row>
    <row r="71" spans="1:7" x14ac:dyDescent="0.2">
      <c r="A71" s="270" t="s">
        <v>278</v>
      </c>
      <c r="B71" s="270">
        <v>5</v>
      </c>
      <c r="C71" s="489">
        <v>40781</v>
      </c>
      <c r="D71" s="468" t="s">
        <v>279</v>
      </c>
      <c r="E71" s="469">
        <v>35900</v>
      </c>
      <c r="F71" s="466" t="s">
        <v>292</v>
      </c>
      <c r="G71" s="270"/>
    </row>
    <row r="72" spans="1:7" x14ac:dyDescent="0.2">
      <c r="A72" s="270" t="s">
        <v>278</v>
      </c>
      <c r="B72" s="270">
        <v>6</v>
      </c>
      <c r="C72" s="489">
        <v>40785</v>
      </c>
      <c r="D72" s="468" t="s">
        <v>279</v>
      </c>
      <c r="E72" s="469">
        <v>29850</v>
      </c>
      <c r="F72" s="466" t="s">
        <v>292</v>
      </c>
      <c r="G72" s="270"/>
    </row>
    <row r="73" spans="1:7" x14ac:dyDescent="0.2">
      <c r="A73" s="270" t="s">
        <v>278</v>
      </c>
      <c r="B73" s="270">
        <v>7</v>
      </c>
      <c r="C73" s="489">
        <v>40792</v>
      </c>
      <c r="D73" s="468" t="s">
        <v>279</v>
      </c>
      <c r="E73" s="469">
        <v>33820</v>
      </c>
      <c r="F73" s="466" t="s">
        <v>299</v>
      </c>
      <c r="G73" s="270"/>
    </row>
    <row r="74" spans="1:7" x14ac:dyDescent="0.2">
      <c r="A74" s="270" t="s">
        <v>278</v>
      </c>
      <c r="B74" s="270">
        <v>8</v>
      </c>
      <c r="C74" s="489">
        <v>40794</v>
      </c>
      <c r="D74" s="468" t="s">
        <v>279</v>
      </c>
      <c r="E74" s="469">
        <v>59440</v>
      </c>
      <c r="F74" s="466" t="s">
        <v>305</v>
      </c>
      <c r="G74" s="270"/>
    </row>
    <row r="75" spans="1:7" x14ac:dyDescent="0.2">
      <c r="A75" s="270" t="s">
        <v>278</v>
      </c>
      <c r="B75" s="270">
        <v>9</v>
      </c>
      <c r="C75" s="489">
        <v>40806</v>
      </c>
      <c r="D75" s="468" t="s">
        <v>279</v>
      </c>
      <c r="E75" s="469">
        <v>30710</v>
      </c>
      <c r="F75" s="466" t="s">
        <v>292</v>
      </c>
      <c r="G75" s="270"/>
    </row>
    <row r="76" spans="1:7" x14ac:dyDescent="0.2">
      <c r="A76" s="270" t="s">
        <v>278</v>
      </c>
      <c r="B76" s="270">
        <v>10</v>
      </c>
      <c r="C76" s="489">
        <v>40815</v>
      </c>
      <c r="D76" s="468" t="s">
        <v>279</v>
      </c>
      <c r="E76" s="469">
        <v>34820</v>
      </c>
      <c r="F76" s="466" t="s">
        <v>291</v>
      </c>
      <c r="G76" s="270"/>
    </row>
    <row r="77" spans="1:7" x14ac:dyDescent="0.2">
      <c r="A77" s="270"/>
      <c r="B77" s="270"/>
      <c r="C77" s="489"/>
      <c r="D77" s="43"/>
      <c r="E77" s="469"/>
      <c r="F77" s="466"/>
      <c r="G77" s="270"/>
    </row>
    <row r="78" spans="1:7" x14ac:dyDescent="0.2">
      <c r="A78" s="96"/>
      <c r="B78" s="43"/>
      <c r="C78" s="174"/>
      <c r="D78" s="41"/>
      <c r="E78" s="41"/>
      <c r="F78" s="41"/>
      <c r="G78" s="41"/>
    </row>
    <row r="80" spans="1:7" x14ac:dyDescent="0.2">
      <c r="A80" s="486" t="s">
        <v>28</v>
      </c>
      <c r="C80" s="486"/>
    </row>
    <row r="81" spans="1:7" ht="27.75" customHeight="1" x14ac:dyDescent="0.2">
      <c r="A81" s="517" t="s">
        <v>158</v>
      </c>
      <c r="B81" s="517"/>
      <c r="C81" s="517"/>
      <c r="D81" s="517"/>
      <c r="E81" s="517"/>
      <c r="F81" s="517"/>
      <c r="G81" s="517"/>
    </row>
    <row r="82" spans="1:7" x14ac:dyDescent="0.2">
      <c r="A82" s="486" t="s">
        <v>193</v>
      </c>
      <c r="C82" s="486"/>
    </row>
    <row r="83" spans="1:7" x14ac:dyDescent="0.2">
      <c r="A83" s="486" t="s">
        <v>159</v>
      </c>
      <c r="C83" s="486"/>
    </row>
    <row r="84" spans="1:7" ht="30" customHeight="1" x14ac:dyDescent="0.2">
      <c r="A84" s="518" t="s">
        <v>297</v>
      </c>
      <c r="B84" s="519"/>
      <c r="C84" s="519"/>
      <c r="D84" s="519"/>
      <c r="E84" s="519"/>
      <c r="F84" s="519"/>
      <c r="G84" s="519"/>
    </row>
    <row r="85" spans="1:7" ht="12.75" customHeight="1" x14ac:dyDescent="0.2">
      <c r="A85" s="519" t="s">
        <v>181</v>
      </c>
      <c r="B85" s="519"/>
      <c r="C85" s="519"/>
      <c r="D85" s="519"/>
      <c r="E85" s="519"/>
      <c r="F85" s="519"/>
      <c r="G85" s="519"/>
    </row>
    <row r="86" spans="1:7" x14ac:dyDescent="0.2">
      <c r="A86" s="98" t="s">
        <v>160</v>
      </c>
      <c r="C86" s="486"/>
    </row>
    <row r="87" spans="1:7" x14ac:dyDescent="0.2">
      <c r="A87" s="519" t="s">
        <v>303</v>
      </c>
      <c r="B87" s="519"/>
      <c r="C87" s="519"/>
      <c r="D87" s="519"/>
      <c r="E87" s="519"/>
      <c r="F87" s="519"/>
      <c r="G87" s="519"/>
    </row>
    <row r="88" spans="1:7" x14ac:dyDescent="0.2">
      <c r="A88" s="519" t="s">
        <v>304</v>
      </c>
      <c r="B88" s="519"/>
      <c r="C88" s="519"/>
      <c r="D88" s="519"/>
      <c r="E88" s="519"/>
      <c r="F88" s="519"/>
      <c r="G88" s="519"/>
    </row>
    <row r="89" spans="1:7" ht="12.75" customHeight="1" x14ac:dyDescent="0.2">
      <c r="A89" s="519" t="s">
        <v>205</v>
      </c>
      <c r="B89" s="519"/>
      <c r="C89" s="519"/>
      <c r="D89" s="519"/>
      <c r="E89" s="519"/>
      <c r="F89" s="519"/>
      <c r="G89" s="519"/>
    </row>
    <row r="90" spans="1:7" ht="29.25" customHeight="1" x14ac:dyDescent="0.2">
      <c r="A90" s="517" t="s">
        <v>196</v>
      </c>
      <c r="B90" s="517"/>
      <c r="C90" s="517"/>
      <c r="D90" s="517"/>
      <c r="E90" s="517"/>
      <c r="F90" s="517"/>
      <c r="G90" s="517"/>
    </row>
    <row r="91" spans="1:7" ht="12.75" customHeight="1" x14ac:dyDescent="0.2">
      <c r="A91" s="517" t="s">
        <v>180</v>
      </c>
      <c r="B91" s="517"/>
      <c r="C91" s="517"/>
      <c r="D91" s="517"/>
      <c r="E91" s="517"/>
      <c r="F91" s="488"/>
      <c r="G91" s="488"/>
    </row>
    <row r="92" spans="1:7" x14ac:dyDescent="0.2">
      <c r="A92" s="488"/>
      <c r="B92" s="488"/>
      <c r="C92" s="488"/>
      <c r="D92" s="488"/>
      <c r="E92" s="488"/>
      <c r="F92" s="488"/>
      <c r="G92" s="488"/>
    </row>
    <row r="93" spans="1:7" ht="12.75" customHeight="1" x14ac:dyDescent="0.2">
      <c r="A93" s="517" t="s">
        <v>161</v>
      </c>
      <c r="B93" s="517"/>
      <c r="C93" s="517"/>
      <c r="D93" s="517"/>
      <c r="E93" s="517"/>
      <c r="F93" s="517"/>
      <c r="G93" s="517"/>
    </row>
    <row r="94" spans="1:7" x14ac:dyDescent="0.2">
      <c r="A94" s="98" t="s">
        <v>162</v>
      </c>
      <c r="B94" s="173"/>
      <c r="C94" s="99"/>
      <c r="D94" s="99"/>
      <c r="E94" s="99"/>
      <c r="F94" s="99"/>
      <c r="G94" s="99"/>
    </row>
    <row r="95" spans="1:7" ht="27.75" customHeight="1" x14ac:dyDescent="0.2"/>
    <row r="96" spans="1:7" ht="27" customHeight="1" x14ac:dyDescent="0.2"/>
    <row r="104" ht="29.25" customHeight="1" x14ac:dyDescent="0.2"/>
    <row r="120" ht="12.75" customHeight="1" x14ac:dyDescent="0.2"/>
    <row r="123" ht="12.75" customHeight="1" x14ac:dyDescent="0.2"/>
    <row r="125" ht="12.75" customHeight="1" x14ac:dyDescent="0.2"/>
    <row r="127" ht="12.75" customHeight="1" x14ac:dyDescent="0.2"/>
    <row r="128" ht="12.75" customHeight="1" x14ac:dyDescent="0.2"/>
    <row r="130" ht="12.75" customHeight="1" x14ac:dyDescent="0.2"/>
    <row r="173" ht="24.75" customHeight="1" x14ac:dyDescent="0.2"/>
    <row r="176" ht="12.75" customHeight="1" x14ac:dyDescent="0.2"/>
    <row r="179" ht="12.75" customHeight="1" x14ac:dyDescent="0.2"/>
    <row r="181" ht="12.75" customHeight="1" x14ac:dyDescent="0.2"/>
    <row r="183" ht="12.75" customHeight="1" x14ac:dyDescent="0.2"/>
    <row r="184" ht="12.75" customHeight="1" x14ac:dyDescent="0.2"/>
    <row r="186"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8" ht="12.75" customHeight="1" x14ac:dyDescent="0.2"/>
    <row r="210" ht="12.75" customHeight="1" x14ac:dyDescent="0.2"/>
    <row r="212" ht="12.75" customHeight="1" x14ac:dyDescent="0.2"/>
    <row r="214" ht="12.75" customHeight="1" x14ac:dyDescent="0.2"/>
    <row r="216" ht="12.75" customHeight="1" x14ac:dyDescent="0.2"/>
    <row r="218"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9" ht="24.75" customHeight="1" x14ac:dyDescent="0.2"/>
    <row r="242" ht="12.75" customHeight="1" x14ac:dyDescent="0.2"/>
    <row r="245" ht="12.75" customHeight="1" x14ac:dyDescent="0.2"/>
    <row r="247" ht="12.75" customHeight="1" x14ac:dyDescent="0.2"/>
    <row r="249" ht="12.75" customHeight="1" x14ac:dyDescent="0.2"/>
    <row r="250" ht="12.75" customHeight="1" x14ac:dyDescent="0.2"/>
    <row r="252" ht="12.75" customHeight="1" x14ac:dyDescent="0.2"/>
  </sheetData>
  <autoFilter ref="A1:J252"/>
  <mergeCells count="9">
    <mergeCell ref="A90:G90"/>
    <mergeCell ref="A91:E91"/>
    <mergeCell ref="A93:G93"/>
    <mergeCell ref="A81:G81"/>
    <mergeCell ref="A84:G84"/>
    <mergeCell ref="A85:G85"/>
    <mergeCell ref="A87:G87"/>
    <mergeCell ref="A88:G88"/>
    <mergeCell ref="A89:G89"/>
  </mergeCells>
  <pageMargins left="0.75" right="0.75" top="1" bottom="0.5" header="0.5" footer="0.5"/>
  <pageSetup scale="62" fitToWidth="0" fitToHeight="0" orientation="landscape" r:id="rId1"/>
  <headerFooter alignWithMargins="0">
    <oddHeader>&amp;C&amp;"Arial,Bold"Table I-3
SCE Interruptible and Price Responsive Programs
 2011 Event Summary</oddHeader>
    <oddFooter>&amp;L&amp;F&amp;R&amp;D</oddFooter>
  </headerFooter>
  <rowBreaks count="1" manualBreakCount="1">
    <brk id="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2"/>
  <sheetViews>
    <sheetView showGridLines="0" zoomScale="75" zoomScaleNormal="75" zoomScaleSheetLayoutView="75" workbookViewId="0"/>
  </sheetViews>
  <sheetFormatPr defaultRowHeight="12.75" x14ac:dyDescent="0.2"/>
  <cols>
    <col min="1" max="1" width="35.5703125" customWidth="1"/>
    <col min="2" max="2" width="12.42578125" bestFit="1" customWidth="1"/>
    <col min="3" max="6" width="12.28515625" bestFit="1" customWidth="1"/>
    <col min="7" max="7" width="11.7109375" customWidth="1"/>
    <col min="8" max="9" width="11.7109375" bestFit="1" customWidth="1"/>
    <col min="10" max="10" width="12.42578125" bestFit="1" customWidth="1"/>
    <col min="11" max="11" width="12.28515625" customWidth="1"/>
    <col min="12" max="12" width="12" bestFit="1" customWidth="1"/>
    <col min="13" max="13" width="11.85546875" bestFit="1" customWidth="1"/>
    <col min="14" max="14" width="15.7109375" bestFit="1" customWidth="1"/>
    <col min="15" max="15" width="11.7109375" bestFit="1" customWidth="1"/>
  </cols>
  <sheetData>
    <row r="2" spans="1:18" ht="13.5" thickBot="1" x14ac:dyDescent="0.25"/>
    <row r="3" spans="1:18" x14ac:dyDescent="0.2">
      <c r="A3" s="23" t="s">
        <v>20</v>
      </c>
      <c r="B3" s="24"/>
      <c r="C3" s="24"/>
      <c r="D3" s="24"/>
      <c r="E3" s="24"/>
      <c r="F3" s="24"/>
      <c r="G3" s="24"/>
      <c r="H3" s="24"/>
      <c r="I3" s="24"/>
      <c r="J3" s="24"/>
      <c r="K3" s="24"/>
      <c r="L3" s="24"/>
      <c r="M3" s="24"/>
      <c r="N3" s="25"/>
    </row>
    <row r="4" spans="1:18" x14ac:dyDescent="0.2">
      <c r="A4" s="26"/>
      <c r="B4" s="27"/>
      <c r="C4" s="27"/>
      <c r="D4" s="27"/>
      <c r="E4" s="27"/>
      <c r="F4" s="27"/>
      <c r="G4" s="27"/>
      <c r="H4" s="27"/>
      <c r="I4" s="27"/>
      <c r="J4" s="27"/>
      <c r="K4" s="27"/>
      <c r="L4" s="27"/>
      <c r="M4" s="27"/>
      <c r="N4" s="28"/>
    </row>
    <row r="5" spans="1:18" ht="31.5" customHeight="1" x14ac:dyDescent="0.2">
      <c r="A5" s="20" t="s">
        <v>21</v>
      </c>
      <c r="B5" s="17" t="s">
        <v>0</v>
      </c>
      <c r="C5" s="17" t="s">
        <v>1</v>
      </c>
      <c r="D5" s="17" t="s">
        <v>2</v>
      </c>
      <c r="E5" s="17" t="s">
        <v>3</v>
      </c>
      <c r="F5" s="17" t="s">
        <v>4</v>
      </c>
      <c r="G5" s="17" t="s">
        <v>5</v>
      </c>
      <c r="H5" s="17" t="s">
        <v>6</v>
      </c>
      <c r="I5" s="17" t="s">
        <v>7</v>
      </c>
      <c r="J5" s="17" t="s">
        <v>8</v>
      </c>
      <c r="K5" s="17" t="s">
        <v>9</v>
      </c>
      <c r="L5" s="17" t="s">
        <v>10</v>
      </c>
      <c r="M5" s="21" t="s">
        <v>11</v>
      </c>
      <c r="N5" s="22" t="s">
        <v>19</v>
      </c>
    </row>
    <row r="6" spans="1:18" ht="14.25" x14ac:dyDescent="0.2">
      <c r="A6" s="5" t="s">
        <v>36</v>
      </c>
      <c r="B6" s="44"/>
      <c r="C6" s="44"/>
      <c r="D6" s="44"/>
      <c r="E6" s="44"/>
      <c r="F6" s="44"/>
      <c r="G6" s="44"/>
      <c r="H6" s="44"/>
      <c r="I6" s="44"/>
      <c r="J6" s="44"/>
      <c r="K6" s="44"/>
      <c r="L6" s="44"/>
      <c r="M6" s="62"/>
      <c r="N6" s="2"/>
    </row>
    <row r="7" spans="1:18" x14ac:dyDescent="0.2">
      <c r="A7" s="6"/>
      <c r="B7" s="45"/>
      <c r="C7" s="44"/>
      <c r="D7" s="44"/>
      <c r="E7" s="45"/>
      <c r="F7" s="44"/>
      <c r="G7" s="44"/>
      <c r="H7" s="44"/>
      <c r="I7" s="44"/>
      <c r="J7" s="45"/>
      <c r="K7" s="44"/>
      <c r="L7" s="44"/>
      <c r="M7" s="44"/>
      <c r="N7" s="55"/>
    </row>
    <row r="8" spans="1:18" x14ac:dyDescent="0.2">
      <c r="A8" s="6" t="s">
        <v>12</v>
      </c>
      <c r="B8" s="45">
        <v>613053</v>
      </c>
      <c r="C8" s="45">
        <v>923240</v>
      </c>
      <c r="D8" s="45">
        <v>759444</v>
      </c>
      <c r="E8" s="45">
        <v>1456053</v>
      </c>
      <c r="F8" s="45">
        <v>746840</v>
      </c>
      <c r="G8" s="45">
        <v>4803113</v>
      </c>
      <c r="H8" s="45">
        <v>15089189</v>
      </c>
      <c r="I8" s="45">
        <v>18267853</v>
      </c>
      <c r="J8" s="45">
        <v>16442489</v>
      </c>
      <c r="K8" s="45">
        <v>9745443</v>
      </c>
      <c r="L8" s="45">
        <v>0</v>
      </c>
      <c r="M8" s="45">
        <v>0</v>
      </c>
      <c r="N8" s="55">
        <f t="shared" ref="N8:N14" si="0">SUM(B8:M8)</f>
        <v>68846717</v>
      </c>
      <c r="O8" s="51"/>
    </row>
    <row r="9" spans="1:18" x14ac:dyDescent="0.2">
      <c r="A9" s="6" t="s">
        <v>50</v>
      </c>
      <c r="B9" s="45">
        <v>2768</v>
      </c>
      <c r="C9" s="45">
        <v>5587</v>
      </c>
      <c r="D9" s="83">
        <v>7412.04</v>
      </c>
      <c r="E9" s="45">
        <v>4487</v>
      </c>
      <c r="F9" s="45">
        <v>3400</v>
      </c>
      <c r="G9" s="45">
        <v>850745</v>
      </c>
      <c r="H9" s="45">
        <v>1581927</v>
      </c>
      <c r="I9" s="45">
        <v>1744417</v>
      </c>
      <c r="J9" s="45">
        <v>1638554</v>
      </c>
      <c r="K9" s="45">
        <v>751936</v>
      </c>
      <c r="L9" s="45">
        <v>0</v>
      </c>
      <c r="M9" s="45">
        <v>0</v>
      </c>
      <c r="N9" s="55">
        <f t="shared" si="0"/>
        <v>6591233.04</v>
      </c>
      <c r="O9" s="52"/>
    </row>
    <row r="10" spans="1:18" x14ac:dyDescent="0.2">
      <c r="A10" s="6" t="s">
        <v>51</v>
      </c>
      <c r="B10" s="45">
        <v>38773</v>
      </c>
      <c r="C10" s="45">
        <v>40208</v>
      </c>
      <c r="D10" s="83">
        <v>46145.33</v>
      </c>
      <c r="E10" s="45">
        <v>34371</v>
      </c>
      <c r="F10" s="45">
        <v>60309</v>
      </c>
      <c r="G10" s="45">
        <v>6287577</v>
      </c>
      <c r="H10" s="45">
        <v>12707674</v>
      </c>
      <c r="I10" s="45">
        <v>14175580</v>
      </c>
      <c r="J10" s="45">
        <v>13764342</v>
      </c>
      <c r="K10" s="45">
        <v>6234386</v>
      </c>
      <c r="L10" s="45">
        <v>0</v>
      </c>
      <c r="M10" s="45">
        <v>0</v>
      </c>
      <c r="N10" s="55">
        <f t="shared" si="0"/>
        <v>53389365.329999998</v>
      </c>
      <c r="O10" s="52"/>
      <c r="P10" s="52"/>
    </row>
    <row r="11" spans="1:18" x14ac:dyDescent="0.2">
      <c r="A11" s="6" t="s">
        <v>16</v>
      </c>
      <c r="B11" s="45">
        <v>28513</v>
      </c>
      <c r="C11" s="45">
        <v>26914</v>
      </c>
      <c r="D11" s="45">
        <v>39522</v>
      </c>
      <c r="E11" s="45">
        <v>42851</v>
      </c>
      <c r="F11" s="45">
        <v>51521</v>
      </c>
      <c r="G11" s="45">
        <v>427699</v>
      </c>
      <c r="H11" s="45">
        <v>902401</v>
      </c>
      <c r="I11" s="45">
        <v>1085147</v>
      </c>
      <c r="J11" s="45">
        <v>947547</v>
      </c>
      <c r="K11" s="45">
        <v>435844</v>
      </c>
      <c r="L11" s="45">
        <v>0</v>
      </c>
      <c r="M11" s="45">
        <v>0</v>
      </c>
      <c r="N11" s="55">
        <f t="shared" si="0"/>
        <v>3987959</v>
      </c>
    </row>
    <row r="12" spans="1:18" x14ac:dyDescent="0.2">
      <c r="A12" s="12" t="s">
        <v>17</v>
      </c>
      <c r="B12" s="45">
        <v>1628</v>
      </c>
      <c r="C12" s="45">
        <v>0</v>
      </c>
      <c r="D12" s="45">
        <v>57</v>
      </c>
      <c r="E12" s="45">
        <v>1058</v>
      </c>
      <c r="F12" s="45">
        <v>57</v>
      </c>
      <c r="G12" s="45">
        <v>0</v>
      </c>
      <c r="H12" s="45">
        <v>76781</v>
      </c>
      <c r="I12" s="45">
        <v>409933</v>
      </c>
      <c r="J12" s="45">
        <v>395888</v>
      </c>
      <c r="K12" s="45">
        <v>550374</v>
      </c>
      <c r="L12" s="45">
        <v>0</v>
      </c>
      <c r="M12" s="45">
        <v>0</v>
      </c>
      <c r="N12" s="55">
        <f t="shared" si="0"/>
        <v>1435776</v>
      </c>
    </row>
    <row r="13" spans="1:18" s="49" customFormat="1" x14ac:dyDescent="0.2">
      <c r="A13" s="85" t="s">
        <v>41</v>
      </c>
      <c r="B13" s="45">
        <v>0</v>
      </c>
      <c r="C13" s="45">
        <v>0</v>
      </c>
      <c r="D13" s="45">
        <v>0</v>
      </c>
      <c r="E13" s="45">
        <v>0</v>
      </c>
      <c r="F13" s="45">
        <v>0</v>
      </c>
      <c r="G13" s="45">
        <v>86576</v>
      </c>
      <c r="H13" s="45">
        <v>123715</v>
      </c>
      <c r="I13" s="45">
        <v>249865</v>
      </c>
      <c r="J13" s="45">
        <v>245710</v>
      </c>
      <c r="K13" s="45">
        <v>130889</v>
      </c>
      <c r="L13" s="45">
        <v>0</v>
      </c>
      <c r="M13" s="45">
        <v>0</v>
      </c>
      <c r="N13" s="180">
        <f t="shared" si="0"/>
        <v>836755</v>
      </c>
      <c r="O13" s="181"/>
      <c r="P13" s="33"/>
      <c r="Q13" s="33"/>
      <c r="R13" s="70"/>
    </row>
    <row r="14" spans="1:18" x14ac:dyDescent="0.2">
      <c r="A14" s="71" t="s">
        <v>43</v>
      </c>
      <c r="B14" s="45">
        <v>-2721793</v>
      </c>
      <c r="C14" s="45">
        <v>691906</v>
      </c>
      <c r="D14" s="45">
        <v>2199701</v>
      </c>
      <c r="E14" s="45">
        <v>-21679</v>
      </c>
      <c r="F14" s="45">
        <v>739290</v>
      </c>
      <c r="G14" s="45">
        <v>1414802</v>
      </c>
      <c r="H14" s="45">
        <v>1737691</v>
      </c>
      <c r="I14" s="45">
        <v>1243882</v>
      </c>
      <c r="J14" s="45">
        <v>2063707</v>
      </c>
      <c r="K14" s="45">
        <v>967130</v>
      </c>
      <c r="L14" s="45">
        <v>0</v>
      </c>
      <c r="M14" s="45">
        <v>0</v>
      </c>
      <c r="N14" s="55">
        <f t="shared" si="0"/>
        <v>8314637</v>
      </c>
      <c r="O14" s="31"/>
      <c r="P14" s="31"/>
      <c r="Q14" s="33"/>
      <c r="R14" s="70"/>
    </row>
    <row r="15" spans="1:18" x14ac:dyDescent="0.2">
      <c r="A15" s="11" t="s">
        <v>13</v>
      </c>
      <c r="B15" s="32">
        <f t="shared" ref="B15:N15" si="1">SUM(B7:B14)</f>
        <v>-2037058</v>
      </c>
      <c r="C15" s="32">
        <f t="shared" si="1"/>
        <v>1687855</v>
      </c>
      <c r="D15" s="32">
        <f t="shared" si="1"/>
        <v>3052281.37</v>
      </c>
      <c r="E15" s="32">
        <f t="shared" si="1"/>
        <v>1517141</v>
      </c>
      <c r="F15" s="32">
        <f t="shared" si="1"/>
        <v>1601417</v>
      </c>
      <c r="G15" s="32">
        <f t="shared" si="1"/>
        <v>13870512</v>
      </c>
      <c r="H15" s="32">
        <f t="shared" si="1"/>
        <v>32219378</v>
      </c>
      <c r="I15" s="32">
        <f t="shared" si="1"/>
        <v>37176677</v>
      </c>
      <c r="J15" s="32">
        <f t="shared" si="1"/>
        <v>35498237</v>
      </c>
      <c r="K15" s="32">
        <f t="shared" si="1"/>
        <v>18816002</v>
      </c>
      <c r="L15" s="32">
        <f t="shared" si="1"/>
        <v>0</v>
      </c>
      <c r="M15" s="54">
        <f t="shared" si="1"/>
        <v>0</v>
      </c>
      <c r="N15" s="53">
        <f t="shared" si="1"/>
        <v>143402442.37</v>
      </c>
    </row>
    <row r="16" spans="1:18" x14ac:dyDescent="0.2">
      <c r="A16" s="6"/>
      <c r="B16" s="3"/>
      <c r="C16" s="3"/>
      <c r="D16" s="3"/>
      <c r="E16" s="3"/>
      <c r="F16" s="3"/>
      <c r="G16" s="3"/>
      <c r="H16" s="3"/>
      <c r="I16" s="3"/>
      <c r="J16" s="3"/>
      <c r="K16" s="3"/>
      <c r="L16" s="3"/>
      <c r="M16" s="77"/>
      <c r="N16" s="4"/>
    </row>
    <row r="17" spans="1:14" ht="13.5" thickBot="1" x14ac:dyDescent="0.25">
      <c r="A17" s="30"/>
      <c r="B17" s="9"/>
      <c r="C17" s="9"/>
      <c r="D17" s="9"/>
      <c r="E17" s="9"/>
      <c r="F17" s="9"/>
      <c r="G17" s="47"/>
      <c r="H17" s="9"/>
      <c r="I17" s="9"/>
      <c r="J17" s="9"/>
      <c r="K17" s="9"/>
      <c r="L17" s="9"/>
      <c r="M17" s="9"/>
      <c r="N17" s="10"/>
    </row>
    <row r="18" spans="1:14" ht="9" customHeight="1" thickBot="1" x14ac:dyDescent="0.25">
      <c r="A18" s="8"/>
      <c r="B18" s="3"/>
      <c r="C18" s="3"/>
      <c r="D18" s="3"/>
      <c r="E18" s="3"/>
      <c r="F18" s="3"/>
      <c r="G18" s="13"/>
      <c r="H18" s="3"/>
      <c r="I18" s="3"/>
      <c r="J18" s="3"/>
      <c r="K18" s="3"/>
      <c r="L18" s="3"/>
      <c r="M18" s="3"/>
      <c r="N18" s="3"/>
    </row>
    <row r="19" spans="1:14" ht="25.5" customHeight="1" thickBot="1" x14ac:dyDescent="0.25">
      <c r="A19" s="46" t="s">
        <v>37</v>
      </c>
      <c r="B19" s="56">
        <v>0</v>
      </c>
      <c r="C19" s="57">
        <v>0</v>
      </c>
      <c r="D19" s="57">
        <v>0</v>
      </c>
      <c r="E19" s="57">
        <v>0</v>
      </c>
      <c r="F19" s="57">
        <v>0</v>
      </c>
      <c r="G19" s="58">
        <v>0</v>
      </c>
      <c r="H19" s="59">
        <v>0</v>
      </c>
      <c r="I19" s="59">
        <v>0</v>
      </c>
      <c r="J19" s="59">
        <v>0</v>
      </c>
      <c r="K19" s="59">
        <v>0</v>
      </c>
      <c r="L19" s="59">
        <v>0</v>
      </c>
      <c r="M19" s="60">
        <v>0</v>
      </c>
      <c r="N19" s="61">
        <f>SUM(B19:M19)</f>
        <v>0</v>
      </c>
    </row>
    <row r="20" spans="1:14" ht="15" customHeight="1" x14ac:dyDescent="0.2">
      <c r="A20" s="7"/>
      <c r="B20" s="3"/>
      <c r="C20" s="3"/>
      <c r="D20" s="3"/>
      <c r="E20" s="3"/>
      <c r="F20" s="3"/>
      <c r="G20" s="3"/>
      <c r="H20" s="3"/>
      <c r="I20" s="3"/>
      <c r="J20" s="3"/>
      <c r="K20" s="3"/>
      <c r="L20" s="3"/>
      <c r="M20" s="3"/>
      <c r="N20" s="3"/>
    </row>
    <row r="21" spans="1:14" ht="15" customHeight="1" x14ac:dyDescent="0.2">
      <c r="A21" s="67" t="s">
        <v>58</v>
      </c>
      <c r="B21" s="63"/>
      <c r="C21" s="63"/>
      <c r="D21" s="63"/>
      <c r="E21" s="63"/>
      <c r="F21" s="63"/>
      <c r="G21" s="3"/>
      <c r="H21" s="3"/>
      <c r="I21" s="3"/>
      <c r="J21" s="3"/>
      <c r="K21" s="3"/>
      <c r="L21" s="3"/>
      <c r="M21" s="3"/>
      <c r="N21" s="3"/>
    </row>
    <row r="22" spans="1:14" x14ac:dyDescent="0.2">
      <c r="A22" s="64" t="s">
        <v>42</v>
      </c>
      <c r="B22" s="65"/>
      <c r="C22" s="66"/>
      <c r="D22" s="65"/>
      <c r="E22" s="65"/>
      <c r="F22" s="65"/>
      <c r="G22" s="49"/>
      <c r="H22" s="49"/>
      <c r="I22" s="49"/>
      <c r="J22" s="49"/>
      <c r="K22" s="49"/>
    </row>
    <row r="23" spans="1:14" x14ac:dyDescent="0.2">
      <c r="A23" s="66" t="s">
        <v>59</v>
      </c>
      <c r="B23" s="66"/>
      <c r="C23" s="66"/>
      <c r="D23" s="66"/>
      <c r="E23" s="66"/>
      <c r="F23" s="66"/>
    </row>
    <row r="24" spans="1:14" x14ac:dyDescent="0.2">
      <c r="A24" s="76" t="s">
        <v>163</v>
      </c>
    </row>
    <row r="25" spans="1:14" x14ac:dyDescent="0.2">
      <c r="B25" s="52"/>
      <c r="C25" s="52"/>
      <c r="D25" s="52"/>
      <c r="E25" s="52"/>
    </row>
    <row r="26" spans="1:14" x14ac:dyDescent="0.2">
      <c r="A26" s="34"/>
    </row>
    <row r="27" spans="1:14" x14ac:dyDescent="0.2">
      <c r="G27" s="88"/>
      <c r="K27" t="s">
        <v>14</v>
      </c>
    </row>
    <row r="28" spans="1:14" x14ac:dyDescent="0.2">
      <c r="G28" s="88"/>
    </row>
    <row r="29" spans="1:14" x14ac:dyDescent="0.2">
      <c r="G29" s="88"/>
    </row>
    <row r="30" spans="1:14" x14ac:dyDescent="0.2">
      <c r="G30" s="88"/>
    </row>
    <row r="31" spans="1:14" x14ac:dyDescent="0.2">
      <c r="G31" s="88"/>
    </row>
    <row r="32" spans="1:14" x14ac:dyDescent="0.2">
      <c r="G32" s="72"/>
    </row>
  </sheetData>
  <phoneticPr fontId="0" type="noConversion"/>
  <printOptions horizontalCentered="1"/>
  <pageMargins left="0.75" right="0.75" top="1" bottom="1" header="0.5" footer="0.5"/>
  <pageSetup scale="62" orientation="landscape" r:id="rId1"/>
  <headerFooter alignWithMargins="0">
    <oddHeader xml:space="preserve">&amp;C&amp;"Arial,Bold"Table I-4
SCE Demand Response Programs 
Total Embedded Cost and Revenues &amp;X(1)&amp;X
2011&amp;"Arial,Regular"
</oddHeader>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Program MW -ExPost&amp;ExAnte</vt:lpstr>
      <vt:lpstr>LI (ExPost &amp; ExAnte)</vt:lpstr>
      <vt:lpstr>TA-TI Distribution</vt:lpstr>
      <vt:lpstr>DRP Expenditures</vt:lpstr>
      <vt:lpstr>Fund Shift Log</vt:lpstr>
      <vt:lpstr>DRPBA Costs Tbl 1-2B Carryover</vt:lpstr>
      <vt:lpstr>Event Summary</vt:lpstr>
      <vt:lpstr>Bal Acct Info Costs-Incentives</vt:lpstr>
      <vt:lpstr>'Bal Acct Info Costs-Incentives'!Print_Area</vt:lpstr>
      <vt:lpstr>'DRP Expenditures'!Print_Area</vt:lpstr>
      <vt:lpstr>'Fund Shift Log'!Print_Area</vt:lpstr>
      <vt:lpstr>'LI (ExPost &amp; ExAnte)'!Print_Area</vt:lpstr>
      <vt:lpstr>'Program MW -ExPost&amp;ExAnte'!Print_Area</vt:lpstr>
      <vt:lpstr>'TA-TI Distribution'!Print_Area</vt:lpstr>
      <vt:lpstr>'Event Summary'!Print_Titles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Standard Configuration</dc:creator>
  <cp:lastModifiedBy>Leung, Joyce A</cp:lastModifiedBy>
  <cp:lastPrinted>2011-11-18T21:47:45Z</cp:lastPrinted>
  <dcterms:created xsi:type="dcterms:W3CDTF">2001-06-12T23:12:10Z</dcterms:created>
  <dcterms:modified xsi:type="dcterms:W3CDTF">2011-11-18T23:38:12Z</dcterms:modified>
</cp:coreProperties>
</file>