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workbookProtection workbookPassword="CEB8" lockStructure="1"/>
  <bookViews>
    <workbookView xWindow="-15" yWindow="-15" windowWidth="4680" windowHeight="11640" tabRatio="888"/>
  </bookViews>
  <sheets>
    <sheet name="Report Cover" sheetId="11" r:id="rId1"/>
    <sheet name="Cover Sheet Text" sheetId="10" r:id="rId2"/>
    <sheet name="Program MW" sheetId="1" r:id="rId3"/>
    <sheet name="Ex ante LI &amp; Eligibility Stats" sheetId="2" r:id="rId4"/>
    <sheet name="Ex post LI &amp; Eligibility Stats" sheetId="3" r:id="rId5"/>
    <sheet name="TA-TI Distribution" sheetId="4" r:id="rId6"/>
    <sheet name="DREBA Expenses" sheetId="5" r:id="rId7"/>
    <sheet name="Event Summary" sheetId="6" r:id="rId8"/>
    <sheet name="Incentives" sheetId="7" r:id="rId9"/>
    <sheet name="ACEBA Expenses" sheetId="8" r:id="rId10"/>
    <sheet name="Shift Fund Log" sheetId="9" r:id="rId11"/>
  </sheets>
  <externalReferences>
    <externalReference r:id="rId12"/>
  </externalReferences>
  <definedNames>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7" hidden="1">'Event Summary'!$A$3:$H$3</definedName>
    <definedName name="_xlnm._FilterDatabase" localSheetId="2" hidden="1">'Program MW'!$A$8:$AL$30</definedName>
    <definedName name="_xlnm._FilterDatabase" localSheetId="5" hidden="1">'TA-TI Distribution'!$A$4:$Y$17</definedName>
    <definedName name="Achieve_GRC">#REF!</definedName>
    <definedName name="Achieve_Service_Excellenc">#REF!</definedName>
    <definedName name="Achieve_Service_Excellence">#REF!</definedName>
    <definedName name="Collect_Revenue">#REF!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3">#REF!</definedName>
    <definedName name="DATA4">#REF!</definedName>
    <definedName name="DATA5">#REF!</definedName>
    <definedName name="data5000">'[1]ACTMA Detail'!$N$2:$N$102</definedName>
    <definedName name="DATA6">#REF!</definedName>
    <definedName name="DATA7">#REF!</definedName>
    <definedName name="DATA8">#REF!</definedName>
    <definedName name="DATA9">#REF!</definedName>
    <definedName name="Enhance_Delivery_Channels">#REF!</definedName>
    <definedName name="Ethics_and_Compliance">#REF!</definedName>
    <definedName name="Launch_Refine_Market">#REF!</definedName>
    <definedName name="Manage_AMI">#REF!</definedName>
    <definedName name="Meet_Financial_Targets">#REF!</definedName>
    <definedName name="nnnnnn">'[1]ACTMA Detail'!$P$2:$P$102</definedName>
    <definedName name="_xlnm.Print_Area" localSheetId="9">'ACEBA Expenses'!$A$1:$O$12</definedName>
    <definedName name="_xlnm.Print_Area" localSheetId="7">'Event Summary'!$A$1:$H$62</definedName>
    <definedName name="_xlnm.Print_Area" localSheetId="3">'Ex ante LI &amp; Eligibility Stats'!$A$1:$O$23</definedName>
    <definedName name="_xlnm.Print_Area" localSheetId="4">'Ex post LI &amp; Eligibility Stats'!$A$1:$O$29</definedName>
    <definedName name="_xlnm.Print_Area" localSheetId="8">Incentives!$A$1:$N$26</definedName>
    <definedName name="_xlnm.Print_Area" localSheetId="2">'Program MW'!$A$1:$T$63</definedName>
    <definedName name="_xlnm.Print_Area" localSheetId="0">'Report Cover'!$A$1:$K$42</definedName>
    <definedName name="_xlnm.Print_Area" localSheetId="5">'TA-TI Distribution'!$A$1:$Y$69</definedName>
    <definedName name="_xlnm.Print_Titles" localSheetId="6">'DREBA Expenses'!$4:$5</definedName>
    <definedName name="_xlnm.Print_Titles" localSheetId="3">'Ex ante LI &amp; Eligibility Stats'!$5:$6</definedName>
    <definedName name="Reliability_Expectations">#REF!</definedName>
    <definedName name="Stabilization_Customer_Base">#REF!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Valued_Service_Provider">#REF!</definedName>
    <definedName name="Voice_of_Customer">#REF!</definedName>
  </definedNames>
  <calcPr calcId="114210" fullCalcOnLoad="1"/>
</workbook>
</file>

<file path=xl/calcChain.xml><?xml version="1.0" encoding="utf-8"?>
<calcChain xmlns="http://schemas.openxmlformats.org/spreadsheetml/2006/main">
  <c r="L10" i="8" l="1"/>
  <c r="D21" i="5"/>
  <c r="G17" i="7"/>
  <c r="M17" i="7"/>
  <c r="K10" i="8"/>
  <c r="M10" i="8"/>
  <c r="N10" i="8"/>
  <c r="E55" i="5"/>
  <c r="N9" i="5"/>
  <c r="M9" i="5"/>
  <c r="N63" i="5"/>
  <c r="M63" i="5"/>
  <c r="N55" i="5"/>
  <c r="M55" i="5"/>
  <c r="N50" i="5"/>
  <c r="M50" i="5"/>
  <c r="N45" i="5"/>
  <c r="M45" i="5"/>
  <c r="N41" i="5"/>
  <c r="M41" i="5"/>
  <c r="N37" i="5"/>
  <c r="M37" i="5"/>
  <c r="N21" i="5"/>
  <c r="M21" i="5"/>
  <c r="N15" i="5"/>
  <c r="M15" i="5"/>
  <c r="N29" i="5"/>
  <c r="M29" i="5"/>
  <c r="D55" i="5"/>
  <c r="Q62" i="5"/>
  <c r="Q60" i="5"/>
  <c r="Q59" i="5"/>
  <c r="Q35" i="5"/>
  <c r="Q32" i="5"/>
  <c r="B17" i="9"/>
  <c r="B15" i="9"/>
  <c r="X41" i="4"/>
  <c r="O20" i="5"/>
  <c r="N14" i="7"/>
  <c r="X55" i="4"/>
  <c r="X56" i="4"/>
  <c r="X57" i="4"/>
  <c r="X58" i="4"/>
  <c r="X54" i="4"/>
  <c r="W55" i="4"/>
  <c r="W56" i="4"/>
  <c r="W57" i="4"/>
  <c r="W58" i="4"/>
  <c r="W54" i="4"/>
  <c r="S58" i="4"/>
  <c r="S57" i="4"/>
  <c r="S56" i="4"/>
  <c r="S55" i="4"/>
  <c r="S54" i="4"/>
  <c r="S50" i="4"/>
  <c r="S49" i="4"/>
  <c r="W49" i="4"/>
  <c r="S48" i="4"/>
  <c r="W48" i="4"/>
  <c r="S47" i="4"/>
  <c r="S46" i="4"/>
  <c r="S45" i="4"/>
  <c r="S44" i="4"/>
  <c r="W44" i="4"/>
  <c r="S43" i="4"/>
  <c r="S40" i="4"/>
  <c r="S39" i="4"/>
  <c r="W39" i="4"/>
  <c r="T58" i="4"/>
  <c r="T57" i="4"/>
  <c r="T56" i="4"/>
  <c r="T55" i="4"/>
  <c r="T54" i="4"/>
  <c r="X40" i="4"/>
  <c r="X42" i="4"/>
  <c r="X43" i="4"/>
  <c r="X44" i="4"/>
  <c r="X45" i="4"/>
  <c r="X46" i="4"/>
  <c r="X47" i="4"/>
  <c r="X48" i="4"/>
  <c r="X49" i="4"/>
  <c r="X50" i="4"/>
  <c r="X39" i="4"/>
  <c r="W45" i="4"/>
  <c r="W46" i="4"/>
  <c r="W47" i="4"/>
  <c r="W50" i="4"/>
  <c r="W40" i="4"/>
  <c r="W41" i="4"/>
  <c r="W42" i="4"/>
  <c r="T50" i="4"/>
  <c r="T49" i="4"/>
  <c r="T48" i="4"/>
  <c r="T47" i="4"/>
  <c r="T46" i="4"/>
  <c r="T45" i="4"/>
  <c r="T44" i="4"/>
  <c r="T43" i="4"/>
  <c r="T42" i="4"/>
  <c r="T41" i="4"/>
  <c r="T40" i="4"/>
  <c r="T39" i="4"/>
  <c r="V64" i="4"/>
  <c r="Q63" i="5"/>
  <c r="Q55" i="5"/>
  <c r="Q50" i="5"/>
  <c r="Q45" i="5"/>
  <c r="Q41" i="5"/>
  <c r="Q37" i="5"/>
  <c r="Q29" i="5"/>
  <c r="Q21" i="5"/>
  <c r="Q15" i="5"/>
  <c r="Q9" i="5"/>
  <c r="Q68" i="5"/>
  <c r="R64" i="4"/>
  <c r="O47" i="4"/>
  <c r="O48" i="4"/>
  <c r="O49" i="4"/>
  <c r="O50" i="4"/>
  <c r="O46" i="4"/>
  <c r="O45" i="4"/>
  <c r="O40" i="4"/>
  <c r="O39" i="4"/>
  <c r="O41" i="4"/>
  <c r="S42" i="4"/>
  <c r="S41" i="4"/>
  <c r="O44" i="4"/>
  <c r="O43" i="4"/>
  <c r="O42" i="4"/>
  <c r="N64" i="4"/>
  <c r="P55" i="4"/>
  <c r="P56" i="4"/>
  <c r="P57" i="4"/>
  <c r="P58" i="4"/>
  <c r="P54" i="4"/>
  <c r="P44" i="4"/>
  <c r="P45" i="4"/>
  <c r="P46" i="4"/>
  <c r="P47" i="4"/>
  <c r="P48" i="4"/>
  <c r="P49" i="4"/>
  <c r="P50" i="4"/>
  <c r="P43" i="4"/>
  <c r="P40" i="4"/>
  <c r="P39" i="4"/>
  <c r="P42" i="4"/>
  <c r="P41" i="4"/>
  <c r="N8" i="7"/>
  <c r="H55" i="4"/>
  <c r="L55" i="4"/>
  <c r="O55" i="4"/>
  <c r="Q55" i="4"/>
  <c r="H56" i="4"/>
  <c r="L56" i="4"/>
  <c r="O56" i="4"/>
  <c r="Q56" i="4"/>
  <c r="H57" i="4"/>
  <c r="L57" i="4"/>
  <c r="O57" i="4"/>
  <c r="Q57" i="4"/>
  <c r="H58" i="4"/>
  <c r="L58" i="4"/>
  <c r="O58" i="4"/>
  <c r="Q58" i="4"/>
  <c r="H54" i="4"/>
  <c r="L54" i="4"/>
  <c r="O54" i="4"/>
  <c r="G55" i="4"/>
  <c r="K55" i="4"/>
  <c r="M55" i="4"/>
  <c r="G56" i="4"/>
  <c r="K56" i="4"/>
  <c r="M56" i="4"/>
  <c r="G57" i="4"/>
  <c r="K57" i="4"/>
  <c r="M57" i="4"/>
  <c r="G58" i="4"/>
  <c r="K58" i="4"/>
  <c r="M58" i="4"/>
  <c r="G54" i="4"/>
  <c r="K54" i="4"/>
  <c r="C50" i="4"/>
  <c r="G50" i="4"/>
  <c r="D50" i="4"/>
  <c r="H50" i="4"/>
  <c r="L50" i="4"/>
  <c r="Q50" i="4"/>
  <c r="C40" i="4"/>
  <c r="G40" i="4"/>
  <c r="D40" i="4"/>
  <c r="H40" i="4"/>
  <c r="L40" i="4"/>
  <c r="Q40" i="4"/>
  <c r="D41" i="4"/>
  <c r="H41" i="4"/>
  <c r="L41" i="4"/>
  <c r="Q41" i="4"/>
  <c r="D42" i="4"/>
  <c r="H42" i="4"/>
  <c r="L42" i="4"/>
  <c r="Q42" i="4"/>
  <c r="D43" i="4"/>
  <c r="H43" i="4"/>
  <c r="L43" i="4"/>
  <c r="Q43" i="4"/>
  <c r="D44" i="4"/>
  <c r="H44" i="4"/>
  <c r="L44" i="4"/>
  <c r="Q44" i="4"/>
  <c r="C45" i="4"/>
  <c r="G45" i="4"/>
  <c r="K45" i="4"/>
  <c r="D45" i="4"/>
  <c r="H45" i="4"/>
  <c r="L45" i="4"/>
  <c r="Q45" i="4"/>
  <c r="C46" i="4"/>
  <c r="G46" i="4"/>
  <c r="K46" i="4"/>
  <c r="D46" i="4"/>
  <c r="H46" i="4"/>
  <c r="L46" i="4"/>
  <c r="Q46" i="4"/>
  <c r="C47" i="4"/>
  <c r="G47" i="4"/>
  <c r="D47" i="4"/>
  <c r="H47" i="4"/>
  <c r="L47" i="4"/>
  <c r="Q47" i="4"/>
  <c r="C48" i="4"/>
  <c r="G48" i="4"/>
  <c r="I48" i="4"/>
  <c r="D48" i="4"/>
  <c r="H48" i="4"/>
  <c r="L48" i="4"/>
  <c r="Q48" i="4"/>
  <c r="C49" i="4"/>
  <c r="G49" i="4"/>
  <c r="D49" i="4"/>
  <c r="H49" i="4"/>
  <c r="L49" i="4"/>
  <c r="Q49" i="4"/>
  <c r="D39" i="4"/>
  <c r="H39" i="4"/>
  <c r="L39" i="4"/>
  <c r="C39" i="4"/>
  <c r="G39" i="4"/>
  <c r="K39" i="4"/>
  <c r="M39" i="4"/>
  <c r="I41" i="5"/>
  <c r="I15" i="5"/>
  <c r="I21" i="5"/>
  <c r="I63" i="5"/>
  <c r="I55" i="5"/>
  <c r="I50" i="5"/>
  <c r="W9" i="4"/>
  <c r="C43" i="4"/>
  <c r="H10" i="8"/>
  <c r="H9" i="5"/>
  <c r="H15" i="5"/>
  <c r="H21" i="5"/>
  <c r="H29" i="5"/>
  <c r="H37" i="5"/>
  <c r="H41" i="5"/>
  <c r="H45" i="5"/>
  <c r="H50" i="5"/>
  <c r="H55" i="5"/>
  <c r="H63" i="5"/>
  <c r="O10" i="4"/>
  <c r="S10" i="4"/>
  <c r="O8" i="4"/>
  <c r="S8" i="4"/>
  <c r="O7" i="4"/>
  <c r="S7" i="4"/>
  <c r="G16" i="4"/>
  <c r="G15" i="4"/>
  <c r="G14" i="4"/>
  <c r="G13" i="4"/>
  <c r="G12" i="4"/>
  <c r="G11" i="4"/>
  <c r="G10" i="4"/>
  <c r="G9" i="4"/>
  <c r="G8" i="4"/>
  <c r="G7" i="4"/>
  <c r="G6" i="4"/>
  <c r="G5" i="4"/>
  <c r="O66" i="5"/>
  <c r="P66" i="5"/>
  <c r="O67" i="5"/>
  <c r="P67" i="5"/>
  <c r="O65" i="5"/>
  <c r="P65" i="5"/>
  <c r="O7" i="5"/>
  <c r="B9" i="5"/>
  <c r="B15" i="5"/>
  <c r="B21" i="5"/>
  <c r="B29" i="5"/>
  <c r="B37" i="5"/>
  <c r="B41" i="5"/>
  <c r="B45" i="5"/>
  <c r="B50" i="5"/>
  <c r="B55" i="5"/>
  <c r="B63" i="5"/>
  <c r="B30" i="4"/>
  <c r="F30" i="4"/>
  <c r="B13" i="9"/>
  <c r="B11" i="9"/>
  <c r="B9" i="9"/>
  <c r="D10" i="8"/>
  <c r="E10" i="8"/>
  <c r="F10" i="8"/>
  <c r="G10" i="8"/>
  <c r="I10" i="8"/>
  <c r="J10" i="8"/>
  <c r="C10" i="8"/>
  <c r="C10" i="1"/>
  <c r="O18" i="5"/>
  <c r="P18" i="5"/>
  <c r="O19" i="5"/>
  <c r="E21" i="5"/>
  <c r="F21" i="5"/>
  <c r="C21" i="5"/>
  <c r="J21" i="5"/>
  <c r="K21" i="5"/>
  <c r="L21" i="5"/>
  <c r="G21" i="5"/>
  <c r="O24" i="5"/>
  <c r="P24" i="5"/>
  <c r="S24" i="5"/>
  <c r="O59" i="5"/>
  <c r="P59" i="5"/>
  <c r="O58" i="5"/>
  <c r="P58" i="5"/>
  <c r="O3" i="8"/>
  <c r="P51" i="4"/>
  <c r="F5" i="1"/>
  <c r="I5" i="1"/>
  <c r="I34" i="1"/>
  <c r="I55" i="1"/>
  <c r="R56" i="1"/>
  <c r="O56" i="1"/>
  <c r="C34" i="1"/>
  <c r="C56" i="1"/>
  <c r="R55" i="1"/>
  <c r="O55" i="1"/>
  <c r="R54" i="1"/>
  <c r="O54" i="1"/>
  <c r="R53" i="1"/>
  <c r="O53" i="1"/>
  <c r="C53" i="1"/>
  <c r="R52" i="1"/>
  <c r="O52" i="1"/>
  <c r="C52" i="1"/>
  <c r="R51" i="1"/>
  <c r="O51" i="1"/>
  <c r="C51" i="1"/>
  <c r="R50" i="1"/>
  <c r="O50" i="1"/>
  <c r="C50" i="1"/>
  <c r="R49" i="1"/>
  <c r="O49" i="1"/>
  <c r="C49" i="1"/>
  <c r="R48" i="1"/>
  <c r="O48" i="1"/>
  <c r="C48" i="1"/>
  <c r="R47" i="1"/>
  <c r="O47" i="1"/>
  <c r="C47" i="1"/>
  <c r="R46" i="1"/>
  <c r="O46" i="1"/>
  <c r="C46" i="1"/>
  <c r="R45" i="1"/>
  <c r="O45" i="1"/>
  <c r="C45" i="1"/>
  <c r="R42" i="1"/>
  <c r="O42" i="1"/>
  <c r="C42" i="1"/>
  <c r="R41" i="1"/>
  <c r="O41" i="1"/>
  <c r="C41" i="1"/>
  <c r="R40" i="1"/>
  <c r="O40" i="1"/>
  <c r="C40" i="1"/>
  <c r="R39" i="1"/>
  <c r="O39" i="1"/>
  <c r="C39" i="1"/>
  <c r="R38" i="1"/>
  <c r="O38" i="1"/>
  <c r="C38" i="1"/>
  <c r="F28" i="1"/>
  <c r="C28" i="1"/>
  <c r="F27" i="1"/>
  <c r="C27" i="1"/>
  <c r="F26" i="1"/>
  <c r="C26" i="1"/>
  <c r="F25" i="1"/>
  <c r="C25" i="1"/>
  <c r="F24" i="1"/>
  <c r="C24" i="1"/>
  <c r="F23" i="1"/>
  <c r="C23" i="1"/>
  <c r="F22" i="1"/>
  <c r="C22" i="1"/>
  <c r="F21" i="1"/>
  <c r="C21" i="1"/>
  <c r="F20" i="1"/>
  <c r="C20" i="1"/>
  <c r="F19" i="1"/>
  <c r="C19" i="1"/>
  <c r="F18" i="1"/>
  <c r="C18" i="1"/>
  <c r="F17" i="1"/>
  <c r="F29" i="1"/>
  <c r="C17" i="1"/>
  <c r="F14" i="1"/>
  <c r="C14" i="1"/>
  <c r="F13" i="1"/>
  <c r="C13" i="1"/>
  <c r="F12" i="1"/>
  <c r="C12" i="1"/>
  <c r="F11" i="1"/>
  <c r="C11" i="1"/>
  <c r="C15" i="1"/>
  <c r="F10" i="1"/>
  <c r="F15" i="1"/>
  <c r="S56" i="1"/>
  <c r="P56" i="1"/>
  <c r="D56" i="1"/>
  <c r="S55" i="1"/>
  <c r="P55" i="1"/>
  <c r="D55" i="1"/>
  <c r="S54" i="1"/>
  <c r="P54" i="1"/>
  <c r="D54" i="1"/>
  <c r="S53" i="1"/>
  <c r="P53" i="1"/>
  <c r="D53" i="1"/>
  <c r="S52" i="1"/>
  <c r="P52" i="1"/>
  <c r="D52" i="1"/>
  <c r="S51" i="1"/>
  <c r="P51" i="1"/>
  <c r="D51" i="1"/>
  <c r="S50" i="1"/>
  <c r="P50" i="1"/>
  <c r="D50" i="1"/>
  <c r="S49" i="1"/>
  <c r="P49" i="1"/>
  <c r="D49" i="1"/>
  <c r="S48" i="1"/>
  <c r="P48" i="1"/>
  <c r="D48" i="1"/>
  <c r="S47" i="1"/>
  <c r="P47" i="1"/>
  <c r="D47" i="1"/>
  <c r="S46" i="1"/>
  <c r="P46" i="1"/>
  <c r="P45" i="1"/>
  <c r="P38" i="1"/>
  <c r="P39" i="1"/>
  <c r="P40" i="1"/>
  <c r="P41" i="1"/>
  <c r="P42" i="1"/>
  <c r="D46" i="1"/>
  <c r="D45" i="1"/>
  <c r="D38" i="1"/>
  <c r="D39" i="1"/>
  <c r="D40" i="1"/>
  <c r="D41" i="1"/>
  <c r="D42" i="1"/>
  <c r="S45" i="1"/>
  <c r="S42" i="1"/>
  <c r="S41" i="1"/>
  <c r="S40" i="1"/>
  <c r="S39" i="1"/>
  <c r="S38" i="1"/>
  <c r="G28" i="1"/>
  <c r="D28" i="1"/>
  <c r="G27" i="1"/>
  <c r="D27" i="1"/>
  <c r="G26" i="1"/>
  <c r="D26" i="1"/>
  <c r="G25" i="1"/>
  <c r="D25" i="1"/>
  <c r="G24" i="1"/>
  <c r="D24" i="1"/>
  <c r="G23" i="1"/>
  <c r="D23" i="1"/>
  <c r="G22" i="1"/>
  <c r="D22" i="1"/>
  <c r="G21" i="1"/>
  <c r="D21" i="1"/>
  <c r="G20" i="1"/>
  <c r="D20" i="1"/>
  <c r="G19" i="1"/>
  <c r="D19" i="1"/>
  <c r="G18" i="1"/>
  <c r="D18" i="1"/>
  <c r="D17" i="1"/>
  <c r="G17" i="1"/>
  <c r="G14" i="1"/>
  <c r="D14" i="1"/>
  <c r="G13" i="1"/>
  <c r="D13" i="1"/>
  <c r="G12" i="1"/>
  <c r="D12" i="1"/>
  <c r="G11" i="1"/>
  <c r="D11" i="1"/>
  <c r="G10" i="1"/>
  <c r="D10" i="1"/>
  <c r="D15" i="1"/>
  <c r="E40" i="4"/>
  <c r="E45" i="4"/>
  <c r="E46" i="4"/>
  <c r="E47" i="4"/>
  <c r="E48" i="4"/>
  <c r="E49" i="4"/>
  <c r="E50" i="4"/>
  <c r="Y21" i="4"/>
  <c r="Y22" i="4"/>
  <c r="Y23" i="4"/>
  <c r="Y24" i="4"/>
  <c r="Y20" i="4"/>
  <c r="U21" i="4"/>
  <c r="U22" i="4"/>
  <c r="U23" i="4"/>
  <c r="U24" i="4"/>
  <c r="U20" i="4"/>
  <c r="U25" i="4"/>
  <c r="Y11" i="4"/>
  <c r="Y12" i="4"/>
  <c r="Y13" i="4"/>
  <c r="Y14" i="4"/>
  <c r="Y15" i="4"/>
  <c r="Y16" i="4"/>
  <c r="Y9" i="4"/>
  <c r="Y6" i="4"/>
  <c r="Y5" i="4"/>
  <c r="U9" i="4"/>
  <c r="U11" i="4"/>
  <c r="U12" i="4"/>
  <c r="U13" i="4"/>
  <c r="U14" i="4"/>
  <c r="U15" i="4"/>
  <c r="U16" i="4"/>
  <c r="U6" i="4"/>
  <c r="U5" i="4"/>
  <c r="Q6" i="4"/>
  <c r="Q7" i="4"/>
  <c r="Q8" i="4"/>
  <c r="Q9" i="4"/>
  <c r="Q10" i="4"/>
  <c r="Q11" i="4"/>
  <c r="Q12" i="4"/>
  <c r="Q13" i="4"/>
  <c r="Q14" i="4"/>
  <c r="Q15" i="4"/>
  <c r="Q16" i="4"/>
  <c r="Q5" i="4"/>
  <c r="Q17" i="4"/>
  <c r="M6" i="4"/>
  <c r="M7" i="4"/>
  <c r="M8" i="4"/>
  <c r="M9" i="4"/>
  <c r="M10" i="4"/>
  <c r="M11" i="4"/>
  <c r="M12" i="4"/>
  <c r="M13" i="4"/>
  <c r="M14" i="4"/>
  <c r="M15" i="4"/>
  <c r="M16" i="4"/>
  <c r="M5" i="4"/>
  <c r="M17" i="4"/>
  <c r="E6" i="4"/>
  <c r="E7" i="4"/>
  <c r="E8" i="4"/>
  <c r="E9" i="4"/>
  <c r="E10" i="4"/>
  <c r="E11" i="4"/>
  <c r="E12" i="4"/>
  <c r="E13" i="4"/>
  <c r="E14" i="4"/>
  <c r="E15" i="4"/>
  <c r="E16" i="4"/>
  <c r="I6" i="4"/>
  <c r="I7" i="4"/>
  <c r="I8" i="4"/>
  <c r="I9" i="4"/>
  <c r="I10" i="4"/>
  <c r="I11" i="4"/>
  <c r="I12" i="4"/>
  <c r="I13" i="4"/>
  <c r="I14" i="4"/>
  <c r="I15" i="4"/>
  <c r="I16" i="4"/>
  <c r="I5" i="4"/>
  <c r="I17" i="4"/>
  <c r="Q43" i="1"/>
  <c r="Q57" i="1"/>
  <c r="N43" i="1"/>
  <c r="N57" i="1"/>
  <c r="K43" i="1"/>
  <c r="K57" i="1"/>
  <c r="H43" i="1"/>
  <c r="H57" i="1"/>
  <c r="E43" i="1"/>
  <c r="E57" i="1"/>
  <c r="B43" i="1"/>
  <c r="B57" i="1"/>
  <c r="G5" i="1"/>
  <c r="G34" i="1"/>
  <c r="D5" i="1"/>
  <c r="D34" i="1"/>
  <c r="Q15" i="1"/>
  <c r="Q29" i="1"/>
  <c r="N15" i="1"/>
  <c r="N29" i="1"/>
  <c r="N30" i="1"/>
  <c r="K15" i="1"/>
  <c r="K29" i="1"/>
  <c r="K30" i="1"/>
  <c r="H15" i="1"/>
  <c r="H29" i="1"/>
  <c r="H30" i="1"/>
  <c r="G15" i="1"/>
  <c r="E15" i="1"/>
  <c r="E29" i="1"/>
  <c r="E30" i="1"/>
  <c r="B15" i="1"/>
  <c r="B29" i="1"/>
  <c r="B30" i="1"/>
  <c r="E37" i="5"/>
  <c r="V66" i="4"/>
  <c r="V68" i="4"/>
  <c r="R66" i="4"/>
  <c r="R68" i="4"/>
  <c r="N66" i="4"/>
  <c r="N68" i="4"/>
  <c r="Y66" i="4"/>
  <c r="X66" i="4"/>
  <c r="W66" i="4"/>
  <c r="U66" i="4"/>
  <c r="T66" i="4"/>
  <c r="S66" i="4"/>
  <c r="Q66" i="4"/>
  <c r="P66" i="4"/>
  <c r="O66" i="4"/>
  <c r="M66" i="4"/>
  <c r="L66" i="4"/>
  <c r="K66" i="4"/>
  <c r="I66" i="4"/>
  <c r="H66" i="4"/>
  <c r="G66" i="4"/>
  <c r="E66" i="4"/>
  <c r="D66" i="4"/>
  <c r="C66" i="4"/>
  <c r="Y39" i="4"/>
  <c r="Y40" i="4"/>
  <c r="Y41" i="4"/>
  <c r="Y42" i="4"/>
  <c r="Y44" i="4"/>
  <c r="Y45" i="4"/>
  <c r="Y46" i="4"/>
  <c r="Y47" i="4"/>
  <c r="Y48" i="4"/>
  <c r="Y49" i="4"/>
  <c r="Y50" i="4"/>
  <c r="Y54" i="4"/>
  <c r="Y55" i="4"/>
  <c r="Y56" i="4"/>
  <c r="Y57" i="4"/>
  <c r="Y58" i="4"/>
  <c r="Y59" i="4"/>
  <c r="X51" i="4"/>
  <c r="X59" i="4"/>
  <c r="W59" i="4"/>
  <c r="U39" i="4"/>
  <c r="U40" i="4"/>
  <c r="U41" i="4"/>
  <c r="U42" i="4"/>
  <c r="U43" i="4"/>
  <c r="W43" i="4"/>
  <c r="Y43" i="4"/>
  <c r="U44" i="4"/>
  <c r="U45" i="4"/>
  <c r="U46" i="4"/>
  <c r="U47" i="4"/>
  <c r="U48" i="4"/>
  <c r="U49" i="4"/>
  <c r="U50" i="4"/>
  <c r="U54" i="4"/>
  <c r="U55" i="4"/>
  <c r="U56" i="4"/>
  <c r="U57" i="4"/>
  <c r="U58" i="4"/>
  <c r="T51" i="4"/>
  <c r="T59" i="4"/>
  <c r="S51" i="4"/>
  <c r="S59" i="4"/>
  <c r="P59" i="4"/>
  <c r="P61" i="4"/>
  <c r="I54" i="4"/>
  <c r="I55" i="4"/>
  <c r="I56" i="4"/>
  <c r="I57" i="4"/>
  <c r="I58" i="4"/>
  <c r="H59" i="4"/>
  <c r="G59" i="4"/>
  <c r="E39" i="4"/>
  <c r="E54" i="4"/>
  <c r="E59" i="4"/>
  <c r="E55" i="4"/>
  <c r="E56" i="4"/>
  <c r="E57" i="4"/>
  <c r="E58" i="4"/>
  <c r="D51" i="4"/>
  <c r="D59" i="4"/>
  <c r="D61" i="4"/>
  <c r="C59" i="4"/>
  <c r="Y32" i="4"/>
  <c r="X32" i="4"/>
  <c r="W32" i="4"/>
  <c r="U32" i="4"/>
  <c r="T32" i="4"/>
  <c r="S32" i="4"/>
  <c r="Q32" i="4"/>
  <c r="P32" i="4"/>
  <c r="O32" i="4"/>
  <c r="M32" i="4"/>
  <c r="L32" i="4"/>
  <c r="K32" i="4"/>
  <c r="I32" i="4"/>
  <c r="H32" i="4"/>
  <c r="G32" i="4"/>
  <c r="E32" i="4"/>
  <c r="D32" i="4"/>
  <c r="C32" i="4"/>
  <c r="Y25" i="4"/>
  <c r="X17" i="4"/>
  <c r="X27" i="4"/>
  <c r="X25" i="4"/>
  <c r="W25" i="4"/>
  <c r="T17" i="4"/>
  <c r="T25" i="4"/>
  <c r="T27" i="4"/>
  <c r="S25" i="4"/>
  <c r="Q20" i="4"/>
  <c r="Q21" i="4"/>
  <c r="Q22" i="4"/>
  <c r="Q23" i="4"/>
  <c r="Q24" i="4"/>
  <c r="Q25" i="4"/>
  <c r="P17" i="4"/>
  <c r="P25" i="4"/>
  <c r="P27" i="4"/>
  <c r="O17" i="4"/>
  <c r="O27" i="4"/>
  <c r="O25" i="4"/>
  <c r="M20" i="4"/>
  <c r="M21" i="4"/>
  <c r="M22" i="4"/>
  <c r="M23" i="4"/>
  <c r="M24" i="4"/>
  <c r="L17" i="4"/>
  <c r="L25" i="4"/>
  <c r="L27" i="4"/>
  <c r="K17" i="4"/>
  <c r="K25" i="4"/>
  <c r="I20" i="4"/>
  <c r="I21" i="4"/>
  <c r="I22" i="4"/>
  <c r="I23" i="4"/>
  <c r="I24" i="4"/>
  <c r="H17" i="4"/>
  <c r="H25" i="4"/>
  <c r="H27" i="4"/>
  <c r="G17" i="4"/>
  <c r="G27" i="4"/>
  <c r="G25" i="4"/>
  <c r="E5" i="4"/>
  <c r="E17" i="4"/>
  <c r="E20" i="4"/>
  <c r="E21" i="4"/>
  <c r="E22" i="4"/>
  <c r="E23" i="4"/>
  <c r="E24" i="4"/>
  <c r="D17" i="4"/>
  <c r="D27" i="4"/>
  <c r="D25" i="4"/>
  <c r="C17" i="4"/>
  <c r="C25" i="4"/>
  <c r="C27" i="4"/>
  <c r="O36" i="5"/>
  <c r="P36" i="5"/>
  <c r="N10" i="7"/>
  <c r="B17" i="7"/>
  <c r="L17" i="7"/>
  <c r="K17" i="7"/>
  <c r="J17" i="7"/>
  <c r="I17" i="7"/>
  <c r="H17" i="7"/>
  <c r="F17" i="7"/>
  <c r="E17" i="7"/>
  <c r="D17" i="7"/>
  <c r="C17" i="7"/>
  <c r="O8" i="8"/>
  <c r="N21" i="7"/>
  <c r="N7" i="7"/>
  <c r="N9" i="7"/>
  <c r="N12" i="7"/>
  <c r="N13" i="7"/>
  <c r="N15" i="7"/>
  <c r="N16" i="7"/>
  <c r="N11" i="7"/>
  <c r="O8" i="5"/>
  <c r="P8" i="5"/>
  <c r="O12" i="5"/>
  <c r="O13" i="5"/>
  <c r="O14" i="5"/>
  <c r="O25" i="5"/>
  <c r="O26" i="5"/>
  <c r="P26" i="5"/>
  <c r="O27" i="5"/>
  <c r="O28" i="5"/>
  <c r="O32" i="5"/>
  <c r="O33" i="5"/>
  <c r="P33" i="5"/>
  <c r="O34" i="5"/>
  <c r="O35" i="5"/>
  <c r="O40" i="5"/>
  <c r="O44" i="5"/>
  <c r="O48" i="5"/>
  <c r="P48" i="5"/>
  <c r="O49" i="5"/>
  <c r="O53" i="5"/>
  <c r="P53" i="5"/>
  <c r="O54" i="5"/>
  <c r="P54" i="5"/>
  <c r="S59" i="5"/>
  <c r="O60" i="5"/>
  <c r="P60" i="5"/>
  <c r="O61" i="5"/>
  <c r="O62" i="5"/>
  <c r="L9" i="5"/>
  <c r="L15" i="5"/>
  <c r="L29" i="5"/>
  <c r="L37" i="5"/>
  <c r="L41" i="5"/>
  <c r="L45" i="5"/>
  <c r="L50" i="5"/>
  <c r="L55" i="5"/>
  <c r="L63" i="5"/>
  <c r="K9" i="5"/>
  <c r="K15" i="5"/>
  <c r="K29" i="5"/>
  <c r="K37" i="5"/>
  <c r="K41" i="5"/>
  <c r="K45" i="5"/>
  <c r="K50" i="5"/>
  <c r="K55" i="5"/>
  <c r="K63" i="5"/>
  <c r="J9" i="5"/>
  <c r="J15" i="5"/>
  <c r="J29" i="5"/>
  <c r="J37" i="5"/>
  <c r="J41" i="5"/>
  <c r="J55" i="5"/>
  <c r="J45" i="5"/>
  <c r="J50" i="5"/>
  <c r="J63" i="5"/>
  <c r="I9" i="5"/>
  <c r="I29" i="5"/>
  <c r="I37" i="5"/>
  <c r="I45" i="5"/>
  <c r="G9" i="5"/>
  <c r="G15" i="5"/>
  <c r="G29" i="5"/>
  <c r="G37" i="5"/>
  <c r="G41" i="5"/>
  <c r="G45" i="5"/>
  <c r="G50" i="5"/>
  <c r="G55" i="5"/>
  <c r="G63" i="5"/>
  <c r="F9" i="5"/>
  <c r="F15" i="5"/>
  <c r="F29" i="5"/>
  <c r="F37" i="5"/>
  <c r="F41" i="5"/>
  <c r="F45" i="5"/>
  <c r="F50" i="5"/>
  <c r="F55" i="5"/>
  <c r="F63" i="5"/>
  <c r="E9" i="5"/>
  <c r="E15" i="5"/>
  <c r="E29" i="5"/>
  <c r="E41" i="5"/>
  <c r="E45" i="5"/>
  <c r="E50" i="5"/>
  <c r="E63" i="5"/>
  <c r="D9" i="5"/>
  <c r="D15" i="5"/>
  <c r="D29" i="5"/>
  <c r="D37" i="5"/>
  <c r="D41" i="5"/>
  <c r="D45" i="5"/>
  <c r="D50" i="5"/>
  <c r="D63" i="5"/>
  <c r="C9" i="5"/>
  <c r="C15" i="5"/>
  <c r="C29" i="5"/>
  <c r="C37" i="5"/>
  <c r="C41" i="5"/>
  <c r="C45" i="5"/>
  <c r="C50" i="5"/>
  <c r="C55" i="5"/>
  <c r="C63" i="5"/>
  <c r="S58" i="5"/>
  <c r="H51" i="4"/>
  <c r="H61" i="4"/>
  <c r="C29" i="1"/>
  <c r="L5" i="1"/>
  <c r="I27" i="1"/>
  <c r="I25" i="1"/>
  <c r="I23" i="1"/>
  <c r="I21" i="1"/>
  <c r="I19" i="1"/>
  <c r="I17" i="1"/>
  <c r="I13" i="1"/>
  <c r="I11" i="1"/>
  <c r="J27" i="1"/>
  <c r="J25" i="1"/>
  <c r="J23" i="1"/>
  <c r="J21" i="1"/>
  <c r="J19" i="1"/>
  <c r="J17" i="1"/>
  <c r="J13" i="1"/>
  <c r="J11" i="1"/>
  <c r="O21" i="5"/>
  <c r="W8" i="4"/>
  <c r="U8" i="4"/>
  <c r="M5" i="1"/>
  <c r="M34" i="1"/>
  <c r="O5" i="1"/>
  <c r="L25" i="1"/>
  <c r="L21" i="1"/>
  <c r="L17" i="1"/>
  <c r="L12" i="1"/>
  <c r="M28" i="1"/>
  <c r="M24" i="1"/>
  <c r="M20" i="1"/>
  <c r="M14" i="1"/>
  <c r="M10" i="1"/>
  <c r="L24" i="1"/>
  <c r="L18" i="1"/>
  <c r="L26" i="1"/>
  <c r="L11" i="1"/>
  <c r="M25" i="1"/>
  <c r="M17" i="1"/>
  <c r="L13" i="1"/>
  <c r="M23" i="1"/>
  <c r="M13" i="1"/>
  <c r="P28" i="1"/>
  <c r="P24" i="1"/>
  <c r="P20" i="1"/>
  <c r="P14" i="1"/>
  <c r="P10" i="1"/>
  <c r="O34" i="1"/>
  <c r="O28" i="1"/>
  <c r="O26" i="1"/>
  <c r="O24" i="1"/>
  <c r="O22" i="1"/>
  <c r="O20" i="1"/>
  <c r="O18" i="1"/>
  <c r="O13" i="1"/>
  <c r="O11" i="1"/>
  <c r="P5" i="1"/>
  <c r="P34" i="1"/>
  <c r="P25" i="1"/>
  <c r="P21" i="1"/>
  <c r="P17" i="1"/>
  <c r="P11" i="1"/>
  <c r="R5" i="1"/>
  <c r="R27" i="1"/>
  <c r="O25" i="1"/>
  <c r="O21" i="1"/>
  <c r="O17" i="1"/>
  <c r="O12" i="1"/>
  <c r="P27" i="1"/>
  <c r="P23" i="1"/>
  <c r="P19" i="1"/>
  <c r="P13" i="1"/>
  <c r="O27" i="1"/>
  <c r="O23" i="1"/>
  <c r="O19" i="1"/>
  <c r="O14" i="1"/>
  <c r="O10" i="1"/>
  <c r="R25" i="1"/>
  <c r="R21" i="1"/>
  <c r="R17" i="1"/>
  <c r="R11" i="1"/>
  <c r="S25" i="1"/>
  <c r="S21" i="1"/>
  <c r="S17" i="1"/>
  <c r="S12" i="1"/>
  <c r="R28" i="1"/>
  <c r="R20" i="1"/>
  <c r="R10" i="1"/>
  <c r="S22" i="1"/>
  <c r="S5" i="1"/>
  <c r="S34" i="1"/>
  <c r="R26" i="1"/>
  <c r="R18" i="1"/>
  <c r="S24" i="1"/>
  <c r="S11" i="1"/>
  <c r="S13" i="1"/>
  <c r="B58" i="1"/>
  <c r="F30" i="1"/>
  <c r="J39" i="1"/>
  <c r="J42" i="1"/>
  <c r="J47" i="1"/>
  <c r="J49" i="1"/>
  <c r="J52" i="1"/>
  <c r="J54" i="1"/>
  <c r="J56" i="1"/>
  <c r="I41" i="1"/>
  <c r="I45" i="1"/>
  <c r="I46" i="1"/>
  <c r="I47" i="1"/>
  <c r="I48" i="1"/>
  <c r="I49" i="1"/>
  <c r="I50" i="1"/>
  <c r="I51" i="1"/>
  <c r="I52" i="1"/>
  <c r="I53" i="1"/>
  <c r="I54" i="1"/>
  <c r="I56" i="1"/>
  <c r="Q30" i="1"/>
  <c r="E58" i="1"/>
  <c r="J38" i="1"/>
  <c r="J40" i="1"/>
  <c r="J41" i="1"/>
  <c r="J45" i="1"/>
  <c r="J46" i="1"/>
  <c r="J48" i="1"/>
  <c r="J50" i="1"/>
  <c r="J51" i="1"/>
  <c r="J53" i="1"/>
  <c r="J55" i="1"/>
  <c r="I38" i="1"/>
  <c r="I39" i="1"/>
  <c r="I40" i="1"/>
  <c r="I42" i="1"/>
  <c r="H58" i="1"/>
  <c r="Q27" i="4"/>
  <c r="I28" i="1"/>
  <c r="I24" i="1"/>
  <c r="I20" i="1"/>
  <c r="I14" i="1"/>
  <c r="I12" i="1"/>
  <c r="I10" i="1"/>
  <c r="I18" i="1"/>
  <c r="I22" i="1"/>
  <c r="I26" i="1"/>
  <c r="J26" i="1"/>
  <c r="J22" i="1"/>
  <c r="J18" i="1"/>
  <c r="J14" i="1"/>
  <c r="J10" i="1"/>
  <c r="J12" i="1"/>
  <c r="J20" i="1"/>
  <c r="J24" i="1"/>
  <c r="J28" i="1"/>
  <c r="J5" i="1"/>
  <c r="J34" i="1"/>
  <c r="W7" i="4"/>
  <c r="C41" i="4"/>
  <c r="U7" i="4"/>
  <c r="I39" i="4"/>
  <c r="F34" i="1"/>
  <c r="F42" i="1"/>
  <c r="S36" i="5"/>
  <c r="F39" i="1"/>
  <c r="G53" i="1"/>
  <c r="G49" i="1"/>
  <c r="G47" i="1"/>
  <c r="G45" i="1"/>
  <c r="F55" i="1"/>
  <c r="F53" i="1"/>
  <c r="F51" i="1"/>
  <c r="F49" i="1"/>
  <c r="F47" i="1"/>
  <c r="F45" i="1"/>
  <c r="G41" i="1"/>
  <c r="G39" i="1"/>
  <c r="Y7" i="4"/>
  <c r="M11" i="1"/>
  <c r="M12" i="1"/>
  <c r="I59" i="4"/>
  <c r="C30" i="1"/>
  <c r="U10" i="4"/>
  <c r="U17" i="4"/>
  <c r="U27" i="4"/>
  <c r="S17" i="4"/>
  <c r="S27" i="4"/>
  <c r="W10" i="4"/>
  <c r="K49" i="4"/>
  <c r="M49" i="4"/>
  <c r="I49" i="4"/>
  <c r="K47" i="4"/>
  <c r="M47" i="4"/>
  <c r="I47" i="4"/>
  <c r="K40" i="4"/>
  <c r="I40" i="4"/>
  <c r="M54" i="4"/>
  <c r="M59" i="4"/>
  <c r="K59" i="4"/>
  <c r="G38" i="1"/>
  <c r="G40" i="1"/>
  <c r="G42" i="1"/>
  <c r="F38" i="1"/>
  <c r="F46" i="1"/>
  <c r="F48" i="1"/>
  <c r="F50" i="1"/>
  <c r="F52" i="1"/>
  <c r="F54" i="1"/>
  <c r="F56" i="1"/>
  <c r="G46" i="1"/>
  <c r="G48" i="1"/>
  <c r="G50" i="1"/>
  <c r="G52" i="1"/>
  <c r="G54" i="1"/>
  <c r="G56" i="1"/>
  <c r="F40" i="1"/>
  <c r="I46" i="4"/>
  <c r="R34" i="1"/>
  <c r="S20" i="1"/>
  <c r="S28" i="1"/>
  <c r="R22" i="1"/>
  <c r="S18" i="1"/>
  <c r="S26" i="1"/>
  <c r="R12" i="1"/>
  <c r="R14" i="1"/>
  <c r="R24" i="1"/>
  <c r="S10" i="1"/>
  <c r="S14" i="1"/>
  <c r="S19" i="1"/>
  <c r="S23" i="1"/>
  <c r="S27" i="1"/>
  <c r="R13" i="1"/>
  <c r="R19" i="1"/>
  <c r="R23" i="1"/>
  <c r="P26" i="1"/>
  <c r="P22" i="1"/>
  <c r="P18" i="1"/>
  <c r="P12" i="1"/>
  <c r="P15" i="1"/>
  <c r="C42" i="4"/>
  <c r="Y8" i="4"/>
  <c r="L27" i="1"/>
  <c r="L23" i="1"/>
  <c r="L19" i="1"/>
  <c r="L20" i="1"/>
  <c r="L22" i="1"/>
  <c r="L28" i="1"/>
  <c r="L14" i="1"/>
  <c r="L10" i="1"/>
  <c r="M26" i="1"/>
  <c r="M22" i="1"/>
  <c r="M18" i="1"/>
  <c r="M19" i="1"/>
  <c r="M21" i="1"/>
  <c r="M27" i="1"/>
  <c r="L34" i="1"/>
  <c r="L51" i="4"/>
  <c r="I25" i="4"/>
  <c r="I27" i="4"/>
  <c r="L59" i="4"/>
  <c r="K50" i="4"/>
  <c r="M50" i="4"/>
  <c r="K48" i="4"/>
  <c r="M48" i="4"/>
  <c r="I45" i="4"/>
  <c r="R15" i="1"/>
  <c r="S29" i="1"/>
  <c r="F57" i="1"/>
  <c r="M40" i="4"/>
  <c r="C44" i="4"/>
  <c r="G44" i="4"/>
  <c r="Y10" i="4"/>
  <c r="Y17" i="4"/>
  <c r="Y27" i="4"/>
  <c r="W17" i="4"/>
  <c r="W27" i="4"/>
  <c r="L61" i="4"/>
  <c r="E42" i="4"/>
  <c r="G42" i="4"/>
  <c r="S15" i="1"/>
  <c r="S30" i="1"/>
  <c r="K42" i="4"/>
  <c r="M42" i="4"/>
  <c r="I42" i="4"/>
  <c r="E44" i="4"/>
  <c r="K58" i="1"/>
  <c r="G41" i="4"/>
  <c r="I41" i="4"/>
  <c r="E41" i="4"/>
  <c r="C51" i="4"/>
  <c r="C61" i="4"/>
  <c r="M46" i="4"/>
  <c r="G51" i="1"/>
  <c r="G55" i="1"/>
  <c r="F41" i="1"/>
  <c r="J30" i="4"/>
  <c r="F32" i="4"/>
  <c r="F34" i="4"/>
  <c r="G43" i="4"/>
  <c r="E43" i="4"/>
  <c r="M45" i="4"/>
  <c r="I50" i="4"/>
  <c r="C54" i="1"/>
  <c r="C55" i="1"/>
  <c r="K43" i="4"/>
  <c r="M43" i="4"/>
  <c r="I43" i="4"/>
  <c r="N30" i="4"/>
  <c r="J32" i="4"/>
  <c r="J34" i="4"/>
  <c r="K41" i="4"/>
  <c r="E51" i="4"/>
  <c r="E61" i="4"/>
  <c r="M41" i="4"/>
  <c r="R30" i="4"/>
  <c r="N32" i="4"/>
  <c r="N34" i="4"/>
  <c r="V30" i="4"/>
  <c r="B64" i="4"/>
  <c r="R32" i="4"/>
  <c r="R34" i="4"/>
  <c r="V32" i="4"/>
  <c r="V34" i="4"/>
  <c r="P12" i="5"/>
  <c r="O15" i="5"/>
  <c r="O10" i="8"/>
  <c r="F68" i="5"/>
  <c r="G68" i="5"/>
  <c r="J68" i="5"/>
  <c r="C68" i="5"/>
  <c r="P55" i="5"/>
  <c r="K68" i="5"/>
  <c r="P62" i="5"/>
  <c r="S62" i="5"/>
  <c r="P61" i="5"/>
  <c r="S61" i="5"/>
  <c r="P49" i="5"/>
  <c r="P50" i="5"/>
  <c r="S50" i="5"/>
  <c r="O45" i="5"/>
  <c r="P44" i="5"/>
  <c r="P45" i="5"/>
  <c r="S45" i="5"/>
  <c r="O41" i="5"/>
  <c r="P40" i="5"/>
  <c r="P41" i="5"/>
  <c r="S41" i="5"/>
  <c r="P34" i="5"/>
  <c r="S34" i="5"/>
  <c r="P32" i="5"/>
  <c r="S32" i="5"/>
  <c r="P35" i="5"/>
  <c r="S35" i="5"/>
  <c r="P28" i="5"/>
  <c r="S28" i="5"/>
  <c r="P27" i="5"/>
  <c r="S27" i="5"/>
  <c r="P25" i="5"/>
  <c r="P20" i="5"/>
  <c r="S20" i="5"/>
  <c r="P19" i="5"/>
  <c r="S19" i="5"/>
  <c r="P14" i="5"/>
  <c r="S14" i="5"/>
  <c r="P13" i="5"/>
  <c r="S13" i="5"/>
  <c r="P7" i="5"/>
  <c r="P9" i="5"/>
  <c r="X61" i="4"/>
  <c r="Y51" i="4"/>
  <c r="Y61" i="4"/>
  <c r="W51" i="4"/>
  <c r="W61" i="4"/>
  <c r="R57" i="1"/>
  <c r="Q58" i="1"/>
  <c r="R43" i="1"/>
  <c r="R58" i="1"/>
  <c r="D68" i="5"/>
  <c r="N17" i="7"/>
  <c r="O55" i="5"/>
  <c r="O29" i="5"/>
  <c r="O63" i="5"/>
  <c r="S53" i="5"/>
  <c r="O50" i="5"/>
  <c r="O9" i="5"/>
  <c r="O37" i="5"/>
  <c r="U51" i="4"/>
  <c r="S61" i="4"/>
  <c r="U59" i="4"/>
  <c r="U61" i="4"/>
  <c r="T61" i="4"/>
  <c r="P57" i="1"/>
  <c r="O43" i="1"/>
  <c r="N58" i="1"/>
  <c r="L15" i="1"/>
  <c r="O29" i="1"/>
  <c r="S57" i="1"/>
  <c r="P29" i="1"/>
  <c r="O15" i="1"/>
  <c r="F43" i="1"/>
  <c r="S43" i="1"/>
  <c r="S58" i="1"/>
  <c r="J29" i="1"/>
  <c r="G29" i="1"/>
  <c r="G30" i="1"/>
  <c r="D43" i="1"/>
  <c r="M29" i="1"/>
  <c r="M15" i="1"/>
  <c r="G43" i="1"/>
  <c r="J15" i="1"/>
  <c r="J30" i="1"/>
  <c r="D29" i="1"/>
  <c r="D30" i="1"/>
  <c r="D57" i="1"/>
  <c r="P30" i="1"/>
  <c r="F58" i="1"/>
  <c r="I29" i="1"/>
  <c r="O30" i="1"/>
  <c r="L29" i="1"/>
  <c r="L30" i="1"/>
  <c r="I15" i="1"/>
  <c r="I57" i="1"/>
  <c r="R29" i="1"/>
  <c r="R30" i="1"/>
  <c r="O57" i="1"/>
  <c r="P43" i="1"/>
  <c r="J43" i="1"/>
  <c r="I43" i="1"/>
  <c r="C43" i="1"/>
  <c r="G57" i="1"/>
  <c r="G58" i="1"/>
  <c r="J57" i="1"/>
  <c r="J58" i="1"/>
  <c r="C57" i="1"/>
  <c r="D58" i="1"/>
  <c r="L68" i="5"/>
  <c r="S8" i="5"/>
  <c r="S54" i="5"/>
  <c r="S18" i="5"/>
  <c r="E68" i="5"/>
  <c r="I68" i="5"/>
  <c r="B68" i="5"/>
  <c r="H68" i="5"/>
  <c r="F64" i="4"/>
  <c r="B66" i="4"/>
  <c r="B68" i="4"/>
  <c r="S60" i="5"/>
  <c r="S48" i="5"/>
  <c r="S33" i="5"/>
  <c r="S26" i="5"/>
  <c r="S12" i="5"/>
  <c r="K44" i="4"/>
  <c r="M44" i="4"/>
  <c r="M51" i="4"/>
  <c r="M61" i="4"/>
  <c r="I44" i="4"/>
  <c r="I51" i="4"/>
  <c r="I61" i="4"/>
  <c r="G51" i="4"/>
  <c r="G61" i="4"/>
  <c r="M30" i="1"/>
  <c r="L56" i="1"/>
  <c r="L54" i="1"/>
  <c r="L45" i="1"/>
  <c r="M56" i="1"/>
  <c r="M55" i="1"/>
  <c r="M54" i="1"/>
  <c r="M53" i="1"/>
  <c r="M52" i="1"/>
  <c r="M51" i="1"/>
  <c r="M50" i="1"/>
  <c r="M49" i="1"/>
  <c r="M48" i="1"/>
  <c r="M47" i="1"/>
  <c r="M45" i="1"/>
  <c r="M42" i="1"/>
  <c r="M41" i="1"/>
  <c r="M40" i="1"/>
  <c r="M39" i="1"/>
  <c r="M38" i="1"/>
  <c r="L38" i="1"/>
  <c r="L55" i="1"/>
  <c r="L53" i="1"/>
  <c r="L52" i="1"/>
  <c r="L51" i="1"/>
  <c r="L50" i="1"/>
  <c r="L49" i="1"/>
  <c r="L48" i="1"/>
  <c r="L47" i="1"/>
  <c r="L46" i="1"/>
  <c r="L42" i="1"/>
  <c r="L41" i="1"/>
  <c r="L40" i="1"/>
  <c r="L39" i="1"/>
  <c r="M46" i="1"/>
  <c r="O51" i="4"/>
  <c r="Q39" i="4"/>
  <c r="Q51" i="4"/>
  <c r="E25" i="4"/>
  <c r="E27" i="4"/>
  <c r="K27" i="4"/>
  <c r="M25" i="4"/>
  <c r="M27" i="4"/>
  <c r="P58" i="1"/>
  <c r="O58" i="1"/>
  <c r="Q54" i="4"/>
  <c r="Q59" i="4"/>
  <c r="O59" i="4"/>
  <c r="B32" i="4"/>
  <c r="B34" i="4"/>
  <c r="P63" i="5"/>
  <c r="S63" i="5"/>
  <c r="S49" i="5"/>
  <c r="S40" i="5"/>
  <c r="P37" i="5"/>
  <c r="S37" i="5"/>
  <c r="P29" i="5"/>
  <c r="S29" i="5"/>
  <c r="S25" i="5"/>
  <c r="P21" i="5"/>
  <c r="S21" i="5"/>
  <c r="P15" i="5"/>
  <c r="S15" i="5"/>
  <c r="S9" i="5"/>
  <c r="S7" i="5"/>
  <c r="S55" i="5"/>
  <c r="O68" i="5"/>
  <c r="S44" i="5"/>
  <c r="I30" i="1"/>
  <c r="C58" i="1"/>
  <c r="I58" i="1"/>
  <c r="M43" i="1"/>
  <c r="O61" i="4"/>
  <c r="L57" i="1"/>
  <c r="F66" i="4"/>
  <c r="F68" i="4"/>
  <c r="J64" i="4"/>
  <c r="J66" i="4"/>
  <c r="J68" i="4"/>
  <c r="Q61" i="4"/>
  <c r="L43" i="1"/>
  <c r="L58" i="1"/>
  <c r="M57" i="1"/>
  <c r="K51" i="4"/>
  <c r="K61" i="4"/>
  <c r="P68" i="5"/>
  <c r="S68" i="5"/>
  <c r="M58" i="1"/>
</calcChain>
</file>

<file path=xl/sharedStrings.xml><?xml version="1.0" encoding="utf-8"?>
<sst xmlns="http://schemas.openxmlformats.org/spreadsheetml/2006/main" count="787" uniqueCount="233">
  <si>
    <t>January</t>
  </si>
  <si>
    <t>February</t>
  </si>
  <si>
    <t>March</t>
  </si>
  <si>
    <t>April</t>
  </si>
  <si>
    <t>May</t>
  </si>
  <si>
    <t>June</t>
  </si>
  <si>
    <t>July</t>
  </si>
  <si>
    <t>August</t>
  </si>
  <si>
    <t>September</t>
  </si>
  <si>
    <t>October</t>
  </si>
  <si>
    <t>November</t>
  </si>
  <si>
    <t>December</t>
  </si>
  <si>
    <t xml:space="preserve"> </t>
  </si>
  <si>
    <t>OBMC</t>
  </si>
  <si>
    <t>DBP</t>
  </si>
  <si>
    <t>Service Accounts</t>
  </si>
  <si>
    <t>Year-to-Date Total Cost</t>
  </si>
  <si>
    <t>Annual Total Cost</t>
  </si>
  <si>
    <t>Cost Item</t>
  </si>
  <si>
    <t>Date</t>
  </si>
  <si>
    <t xml:space="preserve">  Sub-Total Interruptible</t>
  </si>
  <si>
    <t>Programs</t>
  </si>
  <si>
    <t>Interruptible/Reliability</t>
  </si>
  <si>
    <t>Total All Programs</t>
  </si>
  <si>
    <t>Total Incremental Cost</t>
  </si>
  <si>
    <t>SLRP</t>
  </si>
  <si>
    <t xml:space="preserve"> Budget Category 1 Total</t>
  </si>
  <si>
    <t xml:space="preserve"> Budget Category 2 Total</t>
  </si>
  <si>
    <t>Event No.</t>
  </si>
  <si>
    <t>Price Response</t>
  </si>
  <si>
    <t xml:space="preserve">  Sub-Total Price Response</t>
  </si>
  <si>
    <t>N/A</t>
  </si>
  <si>
    <t>Category 1:  Emergency Programs</t>
  </si>
  <si>
    <t>Category 2:  Price Responsive Programs</t>
  </si>
  <si>
    <t>Category 3:  DR Aggregator Managed Programs</t>
  </si>
  <si>
    <t xml:space="preserve"> Budget Category 3 Total</t>
  </si>
  <si>
    <t>Category 4:  DR Enabled Programs</t>
  </si>
  <si>
    <t xml:space="preserve"> Budget Category 4 Total</t>
  </si>
  <si>
    <t>Category 5:  Pilots &amp; SmartConnect Enabled Programs</t>
  </si>
  <si>
    <t xml:space="preserve"> Budget Category 5 Total</t>
  </si>
  <si>
    <t>Category 6:  Statewide Marketing Program</t>
  </si>
  <si>
    <t xml:space="preserve"> Budget Category 6 Total</t>
  </si>
  <si>
    <t xml:space="preserve"> Budget Category 7 Total</t>
  </si>
  <si>
    <t>Category 8:  System Support Activities</t>
  </si>
  <si>
    <t xml:space="preserve"> Budget Category 8 Total</t>
  </si>
  <si>
    <t>Category 9:  Marketing Education &amp; Outreach</t>
  </si>
  <si>
    <t>Category 10:  Integrated Programs</t>
  </si>
  <si>
    <t xml:space="preserve"> Budget Category 9 Total</t>
  </si>
  <si>
    <t xml:space="preserve"> Budget Category 10 Total</t>
  </si>
  <si>
    <t>Price Responsive</t>
  </si>
  <si>
    <t>Program</t>
  </si>
  <si>
    <t xml:space="preserve">August </t>
  </si>
  <si>
    <t xml:space="preserve">September </t>
  </si>
  <si>
    <t xml:space="preserve">November </t>
  </si>
  <si>
    <t>Percent Funding</t>
  </si>
  <si>
    <t>FUND SHIFTING DOCUMENTATION PER DECISION 09-08-027 ORDERING PARAGRAPH 35</t>
  </si>
  <si>
    <t>OP 35:</t>
  </si>
  <si>
    <t>The utilities may shift up to 50% of a program funds to another program's funds to another program within the same budget category.</t>
  </si>
  <si>
    <t>The utilities shall document the amount of and reason for each shift in their monthly demand response reports.</t>
  </si>
  <si>
    <t>Fund Shift</t>
  </si>
  <si>
    <t>Rationale for Fundshift</t>
  </si>
  <si>
    <t>Programs Impacted</t>
  </si>
  <si>
    <t>Program Category</t>
  </si>
  <si>
    <t>Total</t>
  </si>
  <si>
    <t>Program Eligibility and Average Load Impacts</t>
  </si>
  <si>
    <t>Monthly Program Enrollment and Estimated Load Impacts</t>
  </si>
  <si>
    <t>Year-to-Date Event Summary</t>
  </si>
  <si>
    <t>General Program</t>
  </si>
  <si>
    <t>BIP - Day of</t>
  </si>
  <si>
    <t>AMP - Day Ahead</t>
  </si>
  <si>
    <t>AMP - Day Of</t>
  </si>
  <si>
    <t>BIP - Day Of</t>
  </si>
  <si>
    <t xml:space="preserve">    Capacity Bidding Program (CBP)</t>
  </si>
  <si>
    <t xml:space="preserve">    Demand Bidding Program (DBP)</t>
  </si>
  <si>
    <t>Base Interruptible Program (BIP)</t>
  </si>
  <si>
    <t>Optional Bidding Mandatory Curtailment / 
   Scheduled Load Reduction Program (OBMC / SLRP)</t>
  </si>
  <si>
    <t>Capacity Bidding Program (CBP)</t>
  </si>
  <si>
    <t>Critical Peak Pricing (CPP)</t>
  </si>
  <si>
    <t>Peak Choice</t>
  </si>
  <si>
    <t>Aggregator Managed Portfolio (AMP)</t>
  </si>
  <si>
    <t xml:space="preserve">     Integrated Energy Audits</t>
  </si>
  <si>
    <t>Automatic Demand Response (AutoDR)</t>
  </si>
  <si>
    <t>DR Emerging Technology</t>
  </si>
  <si>
    <t>Plug-in Hybrid Electric Vehicle / Electric Vehicle Pilot (PHEV / EV)</t>
  </si>
  <si>
    <t>SF Power Small Load Aggregation Pilot</t>
  </si>
  <si>
    <t>Evaluation, Measurement, and Verification (EM&amp;V)</t>
  </si>
  <si>
    <t>InterAct / DR Forecasting Tool</t>
  </si>
  <si>
    <t>DR On-Line Enrollment</t>
  </si>
  <si>
    <t>DR Core Education and Training</t>
  </si>
  <si>
    <t>PEAK</t>
  </si>
  <si>
    <t>Integrated Sales Training</t>
  </si>
  <si>
    <t>Integrated Demand Side Management Clearinghouse (IDSM)</t>
  </si>
  <si>
    <t>C&amp;I Intermittent Resources Pilot (CIIR)</t>
  </si>
  <si>
    <t xml:space="preserve">    Business Energy Coalition (BEC)</t>
  </si>
  <si>
    <t>Operations and Maintenance Expense</t>
  </si>
  <si>
    <t>Year-to-Date Cost</t>
  </si>
  <si>
    <t>8070999, 8071007, 8071054, 807558</t>
  </si>
  <si>
    <t>Total Incentives</t>
  </si>
  <si>
    <t>Total Cost of Program</t>
  </si>
  <si>
    <t>Program Incentives</t>
  </si>
  <si>
    <t>UTILITY NAME: Pacific Gas and Electric Company</t>
  </si>
  <si>
    <t>Average Ex Post Load Impact kW / Customer</t>
  </si>
  <si>
    <t>Average Ex Ante Load Impact kW / Customer</t>
  </si>
  <si>
    <t>Bundled-Service Customers on a demand time-of-use (TOU) rate schedule, except those who are on net metering, standby, AG-R or AG-V rate schedules. Must be able to reduce at least 10 kW.</t>
  </si>
  <si>
    <t>Bundled, DA and CCA non-residential customer accounts with interval meters that must be able to reduce electric load such that the entire load on the PG&amp;E circuit or dedicated substation that provides service to that customer is reduced to or below MLLs for the entire duration of each and every RO operation</t>
  </si>
  <si>
    <r>
      <t xml:space="preserve">Bundled-service customers taking service under Schedules A-10, E-19 or E-20 &amp; minimum </t>
    </r>
    <r>
      <rPr>
        <i/>
        <u/>
        <sz val="10"/>
        <rFont val="Arial"/>
        <family val="2"/>
      </rPr>
      <t>average monthly demand of 100 kilowatts</t>
    </r>
    <r>
      <rPr>
        <sz val="10"/>
        <rFont val="Arial"/>
        <family val="2"/>
      </rPr>
      <t xml:space="preserve"> (kW).
Customers must commit to minimum 15% of baseline usage, with a minimum load reduction of 100 kW. </t>
    </r>
  </si>
  <si>
    <r>
      <t xml:space="preserve">Bundled, DA and CCA non-residential customer service accounts that have at least an </t>
    </r>
    <r>
      <rPr>
        <i/>
        <u/>
        <sz val="10"/>
        <rFont val="Arial"/>
        <family val="2"/>
      </rPr>
      <t xml:space="preserve">average monthly </t>
    </r>
    <r>
      <rPr>
        <sz val="10"/>
        <rFont val="Arial"/>
        <family val="2"/>
      </rPr>
      <t xml:space="preserve">demand of 100 kW </t>
    </r>
  </si>
  <si>
    <t>Eligibility Criteria (Refer to tariff for specifics)</t>
  </si>
  <si>
    <t>No longer available to Business Customers beginning January 2010 as Business customers transition to voluntary PDP</t>
  </si>
  <si>
    <t>A voluntary rate supplement to residential customers' OAS. Available to Bundled-Service customers served on a single family residential electric rate schedule. No longer available to Business Customers beginning January 2010</t>
  </si>
  <si>
    <t>Non-residential Customers &gt; 200 kW on a demand TOU rate schedule. Non-residential Customers' accounts &lt; 200 kW may participate as aggregated group for service accounts with same Federal Taxpayer ID Number.</t>
  </si>
  <si>
    <t>Non-residential customers on a C&amp;I, partial standby, or Ag rate schedule, except those who receive electric power from third parties (other than DA), billed via net metering or full standby services.</t>
  </si>
  <si>
    <t>Non-residential customers on a C&amp;I, partial standby, or Ag rate schedules, except those who receive electric power from third parties (other than DA), billed via net metering or full standby services.</t>
  </si>
  <si>
    <t>Non-residential customers on a commercial, industrial, partial standby, or agricultural rate schedules, except those who receive electric power from third parties (other than DA), billed via net metering or full standby services.</t>
  </si>
  <si>
    <t>Detailed Breakdown of MWs To Date in TA/Auto DR/TI Programs</t>
  </si>
  <si>
    <t>TA Identified MWs</t>
  </si>
  <si>
    <t>Auto DR Verified MWs</t>
  </si>
  <si>
    <t>TI Verified MWs</t>
  </si>
  <si>
    <t>Total Technology MWs</t>
  </si>
  <si>
    <t>TA (may also be enrolled in TI and AutoDR)</t>
  </si>
  <si>
    <t>Total TA MWs</t>
  </si>
  <si>
    <t>Program Tolled Hours (Annual)</t>
  </si>
  <si>
    <t>CBP - Day Ahead</t>
  </si>
  <si>
    <t>CBP - Day Of</t>
  </si>
  <si>
    <t xml:space="preserve">Residential customers taking service under applicable rate schedules equipped with central or packaged DX air conditioning equipment </t>
  </si>
  <si>
    <t xml:space="preserve">SMB customers taking service under applicable rate schedules equipped with central or packaged DX air conditioning equipment </t>
  </si>
  <si>
    <t>PeakChoice - Best Effort - Day Ahead</t>
  </si>
  <si>
    <t>PeakChoice - Best Effort - Day Of</t>
  </si>
  <si>
    <t>PeakChoice - Committed - Day Ahead</t>
  </si>
  <si>
    <t>PeakChoice - Committed - Day Of</t>
  </si>
  <si>
    <t>C&amp;I Ancillary Service Pilot (CIAS)</t>
  </si>
  <si>
    <t>Peak Day Pricing (PDP)</t>
  </si>
  <si>
    <t>When to apply the ex ante load impacts</t>
  </si>
  <si>
    <t>2 - 6 pm</t>
  </si>
  <si>
    <t>All other hours</t>
  </si>
  <si>
    <t>Category 7:  Measurement &amp; Evaluation (M&amp;E)</t>
  </si>
  <si>
    <t xml:space="preserve">Load Reduction     MW </t>
  </si>
  <si>
    <t>SmartAC</t>
  </si>
  <si>
    <t>Event Date</t>
  </si>
  <si>
    <t>Beginning</t>
  </si>
  <si>
    <t>End</t>
  </si>
  <si>
    <t xml:space="preserve">http://www.pge.com/mybusiness/energysavingsrebates/demandresponse/cs/ </t>
  </si>
  <si>
    <t>[1] D.09-08-027, p. 222.</t>
  </si>
  <si>
    <t>Pacific Gas and Electric Company Monthly Report On Interruptible Load and Demand Response</t>
  </si>
  <si>
    <t xml:space="preserve">    PeakChoice</t>
  </si>
  <si>
    <t>Revenues from Penalties</t>
  </si>
  <si>
    <t>Demand Bidding Program (DBP)</t>
  </si>
  <si>
    <t>Recovery of Capital Costs Authorized Prior to 2009</t>
  </si>
  <si>
    <t>Allocation</t>
  </si>
  <si>
    <t>Programs Support costs</t>
  </si>
  <si>
    <t>Year-to Date 2011 Expenditures</t>
  </si>
  <si>
    <t>AutoDR program incentives were fully subscribed at the end of while the DR Technology Incentive (DR TI) program are undersubscribed. PG&amp;E has shifted $3 million from DR Technology Incentives to AutoDR, effective February 1, 2011, an amount which is less than 50% of the originally-approved DR TI budget.</t>
  </si>
  <si>
    <t>Category 2</t>
  </si>
  <si>
    <t>D.09-08-027 provided insufficient funds to administer CBP for three years.</t>
  </si>
  <si>
    <t>Category 3</t>
  </si>
  <si>
    <t>Business Energy Coalition (BEC) to Aggregator Managed Portfolio Program (AMP)</t>
  </si>
  <si>
    <t xml:space="preserve">The decision approved a BEC budget of $4,623,996.  Pursuant to Ordering Paragraph 7, the BEC Program is terminated as of November 18, 2009.  The transferred funds will pay for AMP program costs, as needed.  The amount transferred is 50% of the total BEC program budget, as authorized by the decision. </t>
  </si>
  <si>
    <t xml:space="preserve">Category 4   </t>
  </si>
  <si>
    <t>DR Enabled Programs - From TI Program To Auto DR</t>
  </si>
  <si>
    <t>Program-to-Date Total Expenditures 2009-2011</t>
  </si>
  <si>
    <t>Program-to-Date 2009-2010 Expenditures</t>
  </si>
  <si>
    <r>
      <t xml:space="preserve">1 </t>
    </r>
    <r>
      <rPr>
        <sz val="8"/>
        <rFont val="Calibri"/>
        <family val="2"/>
      </rPr>
      <t>Ex Ante Estimated MW = In compliance with Decision 08-04-050, the values presented herein are based on the annual April 1st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</si>
  <si>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1st Compliance Filing pursuant to Decision D.08-04-050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</si>
  <si>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r>
      <t>Ex Ante Estimated MW</t>
    </r>
    <r>
      <rPr>
        <b/>
        <sz val="12"/>
        <rFont val="Arial"/>
        <family val="2"/>
      </rPr>
      <t xml:space="preserve"> </t>
    </r>
    <r>
      <rPr>
        <b/>
        <vertAlign val="superscript"/>
        <sz val="12"/>
        <rFont val="Arial"/>
        <family val="2"/>
      </rPr>
      <t xml:space="preserve">1 </t>
    </r>
  </si>
  <si>
    <r>
      <t xml:space="preserve">Ex Post Estimated MW </t>
    </r>
    <r>
      <rPr>
        <b/>
        <vertAlign val="superscript"/>
        <sz val="12"/>
        <rFont val="Arial"/>
        <family val="2"/>
      </rPr>
      <t>2</t>
    </r>
  </si>
  <si>
    <r>
      <t xml:space="preserve">2 </t>
    </r>
    <r>
      <rPr>
        <sz val="8"/>
        <rFont val="Calibri"/>
        <family val="2"/>
      </rPr>
      <t>Ex Post Estimated MW = In compliance with Decision 08-04-050, the values presented herein are based on the annual April 1st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r>
  </si>
  <si>
    <t>n/a</t>
  </si>
  <si>
    <t>The average ex post load impacts per customer are based on the load impacts filing on April 1, 2011 (D.08-04-050). Estimated Average Ex Post Load Impact kW / Customer = Average kW / Customer service account over all actual event hours for the preceeding year when or if events occurred. Some programs may experience no events or few events while other programs may operate regularly depending on event triggers. For existing programs, the average ex post load impact per customer SAID remains constant across all months. For new programs, the average load impact is "n/a", as there were no prior events.</t>
  </si>
  <si>
    <r>
      <t>Base Interruptible Program (BIP)</t>
    </r>
    <r>
      <rPr>
        <vertAlign val="superscript"/>
        <sz val="11"/>
        <rFont val="Arial"/>
        <family val="2"/>
      </rPr>
      <t>1</t>
    </r>
  </si>
  <si>
    <t>Critical Peak Pricing (CPP) to Capacity Bidding Program (CBP)</t>
  </si>
  <si>
    <t xml:space="preserve"> Trigger</t>
  </si>
  <si>
    <t>Day Of</t>
  </si>
  <si>
    <t>Day Ahead</t>
  </si>
  <si>
    <r>
      <t xml:space="preserve">    Optional Bidding Mandatory Curtailment / 
        Scheduled Load Reduction Program 
        </t>
    </r>
    <r>
      <rPr>
        <sz val="8"/>
        <rFont val="Arial"/>
        <family val="2"/>
      </rPr>
      <t>(OBMC / SLRP)</t>
    </r>
    <r>
      <rPr>
        <vertAlign val="superscript"/>
        <sz val="8"/>
        <rFont val="Arial"/>
        <family val="2"/>
      </rPr>
      <t>1</t>
    </r>
  </si>
  <si>
    <t>PDP</t>
  </si>
  <si>
    <t>The Ex Ante and Ex Post Estimated MW for January 2011, February 2011, and March 2011 are based on the April 1, 2011 Load Impact Report that was filed in compliance with Decision 08-04-050.  This is a revision compared to PG&amp;E’s January, February, and March 2011 ILP Report submissions. (Program MW Table Data for Eligible Accounts was updated 9/2011)</t>
  </si>
  <si>
    <t>Eligible Accounts as of
Jan 1, 2011</t>
  </si>
  <si>
    <t>Peak Day Pricing</t>
  </si>
  <si>
    <t>2-Day Ahead</t>
  </si>
  <si>
    <t>SmartRate Residential</t>
  </si>
  <si>
    <t>As customers accumulate 12 months of interval data. Default began May 1, 2010 for Large bundled C&amp;I &gt; 200 kW max demand ; Default began February 1, 2011 for Large bundled Ag customers; Default begins Nov 1, 2014 for Bundled SMB C&amp;I customers &lt; 200kW max demand.</t>
  </si>
  <si>
    <t>SmartRate™ - Commercial</t>
  </si>
  <si>
    <t>SmartAC™ - Commercial</t>
  </si>
  <si>
    <t>SmartAC™ - Residential</t>
  </si>
  <si>
    <t>SmartRate™ - Residential</t>
  </si>
  <si>
    <t>SmartAC™ Ancillary Service Pilot</t>
  </si>
  <si>
    <t>SmartRate™ Commercial</t>
  </si>
  <si>
    <t>Smart AC™</t>
  </si>
  <si>
    <t>Eligible Accounts as of Jan 1, 2011</t>
  </si>
  <si>
    <t>Programs for December 2011</t>
  </si>
  <si>
    <r>
      <t xml:space="preserve">            Pacific Gas and Electric Company (“PG&amp;E”) hereby submits this report on Interruptible Load and Demand Response Programs for December 2011. This report is submitted to the Energy Division Director and served electronically on the service list for A.08-06-001 pursuant to Decision 09-08-027.</t>
    </r>
    <r>
      <rPr>
        <vertAlign val="superscript"/>
        <sz val="12"/>
        <rFont val="Arial"/>
        <family val="2"/>
      </rPr>
      <t>1</t>
    </r>
    <r>
      <rPr>
        <sz val="12"/>
        <rFont val="Arial"/>
        <family val="2"/>
      </rPr>
      <t xml:space="preserve"> A copy of this report may also 
be accessed on PG&amp;E’s Web site at the following address:</t>
    </r>
  </si>
  <si>
    <r>
      <t xml:space="preserve">    Demand Bidding Program (DBP)</t>
    </r>
    <r>
      <rPr>
        <b/>
        <sz val="9"/>
        <rFont val="Arial"/>
        <family val="2"/>
      </rPr>
      <t xml:space="preserve"> (a)</t>
    </r>
  </si>
  <si>
    <t>Pilots &amp; SmartConnect Enabled Programs - From C&amp;I Ancillary Service Pilot (CIAS) To SF Power Small Load Aggregation Pilot</t>
  </si>
  <si>
    <t>Category 5</t>
  </si>
  <si>
    <t xml:space="preserve">$5,000 of the CIAS pilot budget was transferred to cover insufficient funds for the SF Power Small Load Aggregation pilot.  The amount transferred is less than 50% of the total CIAS pilot budget. </t>
  </si>
  <si>
    <t>Integrated Programs - From Integrated Sales Training and PEAK To Integrated Marketing and Training</t>
  </si>
  <si>
    <t>An increased focus on Integrated Marketing and Training required funds to be shifted from Integrated Sales Training ($125,000) and PEAK ($160,000).  These amounts are less than or equal to 50% of the original program funds.</t>
  </si>
  <si>
    <t>Category 10</t>
  </si>
  <si>
    <t>DR Core Marketing and Outreach</t>
  </si>
  <si>
    <r>
      <t xml:space="preserve">Technology Incentive (TI) </t>
    </r>
    <r>
      <rPr>
        <vertAlign val="superscript"/>
        <sz val="9"/>
        <rFont val="Arial"/>
        <family val="2"/>
      </rPr>
      <t>2</t>
    </r>
  </si>
  <si>
    <r>
      <t>Peak Choice</t>
    </r>
    <r>
      <rPr>
        <b/>
        <sz val="9"/>
        <rFont val="Arial"/>
        <family val="2"/>
      </rPr>
      <t xml:space="preserve"> (b)</t>
    </r>
  </si>
  <si>
    <r>
      <t xml:space="preserve">Automatic Demand Response (AutoDR) </t>
    </r>
    <r>
      <rPr>
        <b/>
        <sz val="9"/>
        <rFont val="Arial"/>
        <family val="2"/>
      </rPr>
      <t>(c)</t>
    </r>
  </si>
  <si>
    <r>
      <t>Permanent Load Shift (PLS)</t>
    </r>
    <r>
      <rPr>
        <b/>
        <sz val="9"/>
        <rFont val="Arial"/>
        <family val="2"/>
      </rPr>
      <t xml:space="preserve"> (c)</t>
    </r>
  </si>
  <si>
    <r>
      <t xml:space="preserve">     Technology Incentive (TI) </t>
    </r>
    <r>
      <rPr>
        <b/>
        <sz val="9"/>
        <rFont val="Arial"/>
        <family val="2"/>
      </rPr>
      <t>(d)</t>
    </r>
  </si>
  <si>
    <t>(f) See "Shift Fund Log" for explanations.</t>
  </si>
  <si>
    <t xml:space="preserve">3-Year Funding (h)  </t>
  </si>
  <si>
    <t>Fundshift Adjustments (f)</t>
  </si>
  <si>
    <t>(c) November expenses for Auto DR and PLS were revised in December Report to be included.</t>
  </si>
  <si>
    <t>(a) October expenses for DBP were revised in December Report to exclude Incentive costs.</t>
  </si>
  <si>
    <t>(b) October expenses for PEAK Choice were revised in December Report to exclude Incentive costs.</t>
  </si>
  <si>
    <t>(e) July, October, and November expenses for CIAS Pilot July were entry errors revised in December Report.</t>
  </si>
  <si>
    <t>(g) March expenses for Marketing Education &amp; Outreach were entry errors revised in December Report.</t>
  </si>
  <si>
    <t>(h) 3-year funding amounts adjusted to reflect fund shifting for CIAS, SFPower Small Load Aggregation Pilot, Integrated Education and Training, Integrated Marketing and Training, PEAK.</t>
  </si>
  <si>
    <r>
      <t>C&amp;I Ancillary Service Pilot (CIAS)</t>
    </r>
    <r>
      <rPr>
        <b/>
        <sz val="9"/>
        <rFont val="Arial"/>
        <family val="2"/>
      </rPr>
      <t xml:space="preserve"> (c) (e)</t>
    </r>
  </si>
  <si>
    <t xml:space="preserve">Statewide DR Awareness Campaign (SDRAC) </t>
  </si>
  <si>
    <r>
      <t xml:space="preserve">Integrated Education and Training </t>
    </r>
    <r>
      <rPr>
        <b/>
        <sz val="9"/>
        <rFont val="Arial"/>
        <family val="2"/>
      </rPr>
      <t>(g)</t>
    </r>
  </si>
  <si>
    <r>
      <t>Integrated Marketing and Training</t>
    </r>
    <r>
      <rPr>
        <b/>
        <sz val="9"/>
        <rFont val="Arial"/>
        <family val="2"/>
      </rPr>
      <t xml:space="preserve"> (g)</t>
    </r>
  </si>
  <si>
    <r>
      <t xml:space="preserve">Critical Peak Pricing (CPP) </t>
    </r>
    <r>
      <rPr>
        <b/>
        <sz val="9"/>
        <rFont val="Arial"/>
        <family val="2"/>
      </rPr>
      <t>(a)</t>
    </r>
  </si>
  <si>
    <t>(i) March expense for CBP was revised in December Report to exclude the Incentive costs.</t>
  </si>
  <si>
    <r>
      <t xml:space="preserve">Capacity Bidding Program (CBP) </t>
    </r>
    <r>
      <rPr>
        <b/>
        <sz val="9"/>
        <rFont val="Arial"/>
        <family val="2"/>
      </rPr>
      <t>(i)</t>
    </r>
  </si>
  <si>
    <r>
      <t>Smart AC™ Ancillary Service Pilot</t>
    </r>
    <r>
      <rPr>
        <vertAlign val="superscript"/>
        <sz val="9"/>
        <rFont val="Arial"/>
        <family val="2"/>
      </rPr>
      <t xml:space="preserve"> 3</t>
    </r>
  </si>
  <si>
    <r>
      <t xml:space="preserve">  Total Cost of Incentives</t>
    </r>
    <r>
      <rPr>
        <b/>
        <vertAlign val="superscript"/>
        <sz val="10"/>
        <rFont val="Arial"/>
        <family val="2"/>
      </rPr>
      <t xml:space="preserve"> (4)</t>
    </r>
  </si>
  <si>
    <t>(d) TI Incentive expenses were revised in December Report to exclude Incentive costs.</t>
  </si>
  <si>
    <t>Technical Assistance &amp; Technology Incentives (TA&amp;TI) Identified as of DECEMBER 2011.</t>
  </si>
  <si>
    <r>
      <t>1</t>
    </r>
    <r>
      <rPr>
        <sz val="9"/>
        <rFont val="Arial"/>
        <family val="2"/>
      </rPr>
      <t>Amounts reported are for incentives costs that are not recorded in the Demand Response Expenditures Balancing Account.</t>
    </r>
  </si>
  <si>
    <r>
      <t>2</t>
    </r>
    <r>
      <rPr>
        <sz val="9"/>
        <rFont val="Arial"/>
        <family val="2"/>
      </rPr>
      <t xml:space="preserve"> Incentives revised in December ILP to record incentives previously recorded as expense.</t>
    </r>
  </si>
  <si>
    <r>
      <t>3</t>
    </r>
    <r>
      <rPr>
        <sz val="9"/>
        <rFont val="Arial"/>
        <family val="2"/>
      </rPr>
      <t xml:space="preserve"> Smart AC Ancillary Service Pilot November actuals updated to reflect $0 incentive dollars paid.</t>
    </r>
  </si>
  <si>
    <r>
      <t xml:space="preserve">4 </t>
    </r>
    <r>
      <rPr>
        <sz val="9"/>
        <rFont val="Arial"/>
        <family val="2"/>
      </rPr>
      <t>June Incentive updated to reflect correct subtotal.</t>
    </r>
  </si>
  <si>
    <r>
      <t xml:space="preserve">Smart AC™ </t>
    </r>
    <r>
      <rPr>
        <vertAlign val="superscript"/>
        <sz val="10"/>
        <rFont val="Arial"/>
        <family val="2"/>
      </rPr>
      <t>1</t>
    </r>
  </si>
  <si>
    <r>
      <t xml:space="preserve">1 </t>
    </r>
    <r>
      <rPr>
        <sz val="9"/>
        <rFont val="Arial"/>
        <family val="2"/>
      </rPr>
      <t>December Report re-entered Incentives excluded on the November Report for January-November Program Incentives /SMART AC. The November Total Cost of Program Incentive was corrected due to an error in entry.</t>
    </r>
  </si>
  <si>
    <t>Year-to-Date Program Expenditures (j)</t>
  </si>
  <si>
    <r>
      <rPr>
        <b/>
        <sz val="8"/>
        <rFont val="Calibri"/>
        <family val="2"/>
      </rPr>
      <t>Note:</t>
    </r>
    <r>
      <rPr>
        <sz val="8"/>
        <rFont val="Calibri"/>
        <family val="2"/>
      </rPr>
      <t xml:space="preserve"> The December, 2011 enrollment figure for PDP includes approximately 3300 small new Service Accounts (SAID).  All of these new accounts are associated with a single telecommunications customer, where electricity is supplied to separately metered telecommunications facilities throughout the service territory.  Due to the nature of the loads, PG&amp;E does not expect this group of new enrollments to produce material load impacts during PDP events. PG&amp;E has however followed the standard reporting guidelines to show ex-ante and ex-post MW impact estimates developed by multiplying previously-estimated average impacts (kW/SAID) by the current number of participating PDP SAIDs.  PG&amp;E cautions readers that the resulting increase in available MW from PDP (from November, 2011 to  December, 2011) is a result of strict adherence to the reporting guidelines, and is unlikely to reflect actual practice.</t>
    </r>
  </si>
  <si>
    <t xml:space="preserve">(j) The 2011 DREBA expenses may be subject to further adjustment and reconciliation.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</si>
</sst>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409]mmmm\ d\,\ yyyy;@"/>
    <numFmt numFmtId="170" formatCode="_(* #,##0.0_);_(* \(#,##0.0\);_(* &quot;-&quot;??_);_(@_)"/>
    <numFmt numFmtId="171" formatCode="_(* #,##0_);_(* \(#,##0\);_(* &quot;-&quot;??_);_(@_)"/>
    <numFmt numFmtId="172" formatCode="0.0"/>
    <numFmt numFmtId="173" formatCode="0.0_);[Red]\(0.0\)"/>
    <numFmt numFmtId="174" formatCode="&quot;$&quot;#,##0"/>
    <numFmt numFmtId="175" formatCode="[=0]\ 0;[&lt;0.95]\ 0.#;#,###"/>
    <numFmt numFmtId="176" formatCode="0_);[Red]\(0\)"/>
    <numFmt numFmtId="177" formatCode="[$-409]h:mm\ AM/PM;@"/>
    <numFmt numFmtId="178" formatCode="m/d/yyyy;@"/>
    <numFmt numFmtId="179" formatCode="h:mm;@"/>
  </numFmts>
  <fonts count="72" x14ac:knownFonts="1">
    <font>
      <sz val="10"/>
      <name val="Arial"/>
    </font>
    <font>
      <sz val="10"/>
      <name val="Arial"/>
      <family val="2"/>
    </font>
    <font>
      <b/>
      <sz val="10"/>
      <name val="Arial"/>
      <family val="2"/>
    </font>
    <font>
      <sz val="10"/>
      <name val="Arial"/>
      <family val="2"/>
    </font>
    <font>
      <u/>
      <sz val="10"/>
      <color indexed="12"/>
      <name val="Arial"/>
      <family val="2"/>
    </font>
    <font>
      <sz val="10"/>
      <color indexed="8"/>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sz val="11"/>
      <name val="Arial"/>
      <family val="2"/>
    </font>
    <font>
      <b/>
      <sz val="10"/>
      <name val="Arial"/>
      <family val="2"/>
    </font>
    <font>
      <sz val="10"/>
      <name val="Arial"/>
      <family val="2"/>
    </font>
    <font>
      <sz val="9"/>
      <name val="Arial"/>
      <family val="2"/>
    </font>
    <font>
      <i/>
      <u/>
      <sz val="10"/>
      <name val="Arial"/>
      <family val="2"/>
    </font>
    <font>
      <b/>
      <sz val="9"/>
      <name val="Arial"/>
      <family val="2"/>
    </font>
    <font>
      <b/>
      <i/>
      <sz val="9"/>
      <name val="Arial"/>
      <family val="2"/>
    </font>
    <font>
      <vertAlign val="superscript"/>
      <sz val="11"/>
      <name val="Arial"/>
      <family val="2"/>
    </font>
    <font>
      <b/>
      <sz val="8"/>
      <name val="Arial"/>
      <family val="2"/>
    </font>
    <font>
      <sz val="8"/>
      <name val="Arial"/>
      <family val="2"/>
    </font>
    <font>
      <b/>
      <i/>
      <sz val="8"/>
      <name val="Arial"/>
      <family val="2"/>
    </font>
    <font>
      <u/>
      <sz val="8"/>
      <name val="Arial"/>
      <family val="2"/>
    </font>
    <font>
      <b/>
      <sz val="8"/>
      <color indexed="16"/>
      <name val="Arial"/>
      <family val="2"/>
    </font>
    <font>
      <sz val="12"/>
      <name val="Arial"/>
      <family val="2"/>
    </font>
    <font>
      <vertAlign val="superscript"/>
      <sz val="12"/>
      <name val="Arial"/>
      <family val="2"/>
    </font>
    <font>
      <b/>
      <sz val="14"/>
      <name val="Arial"/>
      <family val="2"/>
    </font>
    <font>
      <u/>
      <sz val="11"/>
      <color indexed="12"/>
      <name val="Arial"/>
      <family val="2"/>
    </font>
    <font>
      <sz val="8"/>
      <name val="Calibri"/>
      <family val="2"/>
    </font>
    <font>
      <vertAlign val="superscript"/>
      <sz val="8"/>
      <name val="Calibri"/>
      <family val="2"/>
    </font>
    <font>
      <b/>
      <sz val="12"/>
      <name val="Arial"/>
      <family val="2"/>
    </font>
    <font>
      <b/>
      <vertAlign val="superscript"/>
      <sz val="12"/>
      <name val="Arial"/>
      <family val="2"/>
    </font>
    <font>
      <sz val="9"/>
      <color indexed="10"/>
      <name val="Arial"/>
      <family val="2"/>
    </font>
    <font>
      <sz val="9"/>
      <name val="Arial"/>
      <family val="2"/>
    </font>
    <font>
      <vertAlign val="superscript"/>
      <sz val="8"/>
      <name val="Arial"/>
      <family val="2"/>
    </font>
    <font>
      <sz val="10"/>
      <color indexed="12"/>
      <name val="Arial"/>
      <family val="2"/>
    </font>
    <font>
      <sz val="10"/>
      <name val="Arial"/>
      <family val="2"/>
    </font>
    <font>
      <strike/>
      <sz val="10"/>
      <name val="Cambria"/>
      <family val="1"/>
    </font>
    <font>
      <vertAlign val="superscript"/>
      <sz val="9"/>
      <name val="Arial"/>
      <family val="2"/>
    </font>
    <font>
      <strike/>
      <sz val="9"/>
      <name val="Arial"/>
      <family val="2"/>
    </font>
    <font>
      <vertAlign val="superscript"/>
      <sz val="10"/>
      <name val="Arial"/>
      <family val="2"/>
    </font>
    <font>
      <b/>
      <vertAlign val="superscript"/>
      <sz val="10"/>
      <name val="Arial"/>
      <family val="2"/>
    </font>
    <font>
      <sz val="9"/>
      <color indexed="8"/>
      <name val="Arial"/>
      <family val="2"/>
    </font>
    <font>
      <b/>
      <sz val="9"/>
      <color indexed="8"/>
      <name val="Arial"/>
      <family val="2"/>
    </font>
    <font>
      <b/>
      <sz val="9"/>
      <color indexed="10"/>
      <name val="Arial"/>
      <family val="2"/>
    </font>
    <font>
      <b/>
      <strike/>
      <sz val="9"/>
      <color indexed="8"/>
      <name val="Arial"/>
      <family val="2"/>
    </font>
    <font>
      <strike/>
      <sz val="9"/>
      <color indexed="8"/>
      <name val="Arial"/>
      <family val="2"/>
    </font>
    <font>
      <sz val="8"/>
      <name val="Calibri"/>
      <family val="2"/>
    </font>
    <font>
      <sz val="10"/>
      <name val="Calibri"/>
      <family val="2"/>
    </font>
    <font>
      <b/>
      <sz val="8"/>
      <name val="Calibri"/>
      <family val="2"/>
    </font>
  </fonts>
  <fills count="46">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7"/>
        <bgColor indexed="64"/>
      </patternFill>
    </fill>
    <fill>
      <patternFill patternType="solid">
        <fgColor indexed="45"/>
        <bgColor indexed="64"/>
      </patternFill>
    </fill>
    <fill>
      <patternFill patternType="solid">
        <fgColor indexed="41"/>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double">
        <color indexed="64"/>
      </top>
      <bottom/>
      <diagonal/>
    </border>
    <border>
      <left style="medium">
        <color indexed="64"/>
      </left>
      <right/>
      <top/>
      <bottom style="medium">
        <color indexed="64"/>
      </bottom>
      <diagonal/>
    </border>
  </borders>
  <cellStyleXfs count="10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8" fillId="27" borderId="0" applyNumberFormat="0" applyBorder="0" applyAlignment="0" applyProtection="0"/>
    <xf numFmtId="0" fontId="10" fillId="18" borderId="0" applyNumberFormat="0" applyBorder="0" applyAlignment="0" applyProtection="0"/>
    <xf numFmtId="0" fontId="11" fillId="28" borderId="1" applyNumberFormat="0" applyAlignment="0" applyProtection="0"/>
    <xf numFmtId="0" fontId="12" fillId="19"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4" fillId="0" borderId="0" applyNumberFormat="0" applyFill="0" applyBorder="0" applyAlignment="0" applyProtection="0"/>
    <xf numFmtId="0" fontId="15" fillId="32"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alignment vertical="top"/>
      <protection locked="0"/>
    </xf>
    <xf numFmtId="0" fontId="19" fillId="27" borderId="1" applyNumberFormat="0" applyAlignment="0" applyProtection="0"/>
    <xf numFmtId="0" fontId="20" fillId="0" borderId="6" applyNumberFormat="0" applyFill="0" applyAlignment="0" applyProtection="0"/>
    <xf numFmtId="0" fontId="21" fillId="27" borderId="0" applyNumberFormat="0" applyBorder="0" applyAlignment="0" applyProtection="0"/>
    <xf numFmtId="0" fontId="5" fillId="0" borderId="0"/>
    <xf numFmtId="0" fontId="1" fillId="26" borderId="7" applyNumberFormat="0" applyFont="0" applyAlignment="0" applyProtection="0"/>
    <xf numFmtId="0" fontId="22" fillId="28" borderId="8" applyNumberFormat="0" applyAlignment="0" applyProtection="0"/>
    <xf numFmtId="4" fontId="23" fillId="33" borderId="9" applyNumberFormat="0" applyProtection="0">
      <alignment vertical="center"/>
    </xf>
    <xf numFmtId="4" fontId="24" fillId="33" borderId="9" applyNumberFormat="0" applyProtection="0">
      <alignment vertical="center"/>
    </xf>
    <xf numFmtId="4" fontId="23" fillId="33" borderId="9" applyNumberFormat="0" applyProtection="0">
      <alignment horizontal="left" vertical="center" indent="1"/>
    </xf>
    <xf numFmtId="0" fontId="23" fillId="33" borderId="9" applyNumberFormat="0" applyProtection="0">
      <alignment horizontal="left" vertical="top" indent="1"/>
    </xf>
    <xf numFmtId="4" fontId="23" fillId="2" borderId="0" applyNumberFormat="0" applyProtection="0">
      <alignment horizontal="left" vertical="center" indent="1"/>
    </xf>
    <xf numFmtId="4" fontId="6" fillId="7" borderId="9" applyNumberFormat="0" applyProtection="0">
      <alignment horizontal="right" vertical="center"/>
    </xf>
    <xf numFmtId="4" fontId="6" fillId="3" borderId="9" applyNumberFormat="0" applyProtection="0">
      <alignment horizontal="right" vertical="center"/>
    </xf>
    <xf numFmtId="4" fontId="6" fillId="34" borderId="9" applyNumberFormat="0" applyProtection="0">
      <alignment horizontal="right" vertical="center"/>
    </xf>
    <xf numFmtId="4" fontId="6" fillId="35" borderId="9" applyNumberFormat="0" applyProtection="0">
      <alignment horizontal="right" vertical="center"/>
    </xf>
    <xf numFmtId="4" fontId="6" fillId="36" borderId="9" applyNumberFormat="0" applyProtection="0">
      <alignment horizontal="right" vertical="center"/>
    </xf>
    <xf numFmtId="4" fontId="6" fillId="37" borderId="9" applyNumberFormat="0" applyProtection="0">
      <alignment horizontal="right" vertical="center"/>
    </xf>
    <xf numFmtId="4" fontId="6" fillId="9" borderId="9" applyNumberFormat="0" applyProtection="0">
      <alignment horizontal="right" vertical="center"/>
    </xf>
    <xf numFmtId="4" fontId="6" fillId="38" borderId="9" applyNumberFormat="0" applyProtection="0">
      <alignment horizontal="right" vertical="center"/>
    </xf>
    <xf numFmtId="4" fontId="6" fillId="39" borderId="9" applyNumberFormat="0" applyProtection="0">
      <alignment horizontal="right" vertical="center"/>
    </xf>
    <xf numFmtId="4" fontId="23" fillId="40" borderId="10" applyNumberFormat="0" applyProtection="0">
      <alignment horizontal="left" vertical="center" indent="1"/>
    </xf>
    <xf numFmtId="4" fontId="6" fillId="41" borderId="0" applyNumberFormat="0" applyProtection="0">
      <alignment horizontal="left" vertical="center" indent="1"/>
    </xf>
    <xf numFmtId="4" fontId="25" fillId="8" borderId="0" applyNumberFormat="0" applyProtection="0">
      <alignment horizontal="left" vertical="center" indent="1"/>
    </xf>
    <xf numFmtId="4" fontId="6" fillId="2" borderId="9" applyNumberFormat="0" applyProtection="0">
      <alignment horizontal="right" vertical="center"/>
    </xf>
    <xf numFmtId="4" fontId="5" fillId="41" borderId="0" applyNumberFormat="0" applyProtection="0">
      <alignment horizontal="left" vertical="center" indent="1"/>
    </xf>
    <xf numFmtId="4" fontId="5" fillId="2" borderId="0" applyNumberFormat="0" applyProtection="0">
      <alignment horizontal="left" vertical="center" indent="1"/>
    </xf>
    <xf numFmtId="0" fontId="1" fillId="8" borderId="9" applyNumberFormat="0" applyProtection="0">
      <alignment horizontal="left" vertical="center" indent="1"/>
    </xf>
    <xf numFmtId="0" fontId="1" fillId="8" borderId="9" applyNumberFormat="0" applyProtection="0">
      <alignment horizontal="left" vertical="top" indent="1"/>
    </xf>
    <xf numFmtId="0" fontId="1" fillId="2" borderId="9" applyNumberFormat="0" applyProtection="0">
      <alignment horizontal="left" vertical="center" indent="1"/>
    </xf>
    <xf numFmtId="0" fontId="1" fillId="2" borderId="9" applyNumberFormat="0" applyProtection="0">
      <alignment horizontal="left" vertical="top" indent="1"/>
    </xf>
    <xf numFmtId="0" fontId="1" fillId="6" borderId="9" applyNumberFormat="0" applyProtection="0">
      <alignment horizontal="left" vertical="center" indent="1"/>
    </xf>
    <xf numFmtId="0" fontId="1" fillId="6" borderId="9" applyNumberFormat="0" applyProtection="0">
      <alignment horizontal="left" vertical="top" indent="1"/>
    </xf>
    <xf numFmtId="0" fontId="1" fillId="41" borderId="9" applyNumberFormat="0" applyProtection="0">
      <alignment horizontal="left" vertical="center" indent="1"/>
    </xf>
    <xf numFmtId="0" fontId="1" fillId="41" borderId="9" applyNumberFormat="0" applyProtection="0">
      <alignment horizontal="left" vertical="top" indent="1"/>
    </xf>
    <xf numFmtId="0" fontId="1" fillId="5" borderId="11" applyNumberFormat="0">
      <protection locked="0"/>
    </xf>
    <xf numFmtId="4" fontId="6" fillId="4" borderId="9" applyNumberFormat="0" applyProtection="0">
      <alignment vertical="center"/>
    </xf>
    <xf numFmtId="4" fontId="26" fillId="4" borderId="9" applyNumberFormat="0" applyProtection="0">
      <alignment vertical="center"/>
    </xf>
    <xf numFmtId="4" fontId="6" fillId="4" borderId="9" applyNumberFormat="0" applyProtection="0">
      <alignment horizontal="left" vertical="center" indent="1"/>
    </xf>
    <xf numFmtId="0" fontId="6" fillId="4" borderId="9" applyNumberFormat="0" applyProtection="0">
      <alignment horizontal="left" vertical="top" indent="1"/>
    </xf>
    <xf numFmtId="4" fontId="6" fillId="41" borderId="9" applyNumberFormat="0" applyProtection="0">
      <alignment horizontal="right" vertical="center"/>
    </xf>
    <xf numFmtId="4" fontId="26" fillId="41" borderId="9" applyNumberFormat="0" applyProtection="0">
      <alignment horizontal="right" vertical="center"/>
    </xf>
    <xf numFmtId="4" fontId="6" fillId="2" borderId="9" applyNumberFormat="0" applyProtection="0">
      <alignment horizontal="left" vertical="center" indent="1"/>
    </xf>
    <xf numFmtId="0" fontId="6" fillId="2" borderId="9" applyNumberFormat="0" applyProtection="0">
      <alignment horizontal="left" vertical="top" indent="1"/>
    </xf>
    <xf numFmtId="4" fontId="27" fillId="42" borderId="0" applyNumberFormat="0" applyProtection="0">
      <alignment horizontal="left" vertical="center" indent="1"/>
    </xf>
    <xf numFmtId="4" fontId="28" fillId="41" borderId="9" applyNumberFormat="0" applyProtection="0">
      <alignment horizontal="right" vertical="center"/>
    </xf>
    <xf numFmtId="0" fontId="29" fillId="0" borderId="0" applyNumberFormat="0" applyFill="0" applyBorder="0" applyAlignment="0" applyProtection="0"/>
    <xf numFmtId="0" fontId="29" fillId="0" borderId="0" applyNumberFormat="0" applyFill="0" applyBorder="0" applyAlignment="0" applyProtection="0"/>
    <xf numFmtId="0" fontId="13" fillId="0" borderId="12" applyNumberFormat="0" applyFill="0" applyAlignment="0" applyProtection="0"/>
    <xf numFmtId="0" fontId="30" fillId="0" borderId="0" applyNumberFormat="0" applyFill="0" applyBorder="0" applyAlignment="0" applyProtection="0"/>
  </cellStyleXfs>
  <cellXfs count="636">
    <xf numFmtId="0" fontId="0" fillId="0" borderId="0" xfId="0"/>
    <xf numFmtId="0" fontId="2" fillId="0" borderId="13" xfId="0" applyFont="1" applyFill="1" applyBorder="1"/>
    <xf numFmtId="164" fontId="0" fillId="0" borderId="0" xfId="0" applyNumberFormat="1" applyFill="1" applyBorder="1"/>
    <xf numFmtId="6" fontId="0" fillId="0" borderId="14" xfId="0" applyNumberFormat="1" applyFill="1" applyBorder="1" applyAlignment="1">
      <alignment horizontal="right"/>
    </xf>
    <xf numFmtId="0" fontId="2" fillId="0" borderId="0" xfId="0" applyFont="1" applyFill="1" applyBorder="1"/>
    <xf numFmtId="6" fontId="1" fillId="0" borderId="0" xfId="0" applyNumberFormat="1" applyFont="1" applyFill="1" applyBorder="1"/>
    <xf numFmtId="0" fontId="2" fillId="0" borderId="11" xfId="0" applyFont="1" applyFill="1" applyBorder="1" applyAlignment="1">
      <alignment horizontal="center" wrapText="1"/>
    </xf>
    <xf numFmtId="164" fontId="0" fillId="0" borderId="15" xfId="0" applyNumberFormat="1" applyFill="1" applyBorder="1"/>
    <xf numFmtId="0" fontId="0" fillId="0" borderId="0" xfId="0" applyFill="1"/>
    <xf numFmtId="6" fontId="0" fillId="0" borderId="16" xfId="0" applyNumberFormat="1" applyFill="1" applyBorder="1"/>
    <xf numFmtId="0" fontId="5" fillId="0" borderId="0" xfId="61"/>
    <xf numFmtId="0" fontId="5" fillId="0" borderId="0" xfId="61" applyFont="1"/>
    <xf numFmtId="0" fontId="23" fillId="0" borderId="0" xfId="61" applyFont="1"/>
    <xf numFmtId="0" fontId="23" fillId="0" borderId="0" xfId="61" applyFont="1" applyAlignment="1">
      <alignment horizontal="center"/>
    </xf>
    <xf numFmtId="0" fontId="5" fillId="0" borderId="11" xfId="61" applyBorder="1"/>
    <xf numFmtId="6" fontId="23" fillId="0" borderId="11" xfId="61" applyNumberFormat="1" applyFont="1" applyBorder="1"/>
    <xf numFmtId="0" fontId="2" fillId="0" borderId="11" xfId="0" applyFont="1" applyFill="1" applyBorder="1" applyAlignment="1">
      <alignment horizontal="center"/>
    </xf>
    <xf numFmtId="0" fontId="32" fillId="0" borderId="0" xfId="0" applyFont="1" applyFill="1" applyBorder="1"/>
    <xf numFmtId="38" fontId="3" fillId="0" borderId="0" xfId="0" applyNumberFormat="1" applyFont="1" applyFill="1" applyBorder="1"/>
    <xf numFmtId="165" fontId="3" fillId="0" borderId="0" xfId="0" applyNumberFormat="1" applyFont="1" applyFill="1" applyBorder="1" applyAlignment="1"/>
    <xf numFmtId="166" fontId="3" fillId="0" borderId="0" xfId="0" applyNumberFormat="1" applyFont="1" applyFill="1" applyBorder="1" applyAlignment="1"/>
    <xf numFmtId="6" fontId="0" fillId="0" borderId="17" xfId="0" applyNumberFormat="1" applyFill="1" applyBorder="1"/>
    <xf numFmtId="0" fontId="2" fillId="0" borderId="11" xfId="0" applyFont="1" applyFill="1" applyBorder="1" applyAlignment="1">
      <alignment horizontal="center" vertical="center" wrapText="1"/>
    </xf>
    <xf numFmtId="174" fontId="3" fillId="0" borderId="11" xfId="47" applyNumberFormat="1" applyFont="1" applyFill="1" applyBorder="1" applyAlignment="1">
      <alignment horizontal="center" vertical="center" wrapText="1"/>
    </xf>
    <xf numFmtId="0" fontId="2" fillId="0" borderId="0" xfId="0" applyFont="1" applyFill="1" applyBorder="1" applyAlignment="1">
      <alignment horizontal="center" wrapText="1"/>
    </xf>
    <xf numFmtId="174" fontId="3" fillId="0" borderId="0" xfId="47" applyNumberFormat="1" applyFont="1" applyFill="1" applyBorder="1" applyAlignment="1">
      <alignment horizontal="center" wrapText="1"/>
    </xf>
    <xf numFmtId="42" fontId="2" fillId="0" borderId="11" xfId="47" applyNumberFormat="1" applyFont="1" applyFill="1" applyBorder="1" applyAlignment="1">
      <alignment horizontal="center" wrapText="1"/>
    </xf>
    <xf numFmtId="0" fontId="0" fillId="0" borderId="18" xfId="0" applyFill="1" applyBorder="1" applyAlignment="1">
      <alignment horizontal="left" indent="1"/>
    </xf>
    <xf numFmtId="0" fontId="34" fillId="0" borderId="11" xfId="0" applyFont="1" applyFill="1" applyBorder="1" applyAlignment="1" applyProtection="1">
      <alignment horizontal="left"/>
    </xf>
    <xf numFmtId="0" fontId="34" fillId="0" borderId="19" xfId="0" applyFont="1" applyFill="1" applyBorder="1" applyProtection="1"/>
    <xf numFmtId="0" fontId="34" fillId="0" borderId="20" xfId="0" applyFont="1" applyFill="1" applyBorder="1" applyProtection="1"/>
    <xf numFmtId="0" fontId="34" fillId="0" borderId="0" xfId="0" applyFont="1" applyFill="1" applyProtection="1"/>
    <xf numFmtId="3" fontId="33" fillId="43" borderId="11" xfId="0" applyNumberFormat="1" applyFont="1" applyFill="1" applyBorder="1" applyAlignment="1">
      <alignment vertical="top" wrapText="1"/>
    </xf>
    <xf numFmtId="3" fontId="33" fillId="43" borderId="11" xfId="0" applyNumberFormat="1" applyFont="1" applyFill="1" applyBorder="1" applyAlignment="1">
      <alignment vertical="top"/>
    </xf>
    <xf numFmtId="0" fontId="36" fillId="0" borderId="0" xfId="0" applyFont="1" applyFill="1"/>
    <xf numFmtId="0" fontId="38" fillId="0" borderId="21" xfId="0" applyFont="1" applyFill="1" applyBorder="1"/>
    <xf numFmtId="0" fontId="36" fillId="0" borderId="22" xfId="0" applyFont="1" applyFill="1" applyBorder="1"/>
    <xf numFmtId="6" fontId="36" fillId="0" borderId="0" xfId="0" applyNumberFormat="1" applyFont="1" applyFill="1" applyBorder="1"/>
    <xf numFmtId="6" fontId="36" fillId="0" borderId="23" xfId="0" applyNumberFormat="1" applyFont="1" applyFill="1" applyBorder="1"/>
    <xf numFmtId="6" fontId="36" fillId="0" borderId="24" xfId="0" applyNumberFormat="1" applyFont="1" applyFill="1" applyBorder="1"/>
    <xf numFmtId="6" fontId="36" fillId="0" borderId="24" xfId="0" applyNumberFormat="1" applyFont="1" applyFill="1" applyBorder="1" applyAlignment="1">
      <alignment horizontal="right"/>
    </xf>
    <xf numFmtId="6" fontId="36" fillId="0" borderId="0" xfId="0" applyNumberFormat="1" applyFont="1" applyFill="1" applyBorder="1" applyAlignment="1">
      <alignment vertical="top"/>
    </xf>
    <xf numFmtId="6" fontId="36" fillId="0" borderId="23" xfId="0" applyNumberFormat="1" applyFont="1" applyFill="1" applyBorder="1" applyAlignment="1">
      <alignment vertical="top"/>
    </xf>
    <xf numFmtId="6" fontId="36" fillId="0" borderId="24" xfId="0" applyNumberFormat="1" applyFont="1" applyFill="1" applyBorder="1" applyAlignment="1">
      <alignment vertical="top"/>
    </xf>
    <xf numFmtId="6" fontId="36" fillId="0" borderId="14" xfId="0" applyNumberFormat="1" applyFont="1" applyFill="1" applyBorder="1"/>
    <xf numFmtId="6" fontId="36" fillId="0" borderId="11" xfId="0" applyNumberFormat="1" applyFont="1" applyFill="1" applyBorder="1"/>
    <xf numFmtId="6" fontId="36" fillId="0" borderId="25" xfId="0" applyNumberFormat="1" applyFont="1" applyFill="1" applyBorder="1"/>
    <xf numFmtId="6" fontId="36" fillId="0" borderId="0" xfId="0" applyNumberFormat="1" applyFont="1" applyFill="1" applyBorder="1" applyAlignment="1">
      <alignment horizontal="right"/>
    </xf>
    <xf numFmtId="0" fontId="38" fillId="0" borderId="0" xfId="0" applyFont="1" applyFill="1" applyBorder="1" applyAlignment="1">
      <alignment wrapText="1"/>
    </xf>
    <xf numFmtId="0" fontId="36" fillId="0" borderId="0" xfId="0" applyFont="1" applyFill="1" applyBorder="1"/>
    <xf numFmtId="3" fontId="33" fillId="43" borderId="11" xfId="0" applyNumberFormat="1" applyFont="1" applyFill="1" applyBorder="1" applyAlignment="1">
      <alignment horizontal="right" vertical="top" wrapText="1"/>
    </xf>
    <xf numFmtId="165" fontId="1" fillId="0" borderId="0" xfId="0" applyNumberFormat="1" applyFont="1" applyFill="1" applyBorder="1" applyProtection="1"/>
    <xf numFmtId="6" fontId="1" fillId="0" borderId="0" xfId="0" applyNumberFormat="1" applyFont="1" applyFill="1" applyBorder="1" applyAlignment="1">
      <alignment vertical="top"/>
    </xf>
    <xf numFmtId="0" fontId="0" fillId="0" borderId="26" xfId="0" applyFill="1" applyBorder="1"/>
    <xf numFmtId="0" fontId="0" fillId="0" borderId="0" xfId="0" applyFill="1" applyBorder="1"/>
    <xf numFmtId="0" fontId="48" fillId="0" borderId="0" xfId="0" applyFont="1" applyFill="1" applyBorder="1" applyAlignment="1">
      <alignment horizontal="right"/>
    </xf>
    <xf numFmtId="0" fontId="2" fillId="0" borderId="27" xfId="0" applyFont="1" applyFill="1" applyBorder="1" applyAlignment="1">
      <alignment horizontal="center" wrapText="1"/>
    </xf>
    <xf numFmtId="0" fontId="2" fillId="0" borderId="28" xfId="0" applyFont="1" applyFill="1" applyBorder="1" applyAlignment="1">
      <alignment horizontal="center" wrapText="1"/>
    </xf>
    <xf numFmtId="42" fontId="2" fillId="0" borderId="28" xfId="47" applyNumberFormat="1" applyFont="1" applyFill="1" applyBorder="1" applyAlignment="1">
      <alignment horizontal="center" wrapText="1"/>
    </xf>
    <xf numFmtId="42" fontId="2" fillId="0" borderId="29" xfId="47" applyNumberFormat="1" applyFont="1" applyFill="1" applyBorder="1" applyAlignment="1">
      <alignment horizontal="center" wrapText="1"/>
    </xf>
    <xf numFmtId="0" fontId="2" fillId="0" borderId="30" xfId="0" applyFont="1" applyFill="1" applyBorder="1" applyAlignment="1">
      <alignment horizontal="center" wrapText="1"/>
    </xf>
    <xf numFmtId="174" fontId="3" fillId="0" borderId="31" xfId="47" applyNumberFormat="1" applyFont="1" applyFill="1" applyBorder="1" applyAlignment="1">
      <alignment horizontal="center" wrapText="1"/>
    </xf>
    <xf numFmtId="5" fontId="3" fillId="0" borderId="31" xfId="47" applyNumberFormat="1" applyFont="1" applyFill="1" applyBorder="1" applyAlignment="1">
      <alignment horizontal="center" wrapText="1"/>
    </xf>
    <xf numFmtId="0" fontId="2" fillId="0" borderId="13" xfId="0" applyFont="1" applyFill="1" applyBorder="1" applyAlignment="1">
      <alignment horizontal="center" wrapText="1"/>
    </xf>
    <xf numFmtId="0" fontId="2" fillId="0" borderId="17" xfId="0" applyFont="1" applyFill="1" applyBorder="1" applyAlignment="1">
      <alignment horizontal="center" wrapText="1"/>
    </xf>
    <xf numFmtId="0" fontId="3" fillId="0" borderId="32" xfId="0" applyFont="1" applyFill="1" applyBorder="1" applyAlignment="1">
      <alignment horizontal="center" wrapText="1"/>
    </xf>
    <xf numFmtId="0" fontId="5" fillId="0" borderId="25" xfId="61" applyFont="1" applyBorder="1" applyAlignment="1">
      <alignment vertical="top"/>
    </xf>
    <xf numFmtId="6" fontId="5" fillId="0" borderId="25" xfId="61" applyNumberFormat="1" applyFont="1" applyBorder="1" applyAlignment="1">
      <alignment vertical="top"/>
    </xf>
    <xf numFmtId="0" fontId="23" fillId="0" borderId="33" xfId="61" applyFont="1" applyBorder="1" applyAlignment="1">
      <alignment horizontal="center"/>
    </xf>
    <xf numFmtId="0" fontId="23" fillId="0" borderId="34" xfId="61" applyFont="1" applyBorder="1" applyAlignment="1">
      <alignment horizontal="center"/>
    </xf>
    <xf numFmtId="0" fontId="23" fillId="0" borderId="35" xfId="61" applyFont="1" applyBorder="1" applyAlignment="1">
      <alignment horizontal="center"/>
    </xf>
    <xf numFmtId="0" fontId="5" fillId="0" borderId="21" xfId="61" applyFont="1" applyBorder="1" applyAlignment="1">
      <alignment vertical="top"/>
    </xf>
    <xf numFmtId="0" fontId="23" fillId="0" borderId="13" xfId="61" applyFont="1" applyBorder="1"/>
    <xf numFmtId="0" fontId="5" fillId="0" borderId="17" xfId="61" applyBorder="1"/>
    <xf numFmtId="0" fontId="5" fillId="0" borderId="32" xfId="61" applyBorder="1"/>
    <xf numFmtId="0" fontId="5" fillId="0" borderId="36" xfId="61" applyBorder="1"/>
    <xf numFmtId="0" fontId="5" fillId="0" borderId="37" xfId="61" applyBorder="1"/>
    <xf numFmtId="175" fontId="34" fillId="0" borderId="26" xfId="0" applyNumberFormat="1" applyFont="1" applyFill="1" applyBorder="1" applyAlignment="1" applyProtection="1">
      <alignment horizontal="center" wrapText="1"/>
    </xf>
    <xf numFmtId="175" fontId="34" fillId="0" borderId="38" xfId="0" applyNumberFormat="1" applyFont="1" applyFill="1" applyBorder="1" applyAlignment="1" applyProtection="1">
      <alignment horizontal="center"/>
    </xf>
    <xf numFmtId="0" fontId="34" fillId="0" borderId="11" xfId="0" applyFont="1" applyFill="1" applyBorder="1" applyProtection="1"/>
    <xf numFmtId="0" fontId="34" fillId="0" borderId="14" xfId="0" applyFont="1" applyFill="1" applyBorder="1" applyAlignment="1" applyProtection="1">
      <alignment horizontal="center" wrapText="1"/>
    </xf>
    <xf numFmtId="0" fontId="34" fillId="0" borderId="11" xfId="0" applyFont="1" applyFill="1" applyBorder="1" applyAlignment="1" applyProtection="1">
      <alignment horizontal="center" wrapText="1"/>
    </xf>
    <xf numFmtId="0" fontId="34" fillId="0" borderId="39" xfId="0" applyFont="1" applyFill="1" applyBorder="1" applyAlignment="1" applyProtection="1">
      <alignment horizontal="center" wrapText="1"/>
    </xf>
    <xf numFmtId="0" fontId="1" fillId="0" borderId="0" xfId="0" applyFont="1" applyFill="1" applyProtection="1"/>
    <xf numFmtId="0" fontId="1" fillId="0" borderId="40" xfId="0" applyFont="1" applyFill="1" applyBorder="1" applyProtection="1"/>
    <xf numFmtId="0" fontId="2" fillId="0" borderId="22" xfId="0" applyFont="1" applyFill="1" applyBorder="1" applyAlignment="1">
      <alignment horizontal="center"/>
    </xf>
    <xf numFmtId="6" fontId="0" fillId="0" borderId="16" xfId="0" applyNumberFormat="1" applyFill="1" applyBorder="1" applyAlignment="1">
      <alignment horizontal="right"/>
    </xf>
    <xf numFmtId="6" fontId="36" fillId="0" borderId="22" xfId="0" applyNumberFormat="1" applyFont="1" applyFill="1" applyBorder="1"/>
    <xf numFmtId="0" fontId="36" fillId="0" borderId="23" xfId="0" applyFont="1" applyFill="1" applyBorder="1"/>
    <xf numFmtId="6" fontId="36" fillId="0" borderId="41" xfId="0" applyNumberFormat="1" applyFont="1" applyFill="1" applyBorder="1"/>
    <xf numFmtId="6" fontId="36" fillId="0" borderId="39" xfId="0" applyNumberFormat="1" applyFont="1" applyFill="1" applyBorder="1"/>
    <xf numFmtId="6" fontId="36" fillId="0" borderId="22" xfId="0" applyNumberFormat="1" applyFont="1" applyFill="1" applyBorder="1" applyAlignment="1">
      <alignment horizontal="right"/>
    </xf>
    <xf numFmtId="0" fontId="36" fillId="0" borderId="42" xfId="0" applyFont="1" applyFill="1" applyBorder="1"/>
    <xf numFmtId="0" fontId="36" fillId="0" borderId="18" xfId="0" applyFont="1" applyFill="1" applyBorder="1" applyAlignment="1">
      <alignment horizontal="left" indent="1"/>
    </xf>
    <xf numFmtId="0" fontId="36" fillId="0" borderId="18" xfId="0" applyFont="1" applyFill="1" applyBorder="1" applyAlignment="1">
      <alignment horizontal="left" wrapText="1" indent="1"/>
    </xf>
    <xf numFmtId="0" fontId="36" fillId="0" borderId="18" xfId="0" applyFont="1" applyFill="1" applyBorder="1" applyAlignment="1">
      <alignment wrapText="1"/>
    </xf>
    <xf numFmtId="0" fontId="38" fillId="0" borderId="13" xfId="0" applyFont="1" applyFill="1" applyBorder="1"/>
    <xf numFmtId="0" fontId="38" fillId="0" borderId="18" xfId="0" applyFont="1" applyFill="1" applyBorder="1"/>
    <xf numFmtId="0" fontId="38" fillId="0" borderId="43" xfId="0" applyFont="1" applyFill="1" applyBorder="1"/>
    <xf numFmtId="0" fontId="36" fillId="0" borderId="13" xfId="0" applyFont="1" applyFill="1" applyBorder="1" applyAlignment="1">
      <alignment horizontal="left" indent="1"/>
    </xf>
    <xf numFmtId="0" fontId="1" fillId="0" borderId="0" xfId="0" applyFont="1" applyFill="1" applyAlignment="1" applyProtection="1">
      <alignment horizontal="right"/>
    </xf>
    <xf numFmtId="0" fontId="34" fillId="0" borderId="14" xfId="0" applyFont="1" applyFill="1" applyBorder="1" applyAlignment="1" applyProtection="1">
      <alignment horizontal="right" wrapText="1"/>
    </xf>
    <xf numFmtId="3" fontId="1" fillId="0" borderId="44" xfId="0" applyNumberFormat="1" applyFont="1" applyFill="1" applyBorder="1" applyAlignment="1" applyProtection="1">
      <alignment horizontal="right"/>
    </xf>
    <xf numFmtId="3" fontId="34" fillId="0" borderId="26" xfId="0" applyNumberFormat="1" applyFont="1" applyFill="1" applyBorder="1" applyAlignment="1" applyProtection="1">
      <alignment horizontal="right" wrapText="1"/>
    </xf>
    <xf numFmtId="0" fontId="34" fillId="0" borderId="0" xfId="0" applyFont="1" applyFill="1" applyAlignment="1" applyProtection="1">
      <alignment horizontal="right"/>
    </xf>
    <xf numFmtId="0" fontId="34" fillId="0" borderId="45" xfId="0" applyFont="1" applyFill="1" applyBorder="1" applyAlignment="1" applyProtection="1">
      <alignment horizontal="right" wrapText="1"/>
    </xf>
    <xf numFmtId="14" fontId="5" fillId="0" borderId="25" xfId="61" applyNumberFormat="1" applyFont="1" applyFill="1" applyBorder="1" applyAlignment="1">
      <alignment vertical="top"/>
    </xf>
    <xf numFmtId="0" fontId="3" fillId="0" borderId="17" xfId="0" applyNumberFormat="1" applyFont="1" applyFill="1" applyBorder="1" applyAlignment="1">
      <alignment horizontal="left" vertical="top" wrapText="1"/>
    </xf>
    <xf numFmtId="14" fontId="5" fillId="0" borderId="25" xfId="61" applyNumberFormat="1" applyBorder="1" applyAlignment="1">
      <alignment vertical="top"/>
    </xf>
    <xf numFmtId="0" fontId="3" fillId="0" borderId="17" xfId="0" applyNumberFormat="1" applyFont="1" applyBorder="1" applyAlignment="1">
      <alignment horizontal="left" vertical="top" wrapText="1"/>
    </xf>
    <xf numFmtId="0" fontId="5" fillId="0" borderId="13" xfId="61" applyFont="1" applyBorder="1" applyAlignment="1">
      <alignment vertical="top"/>
    </xf>
    <xf numFmtId="6" fontId="5" fillId="0" borderId="11" xfId="61" applyNumberFormat="1" applyBorder="1" applyAlignment="1">
      <alignment vertical="top"/>
    </xf>
    <xf numFmtId="0" fontId="5" fillId="0" borderId="11" xfId="61" applyFont="1" applyBorder="1" applyAlignment="1">
      <alignment vertical="top" wrapText="1"/>
    </xf>
    <xf numFmtId="14" fontId="5" fillId="0" borderId="11" xfId="61" applyNumberFormat="1" applyBorder="1" applyAlignment="1">
      <alignment vertical="top"/>
    </xf>
    <xf numFmtId="0" fontId="5" fillId="0" borderId="25" xfId="61" applyFont="1" applyBorder="1" applyAlignment="1">
      <alignment vertical="top" wrapText="1"/>
    </xf>
    <xf numFmtId="6" fontId="36" fillId="0" borderId="24" xfId="0" applyNumberFormat="1" applyFont="1" applyFill="1" applyBorder="1" applyAlignment="1">
      <alignment horizontal="right" vertical="top"/>
    </xf>
    <xf numFmtId="6" fontId="36" fillId="0" borderId="24" xfId="0" applyNumberFormat="1" applyFont="1" applyFill="1" applyBorder="1" applyAlignment="1">
      <alignment horizontal="right" vertical="center"/>
    </xf>
    <xf numFmtId="6" fontId="36" fillId="0" borderId="46" xfId="0" applyNumberFormat="1" applyFont="1" applyFill="1" applyBorder="1"/>
    <xf numFmtId="6" fontId="36" fillId="0" borderId="26" xfId="0" applyNumberFormat="1" applyFont="1" applyFill="1" applyBorder="1"/>
    <xf numFmtId="6" fontId="36" fillId="0" borderId="47" xfId="0" applyNumberFormat="1" applyFont="1" applyFill="1" applyBorder="1" applyAlignment="1">
      <alignment wrapText="1"/>
    </xf>
    <xf numFmtId="6" fontId="36" fillId="0" borderId="16" xfId="0" applyNumberFormat="1" applyFont="1" applyFill="1" applyBorder="1"/>
    <xf numFmtId="6" fontId="36" fillId="0" borderId="48" xfId="0" applyNumberFormat="1" applyFont="1" applyFill="1" applyBorder="1"/>
    <xf numFmtId="6" fontId="36" fillId="0" borderId="34" xfId="0" applyNumberFormat="1" applyFont="1" applyFill="1" applyBorder="1"/>
    <xf numFmtId="167" fontId="36" fillId="0" borderId="35" xfId="0" applyNumberFormat="1" applyFont="1" applyFill="1" applyBorder="1"/>
    <xf numFmtId="176" fontId="0" fillId="0" borderId="0" xfId="0" applyNumberFormat="1" applyFill="1"/>
    <xf numFmtId="0" fontId="50" fillId="0" borderId="0" xfId="0" applyFont="1" applyFill="1" applyBorder="1" applyAlignment="1" applyProtection="1">
      <alignment vertical="top"/>
    </xf>
    <xf numFmtId="2" fontId="33" fillId="44" borderId="11" xfId="0" applyNumberFormat="1" applyFont="1" applyFill="1" applyBorder="1" applyAlignment="1">
      <alignment horizontal="right" vertical="top"/>
    </xf>
    <xf numFmtId="3" fontId="33" fillId="45" borderId="11" xfId="0" applyNumberFormat="1" applyFont="1" applyFill="1" applyBorder="1" applyAlignment="1">
      <alignment horizontal="right" vertical="top" wrapText="1"/>
    </xf>
    <xf numFmtId="2" fontId="33" fillId="44" borderId="11" xfId="0" applyNumberFormat="1" applyFont="1" applyFill="1" applyBorder="1" applyAlignment="1">
      <alignment vertical="top"/>
    </xf>
    <xf numFmtId="172" fontId="33" fillId="44" borderId="11" xfId="0" applyNumberFormat="1" applyFont="1" applyFill="1" applyBorder="1" applyAlignment="1">
      <alignment horizontal="right" vertical="top"/>
    </xf>
    <xf numFmtId="175" fontId="1" fillId="0" borderId="42" xfId="0" applyNumberFormat="1" applyFont="1" applyFill="1" applyBorder="1" applyAlignment="1" applyProtection="1">
      <alignment horizontal="right"/>
    </xf>
    <xf numFmtId="175" fontId="1" fillId="0" borderId="23" xfId="0" applyNumberFormat="1" applyFont="1" applyFill="1" applyBorder="1" applyAlignment="1" applyProtection="1">
      <alignment horizontal="right"/>
    </xf>
    <xf numFmtId="175" fontId="1" fillId="0" borderId="41" xfId="0" applyNumberFormat="1" applyFont="1" applyFill="1" applyBorder="1" applyAlignment="1" applyProtection="1">
      <alignment horizontal="right"/>
    </xf>
    <xf numFmtId="175" fontId="1" fillId="0" borderId="26" xfId="0" applyNumberFormat="1" applyFont="1" applyFill="1" applyBorder="1" applyAlignment="1" applyProtection="1">
      <alignment horizontal="right"/>
    </xf>
    <xf numFmtId="175" fontId="1" fillId="0" borderId="0" xfId="0" applyNumberFormat="1" applyFont="1" applyFill="1" applyBorder="1" applyAlignment="1" applyProtection="1">
      <alignment horizontal="right"/>
    </xf>
    <xf numFmtId="175" fontId="1" fillId="0" borderId="22" xfId="0" applyNumberFormat="1" applyFont="1" applyFill="1" applyBorder="1" applyAlignment="1" applyProtection="1">
      <alignment horizontal="right"/>
    </xf>
    <xf numFmtId="175" fontId="1" fillId="0" borderId="44" xfId="0" applyNumberFormat="1" applyFont="1" applyFill="1" applyBorder="1" applyAlignment="1" applyProtection="1">
      <alignment horizontal="right"/>
    </xf>
    <xf numFmtId="175" fontId="1" fillId="0" borderId="49" xfId="0" applyNumberFormat="1" applyFont="1" applyFill="1" applyBorder="1" applyAlignment="1" applyProtection="1">
      <alignment horizontal="right"/>
    </xf>
    <xf numFmtId="175" fontId="1" fillId="0" borderId="50" xfId="0" applyNumberFormat="1" applyFont="1" applyFill="1" applyBorder="1" applyAlignment="1" applyProtection="1">
      <alignment horizontal="right"/>
    </xf>
    <xf numFmtId="175" fontId="34" fillId="0" borderId="26" xfId="0" applyNumberFormat="1" applyFont="1" applyFill="1" applyBorder="1" applyAlignment="1" applyProtection="1">
      <alignment horizontal="right" wrapText="1"/>
    </xf>
    <xf numFmtId="175" fontId="34" fillId="0" borderId="38" xfId="0" applyNumberFormat="1" applyFont="1" applyFill="1" applyBorder="1" applyAlignment="1" applyProtection="1">
      <alignment horizontal="right"/>
    </xf>
    <xf numFmtId="38" fontId="1" fillId="0" borderId="26" xfId="0" applyNumberFormat="1" applyFont="1" applyFill="1" applyBorder="1" applyAlignment="1" applyProtection="1"/>
    <xf numFmtId="38" fontId="1" fillId="0" borderId="0" xfId="0" applyNumberFormat="1" applyFont="1" applyFill="1" applyBorder="1" applyAlignment="1" applyProtection="1"/>
    <xf numFmtId="38" fontId="3" fillId="0" borderId="0" xfId="0" applyNumberFormat="1" applyFont="1" applyFill="1" applyBorder="1" applyAlignment="1" applyProtection="1"/>
    <xf numFmtId="38" fontId="3" fillId="0" borderId="22" xfId="0" applyNumberFormat="1" applyFont="1" applyFill="1" applyBorder="1" applyAlignment="1" applyProtection="1"/>
    <xf numFmtId="38" fontId="1" fillId="0" borderId="26" xfId="0" applyNumberFormat="1" applyFont="1" applyFill="1" applyBorder="1" applyAlignment="1" applyProtection="1">
      <alignment horizontal="right"/>
    </xf>
    <xf numFmtId="38" fontId="1" fillId="0" borderId="0" xfId="0" applyNumberFormat="1" applyFont="1" applyFill="1" applyBorder="1" applyAlignment="1" applyProtection="1">
      <alignment horizontal="right"/>
    </xf>
    <xf numFmtId="38" fontId="1" fillId="0" borderId="22" xfId="0" applyNumberFormat="1" applyFont="1" applyFill="1" applyBorder="1" applyAlignment="1" applyProtection="1">
      <alignment horizontal="right"/>
    </xf>
    <xf numFmtId="3" fontId="34" fillId="0" borderId="51" xfId="0" applyNumberFormat="1" applyFont="1" applyFill="1" applyBorder="1" applyAlignment="1" applyProtection="1">
      <alignment horizontal="right" wrapText="1"/>
    </xf>
    <xf numFmtId="0" fontId="38" fillId="0" borderId="52" xfId="0" applyFont="1" applyFill="1" applyBorder="1" applyAlignment="1">
      <alignment wrapText="1"/>
    </xf>
    <xf numFmtId="0" fontId="36" fillId="0" borderId="18" xfId="0" applyFont="1" applyFill="1" applyBorder="1" applyAlignment="1">
      <alignment horizontal="left" wrapText="1"/>
    </xf>
    <xf numFmtId="0" fontId="55" fillId="0" borderId="18" xfId="0" applyFont="1" applyFill="1" applyBorder="1" applyAlignment="1">
      <alignment wrapText="1"/>
    </xf>
    <xf numFmtId="174" fontId="6" fillId="0" borderId="11" xfId="0" applyNumberFormat="1" applyFont="1" applyFill="1" applyBorder="1" applyAlignment="1">
      <alignment vertical="center"/>
    </xf>
    <xf numFmtId="3" fontId="3" fillId="0" borderId="11" xfId="0" applyNumberFormat="1" applyFont="1" applyFill="1" applyBorder="1" applyAlignment="1">
      <alignment horizontal="center" vertical="center" wrapText="1"/>
    </xf>
    <xf numFmtId="174" fontId="3" fillId="0" borderId="11" xfId="47" applyNumberFormat="1" applyFont="1" applyFill="1" applyBorder="1" applyAlignment="1">
      <alignment horizontal="left" vertical="center"/>
    </xf>
    <xf numFmtId="0" fontId="36" fillId="0" borderId="26" xfId="0" applyFont="1" applyFill="1" applyBorder="1"/>
    <xf numFmtId="176" fontId="3" fillId="0" borderId="0" xfId="0" applyNumberFormat="1" applyFont="1" applyFill="1" applyBorder="1"/>
    <xf numFmtId="0" fontId="36" fillId="0" borderId="31" xfId="0" applyFont="1" applyFill="1" applyBorder="1"/>
    <xf numFmtId="0" fontId="36" fillId="0" borderId="53" xfId="0" applyFont="1" applyFill="1" applyBorder="1"/>
    <xf numFmtId="167" fontId="36" fillId="0" borderId="53" xfId="0" applyNumberFormat="1" applyFont="1" applyFill="1" applyBorder="1" applyAlignment="1">
      <alignment horizontal="right"/>
    </xf>
    <xf numFmtId="167" fontId="36" fillId="0" borderId="53" xfId="0" applyNumberFormat="1" applyFont="1" applyFill="1" applyBorder="1" applyAlignment="1">
      <alignment horizontal="right" vertical="top"/>
    </xf>
    <xf numFmtId="167" fontId="36" fillId="0" borderId="54" xfId="0" applyNumberFormat="1" applyFont="1" applyFill="1" applyBorder="1" applyAlignment="1">
      <alignment horizontal="right"/>
    </xf>
    <xf numFmtId="0" fontId="36" fillId="0" borderId="18" xfId="0" applyFont="1" applyFill="1" applyBorder="1"/>
    <xf numFmtId="0" fontId="36" fillId="0" borderId="55" xfId="0" applyFont="1" applyFill="1" applyBorder="1"/>
    <xf numFmtId="167" fontId="36" fillId="0" borderId="31" xfId="0" applyNumberFormat="1" applyFont="1" applyFill="1" applyBorder="1" applyAlignment="1">
      <alignment horizontal="right"/>
    </xf>
    <xf numFmtId="167" fontId="36" fillId="0" borderId="56" xfId="0" applyNumberFormat="1" applyFont="1" applyFill="1" applyBorder="1" applyAlignment="1">
      <alignment horizontal="right"/>
    </xf>
    <xf numFmtId="6" fontId="36" fillId="0" borderId="53" xfId="0" applyNumberFormat="1" applyFont="1" applyFill="1" applyBorder="1"/>
    <xf numFmtId="167" fontId="36" fillId="0" borderId="57" xfId="0" applyNumberFormat="1" applyFont="1" applyFill="1" applyBorder="1" applyAlignment="1">
      <alignment horizontal="right"/>
    </xf>
    <xf numFmtId="6" fontId="36" fillId="0" borderId="55" xfId="0" applyNumberFormat="1" applyFont="1" applyFill="1" applyBorder="1" applyAlignment="1">
      <alignment horizontal="right"/>
    </xf>
    <xf numFmtId="167" fontId="36" fillId="0" borderId="53" xfId="0" applyNumberFormat="1" applyFont="1" applyFill="1" applyBorder="1" applyAlignment="1">
      <alignment vertical="top"/>
    </xf>
    <xf numFmtId="167" fontId="36" fillId="0" borderId="53" xfId="0" applyNumberFormat="1" applyFont="1" applyFill="1" applyBorder="1"/>
    <xf numFmtId="167" fontId="36" fillId="0" borderId="56" xfId="0" applyNumberFormat="1" applyFont="1" applyFill="1" applyBorder="1" applyAlignment="1">
      <alignment vertical="top"/>
    </xf>
    <xf numFmtId="167" fontId="36" fillId="0" borderId="56" xfId="0" applyNumberFormat="1" applyFont="1" applyFill="1" applyBorder="1"/>
    <xf numFmtId="6" fontId="36" fillId="0" borderId="53" xfId="0" applyNumberFormat="1" applyFont="1" applyFill="1" applyBorder="1" applyAlignment="1">
      <alignment horizontal="right"/>
    </xf>
    <xf numFmtId="167" fontId="36" fillId="0" borderId="17" xfId="0" applyNumberFormat="1" applyFont="1" applyFill="1" applyBorder="1"/>
    <xf numFmtId="167" fontId="36" fillId="0" borderId="55" xfId="0" applyNumberFormat="1" applyFont="1" applyFill="1" applyBorder="1" applyAlignment="1">
      <alignment horizontal="center"/>
    </xf>
    <xf numFmtId="167" fontId="36" fillId="0" borderId="53" xfId="0" applyNumberFormat="1" applyFont="1" applyFill="1" applyBorder="1" applyAlignment="1">
      <alignment horizontal="center"/>
    </xf>
    <xf numFmtId="0" fontId="38" fillId="0" borderId="58" xfId="0" applyFont="1" applyFill="1" applyBorder="1" applyAlignment="1">
      <alignment wrapText="1"/>
    </xf>
    <xf numFmtId="0" fontId="38" fillId="0" borderId="0" xfId="0" applyFont="1" applyFill="1" applyBorder="1" applyAlignment="1">
      <alignment vertical="center"/>
    </xf>
    <xf numFmtId="0" fontId="36" fillId="0" borderId="0" xfId="0" applyFont="1" applyFill="1" applyBorder="1" applyAlignment="1">
      <alignment vertical="center"/>
    </xf>
    <xf numFmtId="0" fontId="36" fillId="0" borderId="59" xfId="0" applyFont="1" applyFill="1" applyBorder="1"/>
    <xf numFmtId="0" fontId="38" fillId="0" borderId="27" xfId="0" applyFont="1" applyFill="1" applyBorder="1" applyAlignment="1">
      <alignment horizontal="center"/>
    </xf>
    <xf numFmtId="0" fontId="38" fillId="0" borderId="60" xfId="0" applyFont="1" applyFill="1" applyBorder="1" applyAlignment="1">
      <alignment horizontal="center"/>
    </xf>
    <xf numFmtId="0" fontId="38" fillId="0" borderId="28" xfId="0" applyFont="1" applyFill="1" applyBorder="1" applyAlignment="1">
      <alignment horizontal="center" wrapText="1"/>
    </xf>
    <xf numFmtId="0" fontId="38" fillId="0" borderId="29" xfId="0" applyFont="1" applyFill="1" applyBorder="1" applyAlignment="1">
      <alignment horizontal="center" wrapText="1"/>
    </xf>
    <xf numFmtId="0" fontId="31" fillId="0" borderId="0" xfId="0" applyFont="1" applyFill="1" applyBorder="1" applyProtection="1"/>
    <xf numFmtId="0" fontId="34" fillId="0" borderId="40" xfId="0" applyFont="1" applyFill="1" applyBorder="1" applyProtection="1"/>
    <xf numFmtId="0" fontId="34" fillId="0" borderId="25" xfId="0" applyFont="1" applyFill="1" applyBorder="1" applyProtection="1"/>
    <xf numFmtId="3" fontId="1" fillId="0" borderId="22" xfId="0" applyNumberFormat="1" applyFont="1" applyFill="1" applyBorder="1" applyAlignment="1" applyProtection="1">
      <alignment horizontal="right"/>
    </xf>
    <xf numFmtId="3" fontId="1" fillId="0" borderId="40" xfId="0" applyNumberFormat="1" applyFont="1" applyFill="1" applyBorder="1" applyAlignment="1" applyProtection="1">
      <alignment horizontal="right"/>
    </xf>
    <xf numFmtId="38" fontId="1" fillId="0" borderId="40" xfId="0" applyNumberFormat="1" applyFont="1" applyFill="1" applyBorder="1" applyAlignment="1" applyProtection="1">
      <alignment horizontal="right"/>
    </xf>
    <xf numFmtId="38" fontId="1" fillId="0" borderId="61" xfId="0" applyNumberFormat="1" applyFont="1" applyFill="1" applyBorder="1" applyAlignment="1" applyProtection="1">
      <alignment horizontal="right"/>
    </xf>
    <xf numFmtId="38" fontId="1" fillId="0" borderId="62" xfId="0" applyNumberFormat="1" applyFont="1" applyFill="1" applyBorder="1" applyAlignment="1" applyProtection="1">
      <alignment horizontal="right"/>
    </xf>
    <xf numFmtId="0" fontId="1" fillId="0" borderId="0" xfId="0" applyFont="1" applyFill="1" applyBorder="1"/>
    <xf numFmtId="3" fontId="1" fillId="0" borderId="40" xfId="0" applyNumberFormat="1" applyFont="1" applyFill="1" applyBorder="1" applyAlignment="1" applyProtection="1"/>
    <xf numFmtId="38" fontId="1" fillId="0" borderId="40" xfId="0" applyNumberFormat="1" applyFont="1" applyFill="1" applyBorder="1" applyAlignment="1" applyProtection="1"/>
    <xf numFmtId="3" fontId="3" fillId="0" borderId="40" xfId="0" applyNumberFormat="1" applyFont="1" applyFill="1" applyBorder="1" applyAlignment="1" applyProtection="1">
      <alignment horizontal="right"/>
    </xf>
    <xf numFmtId="0" fontId="34" fillId="0" borderId="11" xfId="0" applyFont="1" applyFill="1" applyBorder="1" applyAlignment="1" applyProtection="1">
      <alignment horizontal="right" wrapText="1"/>
    </xf>
    <xf numFmtId="0" fontId="1" fillId="0" borderId="0" xfId="0" applyFont="1" applyFill="1" applyAlignment="1" applyProtection="1"/>
    <xf numFmtId="0" fontId="34" fillId="0" borderId="45" xfId="0" applyFont="1" applyFill="1" applyBorder="1" applyAlignment="1" applyProtection="1">
      <alignment wrapText="1"/>
    </xf>
    <xf numFmtId="38" fontId="1" fillId="0" borderId="61" xfId="0" applyNumberFormat="1" applyFont="1" applyFill="1" applyBorder="1" applyAlignment="1" applyProtection="1"/>
    <xf numFmtId="3" fontId="1" fillId="0" borderId="62" xfId="0" applyNumberFormat="1" applyFont="1" applyFill="1" applyBorder="1" applyAlignment="1"/>
    <xf numFmtId="3" fontId="1" fillId="0" borderId="44" xfId="0" applyNumberFormat="1" applyFont="1" applyFill="1" applyBorder="1" applyAlignment="1" applyProtection="1"/>
    <xf numFmtId="3" fontId="34" fillId="0" borderId="26" xfId="0" applyNumberFormat="1" applyFont="1" applyFill="1" applyBorder="1" applyAlignment="1" applyProtection="1">
      <alignment wrapText="1"/>
    </xf>
    <xf numFmtId="3" fontId="1" fillId="0" borderId="61" xfId="0" applyNumberFormat="1" applyFont="1" applyFill="1" applyBorder="1" applyAlignment="1" applyProtection="1"/>
    <xf numFmtId="3" fontId="3" fillId="0" borderId="62" xfId="0" applyNumberFormat="1" applyFont="1" applyFill="1" applyBorder="1" applyAlignment="1"/>
    <xf numFmtId="3" fontId="1" fillId="0" borderId="0" xfId="0" applyNumberFormat="1" applyFont="1" applyFill="1" applyBorder="1" applyAlignment="1" applyProtection="1"/>
    <xf numFmtId="0" fontId="1" fillId="0" borderId="0" xfId="0" applyFont="1" applyFill="1" applyBorder="1" applyAlignment="1" applyProtection="1"/>
    <xf numFmtId="38" fontId="1" fillId="0" borderId="62" xfId="0" applyNumberFormat="1" applyFont="1" applyFill="1" applyBorder="1" applyAlignment="1" applyProtection="1"/>
    <xf numFmtId="3" fontId="1" fillId="0" borderId="22" xfId="0" applyNumberFormat="1" applyFont="1" applyFill="1" applyBorder="1" applyAlignment="1" applyProtection="1"/>
    <xf numFmtId="0" fontId="34" fillId="0" borderId="0" xfId="0" applyFont="1" applyFill="1" applyAlignment="1" applyProtection="1"/>
    <xf numFmtId="0" fontId="35" fillId="0" borderId="0" xfId="0" applyFont="1" applyFill="1" applyAlignment="1" applyProtection="1"/>
    <xf numFmtId="0" fontId="34" fillId="0" borderId="39" xfId="0" applyFont="1" applyFill="1" applyBorder="1" applyAlignment="1" applyProtection="1">
      <alignment horizontal="right" wrapText="1"/>
    </xf>
    <xf numFmtId="165" fontId="1" fillId="0" borderId="0" xfId="0" applyNumberFormat="1" applyFont="1" applyFill="1" applyBorder="1" applyAlignment="1" applyProtection="1">
      <alignment horizontal="right"/>
    </xf>
    <xf numFmtId="175" fontId="1" fillId="0" borderId="51" xfId="0" applyNumberFormat="1" applyFont="1" applyFill="1" applyBorder="1" applyAlignment="1" applyProtection="1">
      <alignment horizontal="right"/>
    </xf>
    <xf numFmtId="3" fontId="1" fillId="0" borderId="0" xfId="0" applyNumberFormat="1" applyFont="1" applyFill="1" applyAlignment="1" applyProtection="1"/>
    <xf numFmtId="3" fontId="34" fillId="0" borderId="14" xfId="0" applyNumberFormat="1" applyFont="1" applyFill="1" applyBorder="1" applyAlignment="1" applyProtection="1">
      <alignment wrapText="1"/>
    </xf>
    <xf numFmtId="0" fontId="34" fillId="0" borderId="11" xfId="0" applyFont="1" applyFill="1" applyBorder="1" applyAlignment="1" applyProtection="1">
      <alignment wrapText="1"/>
    </xf>
    <xf numFmtId="0" fontId="34" fillId="0" borderId="39" xfId="0" applyFont="1" applyFill="1" applyBorder="1" applyAlignment="1" applyProtection="1">
      <alignment wrapText="1"/>
    </xf>
    <xf numFmtId="0" fontId="34" fillId="0" borderId="14" xfId="0" applyFont="1" applyFill="1" applyBorder="1" applyAlignment="1" applyProtection="1">
      <alignment wrapText="1"/>
    </xf>
    <xf numFmtId="0" fontId="34" fillId="0" borderId="26" xfId="0" applyFont="1" applyFill="1" applyBorder="1" applyAlignment="1" applyProtection="1">
      <alignment wrapText="1"/>
    </xf>
    <xf numFmtId="0" fontId="34" fillId="0" borderId="26" xfId="0" applyFont="1" applyFill="1" applyBorder="1" applyAlignment="1" applyProtection="1"/>
    <xf numFmtId="0" fontId="34" fillId="0" borderId="14" xfId="0" applyFont="1" applyFill="1" applyBorder="1" applyAlignment="1" applyProtection="1"/>
    <xf numFmtId="175" fontId="1" fillId="0" borderId="26" xfId="0" applyNumberFormat="1" applyFont="1" applyFill="1" applyBorder="1" applyAlignment="1" applyProtection="1"/>
    <xf numFmtId="175" fontId="1" fillId="0" borderId="42" xfId="0" applyNumberFormat="1" applyFont="1" applyFill="1" applyBorder="1" applyAlignment="1" applyProtection="1"/>
    <xf numFmtId="175" fontId="1" fillId="0" borderId="0" xfId="0" applyNumberFormat="1" applyFont="1" applyFill="1" applyBorder="1" applyAlignment="1" applyProtection="1"/>
    <xf numFmtId="175" fontId="1" fillId="0" borderId="23" xfId="0" applyNumberFormat="1" applyFont="1" applyFill="1" applyBorder="1" applyAlignment="1" applyProtection="1"/>
    <xf numFmtId="3" fontId="1" fillId="0" borderId="62" xfId="0" applyNumberFormat="1" applyFont="1" applyFill="1" applyBorder="1" applyAlignment="1" applyProtection="1"/>
    <xf numFmtId="175" fontId="1" fillId="0" borderId="22" xfId="0" applyNumberFormat="1" applyFont="1" applyFill="1" applyBorder="1" applyAlignment="1" applyProtection="1"/>
    <xf numFmtId="175" fontId="1" fillId="0" borderId="41" xfId="0" applyNumberFormat="1" applyFont="1" applyFill="1" applyBorder="1" applyAlignment="1" applyProtection="1"/>
    <xf numFmtId="175" fontId="1" fillId="0" borderId="44" xfId="0" applyNumberFormat="1" applyFont="1" applyFill="1" applyBorder="1" applyAlignment="1" applyProtection="1"/>
    <xf numFmtId="175" fontId="1" fillId="0" borderId="49" xfId="0" applyNumberFormat="1" applyFont="1" applyFill="1" applyBorder="1" applyAlignment="1" applyProtection="1"/>
    <xf numFmtId="175" fontId="34" fillId="0" borderId="26" xfId="0" applyNumberFormat="1" applyFont="1" applyFill="1" applyBorder="1" applyAlignment="1" applyProtection="1">
      <alignment wrapText="1"/>
    </xf>
    <xf numFmtId="175" fontId="34" fillId="0" borderId="38" xfId="0" applyNumberFormat="1" applyFont="1" applyFill="1" applyBorder="1" applyAlignment="1" applyProtection="1"/>
    <xf numFmtId="175" fontId="1" fillId="0" borderId="50" xfId="0" applyNumberFormat="1" applyFont="1" applyFill="1" applyBorder="1" applyAlignment="1" applyProtection="1"/>
    <xf numFmtId="173" fontId="1" fillId="0" borderId="0" xfId="0" applyNumberFormat="1" applyFont="1" applyFill="1" applyBorder="1" applyAlignment="1" applyProtection="1"/>
    <xf numFmtId="175" fontId="1" fillId="0" borderId="51" xfId="0" applyNumberFormat="1" applyFont="1" applyFill="1" applyBorder="1" applyAlignment="1" applyProtection="1"/>
    <xf numFmtId="3" fontId="34" fillId="0" borderId="0" xfId="0" applyNumberFormat="1" applyFont="1" applyFill="1" applyAlignment="1" applyProtection="1"/>
    <xf numFmtId="0" fontId="1" fillId="0" borderId="11" xfId="0" applyFont="1" applyFill="1" applyBorder="1" applyAlignment="1" applyProtection="1">
      <alignment horizontal="center"/>
    </xf>
    <xf numFmtId="0" fontId="0" fillId="0" borderId="60" xfId="0" applyFill="1" applyBorder="1"/>
    <xf numFmtId="0" fontId="0" fillId="0" borderId="22" xfId="0" applyFill="1" applyBorder="1"/>
    <xf numFmtId="0" fontId="57" fillId="0" borderId="0" xfId="0" applyFont="1" applyFill="1" applyAlignment="1">
      <alignment wrapText="1"/>
    </xf>
    <xf numFmtId="166" fontId="1" fillId="0" borderId="0" xfId="0" applyNumberFormat="1" applyFont="1" applyFill="1" applyBorder="1" applyAlignment="1" applyProtection="1"/>
    <xf numFmtId="165" fontId="1" fillId="0" borderId="0" xfId="0" applyNumberFormat="1" applyFont="1" applyFill="1" applyBorder="1" applyAlignment="1" applyProtection="1"/>
    <xf numFmtId="3" fontId="1" fillId="0" borderId="0" xfId="0" applyNumberFormat="1" applyFont="1" applyFill="1" applyBorder="1" applyAlignment="1" applyProtection="1">
      <alignment horizontal="right"/>
    </xf>
    <xf numFmtId="166" fontId="1" fillId="0" borderId="0" xfId="0" applyNumberFormat="1" applyFont="1" applyFill="1" applyBorder="1" applyAlignment="1" applyProtection="1">
      <alignment horizontal="center"/>
    </xf>
    <xf numFmtId="165" fontId="1" fillId="0"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right"/>
    </xf>
    <xf numFmtId="0" fontId="1" fillId="0" borderId="0" xfId="0" applyFont="1" applyFill="1" applyBorder="1" applyAlignment="1" applyProtection="1">
      <alignment horizontal="right"/>
    </xf>
    <xf numFmtId="0" fontId="1" fillId="0" borderId="0" xfId="0" applyFont="1" applyFill="1" applyBorder="1" applyProtection="1"/>
    <xf numFmtId="0" fontId="1" fillId="0" borderId="25" xfId="0" applyFont="1" applyFill="1" applyBorder="1" applyProtection="1"/>
    <xf numFmtId="0" fontId="34" fillId="0" borderId="0" xfId="0" applyFont="1" applyFill="1" applyBorder="1" applyAlignment="1" applyProtection="1"/>
    <xf numFmtId="3" fontId="34" fillId="0" borderId="45" xfId="0" applyNumberFormat="1" applyFont="1" applyFill="1" applyBorder="1" applyAlignment="1" applyProtection="1">
      <alignment wrapText="1"/>
    </xf>
    <xf numFmtId="0" fontId="34" fillId="0" borderId="39" xfId="0" applyFont="1" applyFill="1" applyBorder="1" applyAlignment="1" applyProtection="1"/>
    <xf numFmtId="0" fontId="1" fillId="0" borderId="24" xfId="0" applyFont="1" applyFill="1" applyBorder="1" applyProtection="1"/>
    <xf numFmtId="3" fontId="3" fillId="0" borderId="40" xfId="0" applyNumberFormat="1" applyFont="1" applyFill="1" applyBorder="1" applyAlignment="1" applyProtection="1"/>
    <xf numFmtId="0" fontId="34" fillId="0" borderId="0" xfId="0" applyNumberFormat="1" applyFont="1" applyFill="1" applyAlignment="1" applyProtection="1">
      <alignment vertical="top"/>
    </xf>
    <xf numFmtId="0" fontId="0" fillId="0" borderId="0" xfId="0" applyFill="1" applyAlignment="1" applyProtection="1">
      <alignment vertical="top"/>
    </xf>
    <xf numFmtId="0" fontId="0" fillId="0" borderId="0" xfId="0" applyFill="1" applyAlignment="1" applyProtection="1">
      <alignment horizontal="right" vertical="top"/>
    </xf>
    <xf numFmtId="0" fontId="34" fillId="0" borderId="0" xfId="0" applyFont="1" applyFill="1" applyAlignment="1" applyProtection="1">
      <alignment vertical="top"/>
    </xf>
    <xf numFmtId="0" fontId="0" fillId="0" borderId="0" xfId="0" applyFill="1" applyAlignment="1" applyProtection="1">
      <alignment horizontal="right"/>
    </xf>
    <xf numFmtId="0" fontId="35" fillId="0" borderId="0" xfId="0" applyFont="1" applyFill="1" applyProtection="1"/>
    <xf numFmtId="0" fontId="2" fillId="0" borderId="0" xfId="0" applyFont="1" applyFill="1" applyProtection="1"/>
    <xf numFmtId="3" fontId="35" fillId="0" borderId="0" xfId="0" applyNumberFormat="1" applyFont="1" applyFill="1" applyAlignment="1" applyProtection="1"/>
    <xf numFmtId="0" fontId="35" fillId="0" borderId="0" xfId="0" applyFont="1" applyFill="1" applyAlignment="1" applyProtection="1">
      <alignment horizontal="right"/>
    </xf>
    <xf numFmtId="176" fontId="0" fillId="0" borderId="0" xfId="0" applyNumberFormat="1" applyFill="1" applyBorder="1" applyAlignment="1">
      <alignment vertical="center"/>
    </xf>
    <xf numFmtId="176" fontId="0" fillId="0" borderId="0" xfId="0" applyNumberFormat="1" applyFill="1" applyBorder="1"/>
    <xf numFmtId="176" fontId="0" fillId="0" borderId="25" xfId="0" applyNumberFormat="1" applyFill="1" applyBorder="1"/>
    <xf numFmtId="176" fontId="0" fillId="0" borderId="46" xfId="0" applyNumberFormat="1" applyFill="1" applyBorder="1"/>
    <xf numFmtId="176" fontId="38" fillId="0" borderId="63" xfId="0" applyNumberFormat="1" applyFont="1" applyFill="1" applyBorder="1" applyAlignment="1">
      <alignment horizontal="center" wrapText="1"/>
    </xf>
    <xf numFmtId="176" fontId="0" fillId="0" borderId="52" xfId="0" applyNumberFormat="1" applyFill="1" applyBorder="1"/>
    <xf numFmtId="0" fontId="42" fillId="0" borderId="0" xfId="0" applyFont="1" applyFill="1"/>
    <xf numFmtId="0" fontId="44" fillId="0" borderId="0" xfId="0" applyFont="1" applyFill="1" applyBorder="1"/>
    <xf numFmtId="0" fontId="42" fillId="0" borderId="0" xfId="0" applyFont="1" applyFill="1" applyBorder="1" applyAlignment="1">
      <alignment horizontal="right"/>
    </xf>
    <xf numFmtId="172" fontId="42" fillId="0" borderId="0" xfId="0" applyNumberFormat="1" applyFont="1" applyFill="1" applyBorder="1" applyAlignment="1">
      <alignment horizontal="center"/>
    </xf>
    <xf numFmtId="0" fontId="42" fillId="0" borderId="0" xfId="0" applyFont="1" applyFill="1" applyBorder="1"/>
    <xf numFmtId="0" fontId="2" fillId="0" borderId="27" xfId="0" applyFont="1" applyFill="1" applyBorder="1"/>
    <xf numFmtId="0" fontId="0" fillId="0" borderId="64" xfId="0" applyFill="1" applyBorder="1"/>
    <xf numFmtId="0" fontId="2" fillId="0" borderId="21" xfId="0" applyFont="1" applyFill="1" applyBorder="1"/>
    <xf numFmtId="0" fontId="0" fillId="0" borderId="57" xfId="0" applyFill="1" applyBorder="1"/>
    <xf numFmtId="0" fontId="2" fillId="0" borderId="21" xfId="0" applyFont="1" applyFill="1" applyBorder="1" applyAlignment="1">
      <alignment horizontal="center"/>
    </xf>
    <xf numFmtId="0" fontId="2" fillId="0" borderId="57" xfId="0" applyFont="1" applyFill="1" applyBorder="1" applyAlignment="1">
      <alignment horizontal="center" wrapText="1"/>
    </xf>
    <xf numFmtId="0" fontId="2" fillId="0" borderId="18" xfId="0" applyFont="1" applyFill="1" applyBorder="1"/>
    <xf numFmtId="0" fontId="0" fillId="0" borderId="55" xfId="0" applyFill="1" applyBorder="1"/>
    <xf numFmtId="6" fontId="0" fillId="0" borderId="53" xfId="0" applyNumberFormat="1" applyFill="1" applyBorder="1"/>
    <xf numFmtId="0" fontId="0" fillId="0" borderId="18" xfId="0" applyFill="1" applyBorder="1"/>
    <xf numFmtId="164" fontId="0" fillId="0" borderId="0" xfId="0" applyNumberFormat="1" applyFill="1"/>
    <xf numFmtId="6" fontId="0" fillId="0" borderId="53" xfId="0" applyNumberFormat="1" applyFill="1" applyBorder="1" applyAlignment="1">
      <alignment vertical="top"/>
    </xf>
    <xf numFmtId="6" fontId="0" fillId="0" borderId="0" xfId="0" applyNumberFormat="1" applyFill="1"/>
    <xf numFmtId="164" fontId="0" fillId="0" borderId="31" xfId="0" applyNumberFormat="1" applyFill="1" applyBorder="1"/>
    <xf numFmtId="0" fontId="2" fillId="0" borderId="65" xfId="0" applyFont="1" applyFill="1" applyBorder="1"/>
    <xf numFmtId="164" fontId="0" fillId="0" borderId="66" xfId="0" applyNumberFormat="1" applyFill="1" applyBorder="1"/>
    <xf numFmtId="0" fontId="2" fillId="0" borderId="30" xfId="0" applyFont="1" applyFill="1" applyBorder="1"/>
    <xf numFmtId="0" fontId="2" fillId="0" borderId="33" xfId="0" applyFont="1" applyFill="1" applyBorder="1"/>
    <xf numFmtId="6" fontId="5" fillId="0" borderId="16" xfId="0" applyNumberFormat="1" applyFont="1" applyFill="1" applyBorder="1"/>
    <xf numFmtId="6" fontId="0" fillId="0" borderId="67" xfId="0" applyNumberFormat="1" applyFill="1" applyBorder="1"/>
    <xf numFmtId="174" fontId="3" fillId="0" borderId="17" xfId="47" applyNumberFormat="1" applyFont="1" applyFill="1" applyBorder="1" applyAlignment="1">
      <alignment horizontal="center" vertical="center" wrapText="1"/>
    </xf>
    <xf numFmtId="5" fontId="3" fillId="0" borderId="17" xfId="47" applyNumberFormat="1" applyFont="1" applyFill="1" applyBorder="1" applyAlignment="1">
      <alignment horizontal="center" wrapText="1"/>
    </xf>
    <xf numFmtId="2" fontId="42" fillId="0" borderId="0" xfId="0" applyNumberFormat="1" applyFont="1" applyFill="1" applyBorder="1"/>
    <xf numFmtId="0" fontId="42" fillId="0" borderId="0" xfId="0" applyFont="1" applyFill="1" applyBorder="1" applyAlignment="1">
      <alignment wrapText="1"/>
    </xf>
    <xf numFmtId="0" fontId="45" fillId="0" borderId="0" xfId="0" applyFont="1" applyFill="1" applyBorder="1"/>
    <xf numFmtId="0" fontId="42" fillId="0" borderId="0" xfId="0" applyFont="1" applyFill="1" applyBorder="1" applyAlignment="1">
      <alignment horizontal="right" wrapText="1"/>
    </xf>
    <xf numFmtId="6" fontId="1" fillId="0" borderId="53" xfId="0" applyNumberFormat="1" applyFont="1" applyFill="1" applyBorder="1"/>
    <xf numFmtId="2" fontId="31" fillId="0" borderId="0" xfId="0" applyNumberFormat="1" applyFont="1" applyFill="1" applyBorder="1"/>
    <xf numFmtId="0" fontId="31" fillId="0" borderId="0" xfId="0" applyFont="1" applyFill="1" applyBorder="1"/>
    <xf numFmtId="177" fontId="42" fillId="0" borderId="11" xfId="0" applyNumberFormat="1" applyFont="1" applyFill="1" applyBorder="1" applyAlignment="1">
      <alignment horizontal="right"/>
    </xf>
    <xf numFmtId="20" fontId="42" fillId="0" borderId="11" xfId="0" applyNumberFormat="1" applyFont="1" applyFill="1" applyBorder="1" applyAlignment="1">
      <alignment horizontal="right"/>
    </xf>
    <xf numFmtId="20" fontId="42" fillId="0" borderId="11" xfId="0" applyNumberFormat="1" applyFont="1" applyFill="1" applyBorder="1" applyAlignment="1" applyProtection="1">
      <alignment horizontal="right"/>
    </xf>
    <xf numFmtId="0" fontId="42" fillId="0" borderId="0" xfId="0" applyFont="1" applyFill="1" applyBorder="1" applyAlignment="1">
      <alignment horizontal="left" indent="3"/>
    </xf>
    <xf numFmtId="0" fontId="42" fillId="0" borderId="0" xfId="0" applyNumberFormat="1" applyFont="1" applyFill="1" applyBorder="1" applyAlignment="1">
      <alignment horizontal="right"/>
    </xf>
    <xf numFmtId="179" fontId="31" fillId="0" borderId="0" xfId="0" applyNumberFormat="1" applyFont="1" applyFill="1" applyBorder="1" applyAlignment="1">
      <alignment horizontal="right"/>
    </xf>
    <xf numFmtId="172" fontId="41" fillId="0" borderId="28" xfId="0" applyNumberFormat="1" applyFont="1" applyFill="1" applyBorder="1" applyAlignment="1">
      <alignment horizontal="center" vertical="center" wrapText="1"/>
    </xf>
    <xf numFmtId="0" fontId="41" fillId="0" borderId="28" xfId="0" applyFont="1" applyFill="1" applyBorder="1" applyAlignment="1">
      <alignment horizontal="right" vertical="center" wrapText="1"/>
    </xf>
    <xf numFmtId="0" fontId="41" fillId="0" borderId="27" xfId="0" applyFont="1" applyFill="1" applyBorder="1" applyAlignment="1">
      <alignment horizontal="center" vertical="center"/>
    </xf>
    <xf numFmtId="0" fontId="43" fillId="0" borderId="21" xfId="0" applyFont="1" applyFill="1" applyBorder="1" applyAlignment="1">
      <alignment horizontal="left" wrapText="1"/>
    </xf>
    <xf numFmtId="0" fontId="43" fillId="0" borderId="13" xfId="0" applyFont="1" applyFill="1" applyBorder="1" applyAlignment="1">
      <alignment horizontal="left" wrapText="1"/>
    </xf>
    <xf numFmtId="0" fontId="43" fillId="0" borderId="68" xfId="0" applyFont="1" applyFill="1" applyBorder="1" applyAlignment="1">
      <alignment horizontal="left" wrapText="1"/>
    </xf>
    <xf numFmtId="172" fontId="41" fillId="0" borderId="64" xfId="0" applyNumberFormat="1" applyFont="1" applyFill="1" applyBorder="1" applyAlignment="1">
      <alignment horizontal="center" vertical="center" wrapText="1"/>
    </xf>
    <xf numFmtId="0" fontId="2" fillId="0" borderId="18" xfId="0" applyFont="1" applyFill="1" applyBorder="1" applyAlignment="1">
      <alignment wrapText="1"/>
    </xf>
    <xf numFmtId="0" fontId="38" fillId="0" borderId="18" xfId="0" applyFont="1" applyFill="1" applyBorder="1" applyAlignment="1">
      <alignment wrapText="1"/>
    </xf>
    <xf numFmtId="0" fontId="0" fillId="0" borderId="0" xfId="0" applyFill="1" applyAlignment="1" applyProtection="1"/>
    <xf numFmtId="0" fontId="50" fillId="0" borderId="0" xfId="0" applyFont="1" applyFill="1" applyBorder="1" applyAlignment="1" applyProtection="1">
      <alignment vertical="top" wrapText="1"/>
    </xf>
    <xf numFmtId="0" fontId="34" fillId="0" borderId="39" xfId="0" applyFont="1" applyFill="1" applyBorder="1" applyAlignment="1" applyProtection="1">
      <alignment horizontal="right"/>
    </xf>
    <xf numFmtId="0" fontId="1" fillId="0" borderId="26" xfId="0" applyFont="1" applyBorder="1"/>
    <xf numFmtId="0" fontId="1" fillId="0" borderId="0" xfId="0" applyFont="1"/>
    <xf numFmtId="0" fontId="1" fillId="0" borderId="0" xfId="0" applyFont="1" applyBorder="1"/>
    <xf numFmtId="0" fontId="1" fillId="0" borderId="22" xfId="0" applyFont="1" applyBorder="1"/>
    <xf numFmtId="179" fontId="31" fillId="0" borderId="11" xfId="0" applyNumberFormat="1" applyFont="1" applyFill="1" applyBorder="1" applyAlignment="1">
      <alignment horizontal="right"/>
    </xf>
    <xf numFmtId="179" fontId="31" fillId="0" borderId="36" xfId="0" applyNumberFormat="1" applyFont="1" applyFill="1" applyBorder="1" applyAlignment="1">
      <alignment horizontal="right"/>
    </xf>
    <xf numFmtId="6" fontId="36" fillId="0" borderId="22" xfId="0" applyNumberFormat="1" applyFont="1" applyFill="1" applyBorder="1" applyAlignment="1"/>
    <xf numFmtId="6" fontId="36" fillId="0" borderId="23" xfId="0" applyNumberFormat="1" applyFont="1" applyFill="1" applyBorder="1" applyAlignment="1"/>
    <xf numFmtId="6" fontId="36" fillId="0" borderId="24" xfId="0" applyNumberFormat="1" applyFont="1" applyFill="1" applyBorder="1" applyAlignment="1"/>
    <xf numFmtId="0" fontId="34" fillId="0" borderId="39" xfId="0" applyFont="1" applyFill="1" applyBorder="1" applyAlignment="1" applyProtection="1">
      <alignment horizontal="center"/>
    </xf>
    <xf numFmtId="175" fontId="1" fillId="0" borderId="26" xfId="0" applyNumberFormat="1" applyFont="1" applyFill="1" applyBorder="1" applyAlignment="1" applyProtection="1">
      <alignment horizontal="center"/>
    </xf>
    <xf numFmtId="175" fontId="1" fillId="0" borderId="42" xfId="0" applyNumberFormat="1" applyFont="1" applyFill="1" applyBorder="1" applyAlignment="1" applyProtection="1">
      <alignment horizontal="center"/>
    </xf>
    <xf numFmtId="175" fontId="1" fillId="0" borderId="0" xfId="0" applyNumberFormat="1" applyFont="1" applyFill="1" applyBorder="1" applyAlignment="1" applyProtection="1">
      <alignment horizontal="center"/>
    </xf>
    <xf numFmtId="175" fontId="1" fillId="0" borderId="23" xfId="0" applyNumberFormat="1" applyFont="1" applyFill="1" applyBorder="1" applyAlignment="1" applyProtection="1">
      <alignment horizontal="center"/>
    </xf>
    <xf numFmtId="175" fontId="1" fillId="0" borderId="22" xfId="0" applyNumberFormat="1" applyFont="1" applyFill="1" applyBorder="1" applyAlignment="1" applyProtection="1">
      <alignment horizontal="center"/>
    </xf>
    <xf numFmtId="175" fontId="1" fillId="0" borderId="41" xfId="0" applyNumberFormat="1" applyFont="1" applyFill="1" applyBorder="1" applyAlignment="1" applyProtection="1">
      <alignment horizontal="center"/>
    </xf>
    <xf numFmtId="175" fontId="1" fillId="0" borderId="44" xfId="0" applyNumberFormat="1" applyFont="1" applyFill="1" applyBorder="1" applyAlignment="1" applyProtection="1">
      <alignment horizontal="center"/>
    </xf>
    <xf numFmtId="175" fontId="1" fillId="0" borderId="49" xfId="0" applyNumberFormat="1" applyFont="1" applyFill="1" applyBorder="1" applyAlignment="1" applyProtection="1">
      <alignment horizontal="center"/>
    </xf>
    <xf numFmtId="3" fontId="35" fillId="0" borderId="61" xfId="0" applyNumberFormat="1" applyFont="1" applyFill="1" applyBorder="1" applyAlignment="1" applyProtection="1">
      <alignment horizontal="right"/>
    </xf>
    <xf numFmtId="3" fontId="35" fillId="0" borderId="40" xfId="0" applyNumberFormat="1" applyFont="1" applyFill="1" applyBorder="1" applyAlignment="1" applyProtection="1">
      <alignment horizontal="right"/>
    </xf>
    <xf numFmtId="38" fontId="35" fillId="0" borderId="40" xfId="0" applyNumberFormat="1" applyFont="1" applyFill="1" applyBorder="1" applyAlignment="1" applyProtection="1">
      <alignment horizontal="right"/>
    </xf>
    <xf numFmtId="175" fontId="1" fillId="0" borderId="51" xfId="0" applyNumberFormat="1" applyFont="1" applyFill="1" applyBorder="1" applyAlignment="1" applyProtection="1">
      <alignment horizontal="center"/>
    </xf>
    <xf numFmtId="0" fontId="1" fillId="0" borderId="13" xfId="0" applyFont="1" applyFill="1" applyBorder="1" applyAlignment="1">
      <alignment horizontal="center" vertical="center" wrapText="1"/>
    </xf>
    <xf numFmtId="0" fontId="36" fillId="0" borderId="69" xfId="0" applyNumberFormat="1" applyFont="1" applyFill="1" applyBorder="1" applyAlignment="1">
      <alignment horizontal="left" wrapText="1"/>
    </xf>
    <xf numFmtId="176" fontId="0" fillId="0" borderId="48" xfId="0" applyNumberFormat="1" applyFill="1" applyBorder="1"/>
    <xf numFmtId="3" fontId="1" fillId="0" borderId="0" xfId="0" applyNumberFormat="1" applyFont="1" applyFill="1" applyBorder="1"/>
    <xf numFmtId="0" fontId="2" fillId="0" borderId="46" xfId="0" applyFont="1" applyFill="1" applyBorder="1" applyAlignment="1" applyProtection="1"/>
    <xf numFmtId="0" fontId="2" fillId="0" borderId="39" xfId="0" applyFont="1" applyFill="1" applyBorder="1" applyAlignment="1" applyProtection="1">
      <alignment horizontal="center" wrapText="1"/>
    </xf>
    <xf numFmtId="0" fontId="2" fillId="0" borderId="11" xfId="0" applyFont="1" applyFill="1" applyBorder="1" applyAlignment="1" applyProtection="1">
      <alignment horizontal="center"/>
    </xf>
    <xf numFmtId="3" fontId="1" fillId="0" borderId="23" xfId="0" applyNumberFormat="1" applyFont="1" applyFill="1" applyBorder="1" applyAlignment="1">
      <alignment horizontal="right" vertical="top" wrapText="1"/>
    </xf>
    <xf numFmtId="3" fontId="1" fillId="0" borderId="41" xfId="0" applyNumberFormat="1" applyFont="1" applyFill="1" applyBorder="1" applyAlignment="1">
      <alignment horizontal="right" vertical="top" wrapText="1"/>
    </xf>
    <xf numFmtId="165" fontId="1" fillId="0" borderId="49" xfId="0" applyNumberFormat="1" applyFont="1" applyFill="1" applyBorder="1" applyAlignment="1" applyProtection="1">
      <alignment horizontal="center"/>
    </xf>
    <xf numFmtId="0" fontId="2" fillId="0" borderId="70" xfId="0" applyFont="1" applyFill="1" applyBorder="1" applyAlignment="1" applyProtection="1">
      <alignment horizontal="center"/>
    </xf>
    <xf numFmtId="165" fontId="1" fillId="0" borderId="71" xfId="0" applyNumberFormat="1" applyFont="1" applyFill="1" applyBorder="1" applyAlignment="1" applyProtection="1">
      <alignment horizontal="center"/>
    </xf>
    <xf numFmtId="165" fontId="1" fillId="0" borderId="23" xfId="0" applyNumberFormat="1" applyFont="1" applyFill="1" applyBorder="1" applyAlignment="1" applyProtection="1">
      <alignment horizontal="center"/>
    </xf>
    <xf numFmtId="0" fontId="1" fillId="0" borderId="23" xfId="0" applyFont="1" applyFill="1" applyBorder="1" applyProtection="1"/>
    <xf numFmtId="0" fontId="2" fillId="0" borderId="23" xfId="0" applyFont="1" applyFill="1" applyBorder="1" applyAlignment="1" applyProtection="1"/>
    <xf numFmtId="165" fontId="1" fillId="0" borderId="41" xfId="0" applyNumberFormat="1" applyFont="1" applyFill="1" applyBorder="1" applyAlignment="1" applyProtection="1">
      <alignment horizontal="center"/>
    </xf>
    <xf numFmtId="0" fontId="2" fillId="0" borderId="0" xfId="0" applyFont="1" applyFill="1" applyAlignment="1" applyProtection="1"/>
    <xf numFmtId="0" fontId="1" fillId="0" borderId="0" xfId="0" applyFont="1" applyFill="1"/>
    <xf numFmtId="169" fontId="46" fillId="0" borderId="0" xfId="0" applyNumberFormat="1" applyFont="1" applyFill="1" applyBorder="1"/>
    <xf numFmtId="3" fontId="1" fillId="0" borderId="61" xfId="0" applyNumberFormat="1" applyFont="1" applyFill="1" applyBorder="1" applyAlignment="1" applyProtection="1">
      <alignment horizontal="right"/>
    </xf>
    <xf numFmtId="0" fontId="39" fillId="0" borderId="0" xfId="0" applyFont="1" applyFill="1" applyBorder="1"/>
    <xf numFmtId="0" fontId="3" fillId="0" borderId="0" xfId="0" applyFont="1" applyFill="1" applyBorder="1" applyAlignment="1">
      <alignment horizontal="center" wrapText="1"/>
    </xf>
    <xf numFmtId="174" fontId="3" fillId="0" borderId="0" xfId="0" applyNumberFormat="1" applyFont="1" applyFill="1" applyBorder="1" applyAlignment="1">
      <alignment horizontal="center" wrapText="1"/>
    </xf>
    <xf numFmtId="5" fontId="2" fillId="0" borderId="0" xfId="0" applyNumberFormat="1" applyFont="1" applyFill="1" applyBorder="1" applyAlignment="1">
      <alignment horizontal="left" wrapText="1"/>
    </xf>
    <xf numFmtId="0" fontId="2" fillId="0" borderId="39" xfId="0" applyFont="1" applyFill="1" applyBorder="1" applyAlignment="1">
      <alignment horizontal="center"/>
    </xf>
    <xf numFmtId="0" fontId="0" fillId="0" borderId="0" xfId="0" applyFill="1" applyBorder="1" applyAlignment="1">
      <alignment vertical="top" wrapText="1"/>
    </xf>
    <xf numFmtId="0" fontId="2" fillId="0" borderId="72" xfId="0" applyFont="1" applyFill="1" applyBorder="1"/>
    <xf numFmtId="0" fontId="0" fillId="0" borderId="73" xfId="0" applyFill="1" applyBorder="1"/>
    <xf numFmtId="0" fontId="0" fillId="0" borderId="74" xfId="0" applyFill="1" applyBorder="1"/>
    <xf numFmtId="0" fontId="0" fillId="0" borderId="31" xfId="0" applyFill="1" applyBorder="1"/>
    <xf numFmtId="0" fontId="0" fillId="0" borderId="30" xfId="0" applyFill="1" applyBorder="1"/>
    <xf numFmtId="0" fontId="0" fillId="0" borderId="43" xfId="0" applyFill="1" applyBorder="1"/>
    <xf numFmtId="0" fontId="2" fillId="0" borderId="56" xfId="0" applyFont="1" applyFill="1" applyBorder="1" applyAlignment="1">
      <alignment horizontal="center" wrapText="1"/>
    </xf>
    <xf numFmtId="0" fontId="33" fillId="0" borderId="13" xfId="0" applyFont="1" applyFill="1" applyBorder="1" applyAlignment="1">
      <alignment vertical="top"/>
    </xf>
    <xf numFmtId="0" fontId="0" fillId="0" borderId="17" xfId="0" applyFill="1" applyBorder="1" applyAlignment="1">
      <alignment vertical="top" wrapText="1"/>
    </xf>
    <xf numFmtId="0" fontId="33" fillId="0" borderId="13" xfId="0" applyFont="1" applyFill="1" applyBorder="1" applyProtection="1"/>
    <xf numFmtId="0" fontId="1" fillId="0" borderId="17" xfId="0" applyNumberFormat="1" applyFont="1" applyFill="1" applyBorder="1" applyAlignment="1">
      <alignment vertical="top" wrapText="1"/>
    </xf>
    <xf numFmtId="0" fontId="33" fillId="0" borderId="32" xfId="0" applyFont="1" applyFill="1" applyBorder="1" applyProtection="1"/>
    <xf numFmtId="2" fontId="33" fillId="44" borderId="36" xfId="0" applyNumberFormat="1" applyFont="1" applyFill="1" applyBorder="1" applyAlignment="1">
      <alignment horizontal="right" vertical="top"/>
    </xf>
    <xf numFmtId="3" fontId="33" fillId="45" borderId="36" xfId="0" applyNumberFormat="1" applyFont="1" applyFill="1" applyBorder="1" applyAlignment="1">
      <alignment horizontal="right" vertical="top" wrapText="1"/>
    </xf>
    <xf numFmtId="0" fontId="0" fillId="0" borderId="37" xfId="0" applyFill="1" applyBorder="1" applyAlignment="1">
      <alignment vertical="top" wrapText="1"/>
    </xf>
    <xf numFmtId="0" fontId="2" fillId="0" borderId="56" xfId="0" applyFont="1" applyFill="1" applyBorder="1" applyAlignment="1">
      <alignment horizontal="center"/>
    </xf>
    <xf numFmtId="3" fontId="33" fillId="43" borderId="0" xfId="0" applyNumberFormat="1" applyFont="1" applyFill="1" applyBorder="1" applyAlignment="1">
      <alignment vertical="top"/>
    </xf>
    <xf numFmtId="0" fontId="3" fillId="0" borderId="30" xfId="0" applyFont="1" applyFill="1" applyBorder="1" applyAlignment="1">
      <alignment vertical="top"/>
    </xf>
    <xf numFmtId="0" fontId="0" fillId="0" borderId="0" xfId="0" applyFill="1" applyBorder="1" applyAlignment="1">
      <alignment horizontal="right"/>
    </xf>
    <xf numFmtId="0" fontId="42" fillId="0" borderId="73" xfId="0" applyFont="1" applyFill="1" applyBorder="1" applyAlignment="1">
      <alignment horizontal="right"/>
    </xf>
    <xf numFmtId="0" fontId="42" fillId="0" borderId="0" xfId="0" applyFont="1" applyFill="1" applyBorder="1" applyAlignment="1">
      <alignment horizontal="center"/>
    </xf>
    <xf numFmtId="0" fontId="41" fillId="0" borderId="63" xfId="0" applyFont="1" applyFill="1" applyBorder="1" applyAlignment="1">
      <alignment horizontal="center" vertical="center" wrapText="1"/>
    </xf>
    <xf numFmtId="178" fontId="41" fillId="0" borderId="28" xfId="0" applyNumberFormat="1"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72" xfId="0" applyFont="1" applyFill="1" applyBorder="1" applyAlignment="1">
      <alignment horizontal="left"/>
    </xf>
    <xf numFmtId="0" fontId="42" fillId="0" borderId="73" xfId="0" applyFont="1" applyFill="1" applyBorder="1" applyAlignment="1">
      <alignment horizontal="left" wrapText="1"/>
    </xf>
    <xf numFmtId="0" fontId="42" fillId="0" borderId="73" xfId="0" applyFont="1" applyFill="1" applyBorder="1" applyAlignment="1">
      <alignment horizontal="left"/>
    </xf>
    <xf numFmtId="172" fontId="42" fillId="0" borderId="74" xfId="0" applyNumberFormat="1" applyFont="1" applyFill="1" applyBorder="1" applyAlignment="1">
      <alignment horizontal="left"/>
    </xf>
    <xf numFmtId="0" fontId="41" fillId="0" borderId="30" xfId="0" applyFont="1" applyFill="1" applyBorder="1" applyAlignment="1">
      <alignment horizontal="left"/>
    </xf>
    <xf numFmtId="0" fontId="31" fillId="0" borderId="0" xfId="0" applyFont="1" applyFill="1" applyBorder="1" applyAlignment="1">
      <alignment horizontal="left" wrapText="1"/>
    </xf>
    <xf numFmtId="0" fontId="42" fillId="0" borderId="0" xfId="0" applyFont="1" applyFill="1" applyBorder="1" applyAlignment="1">
      <alignment horizontal="left"/>
    </xf>
    <xf numFmtId="172" fontId="42" fillId="0" borderId="31" xfId="0" applyNumberFormat="1" applyFont="1" applyFill="1" applyBorder="1" applyAlignment="1">
      <alignment horizontal="left"/>
    </xf>
    <xf numFmtId="0" fontId="42" fillId="0" borderId="0" xfId="0" applyNumberFormat="1" applyFont="1" applyFill="1" applyBorder="1" applyAlignment="1">
      <alignment horizontal="left"/>
    </xf>
    <xf numFmtId="172" fontId="31" fillId="0" borderId="31" xfId="0" applyNumberFormat="1" applyFont="1" applyFill="1" applyBorder="1" applyAlignment="1">
      <alignment horizontal="left"/>
    </xf>
    <xf numFmtId="0" fontId="41" fillId="0" borderId="13" xfId="0" applyFont="1" applyFill="1" applyBorder="1" applyAlignment="1">
      <alignment horizontal="left"/>
    </xf>
    <xf numFmtId="0" fontId="31" fillId="0" borderId="0" xfId="0" applyFont="1" applyFill="1" applyBorder="1" applyAlignment="1">
      <alignment horizontal="left"/>
    </xf>
    <xf numFmtId="179" fontId="31" fillId="0" borderId="0" xfId="0" applyNumberFormat="1" applyFont="1" applyFill="1" applyBorder="1" applyAlignment="1">
      <alignment horizontal="left"/>
    </xf>
    <xf numFmtId="0" fontId="42" fillId="0" borderId="13" xfId="0" applyFont="1" applyFill="1" applyBorder="1" applyAlignment="1">
      <alignment horizontal="left"/>
    </xf>
    <xf numFmtId="0" fontId="42" fillId="0" borderId="11" xfId="0" applyFont="1" applyFill="1" applyBorder="1" applyAlignment="1">
      <alignment horizontal="left" wrapText="1"/>
    </xf>
    <xf numFmtId="0" fontId="42" fillId="0" borderId="11" xfId="0" applyFont="1" applyFill="1" applyBorder="1" applyAlignment="1">
      <alignment horizontal="left"/>
    </xf>
    <xf numFmtId="177" fontId="42" fillId="0" borderId="11" xfId="0" applyNumberFormat="1" applyFont="1" applyFill="1" applyBorder="1" applyAlignment="1">
      <alignment horizontal="left"/>
    </xf>
    <xf numFmtId="2" fontId="42" fillId="0" borderId="17" xfId="0" applyNumberFormat="1" applyFont="1" applyFill="1" applyBorder="1" applyAlignment="1">
      <alignment horizontal="left"/>
    </xf>
    <xf numFmtId="0" fontId="31" fillId="0" borderId="11" xfId="0" applyFont="1" applyFill="1" applyBorder="1" applyAlignment="1">
      <alignment horizontal="left"/>
    </xf>
    <xf numFmtId="179" fontId="31" fillId="0" borderId="11" xfId="0" applyNumberFormat="1" applyFont="1" applyFill="1" applyBorder="1" applyAlignment="1">
      <alignment horizontal="left"/>
    </xf>
    <xf numFmtId="172" fontId="31" fillId="0" borderId="17" xfId="0" applyNumberFormat="1" applyFont="1" applyFill="1" applyBorder="1" applyAlignment="1">
      <alignment horizontal="left"/>
    </xf>
    <xf numFmtId="0" fontId="31" fillId="0" borderId="13" xfId="0" applyFont="1" applyFill="1" applyBorder="1" applyAlignment="1">
      <alignment horizontal="left" wrapText="1"/>
    </xf>
    <xf numFmtId="20" fontId="42" fillId="0" borderId="11" xfId="0" applyNumberFormat="1" applyFont="1" applyFill="1" applyBorder="1" applyAlignment="1">
      <alignment horizontal="left"/>
    </xf>
    <xf numFmtId="0" fontId="42" fillId="0" borderId="11" xfId="0" applyFont="1" applyFill="1" applyBorder="1" applyAlignment="1" applyProtection="1">
      <alignment horizontal="left"/>
    </xf>
    <xf numFmtId="0" fontId="31" fillId="0" borderId="11" xfId="0" applyFont="1" applyFill="1" applyBorder="1" applyAlignment="1" applyProtection="1">
      <alignment horizontal="left"/>
    </xf>
    <xf numFmtId="0" fontId="41" fillId="0" borderId="13" xfId="0" applyFont="1" applyFill="1" applyBorder="1" applyAlignment="1">
      <alignment horizontal="left" wrapText="1"/>
    </xf>
    <xf numFmtId="0" fontId="42" fillId="0" borderId="13" xfId="0" applyFont="1" applyFill="1" applyBorder="1" applyAlignment="1">
      <alignment horizontal="left" wrapText="1"/>
    </xf>
    <xf numFmtId="0" fontId="31" fillId="0" borderId="13" xfId="0" applyFont="1" applyFill="1" applyBorder="1" applyAlignment="1" applyProtection="1">
      <alignment horizontal="left"/>
    </xf>
    <xf numFmtId="16" fontId="31" fillId="0" borderId="11" xfId="0" applyNumberFormat="1" applyFont="1" applyFill="1" applyBorder="1" applyAlignment="1" applyProtection="1">
      <alignment horizontal="left"/>
    </xf>
    <xf numFmtId="0" fontId="31" fillId="0" borderId="13" xfId="0" applyFont="1" applyFill="1" applyBorder="1" applyAlignment="1">
      <alignment horizontal="left"/>
    </xf>
    <xf numFmtId="172" fontId="42" fillId="0" borderId="17" xfId="0" applyNumberFormat="1" applyFont="1" applyFill="1" applyBorder="1" applyAlignment="1">
      <alignment horizontal="left"/>
    </xf>
    <xf numFmtId="16" fontId="31" fillId="0" borderId="13" xfId="0" applyNumberFormat="1" applyFont="1" applyFill="1" applyBorder="1" applyAlignment="1">
      <alignment horizontal="left"/>
    </xf>
    <xf numFmtId="20" fontId="42" fillId="0" borderId="11" xfId="0" applyNumberFormat="1" applyFont="1" applyFill="1" applyBorder="1" applyAlignment="1" applyProtection="1">
      <alignment horizontal="left"/>
    </xf>
    <xf numFmtId="0" fontId="31" fillId="0" borderId="32" xfId="0" applyFont="1" applyFill="1" applyBorder="1" applyAlignment="1">
      <alignment horizontal="left"/>
    </xf>
    <xf numFmtId="0" fontId="31" fillId="0" borderId="36" xfId="0" applyFont="1" applyFill="1" applyBorder="1" applyAlignment="1">
      <alignment horizontal="left"/>
    </xf>
    <xf numFmtId="16" fontId="31" fillId="0" borderId="36" xfId="0" applyNumberFormat="1" applyFont="1" applyFill="1" applyBorder="1" applyAlignment="1">
      <alignment horizontal="left"/>
    </xf>
    <xf numFmtId="179" fontId="31" fillId="0" borderId="36" xfId="0" applyNumberFormat="1" applyFont="1" applyFill="1" applyBorder="1" applyAlignment="1">
      <alignment horizontal="left"/>
    </xf>
    <xf numFmtId="172" fontId="31" fillId="0" borderId="37" xfId="0" applyNumberFormat="1" applyFont="1" applyFill="1" applyBorder="1" applyAlignment="1">
      <alignment horizontal="left"/>
    </xf>
    <xf numFmtId="178" fontId="42" fillId="0" borderId="73" xfId="0" applyNumberFormat="1" applyFont="1" applyFill="1" applyBorder="1" applyAlignment="1">
      <alignment horizontal="right"/>
    </xf>
    <xf numFmtId="178" fontId="42" fillId="0" borderId="0" xfId="0" applyNumberFormat="1" applyFont="1" applyFill="1" applyBorder="1" applyAlignment="1">
      <alignment horizontal="right"/>
    </xf>
    <xf numFmtId="178" fontId="31" fillId="0" borderId="0" xfId="0" applyNumberFormat="1" applyFont="1" applyFill="1" applyBorder="1" applyAlignment="1" applyProtection="1">
      <alignment horizontal="right"/>
    </xf>
    <xf numFmtId="178" fontId="42" fillId="0" borderId="11" xfId="0" applyNumberFormat="1" applyFont="1" applyFill="1" applyBorder="1" applyAlignment="1">
      <alignment horizontal="right"/>
    </xf>
    <xf numFmtId="178" fontId="31" fillId="0" borderId="11" xfId="0" applyNumberFormat="1" applyFont="1" applyFill="1" applyBorder="1" applyAlignment="1" applyProtection="1">
      <alignment horizontal="right"/>
    </xf>
    <xf numFmtId="178" fontId="42" fillId="0" borderId="11" xfId="0" applyNumberFormat="1" applyFont="1" applyFill="1" applyBorder="1" applyAlignment="1" applyProtection="1">
      <alignment horizontal="right"/>
    </xf>
    <xf numFmtId="178" fontId="31" fillId="0" borderId="11" xfId="0" applyNumberFormat="1" applyFont="1" applyFill="1" applyBorder="1" applyAlignment="1">
      <alignment horizontal="right"/>
    </xf>
    <xf numFmtId="178" fontId="31" fillId="0" borderId="36" xfId="0" applyNumberFormat="1" applyFont="1" applyFill="1" applyBorder="1" applyAlignment="1" applyProtection="1">
      <alignment horizontal="right"/>
    </xf>
    <xf numFmtId="172" fontId="42" fillId="0" borderId="73" xfId="0" applyNumberFormat="1" applyFont="1" applyFill="1" applyBorder="1" applyAlignment="1"/>
    <xf numFmtId="172" fontId="42" fillId="0" borderId="0" xfId="0" applyNumberFormat="1" applyFont="1" applyFill="1" applyBorder="1" applyAlignment="1"/>
    <xf numFmtId="172" fontId="31" fillId="0" borderId="0" xfId="0" applyNumberFormat="1" applyFont="1" applyFill="1" applyBorder="1" applyAlignment="1"/>
    <xf numFmtId="172" fontId="42" fillId="0" borderId="11" xfId="0" quotePrefix="1" applyNumberFormat="1" applyFont="1" applyFill="1" applyBorder="1" applyAlignment="1"/>
    <xf numFmtId="172" fontId="31" fillId="0" borderId="11" xfId="0" applyNumberFormat="1" applyFont="1" applyFill="1" applyBorder="1" applyAlignment="1"/>
    <xf numFmtId="172" fontId="42" fillId="0" borderId="11" xfId="0" applyNumberFormat="1" applyFont="1" applyFill="1" applyBorder="1" applyAlignment="1"/>
    <xf numFmtId="166" fontId="31" fillId="0" borderId="11" xfId="0" applyNumberFormat="1" applyFont="1" applyFill="1" applyBorder="1" applyAlignment="1"/>
    <xf numFmtId="172" fontId="31" fillId="0" borderId="36" xfId="0" applyNumberFormat="1" applyFont="1" applyFill="1" applyBorder="1" applyAlignment="1"/>
    <xf numFmtId="175" fontId="34" fillId="0" borderId="75" xfId="0" applyNumberFormat="1" applyFont="1" applyFill="1" applyBorder="1" applyAlignment="1" applyProtection="1">
      <alignment horizontal="right"/>
    </xf>
    <xf numFmtId="175" fontId="1" fillId="0" borderId="70" xfId="0" applyNumberFormat="1" applyFont="1" applyFill="1" applyBorder="1" applyAlignment="1" applyProtection="1">
      <alignment horizontal="right"/>
    </xf>
    <xf numFmtId="0" fontId="59" fillId="0" borderId="0" xfId="0" applyFont="1" applyFill="1"/>
    <xf numFmtId="6" fontId="38" fillId="0" borderId="23" xfId="0" applyNumberFormat="1" applyFont="1" applyFill="1" applyBorder="1" applyAlignment="1">
      <alignment horizontal="center" wrapText="1"/>
    </xf>
    <xf numFmtId="6" fontId="38" fillId="0" borderId="24" xfId="0" applyNumberFormat="1" applyFont="1" applyFill="1" applyBorder="1" applyAlignment="1">
      <alignment horizontal="center" wrapText="1"/>
    </xf>
    <xf numFmtId="6" fontId="36" fillId="0" borderId="42" xfId="0" applyNumberFormat="1" applyFont="1" applyFill="1" applyBorder="1"/>
    <xf numFmtId="3" fontId="1" fillId="0" borderId="26" xfId="0" applyNumberFormat="1" applyFont="1" applyFill="1" applyBorder="1" applyAlignment="1" applyProtection="1">
      <alignment wrapText="1"/>
    </xf>
    <xf numFmtId="176" fontId="36" fillId="0" borderId="0" xfId="0" applyNumberFormat="1" applyFont="1" applyFill="1"/>
    <xf numFmtId="176" fontId="36" fillId="0" borderId="0" xfId="0" applyNumberFormat="1" applyFont="1" applyFill="1" applyBorder="1"/>
    <xf numFmtId="44" fontId="39" fillId="0" borderId="0" xfId="47" applyFont="1" applyFill="1" applyBorder="1"/>
    <xf numFmtId="0" fontId="36" fillId="0" borderId="0" xfId="0" quotePrefix="1" applyFont="1" applyFill="1"/>
    <xf numFmtId="168" fontId="36" fillId="0" borderId="0" xfId="47" applyNumberFormat="1" applyFont="1" applyFill="1"/>
    <xf numFmtId="6" fontId="36" fillId="0" borderId="0" xfId="0" applyNumberFormat="1" applyFont="1" applyFill="1"/>
    <xf numFmtId="0" fontId="36" fillId="0" borderId="0" xfId="0" applyFont="1" applyFill="1" applyAlignment="1">
      <alignment vertical="center"/>
    </xf>
    <xf numFmtId="0" fontId="61" fillId="0" borderId="0" xfId="0" applyFont="1" applyFill="1"/>
    <xf numFmtId="0" fontId="36" fillId="0" borderId="0" xfId="0" applyFont="1" applyFill="1" applyAlignment="1">
      <alignment horizontal="left" vertical="center"/>
    </xf>
    <xf numFmtId="6" fontId="36" fillId="0" borderId="67" xfId="0" applyNumberFormat="1" applyFont="1" applyFill="1" applyBorder="1" applyAlignment="1">
      <alignment horizontal="center"/>
    </xf>
    <xf numFmtId="6" fontId="36" fillId="0" borderId="0" xfId="0" applyNumberFormat="1" applyFont="1" applyFill="1" applyBorder="1" applyAlignment="1"/>
    <xf numFmtId="6" fontId="36" fillId="0" borderId="40" xfId="0" applyNumberFormat="1" applyFont="1" applyFill="1" applyBorder="1"/>
    <xf numFmtId="6" fontId="54" fillId="0" borderId="0" xfId="0" applyNumberFormat="1" applyFont="1" applyFill="1" applyBorder="1"/>
    <xf numFmtId="6" fontId="36" fillId="0" borderId="0" xfId="0" applyNumberFormat="1" applyFont="1" applyFill="1" applyBorder="1" applyAlignment="1">
      <alignment horizontal="right" vertical="center"/>
    </xf>
    <xf numFmtId="6" fontId="36" fillId="0" borderId="23" xfId="0" applyNumberFormat="1" applyFont="1" applyFill="1" applyBorder="1" applyAlignment="1">
      <alignment horizontal="right"/>
    </xf>
    <xf numFmtId="8" fontId="1" fillId="0" borderId="0" xfId="0" applyNumberFormat="1" applyFont="1" applyFill="1"/>
    <xf numFmtId="0" fontId="60" fillId="0" borderId="0" xfId="0" applyFont="1" applyFill="1" applyBorder="1" applyAlignment="1">
      <alignment horizontal="left"/>
    </xf>
    <xf numFmtId="6" fontId="64" fillId="0" borderId="0" xfId="0" applyNumberFormat="1" applyFont="1" applyFill="1" applyBorder="1"/>
    <xf numFmtId="164" fontId="36" fillId="0" borderId="0" xfId="0" applyNumberFormat="1" applyFont="1" applyFill="1" applyBorder="1"/>
    <xf numFmtId="164" fontId="61" fillId="0" borderId="0" xfId="0" applyNumberFormat="1" applyFont="1" applyFill="1" applyBorder="1" applyAlignment="1">
      <alignment horizontal="left"/>
    </xf>
    <xf numFmtId="164" fontId="61" fillId="0" borderId="0" xfId="0" applyNumberFormat="1" applyFont="1" applyFill="1" applyBorder="1"/>
    <xf numFmtId="0" fontId="60" fillId="0" borderId="0" xfId="0" applyFont="1" applyFill="1"/>
    <xf numFmtId="0" fontId="36" fillId="0" borderId="21" xfId="0" applyFont="1" applyFill="1" applyBorder="1" applyAlignment="1">
      <alignment horizontal="left" wrapText="1" indent="1"/>
    </xf>
    <xf numFmtId="3" fontId="1" fillId="0" borderId="0" xfId="0" applyNumberFormat="1" applyFont="1" applyFill="1"/>
    <xf numFmtId="174" fontId="3" fillId="0" borderId="11" xfId="47" applyNumberFormat="1" applyFont="1" applyFill="1" applyBorder="1" applyAlignment="1">
      <alignment horizontal="center" wrapText="1"/>
    </xf>
    <xf numFmtId="0" fontId="3" fillId="0" borderId="36" xfId="0" applyFont="1" applyFill="1" applyBorder="1" applyAlignment="1">
      <alignment horizontal="center" wrapText="1"/>
    </xf>
    <xf numFmtId="174" fontId="3" fillId="0" borderId="36" xfId="47" applyNumberFormat="1" applyFont="1" applyFill="1" applyBorder="1" applyAlignment="1">
      <alignment horizontal="center" wrapText="1"/>
    </xf>
    <xf numFmtId="5" fontId="3" fillId="0" borderId="37" xfId="47" applyNumberFormat="1" applyFont="1" applyFill="1" applyBorder="1" applyAlignment="1">
      <alignment horizontal="center" wrapText="1"/>
    </xf>
    <xf numFmtId="0" fontId="5" fillId="0" borderId="21" xfId="61" applyFont="1" applyFill="1" applyBorder="1" applyAlignment="1">
      <alignment vertical="top"/>
    </xf>
    <xf numFmtId="6" fontId="5" fillId="0" borderId="25" xfId="61" applyNumberFormat="1" applyFont="1" applyFill="1" applyBorder="1" applyAlignment="1">
      <alignment vertical="top"/>
    </xf>
    <xf numFmtId="0" fontId="5" fillId="0" borderId="25" xfId="61" applyFont="1" applyFill="1" applyBorder="1" applyAlignment="1">
      <alignment vertical="top" wrapText="1"/>
    </xf>
    <xf numFmtId="0" fontId="1" fillId="0" borderId="17" xfId="0" applyNumberFormat="1" applyFont="1" applyFill="1" applyBorder="1" applyAlignment="1">
      <alignment horizontal="left" vertical="top" wrapText="1"/>
    </xf>
    <xf numFmtId="0" fontId="5" fillId="0" borderId="0" xfId="61" applyFill="1"/>
    <xf numFmtId="0" fontId="23" fillId="0" borderId="13" xfId="61" applyFont="1" applyFill="1" applyBorder="1"/>
    <xf numFmtId="6" fontId="23" fillId="0" borderId="11" xfId="61" applyNumberFormat="1" applyFont="1" applyFill="1" applyBorder="1"/>
    <xf numFmtId="0" fontId="5" fillId="0" borderId="11" xfId="61" applyFill="1" applyBorder="1"/>
    <xf numFmtId="0" fontId="5" fillId="0" borderId="17" xfId="61" applyFill="1" applyBorder="1"/>
    <xf numFmtId="0" fontId="65" fillId="0" borderId="0" xfId="0" applyFont="1" applyFill="1"/>
    <xf numFmtId="0" fontId="64" fillId="0" borderId="0" xfId="0" applyFont="1" applyFill="1"/>
    <xf numFmtId="0" fontId="65" fillId="0" borderId="41" xfId="0" applyFont="1" applyFill="1" applyBorder="1" applyAlignment="1">
      <alignment horizontal="center"/>
    </xf>
    <xf numFmtId="0" fontId="65" fillId="0" borderId="11" xfId="0" applyFont="1" applyFill="1" applyBorder="1" applyAlignment="1">
      <alignment horizontal="center"/>
    </xf>
    <xf numFmtId="0" fontId="65" fillId="0" borderId="11" xfId="0" applyFont="1" applyFill="1" applyBorder="1" applyAlignment="1">
      <alignment horizontal="center" wrapText="1"/>
    </xf>
    <xf numFmtId="0" fontId="36" fillId="0" borderId="11" xfId="0" applyFont="1" applyFill="1" applyBorder="1" applyProtection="1"/>
    <xf numFmtId="172" fontId="64" fillId="0" borderId="11" xfId="46" applyNumberFormat="1" applyFont="1" applyFill="1" applyBorder="1" applyAlignment="1">
      <alignment horizontal="right"/>
    </xf>
    <xf numFmtId="172" fontId="64" fillId="0" borderId="11" xfId="0" quotePrefix="1" applyNumberFormat="1" applyFont="1" applyFill="1" applyBorder="1" applyAlignment="1">
      <alignment horizontal="right"/>
    </xf>
    <xf numFmtId="172" fontId="65" fillId="0" borderId="11" xfId="46" applyNumberFormat="1" applyFont="1" applyFill="1" applyBorder="1" applyAlignment="1">
      <alignment horizontal="right" wrapText="1"/>
    </xf>
    <xf numFmtId="0" fontId="64" fillId="0" borderId="11" xfId="0" applyFont="1" applyFill="1" applyBorder="1"/>
    <xf numFmtId="166" fontId="64" fillId="0" borderId="11" xfId="46" applyNumberFormat="1" applyFont="1" applyFill="1" applyBorder="1" applyAlignment="1">
      <alignment horizontal="right"/>
    </xf>
    <xf numFmtId="166" fontId="64" fillId="0" borderId="11" xfId="46" applyNumberFormat="1" applyFont="1" applyFill="1" applyBorder="1" applyAlignment="1">
      <alignment horizontal="right" wrapText="1"/>
    </xf>
    <xf numFmtId="166" fontId="65" fillId="0" borderId="11" xfId="0" applyNumberFormat="1" applyFont="1" applyFill="1" applyBorder="1"/>
    <xf numFmtId="166" fontId="64" fillId="0" borderId="11" xfId="0" applyNumberFormat="1" applyFont="1" applyFill="1" applyBorder="1"/>
    <xf numFmtId="166" fontId="36" fillId="0" borderId="11" xfId="0" applyNumberFormat="1" applyFont="1" applyFill="1" applyBorder="1"/>
    <xf numFmtId="166" fontId="36" fillId="0" borderId="11" xfId="46" applyNumberFormat="1" applyFont="1" applyFill="1" applyBorder="1" applyAlignment="1">
      <alignment horizontal="right"/>
    </xf>
    <xf numFmtId="0" fontId="65" fillId="0" borderId="11" xfId="0" applyFont="1" applyFill="1" applyBorder="1"/>
    <xf numFmtId="172" fontId="65" fillId="0" borderId="45" xfId="0" applyNumberFormat="1" applyFont="1" applyFill="1" applyBorder="1"/>
    <xf numFmtId="166" fontId="66" fillId="0" borderId="11" xfId="0" applyNumberFormat="1" applyFont="1" applyFill="1" applyBorder="1"/>
    <xf numFmtId="0" fontId="65" fillId="0" borderId="45" xfId="0" applyFont="1" applyFill="1" applyBorder="1"/>
    <xf numFmtId="38" fontId="64" fillId="0" borderId="11" xfId="0" applyNumberFormat="1" applyFont="1" applyFill="1" applyBorder="1"/>
    <xf numFmtId="165" fontId="65" fillId="0" borderId="11" xfId="0" applyNumberFormat="1" applyFont="1" applyFill="1" applyBorder="1" applyAlignment="1"/>
    <xf numFmtId="166" fontId="65" fillId="0" borderId="45" xfId="0" applyNumberFormat="1" applyFont="1" applyFill="1" applyBorder="1"/>
    <xf numFmtId="166" fontId="64" fillId="0" borderId="11" xfId="0" applyNumberFormat="1" applyFont="1" applyFill="1" applyBorder="1" applyAlignment="1"/>
    <xf numFmtId="0" fontId="65" fillId="0" borderId="45" xfId="0" applyFont="1" applyFill="1" applyBorder="1" applyAlignment="1">
      <alignment horizontal="center"/>
    </xf>
    <xf numFmtId="166" fontId="65" fillId="0" borderId="11" xfId="0" applyNumberFormat="1" applyFont="1" applyFill="1" applyBorder="1" applyAlignment="1">
      <alignment horizontal="center" wrapText="1"/>
    </xf>
    <xf numFmtId="166" fontId="65" fillId="0" borderId="11" xfId="0" applyNumberFormat="1" applyFont="1" applyFill="1" applyBorder="1" applyAlignment="1">
      <alignment horizontal="center"/>
    </xf>
    <xf numFmtId="166" fontId="65" fillId="0" borderId="45" xfId="0" applyNumberFormat="1" applyFont="1" applyFill="1" applyBorder="1" applyAlignment="1">
      <alignment horizontal="center"/>
    </xf>
    <xf numFmtId="172" fontId="64" fillId="0" borderId="45" xfId="0" applyNumberFormat="1" applyFont="1" applyFill="1" applyBorder="1" applyAlignment="1">
      <alignment horizontal="right"/>
    </xf>
    <xf numFmtId="166" fontId="64" fillId="0" borderId="11" xfId="0" applyNumberFormat="1" applyFont="1" applyFill="1" applyBorder="1" applyAlignment="1">
      <alignment horizontal="right" wrapText="1"/>
    </xf>
    <xf numFmtId="166" fontId="64" fillId="0" borderId="11" xfId="0" applyNumberFormat="1" applyFont="1" applyFill="1" applyBorder="1" applyAlignment="1">
      <alignment horizontal="right"/>
    </xf>
    <xf numFmtId="166" fontId="38" fillId="0" borderId="45" xfId="0" applyNumberFormat="1" applyFont="1" applyFill="1" applyBorder="1" applyAlignment="1">
      <alignment horizontal="center"/>
    </xf>
    <xf numFmtId="166" fontId="65" fillId="0" borderId="11" xfId="0" applyNumberFormat="1" applyFont="1" applyFill="1" applyBorder="1" applyAlignment="1"/>
    <xf numFmtId="166" fontId="38" fillId="0" borderId="11" xfId="0" applyNumberFormat="1" applyFont="1" applyFill="1" applyBorder="1" applyAlignment="1"/>
    <xf numFmtId="172" fontId="65" fillId="0" borderId="11" xfId="0" applyNumberFormat="1" applyFont="1" applyFill="1" applyBorder="1"/>
    <xf numFmtId="0" fontId="65" fillId="0" borderId="61" xfId="0" applyFont="1" applyFill="1" applyBorder="1"/>
    <xf numFmtId="0" fontId="65" fillId="0" borderId="26" xfId="0" applyFont="1" applyFill="1" applyBorder="1"/>
    <xf numFmtId="38" fontId="64" fillId="0" borderId="26" xfId="0" applyNumberFormat="1" applyFont="1" applyFill="1" applyBorder="1"/>
    <xf numFmtId="165" fontId="65" fillId="0" borderId="26" xfId="0" applyNumberFormat="1" applyFont="1" applyFill="1" applyBorder="1" applyAlignment="1"/>
    <xf numFmtId="166" fontId="64" fillId="0" borderId="26" xfId="0" applyNumberFormat="1" applyFont="1" applyFill="1" applyBorder="1"/>
    <xf numFmtId="166" fontId="64" fillId="0" borderId="26" xfId="0" applyNumberFormat="1" applyFont="1" applyFill="1" applyBorder="1" applyAlignment="1"/>
    <xf numFmtId="166" fontId="65" fillId="0" borderId="26" xfId="0" applyNumberFormat="1" applyFont="1" applyFill="1" applyBorder="1"/>
    <xf numFmtId="166" fontId="65" fillId="0" borderId="42" xfId="0" applyNumberFormat="1" applyFont="1" applyFill="1" applyBorder="1"/>
    <xf numFmtId="0" fontId="64" fillId="0" borderId="45" xfId="0" applyFont="1" applyFill="1" applyBorder="1"/>
    <xf numFmtId="171" fontId="64" fillId="0" borderId="14" xfId="46" applyNumberFormat="1" applyFont="1" applyFill="1" applyBorder="1" applyAlignment="1">
      <alignment horizontal="right"/>
    </xf>
    <xf numFmtId="170" fontId="65" fillId="0" borderId="14" xfId="46" applyNumberFormat="1" applyFont="1" applyFill="1" applyBorder="1" applyAlignment="1">
      <alignment horizontal="right"/>
    </xf>
    <xf numFmtId="0" fontId="64" fillId="0" borderId="14" xfId="0" applyFont="1" applyFill="1" applyBorder="1"/>
    <xf numFmtId="166" fontId="64" fillId="0" borderId="14" xfId="46" applyNumberFormat="1" applyFont="1" applyFill="1" applyBorder="1" applyAlignment="1">
      <alignment horizontal="right"/>
    </xf>
    <xf numFmtId="166" fontId="64" fillId="0" borderId="14" xfId="0" applyNumberFormat="1" applyFont="1" applyFill="1" applyBorder="1"/>
    <xf numFmtId="166" fontId="64" fillId="0" borderId="39" xfId="0" applyNumberFormat="1" applyFont="1" applyFill="1" applyBorder="1"/>
    <xf numFmtId="0" fontId="64" fillId="0" borderId="11" xfId="0" applyFont="1" applyFill="1" applyBorder="1" applyAlignment="1">
      <alignment wrapText="1" shrinkToFit="1"/>
    </xf>
    <xf numFmtId="172" fontId="64" fillId="0" borderId="11" xfId="0" applyNumberFormat="1" applyFont="1" applyFill="1" applyBorder="1"/>
    <xf numFmtId="172" fontId="64" fillId="0" borderId="11" xfId="0" quotePrefix="1" applyNumberFormat="1" applyFont="1" applyFill="1" applyBorder="1" applyAlignment="1">
      <alignment horizontal="center"/>
    </xf>
    <xf numFmtId="172" fontId="65" fillId="0" borderId="11" xfId="46" applyNumberFormat="1" applyFont="1" applyFill="1" applyBorder="1" applyAlignment="1">
      <alignment horizontal="right"/>
    </xf>
    <xf numFmtId="171" fontId="64" fillId="0" borderId="11" xfId="46" applyNumberFormat="1" applyFont="1" applyFill="1" applyBorder="1" applyAlignment="1">
      <alignment horizontal="right"/>
    </xf>
    <xf numFmtId="170" fontId="65" fillId="0" borderId="11" xfId="46" applyNumberFormat="1" applyFont="1" applyFill="1" applyBorder="1" applyAlignment="1">
      <alignment horizontal="right"/>
    </xf>
    <xf numFmtId="172" fontId="65" fillId="0" borderId="45" xfId="0" applyNumberFormat="1" applyFont="1" applyFill="1" applyBorder="1" applyAlignment="1">
      <alignment horizontal="right"/>
    </xf>
    <xf numFmtId="172" fontId="65" fillId="0" borderId="11" xfId="0" applyNumberFormat="1" applyFont="1" applyFill="1" applyBorder="1" applyAlignment="1">
      <alignment horizontal="right"/>
    </xf>
    <xf numFmtId="0" fontId="65" fillId="0" borderId="0" xfId="0" applyFont="1" applyFill="1" applyBorder="1"/>
    <xf numFmtId="38" fontId="64" fillId="0" borderId="0" xfId="0" applyNumberFormat="1" applyFont="1" applyFill="1" applyBorder="1" applyAlignment="1"/>
    <xf numFmtId="165" fontId="64" fillId="0" borderId="0" xfId="0" applyNumberFormat="1" applyFont="1" applyFill="1" applyBorder="1" applyAlignment="1"/>
    <xf numFmtId="172" fontId="64" fillId="0" borderId="11" xfId="0" applyNumberFormat="1" applyFont="1" applyFill="1" applyBorder="1" applyAlignment="1">
      <alignment horizontal="right" wrapText="1"/>
    </xf>
    <xf numFmtId="166" fontId="65" fillId="0" borderId="11" xfId="46" applyNumberFormat="1" applyFont="1" applyFill="1" applyBorder="1" applyAlignment="1">
      <alignment horizontal="right" wrapText="1"/>
    </xf>
    <xf numFmtId="172" fontId="64" fillId="0" borderId="11" xfId="0" applyNumberFormat="1" applyFont="1" applyFill="1" applyBorder="1" applyAlignment="1">
      <alignment wrapText="1"/>
    </xf>
    <xf numFmtId="172" fontId="36" fillId="0" borderId="11" xfId="0" applyNumberFormat="1" applyFont="1" applyFill="1" applyBorder="1" applyAlignment="1">
      <alignment horizontal="right" wrapText="1"/>
    </xf>
    <xf numFmtId="166" fontId="38" fillId="0" borderId="11" xfId="46" applyNumberFormat="1" applyFont="1" applyFill="1" applyBorder="1" applyAlignment="1">
      <alignment horizontal="right" wrapText="1"/>
    </xf>
    <xf numFmtId="172" fontId="38" fillId="0" borderId="11" xfId="0" applyNumberFormat="1" applyFont="1" applyFill="1" applyBorder="1" applyAlignment="1">
      <alignment horizontal="center" wrapText="1"/>
    </xf>
    <xf numFmtId="172" fontId="65" fillId="0" borderId="11" xfId="0" applyNumberFormat="1" applyFont="1" applyFill="1" applyBorder="1" applyAlignment="1">
      <alignment horizontal="right" wrapText="1"/>
    </xf>
    <xf numFmtId="172" fontId="38" fillId="0" borderId="11" xfId="0" applyNumberFormat="1" applyFont="1" applyFill="1" applyBorder="1" applyAlignment="1">
      <alignment horizontal="right" wrapText="1"/>
    </xf>
    <xf numFmtId="166" fontId="65" fillId="0" borderId="11" xfId="46" applyNumberFormat="1" applyFont="1" applyFill="1" applyBorder="1" applyAlignment="1">
      <alignment horizontal="right"/>
    </xf>
    <xf numFmtId="172" fontId="65" fillId="0" borderId="11" xfId="0" applyNumberFormat="1" applyFont="1" applyFill="1" applyBorder="1" applyAlignment="1">
      <alignment horizontal="center" wrapText="1"/>
    </xf>
    <xf numFmtId="166" fontId="64" fillId="0" borderId="11" xfId="0" quotePrefix="1" applyNumberFormat="1" applyFont="1" applyFill="1" applyBorder="1" applyAlignment="1">
      <alignment horizontal="center"/>
    </xf>
    <xf numFmtId="166" fontId="38" fillId="0" borderId="11" xfId="0" applyNumberFormat="1" applyFont="1" applyFill="1" applyBorder="1"/>
    <xf numFmtId="172" fontId="36" fillId="0" borderId="11" xfId="0" applyNumberFormat="1" applyFont="1" applyFill="1" applyBorder="1"/>
    <xf numFmtId="172" fontId="65" fillId="0" borderId="11" xfId="0" applyNumberFormat="1" applyFont="1" applyFill="1" applyBorder="1" applyAlignment="1">
      <alignment wrapText="1"/>
    </xf>
    <xf numFmtId="166" fontId="38" fillId="0" borderId="45" xfId="0" applyNumberFormat="1" applyFont="1" applyFill="1" applyBorder="1"/>
    <xf numFmtId="166" fontId="36" fillId="0" borderId="11" xfId="0" applyNumberFormat="1" applyFont="1" applyFill="1" applyBorder="1" applyAlignment="1"/>
    <xf numFmtId="166" fontId="38" fillId="0" borderId="11" xfId="0" applyNumberFormat="1" applyFont="1" applyFill="1" applyBorder="1" applyAlignment="1">
      <alignment horizontal="center" wrapText="1"/>
    </xf>
    <xf numFmtId="166" fontId="38" fillId="0" borderId="11" xfId="0" applyNumberFormat="1" applyFont="1" applyFill="1" applyBorder="1" applyAlignment="1">
      <alignment horizontal="center"/>
    </xf>
    <xf numFmtId="166" fontId="36" fillId="0" borderId="11" xfId="0" applyNumberFormat="1" applyFont="1" applyFill="1" applyBorder="1" applyAlignment="1">
      <alignment horizontal="right" wrapText="1"/>
    </xf>
    <xf numFmtId="166" fontId="36" fillId="0" borderId="11" xfId="0" applyNumberFormat="1" applyFont="1" applyFill="1" applyBorder="1" applyAlignment="1">
      <alignment horizontal="right"/>
    </xf>
    <xf numFmtId="166" fontId="65" fillId="0" borderId="26" xfId="0" applyNumberFormat="1" applyFont="1" applyFill="1" applyBorder="1" applyAlignment="1"/>
    <xf numFmtId="166" fontId="36" fillId="0" borderId="26" xfId="0" applyNumberFormat="1" applyFont="1" applyFill="1" applyBorder="1"/>
    <xf numFmtId="166" fontId="36" fillId="0" borderId="26" xfId="0" applyNumberFormat="1" applyFont="1" applyFill="1" applyBorder="1" applyAlignment="1"/>
    <xf numFmtId="166" fontId="38" fillId="0" borderId="26" xfId="0" applyNumberFormat="1" applyFont="1" applyFill="1" applyBorder="1"/>
    <xf numFmtId="166" fontId="64" fillId="0" borderId="45" xfId="0" applyNumberFormat="1" applyFont="1" applyFill="1" applyBorder="1"/>
    <xf numFmtId="166" fontId="65" fillId="0" borderId="14" xfId="46" applyNumberFormat="1" applyFont="1" applyFill="1" applyBorder="1" applyAlignment="1">
      <alignment horizontal="right"/>
    </xf>
    <xf numFmtId="166" fontId="36" fillId="0" borderId="14" xfId="46" applyNumberFormat="1" applyFont="1" applyFill="1" applyBorder="1" applyAlignment="1">
      <alignment horizontal="right"/>
    </xf>
    <xf numFmtId="166" fontId="36" fillId="0" borderId="14" xfId="0" applyNumberFormat="1" applyFont="1" applyFill="1" applyBorder="1"/>
    <xf numFmtId="166" fontId="36" fillId="0" borderId="11" xfId="0" quotePrefix="1" applyNumberFormat="1" applyFont="1" applyFill="1" applyBorder="1" applyAlignment="1">
      <alignment horizontal="center"/>
    </xf>
    <xf numFmtId="166" fontId="38" fillId="0" borderId="11" xfId="46" applyNumberFormat="1" applyFont="1" applyFill="1" applyBorder="1" applyAlignment="1">
      <alignment horizontal="right"/>
    </xf>
    <xf numFmtId="166" fontId="64" fillId="0" borderId="11" xfId="0" quotePrefix="1" applyNumberFormat="1" applyFont="1" applyFill="1" applyBorder="1" applyAlignment="1">
      <alignment horizontal="right"/>
    </xf>
    <xf numFmtId="166" fontId="65" fillId="0" borderId="45" xfId="0" applyNumberFormat="1" applyFont="1" applyFill="1" applyBorder="1" applyAlignment="1">
      <alignment horizontal="right"/>
    </xf>
    <xf numFmtId="166" fontId="38" fillId="0" borderId="45" xfId="0" applyNumberFormat="1" applyFont="1" applyFill="1" applyBorder="1" applyAlignment="1">
      <alignment horizontal="right"/>
    </xf>
    <xf numFmtId="166" fontId="65" fillId="0" borderId="11" xfId="0" applyNumberFormat="1" applyFont="1" applyFill="1" applyBorder="1" applyAlignment="1">
      <alignment horizontal="right"/>
    </xf>
    <xf numFmtId="0" fontId="67" fillId="0" borderId="0" xfId="0" applyFont="1" applyFill="1"/>
    <xf numFmtId="0" fontId="61" fillId="0" borderId="0" xfId="0" applyFont="1" applyFill="1" applyBorder="1"/>
    <xf numFmtId="172" fontId="65" fillId="0" borderId="0" xfId="0" applyNumberFormat="1" applyFont="1" applyFill="1" applyBorder="1" applyAlignment="1">
      <alignment horizontal="right"/>
    </xf>
    <xf numFmtId="172" fontId="65" fillId="0" borderId="0" xfId="0" applyNumberFormat="1" applyFont="1" applyFill="1" applyBorder="1" applyAlignment="1">
      <alignment horizontal="center"/>
    </xf>
    <xf numFmtId="0" fontId="67" fillId="0" borderId="0" xfId="0" applyFont="1" applyFill="1" applyBorder="1"/>
    <xf numFmtId="38" fontId="68" fillId="0" borderId="0" xfId="0" applyNumberFormat="1" applyFont="1" applyFill="1" applyBorder="1" applyAlignment="1"/>
    <xf numFmtId="165" fontId="68" fillId="0" borderId="0" xfId="0" applyNumberFormat="1" applyFont="1" applyFill="1" applyBorder="1" applyAlignment="1"/>
    <xf numFmtId="0" fontId="68" fillId="0" borderId="0" xfId="0" applyFont="1" applyFill="1"/>
    <xf numFmtId="0" fontId="64" fillId="0" borderId="0" xfId="0" applyFont="1" applyFill="1" applyBorder="1"/>
    <xf numFmtId="0" fontId="64" fillId="0" borderId="0" xfId="0" applyFont="1" applyFill="1" applyAlignment="1">
      <alignment horizontal="left" indent="1"/>
    </xf>
    <xf numFmtId="0" fontId="1" fillId="0" borderId="22" xfId="0" applyFont="1" applyFill="1" applyBorder="1"/>
    <xf numFmtId="0" fontId="1" fillId="0" borderId="0" xfId="0" applyFont="1" applyFill="1" applyBorder="1" applyAlignment="1" applyProtection="1">
      <alignment vertical="top"/>
    </xf>
    <xf numFmtId="0" fontId="1" fillId="0" borderId="0" xfId="0" applyFont="1" applyFill="1" applyAlignment="1" applyProtection="1">
      <alignment vertical="top"/>
    </xf>
    <xf numFmtId="0" fontId="46" fillId="0" borderId="0" xfId="0" applyNumberFormat="1" applyFont="1" applyBorder="1" applyAlignment="1">
      <alignment vertical="distributed" wrapText="1"/>
    </xf>
    <xf numFmtId="0" fontId="46" fillId="0" borderId="0" xfId="0" applyFont="1" applyBorder="1" applyAlignment="1">
      <alignment vertical="distributed" wrapText="1"/>
    </xf>
    <xf numFmtId="0" fontId="49" fillId="0" borderId="0" xfId="57" applyFont="1" applyBorder="1" applyAlignment="1" applyProtection="1">
      <alignment wrapText="1"/>
    </xf>
    <xf numFmtId="0" fontId="46" fillId="0" borderId="0" xfId="0" applyFont="1" applyBorder="1" applyAlignment="1">
      <alignment wrapText="1"/>
    </xf>
    <xf numFmtId="0" fontId="51" fillId="0" borderId="0" xfId="0" applyNumberFormat="1" applyFont="1" applyFill="1" applyBorder="1" applyAlignment="1" applyProtection="1">
      <alignment vertical="top" wrapText="1" shrinkToFit="1"/>
    </xf>
    <xf numFmtId="0" fontId="50" fillId="0" borderId="0" xfId="0" applyFont="1" applyFill="1" applyBorder="1" applyAlignment="1" applyProtection="1">
      <alignment shrinkToFit="1"/>
    </xf>
    <xf numFmtId="0" fontId="69" fillId="0" borderId="26" xfId="0" applyFont="1" applyFill="1" applyBorder="1" applyAlignment="1" applyProtection="1">
      <alignment vertical="top" wrapText="1"/>
    </xf>
    <xf numFmtId="0" fontId="70" fillId="0" borderId="26" xfId="0" applyFont="1" applyFill="1" applyBorder="1" applyAlignment="1">
      <alignment vertical="top" wrapText="1"/>
    </xf>
    <xf numFmtId="0" fontId="34" fillId="0" borderId="45" xfId="0" applyFont="1" applyFill="1" applyBorder="1" applyAlignment="1" applyProtection="1">
      <alignment horizontal="center"/>
    </xf>
    <xf numFmtId="0" fontId="34" fillId="0" borderId="14" xfId="0" applyFont="1" applyFill="1" applyBorder="1" applyAlignment="1" applyProtection="1">
      <alignment horizontal="center"/>
    </xf>
    <xf numFmtId="0" fontId="34" fillId="0" borderId="39" xfId="0" applyFont="1" applyFill="1" applyBorder="1" applyAlignment="1" applyProtection="1">
      <alignment horizontal="center"/>
    </xf>
    <xf numFmtId="0" fontId="34" fillId="0" borderId="0" xfId="0" applyFont="1" applyFill="1" applyAlignment="1" applyProtection="1">
      <alignment vertical="top" wrapText="1"/>
    </xf>
    <xf numFmtId="0" fontId="0" fillId="0" borderId="0" xfId="0" applyFill="1" applyAlignment="1" applyProtection="1"/>
    <xf numFmtId="0" fontId="50" fillId="0" borderId="0" xfId="0" applyFont="1" applyFill="1" applyBorder="1" applyAlignment="1" applyProtection="1">
      <alignment vertical="top" wrapText="1"/>
    </xf>
    <xf numFmtId="0" fontId="58" fillId="0" borderId="0" xfId="0" applyFont="1" applyFill="1" applyBorder="1" applyAlignment="1" applyProtection="1">
      <alignment vertical="top"/>
    </xf>
    <xf numFmtId="0" fontId="50" fillId="0" borderId="0" xfId="0" applyNumberFormat="1" applyFont="1" applyFill="1" applyBorder="1" applyAlignment="1" applyProtection="1">
      <alignment vertical="top" wrapText="1" shrinkToFit="1"/>
    </xf>
    <xf numFmtId="0" fontId="2" fillId="0" borderId="11" xfId="0" applyFont="1" applyFill="1" applyBorder="1" applyAlignment="1">
      <alignment horizontal="center"/>
    </xf>
    <xf numFmtId="0" fontId="2" fillId="0" borderId="46" xfId="0" applyFont="1" applyFill="1" applyBorder="1" applyAlignment="1">
      <alignment horizontal="center" wrapText="1"/>
    </xf>
    <xf numFmtId="0" fontId="2" fillId="0" borderId="25" xfId="0" applyFont="1" applyFill="1" applyBorder="1" applyAlignment="1">
      <alignment horizontal="center" wrapText="1"/>
    </xf>
    <xf numFmtId="0" fontId="2" fillId="0" borderId="14" xfId="0" applyFont="1" applyFill="1" applyBorder="1" applyAlignment="1">
      <alignment horizontal="center"/>
    </xf>
    <xf numFmtId="0" fontId="2" fillId="0" borderId="39" xfId="0" applyFont="1" applyFill="1" applyBorder="1" applyAlignment="1">
      <alignment horizontal="center"/>
    </xf>
    <xf numFmtId="0" fontId="2" fillId="0" borderId="0" xfId="0" applyNumberFormat="1" applyFont="1" applyFill="1" applyBorder="1" applyAlignment="1">
      <alignment vertical="top" wrapText="1"/>
    </xf>
    <xf numFmtId="0" fontId="0" fillId="0" borderId="0" xfId="0" applyBorder="1" applyAlignment="1"/>
    <xf numFmtId="0" fontId="2" fillId="0" borderId="30" xfId="0" applyFont="1" applyFill="1" applyBorder="1" applyAlignment="1">
      <alignment vertical="top" wrapText="1"/>
    </xf>
    <xf numFmtId="0" fontId="2" fillId="0" borderId="0" xfId="0" applyFont="1" applyFill="1" applyBorder="1" applyAlignment="1">
      <alignment vertical="top" wrapText="1"/>
    </xf>
    <xf numFmtId="0" fontId="2" fillId="0" borderId="31" xfId="0" applyFont="1" applyFill="1" applyBorder="1" applyAlignment="1">
      <alignment vertical="top" wrapText="1"/>
    </xf>
    <xf numFmtId="0" fontId="2" fillId="0" borderId="76" xfId="0" applyFont="1" applyFill="1" applyBorder="1" applyAlignment="1">
      <alignment vertical="top" wrapText="1"/>
    </xf>
    <xf numFmtId="0" fontId="2" fillId="0" borderId="15" xfId="0" applyFont="1" applyFill="1" applyBorder="1" applyAlignment="1">
      <alignment vertical="top" wrapText="1"/>
    </xf>
    <xf numFmtId="0" fontId="2" fillId="0" borderId="66" xfId="0" applyFont="1" applyFill="1" applyBorder="1" applyAlignment="1">
      <alignment vertical="top" wrapText="1"/>
    </xf>
    <xf numFmtId="0" fontId="65" fillId="0" borderId="11" xfId="0" applyFont="1" applyFill="1" applyBorder="1" applyAlignment="1">
      <alignment horizontal="center"/>
    </xf>
    <xf numFmtId="0" fontId="36"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0" fillId="0" borderId="0" xfId="0" applyFont="1" applyFill="1" applyAlignment="1">
      <alignment wrapText="1"/>
    </xf>
    <xf numFmtId="0" fontId="36" fillId="0" borderId="0" xfId="0" applyFont="1" applyFill="1" applyAlignment="1">
      <alignment wrapText="1"/>
    </xf>
  </cellXfs>
  <cellStyles count="10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Bad" xfId="43" builtinId="27" customBuiltin="1"/>
    <cellStyle name="Calculation" xfId="44" builtinId="22" customBuiltin="1"/>
    <cellStyle name="Check Cell" xfId="45" builtinId="23" customBuiltin="1"/>
    <cellStyle name="Comma" xfId="46" builtinId="3"/>
    <cellStyle name="Currency" xfId="47" builtinId="4"/>
    <cellStyle name="Emphasis 1" xfId="48"/>
    <cellStyle name="Emphasis 2" xfId="49"/>
    <cellStyle name="Emphasis 3" xfId="50"/>
    <cellStyle name="Explanatory Text" xfId="51" builtinId="53" customBuiltin="1"/>
    <cellStyle name="Good" xfId="52" builtinId="26" customBuiltin="1"/>
    <cellStyle name="Heading 1" xfId="53" builtinId="16" customBuiltin="1"/>
    <cellStyle name="Heading 2" xfId="54" builtinId="17" customBuiltin="1"/>
    <cellStyle name="Heading 3" xfId="55" builtinId="18" customBuiltin="1"/>
    <cellStyle name="Heading 4" xfId="56" builtinId="19" customBuiltin="1"/>
    <cellStyle name="Hyperlink" xfId="57" builtinId="8"/>
    <cellStyle name="Input" xfId="58" builtinId="20" customBuiltin="1"/>
    <cellStyle name="Linked Cell" xfId="59" builtinId="24" customBuiltin="1"/>
    <cellStyle name="Neutral" xfId="60" builtinId="28" customBuiltin="1"/>
    <cellStyle name="Normal" xfId="0" builtinId="0"/>
    <cellStyle name="Normal_Funding Shift Table Sample" xfId="61"/>
    <cellStyle name="Note" xfId="62" builtinId="10" customBuiltin="1"/>
    <cellStyle name="Output" xfId="63" builtinId="21" customBuiltin="1"/>
    <cellStyle name="SAPBEXaggData" xfId="64"/>
    <cellStyle name="SAPBEXaggDataEmph" xfId="65"/>
    <cellStyle name="SAPBEXaggItem" xfId="66"/>
    <cellStyle name="SAPBEXaggItemX" xfId="67"/>
    <cellStyle name="SAPBEXchaText" xfId="68"/>
    <cellStyle name="SAPBEXexcBad7" xfId="69"/>
    <cellStyle name="SAPBEXexcBad8" xfId="70"/>
    <cellStyle name="SAPBEXexcBad9" xfId="71"/>
    <cellStyle name="SAPBEXexcCritical4" xfId="72"/>
    <cellStyle name="SAPBEXexcCritical5" xfId="73"/>
    <cellStyle name="SAPBEXexcCritical6" xfId="74"/>
    <cellStyle name="SAPBEXexcGood1" xfId="75"/>
    <cellStyle name="SAPBEXexcGood2" xfId="76"/>
    <cellStyle name="SAPBEXexcGood3" xfId="77"/>
    <cellStyle name="SAPBEXfilterDrill" xfId="78"/>
    <cellStyle name="SAPBEXfilterItem" xfId="79"/>
    <cellStyle name="SAPBEXfilterText" xfId="80"/>
    <cellStyle name="SAPBEXformats" xfId="81"/>
    <cellStyle name="SAPBEXheaderItem" xfId="82"/>
    <cellStyle name="SAPBEXheaderText" xfId="83"/>
    <cellStyle name="SAPBEXHLevel0" xfId="84"/>
    <cellStyle name="SAPBEXHLevel0X" xfId="85"/>
    <cellStyle name="SAPBEXHLevel1" xfId="86"/>
    <cellStyle name="SAPBEXHLevel1X" xfId="87"/>
    <cellStyle name="SAPBEXHLevel2" xfId="88"/>
    <cellStyle name="SAPBEXHLevel2X" xfId="89"/>
    <cellStyle name="SAPBEXHLevel3" xfId="90"/>
    <cellStyle name="SAPBEXHLevel3X" xfId="91"/>
    <cellStyle name="SAPBEXinputData" xfId="92"/>
    <cellStyle name="SAPBEXresData" xfId="93"/>
    <cellStyle name="SAPBEXresDataEmph" xfId="94"/>
    <cellStyle name="SAPBEXresItem" xfId="95"/>
    <cellStyle name="SAPBEXresItemX" xfId="96"/>
    <cellStyle name="SAPBEXstdData" xfId="97"/>
    <cellStyle name="SAPBEXstdDataEmph" xfId="98"/>
    <cellStyle name="SAPBEXstdItem" xfId="99"/>
    <cellStyle name="SAPBEXstdItemX" xfId="100"/>
    <cellStyle name="SAPBEXtitle" xfId="101"/>
    <cellStyle name="SAPBEXundefined" xfId="102"/>
    <cellStyle name="Sheet Title" xfId="103"/>
    <cellStyle name="Title" xfId="104" builtinId="15" customBuiltin="1"/>
    <cellStyle name="Total" xfId="105" builtinId="25" customBuiltin="1"/>
    <cellStyle name="Warning Text" xfId="10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123825</xdr:rowOff>
    </xdr:from>
    <xdr:to>
      <xdr:col>3</xdr:col>
      <xdr:colOff>228600</xdr:colOff>
      <xdr:row>40</xdr:row>
      <xdr:rowOff>142875</xdr:rowOff>
    </xdr:to>
    <xdr:pic>
      <xdr:nvPicPr>
        <xdr:cNvPr id="1025" name="Picture 1" descr="pgenotag222_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48400"/>
          <a:ext cx="20574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3</xdr:col>
      <xdr:colOff>247650</xdr:colOff>
      <xdr:row>0</xdr:row>
      <xdr:rowOff>0</xdr:rowOff>
    </xdr:to>
    <xdr:pic>
      <xdr:nvPicPr>
        <xdr:cNvPr id="2049" name="Picture 1" descr="pgenotag222_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2057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4</xdr:row>
      <xdr:rowOff>9525</xdr:rowOff>
    </xdr:from>
    <xdr:to>
      <xdr:col>14</xdr:col>
      <xdr:colOff>0</xdr:colOff>
      <xdr:row>4</xdr:row>
      <xdr:rowOff>381000</xdr:rowOff>
    </xdr:to>
    <xdr:sp macro="" textlink="">
      <xdr:nvSpPr>
        <xdr:cNvPr id="6145" name="Text Box 1"/>
        <xdr:cNvSpPr txBox="1">
          <a:spLocks noChangeArrowheads="1"/>
        </xdr:cNvSpPr>
      </xdr:nvSpPr>
      <xdr:spPr bwMode="auto">
        <a:xfrm>
          <a:off x="4914900" y="600075"/>
          <a:ext cx="918210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twoCellAnchor>
    <xdr:from>
      <xdr:col>2</xdr:col>
      <xdr:colOff>19050</xdr:colOff>
      <xdr:row>4</xdr:row>
      <xdr:rowOff>19050</xdr:rowOff>
    </xdr:from>
    <xdr:to>
      <xdr:col>14</xdr:col>
      <xdr:colOff>0</xdr:colOff>
      <xdr:row>4</xdr:row>
      <xdr:rowOff>381000</xdr:rowOff>
    </xdr:to>
    <xdr:sp macro="" textlink="">
      <xdr:nvSpPr>
        <xdr:cNvPr id="6153" name="Text Box 9"/>
        <xdr:cNvSpPr txBox="1">
          <a:spLocks noChangeArrowheads="1"/>
        </xdr:cNvSpPr>
      </xdr:nvSpPr>
      <xdr:spPr bwMode="auto">
        <a:xfrm>
          <a:off x="4667250" y="219075"/>
          <a:ext cx="8439150" cy="3619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2011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7"/>
  <sheetViews>
    <sheetView showGridLines="0" tabSelected="1" view="pageLayout" topLeftCell="A19" zoomScaleNormal="100" zoomScaleSheetLayoutView="115" workbookViewId="0">
      <selection activeCell="K30" sqref="K30"/>
    </sheetView>
  </sheetViews>
  <sheetFormatPr defaultRowHeight="12.75" x14ac:dyDescent="0.2"/>
  <cols>
    <col min="1" max="10" width="9.140625" style="8"/>
    <col min="11" max="11" width="25.42578125" style="8" customWidth="1"/>
    <col min="12" max="16384" width="9.140625" style="8"/>
  </cols>
  <sheetData>
    <row r="1" spans="1:11" x14ac:dyDescent="0.2">
      <c r="A1" s="53"/>
      <c r="B1" s="53"/>
      <c r="C1" s="53"/>
      <c r="D1" s="53"/>
      <c r="E1" s="53"/>
      <c r="F1" s="53"/>
      <c r="G1" s="53"/>
      <c r="H1" s="53"/>
      <c r="I1" s="53"/>
      <c r="J1" s="53"/>
      <c r="K1" s="53"/>
    </row>
    <row r="2" spans="1:11" x14ac:dyDescent="0.2">
      <c r="A2" s="54"/>
      <c r="B2" s="54"/>
      <c r="C2" s="54"/>
      <c r="D2" s="54"/>
      <c r="E2" s="54"/>
      <c r="F2" s="54"/>
      <c r="G2" s="54"/>
      <c r="H2" s="54"/>
      <c r="I2" s="54"/>
      <c r="J2" s="54"/>
      <c r="K2" s="54"/>
    </row>
    <row r="3" spans="1:11" x14ac:dyDescent="0.2">
      <c r="A3" s="54"/>
      <c r="B3" s="54"/>
      <c r="C3" s="54"/>
      <c r="D3" s="54"/>
      <c r="E3" s="54"/>
      <c r="F3" s="54"/>
      <c r="G3" s="54"/>
      <c r="H3" s="54"/>
      <c r="I3" s="54"/>
      <c r="J3" s="54"/>
      <c r="K3" s="54"/>
    </row>
    <row r="4" spans="1:11" x14ac:dyDescent="0.2">
      <c r="A4" s="54"/>
      <c r="B4" s="54"/>
      <c r="C4" s="54"/>
      <c r="D4" s="54"/>
      <c r="E4" s="54"/>
      <c r="F4" s="54"/>
      <c r="G4" s="54"/>
      <c r="H4" s="54"/>
      <c r="I4" s="54"/>
      <c r="J4" s="54"/>
      <c r="K4" s="54"/>
    </row>
    <row r="5" spans="1:11" x14ac:dyDescent="0.2">
      <c r="A5" s="54"/>
      <c r="B5" s="54"/>
      <c r="C5" s="54"/>
      <c r="D5" s="54"/>
      <c r="E5" s="54"/>
      <c r="F5" s="54"/>
      <c r="G5" s="54"/>
      <c r="H5" s="54"/>
      <c r="I5" s="54"/>
      <c r="J5" s="54"/>
      <c r="K5" s="54"/>
    </row>
    <row r="6" spans="1:11" x14ac:dyDescent="0.2">
      <c r="A6" s="54"/>
      <c r="B6" s="54"/>
      <c r="C6" s="54"/>
      <c r="D6" s="54"/>
      <c r="E6" s="54"/>
      <c r="F6" s="54"/>
      <c r="G6" s="54"/>
      <c r="H6" s="54"/>
      <c r="I6" s="54"/>
      <c r="J6" s="54"/>
      <c r="K6" s="54"/>
    </row>
    <row r="7" spans="1:11" x14ac:dyDescent="0.2">
      <c r="A7" s="54"/>
      <c r="B7" s="54"/>
      <c r="C7" s="54"/>
      <c r="D7" s="54"/>
      <c r="E7" s="54"/>
      <c r="F7" s="54"/>
      <c r="G7" s="54"/>
      <c r="H7" s="54"/>
      <c r="I7" s="54"/>
      <c r="J7" s="54"/>
      <c r="K7" s="54"/>
    </row>
    <row r="8" spans="1:11" x14ac:dyDescent="0.2">
      <c r="A8" s="54"/>
      <c r="B8" s="54"/>
      <c r="C8" s="54"/>
      <c r="D8" s="54"/>
      <c r="E8" s="54"/>
      <c r="F8" s="54"/>
      <c r="G8" s="54"/>
      <c r="H8" s="54"/>
      <c r="I8" s="54"/>
      <c r="J8" s="54"/>
      <c r="K8" s="54"/>
    </row>
    <row r="9" spans="1:11" x14ac:dyDescent="0.2">
      <c r="A9" s="54"/>
      <c r="B9" s="54"/>
      <c r="C9" s="54"/>
      <c r="D9" s="54"/>
      <c r="E9" s="54"/>
      <c r="F9" s="54"/>
      <c r="G9" s="54"/>
      <c r="H9" s="54"/>
      <c r="I9" s="54"/>
      <c r="J9" s="54"/>
      <c r="K9" s="54"/>
    </row>
    <row r="10" spans="1:11" x14ac:dyDescent="0.2">
      <c r="A10" s="54"/>
      <c r="B10" s="54"/>
      <c r="C10" s="54"/>
      <c r="D10" s="54"/>
      <c r="E10" s="54"/>
      <c r="F10" s="54"/>
      <c r="G10" s="54"/>
      <c r="H10" s="54"/>
      <c r="I10" s="54"/>
      <c r="J10" s="54"/>
      <c r="K10" s="54"/>
    </row>
    <row r="11" spans="1:11" x14ac:dyDescent="0.2">
      <c r="A11" s="54"/>
      <c r="B11" s="54"/>
      <c r="C11" s="54"/>
      <c r="D11" s="54"/>
      <c r="E11" s="54"/>
      <c r="F11" s="54"/>
      <c r="G11" s="54"/>
      <c r="H11" s="54"/>
      <c r="I11" s="54"/>
      <c r="J11" s="54"/>
      <c r="K11" s="54"/>
    </row>
    <row r="12" spans="1:11" x14ac:dyDescent="0.2">
      <c r="A12" s="54"/>
      <c r="B12" s="54"/>
      <c r="C12" s="54"/>
      <c r="D12" s="54"/>
      <c r="E12" s="54"/>
      <c r="F12" s="54"/>
      <c r="G12" s="54"/>
      <c r="H12" s="54"/>
      <c r="I12" s="54"/>
      <c r="J12" s="54"/>
      <c r="K12" s="54"/>
    </row>
    <row r="13" spans="1:11" x14ac:dyDescent="0.2">
      <c r="A13" s="54"/>
      <c r="B13" s="54"/>
      <c r="C13" s="54"/>
      <c r="D13" s="54"/>
      <c r="E13" s="54"/>
      <c r="F13" s="54"/>
      <c r="G13" s="54"/>
      <c r="H13" s="54"/>
      <c r="I13" s="54"/>
      <c r="J13" s="54"/>
      <c r="K13" s="54"/>
    </row>
    <row r="14" spans="1:11" x14ac:dyDescent="0.2">
      <c r="A14" s="54"/>
      <c r="B14" s="54"/>
      <c r="C14" s="54"/>
      <c r="D14" s="54"/>
      <c r="E14" s="54"/>
      <c r="F14" s="54"/>
      <c r="G14" s="54"/>
      <c r="H14" s="54"/>
      <c r="I14" s="54"/>
      <c r="J14" s="54"/>
      <c r="K14" s="54"/>
    </row>
    <row r="15" spans="1:11" x14ac:dyDescent="0.2">
      <c r="A15" s="54"/>
      <c r="B15" s="54"/>
      <c r="C15" s="54"/>
      <c r="D15" s="54"/>
      <c r="E15" s="54"/>
      <c r="F15" s="54"/>
      <c r="G15" s="54"/>
      <c r="H15" s="54"/>
      <c r="I15" s="54"/>
      <c r="J15" s="54"/>
      <c r="K15" s="54"/>
    </row>
    <row r="16" spans="1:11" x14ac:dyDescent="0.2">
      <c r="A16" s="54"/>
      <c r="B16" s="54"/>
      <c r="C16" s="54"/>
      <c r="D16" s="54"/>
      <c r="E16" s="54"/>
      <c r="F16" s="54"/>
      <c r="G16" s="54"/>
      <c r="H16" s="54"/>
      <c r="I16" s="54"/>
      <c r="J16" s="54"/>
      <c r="K16" s="54"/>
    </row>
    <row r="17" spans="1:11" x14ac:dyDescent="0.2">
      <c r="A17" s="54"/>
      <c r="B17" s="54"/>
      <c r="C17" s="54"/>
      <c r="D17" s="54"/>
      <c r="E17" s="54"/>
      <c r="F17" s="54"/>
      <c r="G17" s="54"/>
      <c r="H17" s="54"/>
      <c r="I17" s="54"/>
      <c r="J17" s="54"/>
      <c r="K17" s="54"/>
    </row>
    <row r="18" spans="1:11" x14ac:dyDescent="0.2">
      <c r="A18" s="54"/>
      <c r="B18" s="54"/>
      <c r="C18" s="54"/>
      <c r="D18" s="54"/>
      <c r="E18" s="54"/>
      <c r="F18" s="54"/>
      <c r="G18" s="54"/>
      <c r="H18" s="54"/>
      <c r="I18" s="54"/>
      <c r="J18" s="54"/>
      <c r="K18" s="54"/>
    </row>
    <row r="19" spans="1:11" x14ac:dyDescent="0.2">
      <c r="A19" s="54"/>
      <c r="B19" s="54"/>
      <c r="C19" s="54"/>
      <c r="D19" s="54"/>
      <c r="E19" s="54"/>
      <c r="F19" s="54"/>
      <c r="G19" s="54"/>
      <c r="H19" s="54"/>
      <c r="I19" s="54"/>
      <c r="J19" s="54"/>
      <c r="K19" s="54"/>
    </row>
    <row r="20" spans="1:11" ht="18" x14ac:dyDescent="0.25">
      <c r="A20" s="54"/>
      <c r="B20" s="54"/>
      <c r="C20" s="54"/>
      <c r="D20" s="54"/>
      <c r="E20" s="54"/>
      <c r="F20" s="54"/>
      <c r="G20" s="54"/>
      <c r="H20" s="54"/>
      <c r="I20" s="54"/>
      <c r="J20" s="54"/>
      <c r="K20" s="55" t="s">
        <v>143</v>
      </c>
    </row>
    <row r="21" spans="1:11" ht="18" x14ac:dyDescent="0.25">
      <c r="A21" s="54"/>
      <c r="B21" s="54"/>
      <c r="C21" s="54"/>
      <c r="D21" s="54"/>
      <c r="E21" s="54"/>
      <c r="F21" s="54"/>
      <c r="G21" s="54"/>
      <c r="H21" s="54"/>
      <c r="I21" s="54"/>
      <c r="J21" s="54"/>
      <c r="K21" s="55" t="s">
        <v>189</v>
      </c>
    </row>
    <row r="22" spans="1:11" x14ac:dyDescent="0.2">
      <c r="A22" s="54"/>
      <c r="B22" s="54"/>
      <c r="C22" s="54"/>
      <c r="D22" s="54"/>
      <c r="E22" s="54"/>
      <c r="F22" s="54"/>
      <c r="G22" s="54"/>
      <c r="H22" s="54"/>
      <c r="I22" s="54"/>
      <c r="J22" s="54"/>
      <c r="K22" s="54"/>
    </row>
    <row r="23" spans="1:11" x14ac:dyDescent="0.2">
      <c r="A23" s="54"/>
      <c r="B23" s="54"/>
      <c r="C23" s="54"/>
      <c r="D23" s="54"/>
      <c r="E23" s="54"/>
      <c r="F23" s="54"/>
      <c r="G23" s="54"/>
      <c r="H23" s="54"/>
      <c r="I23" s="54"/>
      <c r="J23" s="54"/>
      <c r="K23" s="54"/>
    </row>
    <row r="24" spans="1:11" x14ac:dyDescent="0.2">
      <c r="A24" s="54"/>
      <c r="B24" s="54"/>
      <c r="C24" s="54"/>
      <c r="D24" s="54"/>
      <c r="E24" s="54"/>
      <c r="F24" s="54"/>
      <c r="G24" s="54"/>
      <c r="H24" s="54"/>
      <c r="I24" s="54"/>
      <c r="J24" s="54"/>
      <c r="K24" s="54"/>
    </row>
    <row r="25" spans="1:11" x14ac:dyDescent="0.2">
      <c r="A25" s="54"/>
      <c r="B25" s="54"/>
      <c r="C25" s="54"/>
      <c r="D25" s="54"/>
      <c r="E25" s="54"/>
      <c r="F25" s="54"/>
      <c r="G25" s="54"/>
      <c r="H25" s="54"/>
      <c r="I25" s="54"/>
      <c r="J25" s="54"/>
      <c r="K25" s="54"/>
    </row>
    <row r="26" spans="1:11" x14ac:dyDescent="0.2">
      <c r="A26" s="54"/>
      <c r="B26" s="54"/>
      <c r="C26" s="54"/>
      <c r="D26" s="54"/>
      <c r="E26" s="54"/>
      <c r="F26" s="54"/>
      <c r="G26" s="54"/>
      <c r="H26" s="54"/>
      <c r="I26" s="54"/>
      <c r="J26" s="54"/>
      <c r="K26" s="54"/>
    </row>
    <row r="27" spans="1:11" x14ac:dyDescent="0.2">
      <c r="A27" s="54"/>
      <c r="B27" s="54"/>
      <c r="C27" s="54"/>
      <c r="D27" s="54"/>
      <c r="E27" s="54"/>
      <c r="F27" s="54"/>
      <c r="G27" s="54"/>
      <c r="H27" s="54"/>
      <c r="I27" s="54"/>
      <c r="J27" s="54"/>
      <c r="K27" s="54"/>
    </row>
    <row r="28" spans="1:11" x14ac:dyDescent="0.2">
      <c r="A28" s="54"/>
      <c r="B28" s="54"/>
      <c r="C28" s="54"/>
      <c r="D28" s="54"/>
      <c r="E28" s="54"/>
      <c r="F28" s="54"/>
      <c r="G28" s="54"/>
      <c r="H28" s="54"/>
      <c r="I28" s="54"/>
      <c r="J28" s="54"/>
      <c r="K28" s="54"/>
    </row>
    <row r="29" spans="1:11" x14ac:dyDescent="0.2">
      <c r="A29" s="54"/>
      <c r="B29" s="54"/>
      <c r="C29" s="54"/>
      <c r="D29" s="54"/>
      <c r="E29" s="54"/>
      <c r="F29" s="54"/>
      <c r="G29" s="54"/>
      <c r="H29" s="54"/>
      <c r="I29" s="54"/>
      <c r="J29" s="54"/>
      <c r="K29" s="54"/>
    </row>
    <row r="30" spans="1:11" x14ac:dyDescent="0.2">
      <c r="A30" s="54"/>
      <c r="B30" s="54"/>
      <c r="C30" s="54"/>
      <c r="D30" s="54"/>
      <c r="E30" s="54"/>
      <c r="F30" s="54"/>
      <c r="G30" s="54"/>
      <c r="H30" s="54"/>
      <c r="I30" s="54"/>
      <c r="J30" s="54"/>
      <c r="K30" s="54"/>
    </row>
    <row r="31" spans="1:11" x14ac:dyDescent="0.2">
      <c r="A31" s="54"/>
      <c r="B31" s="54"/>
      <c r="C31" s="54"/>
      <c r="D31" s="54"/>
      <c r="E31" s="54"/>
      <c r="F31" s="54"/>
      <c r="G31" s="54"/>
      <c r="H31" s="54"/>
      <c r="I31" s="54"/>
      <c r="J31" s="54"/>
      <c r="K31" s="54"/>
    </row>
    <row r="32" spans="1:11" x14ac:dyDescent="0.2">
      <c r="A32" s="54"/>
      <c r="B32" s="54"/>
      <c r="C32" s="54"/>
      <c r="D32" s="54"/>
      <c r="E32" s="54"/>
      <c r="F32" s="54"/>
      <c r="G32" s="54"/>
      <c r="H32" s="54"/>
      <c r="I32" s="54"/>
      <c r="J32" s="54"/>
      <c r="K32" s="54"/>
    </row>
    <row r="33" spans="1:11" x14ac:dyDescent="0.2">
      <c r="A33" s="54"/>
      <c r="B33" s="54"/>
      <c r="C33" s="54"/>
      <c r="D33" s="54"/>
      <c r="E33" s="54"/>
      <c r="F33" s="54"/>
      <c r="G33" s="54"/>
      <c r="H33" s="54"/>
      <c r="I33" s="54"/>
      <c r="J33" s="54"/>
      <c r="K33" s="54"/>
    </row>
    <row r="34" spans="1:11" x14ac:dyDescent="0.2">
      <c r="A34" s="54"/>
      <c r="B34" s="54"/>
      <c r="C34" s="54"/>
      <c r="D34" s="54"/>
      <c r="E34" s="54"/>
      <c r="F34" s="54"/>
      <c r="G34" s="54"/>
      <c r="H34" s="54"/>
      <c r="I34" s="54"/>
      <c r="J34" s="54"/>
      <c r="K34" s="54"/>
    </row>
    <row r="35" spans="1:11" x14ac:dyDescent="0.2">
      <c r="A35" s="54"/>
      <c r="B35" s="54"/>
      <c r="C35" s="54"/>
      <c r="D35" s="54"/>
      <c r="E35" s="54"/>
      <c r="F35" s="54"/>
      <c r="G35" s="54"/>
      <c r="H35" s="54"/>
      <c r="I35" s="54"/>
      <c r="J35" s="54"/>
      <c r="K35" s="54"/>
    </row>
    <row r="36" spans="1:11" x14ac:dyDescent="0.2">
      <c r="A36" s="54"/>
      <c r="B36" s="54"/>
      <c r="C36" s="54"/>
      <c r="D36" s="54"/>
      <c r="E36" s="54"/>
      <c r="F36" s="54"/>
      <c r="G36" s="54"/>
      <c r="H36" s="54"/>
      <c r="I36" s="54"/>
      <c r="J36" s="54"/>
      <c r="K36" s="54"/>
    </row>
    <row r="37" spans="1:11" x14ac:dyDescent="0.2">
      <c r="A37" s="54"/>
      <c r="B37" s="54"/>
      <c r="C37" s="54"/>
      <c r="D37" s="54"/>
      <c r="E37" s="54"/>
      <c r="F37" s="54"/>
      <c r="G37" s="54"/>
      <c r="H37" s="54"/>
      <c r="I37" s="54"/>
      <c r="J37" s="54"/>
      <c r="K37" s="54"/>
    </row>
    <row r="38" spans="1:11" x14ac:dyDescent="0.2">
      <c r="A38" s="54"/>
      <c r="B38" s="54"/>
      <c r="C38" s="54"/>
      <c r="D38" s="54"/>
      <c r="E38" s="54"/>
      <c r="F38" s="54"/>
      <c r="G38" s="54"/>
      <c r="H38" s="54"/>
      <c r="I38" s="54"/>
      <c r="J38" s="54"/>
      <c r="K38" s="54"/>
    </row>
    <row r="39" spans="1:11" x14ac:dyDescent="0.2">
      <c r="A39" s="54"/>
      <c r="B39" s="54"/>
      <c r="C39" s="54"/>
      <c r="D39" s="54"/>
      <c r="E39" s="54"/>
      <c r="F39" s="54"/>
      <c r="G39" s="54"/>
      <c r="H39" s="54"/>
      <c r="I39" s="54"/>
      <c r="J39" s="54"/>
      <c r="K39" s="193"/>
    </row>
    <row r="40" spans="1:11" ht="15" x14ac:dyDescent="0.2">
      <c r="A40" s="54"/>
      <c r="B40" s="54"/>
      <c r="C40" s="54"/>
      <c r="D40" s="54"/>
      <c r="E40" s="54"/>
      <c r="F40" s="54"/>
      <c r="G40" s="54"/>
      <c r="H40" s="54"/>
      <c r="I40" s="54"/>
      <c r="J40" s="54"/>
      <c r="K40" s="363">
        <v>40931</v>
      </c>
    </row>
    <row r="41" spans="1:11" s="362" customFormat="1" x14ac:dyDescent="0.2">
      <c r="A41" s="598"/>
      <c r="B41" s="598"/>
      <c r="C41" s="598"/>
      <c r="D41" s="598"/>
      <c r="E41" s="598"/>
      <c r="F41" s="598"/>
      <c r="G41" s="598"/>
      <c r="H41" s="598"/>
      <c r="I41" s="598"/>
      <c r="J41" s="598"/>
      <c r="K41" s="598"/>
    </row>
    <row r="42" spans="1:11" x14ac:dyDescent="0.2">
      <c r="A42" s="54"/>
      <c r="B42" s="54"/>
      <c r="C42" s="54"/>
      <c r="D42" s="54"/>
      <c r="E42" s="54"/>
      <c r="F42" s="54"/>
      <c r="G42" s="54"/>
      <c r="H42" s="54"/>
      <c r="I42" s="54"/>
      <c r="J42" s="54"/>
      <c r="K42" s="54"/>
    </row>
    <row r="43" spans="1:11" x14ac:dyDescent="0.2">
      <c r="A43" s="54"/>
      <c r="B43" s="54"/>
      <c r="C43" s="54"/>
      <c r="D43" s="54"/>
      <c r="E43" s="54"/>
      <c r="F43" s="54"/>
      <c r="G43" s="54"/>
      <c r="H43" s="54"/>
      <c r="I43" s="54"/>
      <c r="J43" s="54"/>
      <c r="K43" s="54"/>
    </row>
    <row r="44" spans="1:11" x14ac:dyDescent="0.2">
      <c r="A44" s="54"/>
      <c r="B44" s="54"/>
      <c r="C44" s="54"/>
      <c r="D44" s="54"/>
      <c r="E44" s="54"/>
      <c r="F44" s="54"/>
      <c r="G44" s="54"/>
      <c r="H44" s="54"/>
      <c r="I44" s="54"/>
      <c r="J44" s="54"/>
      <c r="K44" s="54"/>
    </row>
    <row r="45" spans="1:11" x14ac:dyDescent="0.2">
      <c r="A45" s="54"/>
      <c r="B45" s="54"/>
      <c r="C45" s="54"/>
      <c r="D45" s="54"/>
      <c r="E45" s="54"/>
      <c r="F45" s="54"/>
      <c r="G45" s="54"/>
      <c r="H45" s="54"/>
      <c r="I45" s="54"/>
      <c r="J45" s="54"/>
      <c r="K45" s="54"/>
    </row>
    <row r="46" spans="1:11" x14ac:dyDescent="0.2">
      <c r="A46" s="54"/>
      <c r="B46" s="54"/>
      <c r="C46" s="54"/>
      <c r="D46" s="54"/>
      <c r="E46" s="54"/>
      <c r="F46" s="54"/>
      <c r="G46" s="54"/>
      <c r="H46" s="54"/>
      <c r="I46" s="54"/>
      <c r="J46" s="54"/>
      <c r="K46" s="54"/>
    </row>
    <row r="47" spans="1:11" x14ac:dyDescent="0.2">
      <c r="A47" s="54"/>
      <c r="B47" s="54"/>
      <c r="C47" s="54"/>
      <c r="D47" s="54"/>
      <c r="E47" s="54"/>
      <c r="F47" s="54"/>
      <c r="G47" s="54"/>
      <c r="H47" s="54"/>
      <c r="I47" s="54"/>
      <c r="J47" s="54"/>
      <c r="K47" s="54"/>
    </row>
    <row r="48" spans="1:11" x14ac:dyDescent="0.2">
      <c r="A48" s="54"/>
      <c r="B48" s="54"/>
      <c r="C48" s="54"/>
      <c r="D48" s="54"/>
      <c r="E48" s="54"/>
      <c r="F48" s="54"/>
      <c r="G48" s="54"/>
      <c r="H48" s="54"/>
      <c r="I48" s="54"/>
      <c r="J48" s="54"/>
      <c r="K48" s="54"/>
    </row>
    <row r="49" spans="1:11" x14ac:dyDescent="0.2">
      <c r="A49" s="54"/>
      <c r="B49" s="54"/>
      <c r="C49" s="54"/>
      <c r="D49" s="54"/>
      <c r="E49" s="54"/>
      <c r="F49" s="54"/>
      <c r="G49" s="54"/>
      <c r="H49" s="54"/>
      <c r="I49" s="54"/>
      <c r="J49" s="54"/>
      <c r="K49" s="54"/>
    </row>
    <row r="50" spans="1:11" x14ac:dyDescent="0.2">
      <c r="A50" s="54"/>
      <c r="B50" s="54"/>
      <c r="C50" s="54"/>
      <c r="D50" s="54"/>
      <c r="E50" s="54"/>
      <c r="F50" s="54"/>
      <c r="G50" s="54"/>
      <c r="H50" s="54"/>
      <c r="I50" s="54"/>
      <c r="J50" s="54"/>
      <c r="K50" s="54"/>
    </row>
    <row r="51" spans="1:11" x14ac:dyDescent="0.2">
      <c r="A51" s="54"/>
      <c r="B51" s="54"/>
      <c r="C51" s="54"/>
      <c r="D51" s="54"/>
      <c r="E51" s="54"/>
      <c r="F51" s="54"/>
      <c r="G51" s="54"/>
      <c r="H51" s="54"/>
      <c r="I51" s="54"/>
      <c r="J51" s="54"/>
      <c r="K51" s="54"/>
    </row>
    <row r="52" spans="1:11" x14ac:dyDescent="0.2">
      <c r="A52" s="54"/>
      <c r="B52" s="54"/>
      <c r="C52" s="54"/>
      <c r="D52" s="54"/>
      <c r="E52" s="54"/>
      <c r="F52" s="54"/>
      <c r="G52" s="54"/>
      <c r="H52" s="54"/>
      <c r="I52" s="54"/>
      <c r="J52" s="54"/>
      <c r="K52" s="54"/>
    </row>
    <row r="53" spans="1:11" x14ac:dyDescent="0.2">
      <c r="A53" s="54"/>
      <c r="B53" s="54"/>
      <c r="C53" s="54"/>
      <c r="D53" s="54"/>
      <c r="E53" s="54"/>
      <c r="F53" s="54"/>
      <c r="G53" s="54"/>
      <c r="H53" s="54"/>
      <c r="I53" s="54"/>
      <c r="J53" s="54"/>
      <c r="K53" s="54"/>
    </row>
    <row r="54" spans="1:11" x14ac:dyDescent="0.2">
      <c r="A54" s="54"/>
      <c r="B54" s="54"/>
      <c r="C54" s="54"/>
      <c r="D54" s="54"/>
      <c r="E54" s="54"/>
      <c r="F54" s="54"/>
      <c r="G54" s="54"/>
      <c r="H54" s="54"/>
      <c r="I54" s="54"/>
      <c r="J54" s="54"/>
      <c r="K54" s="54"/>
    </row>
    <row r="55" spans="1:11" x14ac:dyDescent="0.2">
      <c r="A55" s="54"/>
      <c r="B55" s="54"/>
      <c r="C55" s="54"/>
      <c r="D55" s="54"/>
      <c r="E55" s="54"/>
      <c r="F55" s="54"/>
      <c r="G55" s="54"/>
      <c r="H55" s="54"/>
      <c r="I55" s="54"/>
      <c r="J55" s="54"/>
      <c r="K55" s="54"/>
    </row>
    <row r="56" spans="1:11" x14ac:dyDescent="0.2">
      <c r="A56" s="54"/>
      <c r="B56" s="54"/>
      <c r="C56" s="54"/>
      <c r="D56" s="54"/>
      <c r="E56" s="54"/>
      <c r="F56" s="54"/>
      <c r="G56" s="54"/>
      <c r="H56" s="54"/>
      <c r="I56" s="54"/>
      <c r="J56" s="54"/>
      <c r="K56" s="54"/>
    </row>
    <row r="57" spans="1:11" x14ac:dyDescent="0.2">
      <c r="A57" s="54"/>
      <c r="B57" s="54"/>
      <c r="C57" s="54"/>
      <c r="D57" s="54"/>
      <c r="E57" s="54"/>
      <c r="F57" s="54"/>
      <c r="G57" s="54"/>
      <c r="H57" s="54"/>
      <c r="I57" s="54"/>
      <c r="J57" s="54"/>
      <c r="K57" s="54"/>
    </row>
  </sheetData>
  <sheetProtection password="C511" sheet="1" objects="1" scenarios="1"/>
  <phoneticPr fontId="31" type="noConversion"/>
  <printOptions horizontalCentered="1"/>
  <pageMargins left="0" right="0" top="0.93854166666666705" bottom="0.25" header="0.13" footer="0.1"/>
  <pageSetup scale="96" orientation="landscape" cellComments="atEnd" r:id="rId1"/>
  <headerFooter alignWithMargins="0">
    <oddFooter xml:space="preserve">&amp;L &amp;C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19"/>
  <sheetViews>
    <sheetView view="pageLayout" zoomScaleNormal="75" zoomScaleSheetLayoutView="100" workbookViewId="0">
      <selection activeCell="K30" sqref="K30"/>
    </sheetView>
  </sheetViews>
  <sheetFormatPr defaultRowHeight="17.25" customHeight="1" x14ac:dyDescent="0.2"/>
  <cols>
    <col min="1" max="1" width="34" style="366" customWidth="1"/>
    <col min="2" max="2" width="18.85546875" style="366" hidden="1" customWidth="1"/>
    <col min="3" max="4" width="10.7109375" style="366" customWidth="1"/>
    <col min="5" max="5" width="11" style="366" customWidth="1"/>
    <col min="6" max="9" width="10.7109375" style="366" customWidth="1"/>
    <col min="10" max="10" width="11.140625" style="366" customWidth="1"/>
    <col min="11" max="11" width="13.7109375" style="366" customWidth="1"/>
    <col min="12" max="14" width="12.28515625" style="366" customWidth="1"/>
    <col min="15" max="15" width="14" style="366" customWidth="1"/>
    <col min="16" max="16384" width="9.140625" style="366"/>
  </cols>
  <sheetData>
    <row r="1" spans="1:16" ht="85.5" customHeight="1" thickBot="1" x14ac:dyDescent="0.25">
      <c r="A1" s="632" t="s">
        <v>12</v>
      </c>
      <c r="B1" s="633"/>
      <c r="C1" s="633"/>
      <c r="D1" s="633"/>
      <c r="E1" s="633"/>
      <c r="F1" s="633"/>
      <c r="G1" s="633"/>
      <c r="H1" s="633"/>
      <c r="I1" s="633"/>
      <c r="J1" s="633"/>
      <c r="K1" s="633"/>
      <c r="L1" s="633"/>
      <c r="M1" s="633"/>
      <c r="N1" s="633"/>
      <c r="O1" s="633"/>
    </row>
    <row r="2" spans="1:16" ht="30" customHeight="1" x14ac:dyDescent="0.2">
      <c r="A2" s="56" t="s">
        <v>94</v>
      </c>
      <c r="B2" s="57"/>
      <c r="C2" s="58" t="s">
        <v>0</v>
      </c>
      <c r="D2" s="58" t="s">
        <v>1</v>
      </c>
      <c r="E2" s="58" t="s">
        <v>2</v>
      </c>
      <c r="F2" s="58" t="s">
        <v>3</v>
      </c>
      <c r="G2" s="58" t="s">
        <v>4</v>
      </c>
      <c r="H2" s="58" t="s">
        <v>5</v>
      </c>
      <c r="I2" s="58" t="s">
        <v>6</v>
      </c>
      <c r="J2" s="58" t="s">
        <v>7</v>
      </c>
      <c r="K2" s="58" t="s">
        <v>8</v>
      </c>
      <c r="L2" s="58" t="s">
        <v>9</v>
      </c>
      <c r="M2" s="58" t="s">
        <v>10</v>
      </c>
      <c r="N2" s="58" t="s">
        <v>11</v>
      </c>
      <c r="O2" s="59" t="s">
        <v>95</v>
      </c>
    </row>
    <row r="3" spans="1:16" s="24" customFormat="1" ht="25.5" x14ac:dyDescent="0.2">
      <c r="A3" s="345" t="s">
        <v>187</v>
      </c>
      <c r="B3" s="22" t="s">
        <v>96</v>
      </c>
      <c r="C3" s="23">
        <v>558362.22</v>
      </c>
      <c r="D3" s="152">
        <v>806698.06</v>
      </c>
      <c r="E3" s="153">
        <v>1671249.6</v>
      </c>
      <c r="F3" s="154">
        <v>1000003</v>
      </c>
      <c r="G3" s="23">
        <v>1081699.18</v>
      </c>
      <c r="H3" s="23">
        <v>1412412.26</v>
      </c>
      <c r="I3" s="23">
        <v>1503179.83</v>
      </c>
      <c r="J3" s="23">
        <v>2174467.13</v>
      </c>
      <c r="K3" s="23">
        <v>2372741.5099999998</v>
      </c>
      <c r="L3" s="23">
        <v>2572645.96</v>
      </c>
      <c r="M3" s="23">
        <v>1028163.16</v>
      </c>
      <c r="N3" s="23">
        <v>720616.56</v>
      </c>
      <c r="O3" s="296">
        <f>SUM(C3:N3)</f>
        <v>16902238.469999999</v>
      </c>
      <c r="P3" s="368"/>
    </row>
    <row r="4" spans="1:16" s="24" customFormat="1" ht="17.25" customHeight="1" x14ac:dyDescent="0.2">
      <c r="A4" s="60"/>
      <c r="C4" s="25"/>
      <c r="D4" s="25"/>
      <c r="E4" s="25"/>
      <c r="F4" s="25"/>
      <c r="G4" s="25"/>
      <c r="H4" s="25"/>
      <c r="I4" s="25"/>
      <c r="J4" s="25"/>
      <c r="K4" s="25"/>
      <c r="L4" s="25"/>
      <c r="M4" s="25"/>
      <c r="N4" s="25"/>
      <c r="O4" s="61"/>
    </row>
    <row r="5" spans="1:16" s="24" customFormat="1" ht="17.25" customHeight="1" x14ac:dyDescent="0.2">
      <c r="A5" s="60"/>
      <c r="C5" s="25"/>
      <c r="D5" s="25"/>
      <c r="E5" s="25"/>
      <c r="F5" s="25"/>
      <c r="G5" s="25"/>
      <c r="H5" s="25"/>
      <c r="I5" s="25"/>
      <c r="J5" s="25"/>
      <c r="K5" s="25"/>
      <c r="L5" s="25"/>
      <c r="M5" s="25"/>
      <c r="N5" s="25"/>
      <c r="O5" s="61"/>
    </row>
    <row r="6" spans="1:16" s="24" customFormat="1" ht="17.25" hidden="1" customHeight="1" x14ac:dyDescent="0.2">
      <c r="A6" s="60"/>
      <c r="C6" s="25"/>
      <c r="D6" s="25"/>
      <c r="E6" s="25"/>
      <c r="F6" s="25"/>
      <c r="G6" s="25"/>
      <c r="H6" s="25"/>
      <c r="I6" s="25"/>
      <c r="J6" s="25"/>
      <c r="K6" s="25"/>
      <c r="L6" s="25"/>
      <c r="M6" s="25"/>
      <c r="N6" s="25"/>
      <c r="O6" s="62"/>
    </row>
    <row r="7" spans="1:16" ht="25.5" customHeight="1" x14ac:dyDescent="0.2">
      <c r="A7" s="63" t="s">
        <v>99</v>
      </c>
      <c r="B7" s="6"/>
      <c r="C7" s="26" t="s">
        <v>0</v>
      </c>
      <c r="D7" s="26" t="s">
        <v>1</v>
      </c>
      <c r="E7" s="26" t="s">
        <v>2</v>
      </c>
      <c r="F7" s="26" t="s">
        <v>3</v>
      </c>
      <c r="G7" s="26" t="s">
        <v>4</v>
      </c>
      <c r="H7" s="26" t="s">
        <v>5</v>
      </c>
      <c r="I7" s="26" t="s">
        <v>6</v>
      </c>
      <c r="J7" s="26" t="s">
        <v>7</v>
      </c>
      <c r="K7" s="26" t="s">
        <v>8</v>
      </c>
      <c r="L7" s="26" t="s">
        <v>9</v>
      </c>
      <c r="M7" s="26" t="s">
        <v>10</v>
      </c>
      <c r="N7" s="26" t="s">
        <v>11</v>
      </c>
      <c r="O7" s="64" t="s">
        <v>97</v>
      </c>
    </row>
    <row r="8" spans="1:16" ht="17.25" customHeight="1" x14ac:dyDescent="0.2">
      <c r="A8" s="345" t="s">
        <v>228</v>
      </c>
      <c r="B8" s="6">
        <v>8084776</v>
      </c>
      <c r="C8" s="23">
        <v>116009.41</v>
      </c>
      <c r="D8" s="23">
        <v>126738.94</v>
      </c>
      <c r="E8" s="23">
        <v>219229.5</v>
      </c>
      <c r="F8" s="23">
        <v>160315.43</v>
      </c>
      <c r="G8" s="23">
        <v>130930.28</v>
      </c>
      <c r="H8" s="23">
        <v>248076.39</v>
      </c>
      <c r="I8" s="23">
        <v>247985.01</v>
      </c>
      <c r="J8" s="23">
        <v>305656.31</v>
      </c>
      <c r="K8" s="23">
        <v>166048.66</v>
      </c>
      <c r="L8" s="23">
        <v>226436.49</v>
      </c>
      <c r="M8" s="23">
        <v>171928.77</v>
      </c>
      <c r="N8" s="23">
        <v>52483.92</v>
      </c>
      <c r="O8" s="297">
        <f>SUM(C8:N8)</f>
        <v>2171839.1100000003</v>
      </c>
    </row>
    <row r="9" spans="1:16" ht="17.25" customHeight="1" x14ac:dyDescent="0.2">
      <c r="A9" s="63"/>
      <c r="B9" s="6"/>
      <c r="C9" s="480"/>
      <c r="D9" s="480"/>
      <c r="E9" s="480"/>
      <c r="F9" s="480"/>
      <c r="G9" s="480"/>
      <c r="H9" s="480"/>
      <c r="I9" s="480"/>
      <c r="J9" s="480"/>
      <c r="K9" s="480"/>
      <c r="L9" s="480"/>
      <c r="M9" s="480"/>
      <c r="N9" s="480"/>
      <c r="O9" s="297"/>
    </row>
    <row r="10" spans="1:16" ht="17.25" customHeight="1" thickBot="1" x14ac:dyDescent="0.25">
      <c r="A10" s="65" t="s">
        <v>98</v>
      </c>
      <c r="B10" s="481"/>
      <c r="C10" s="482">
        <f>SUM(C3:C8)</f>
        <v>674371.62999999989</v>
      </c>
      <c r="D10" s="482">
        <f t="shared" ref="D10:N10" si="0">SUM(D3:D8)</f>
        <v>933436.99999999977</v>
      </c>
      <c r="E10" s="482">
        <f t="shared" si="0"/>
        <v>1890479.0999999999</v>
      </c>
      <c r="F10" s="482">
        <f t="shared" si="0"/>
        <v>1160318.43</v>
      </c>
      <c r="G10" s="482">
        <f t="shared" si="0"/>
        <v>1212629.4600000002</v>
      </c>
      <c r="H10" s="482">
        <f t="shared" si="0"/>
        <v>1660488.65</v>
      </c>
      <c r="I10" s="482">
        <f>SUM(I3:I8)</f>
        <v>1751164.8399999996</v>
      </c>
      <c r="J10" s="482">
        <f t="shared" si="0"/>
        <v>2480123.44</v>
      </c>
      <c r="K10" s="482">
        <f t="shared" si="0"/>
        <v>2538790.1700000004</v>
      </c>
      <c r="L10" s="482">
        <f>SUM(L3:L8)</f>
        <v>2799082.45</v>
      </c>
      <c r="M10" s="482">
        <f t="shared" si="0"/>
        <v>1200091.93</v>
      </c>
      <c r="N10" s="482">
        <f t="shared" si="0"/>
        <v>773100.4800000001</v>
      </c>
      <c r="O10" s="483">
        <f>SUM(C10:N10)</f>
        <v>19074077.579999998</v>
      </c>
    </row>
    <row r="11" spans="1:16" ht="14.25" customHeight="1" x14ac:dyDescent="0.2">
      <c r="G11" s="367"/>
      <c r="H11" s="367"/>
    </row>
    <row r="12" spans="1:16" ht="27" customHeight="1" x14ac:dyDescent="0.2">
      <c r="A12" s="634" t="s">
        <v>229</v>
      </c>
      <c r="B12" s="635"/>
      <c r="C12" s="635"/>
      <c r="D12" s="635"/>
      <c r="E12" s="635"/>
      <c r="F12" s="635"/>
      <c r="G12" s="635"/>
      <c r="H12" s="635"/>
      <c r="I12" s="635"/>
      <c r="J12" s="635"/>
      <c r="K12" s="635"/>
      <c r="L12" s="635"/>
      <c r="M12" s="635"/>
      <c r="N12" s="635"/>
      <c r="O12" s="635"/>
    </row>
    <row r="16" spans="1:16" ht="17.25" customHeight="1" x14ac:dyDescent="0.2">
      <c r="I16" s="366" t="s">
        <v>12</v>
      </c>
    </row>
    <row r="17" spans="9:9" ht="17.25" customHeight="1" x14ac:dyDescent="0.2">
      <c r="I17" s="366" t="s">
        <v>12</v>
      </c>
    </row>
    <row r="18" spans="9:9" ht="17.25" customHeight="1" x14ac:dyDescent="0.2">
      <c r="I18" s="366" t="s">
        <v>12</v>
      </c>
    </row>
    <row r="19" spans="9:9" ht="17.25" customHeight="1" x14ac:dyDescent="0.2">
      <c r="I19" s="366" t="s">
        <v>12</v>
      </c>
    </row>
  </sheetData>
  <sheetProtection password="C511" sheet="1" objects="1" scenarios="1"/>
  <mergeCells count="2">
    <mergeCell ref="A1:O1"/>
    <mergeCell ref="A12:O12"/>
  </mergeCells>
  <phoneticPr fontId="31" type="noConversion"/>
  <printOptions horizontalCentered="1"/>
  <pageMargins left="0" right="0" top="0.93854166666666705" bottom="0.25" header="0.13" footer="0.1"/>
  <pageSetup scale="76" orientation="landscape" cellComments="atEnd" r:id="rId1"/>
  <headerFooter alignWithMargins="0">
    <oddHeader>&amp;C&amp;"Arial,Bold"Table I-6
Pacific Gas and Electric Company 
Interruptible, Curtailment and Demand Response 
ACEBA Account Balance Year-to-Date
December 2011</oddHeader>
    <oddFooter>&amp;L&amp;F&amp;CPage 10 of 11&amp;R&amp;A</oddFooter>
  </headerFooter>
  <ignoredErrors>
    <ignoredError sqref="O3 C10 I10:L10 D10:H10 M10:N10" emptyCellReference="1"/>
    <ignoredError sqref="O8" formulaRange="1"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31"/>
  <sheetViews>
    <sheetView view="pageLayout" zoomScale="85" zoomScaleNormal="75" zoomScaleSheetLayoutView="85" zoomScalePageLayoutView="85" workbookViewId="0">
      <selection activeCell="K30" sqref="K30"/>
    </sheetView>
  </sheetViews>
  <sheetFormatPr defaultRowHeight="12.75" x14ac:dyDescent="0.2"/>
  <cols>
    <col min="1" max="1" width="18.7109375" style="10" customWidth="1"/>
    <col min="2" max="2" width="14.7109375" style="10" customWidth="1"/>
    <col min="3" max="3" width="55.7109375" style="10" customWidth="1"/>
    <col min="4" max="4" width="10.85546875" style="10" customWidth="1"/>
    <col min="5" max="5" width="64.5703125" style="10" customWidth="1"/>
    <col min="6" max="16384" width="9.140625" style="10"/>
  </cols>
  <sheetData>
    <row r="1" spans="1:5" x14ac:dyDescent="0.2">
      <c r="A1" s="12" t="s">
        <v>55</v>
      </c>
      <c r="B1" s="11"/>
      <c r="C1" s="11"/>
    </row>
    <row r="3" spans="1:5" s="12" customFormat="1" x14ac:dyDescent="0.2">
      <c r="A3" s="12" t="s">
        <v>56</v>
      </c>
      <c r="B3" s="12" t="s">
        <v>57</v>
      </c>
    </row>
    <row r="4" spans="1:5" s="12" customFormat="1" x14ac:dyDescent="0.2">
      <c r="B4" s="12" t="s">
        <v>58</v>
      </c>
    </row>
    <row r="6" spans="1:5" ht="13.5" thickBot="1" x14ac:dyDescent="0.25"/>
    <row r="7" spans="1:5" s="13" customFormat="1" ht="13.5" thickBot="1" x14ac:dyDescent="0.25">
      <c r="A7" s="68" t="s">
        <v>62</v>
      </c>
      <c r="B7" s="69" t="s">
        <v>59</v>
      </c>
      <c r="C7" s="69" t="s">
        <v>61</v>
      </c>
      <c r="D7" s="69" t="s">
        <v>19</v>
      </c>
      <c r="E7" s="70" t="s">
        <v>60</v>
      </c>
    </row>
    <row r="8" spans="1:5" x14ac:dyDescent="0.2">
      <c r="A8" s="71" t="s">
        <v>152</v>
      </c>
      <c r="B8" s="67">
        <v>1756000</v>
      </c>
      <c r="C8" s="66" t="s">
        <v>169</v>
      </c>
      <c r="D8" s="108">
        <v>40107</v>
      </c>
      <c r="E8" s="109" t="s">
        <v>153</v>
      </c>
    </row>
    <row r="9" spans="1:5" x14ac:dyDescent="0.2">
      <c r="A9" s="72" t="s">
        <v>63</v>
      </c>
      <c r="B9" s="15">
        <f>SUM(B8:B8)</f>
        <v>1756000</v>
      </c>
      <c r="C9" s="14"/>
      <c r="D9" s="14"/>
      <c r="E9" s="73"/>
    </row>
    <row r="10" spans="1:5" ht="64.5" customHeight="1" x14ac:dyDescent="0.2">
      <c r="A10" s="110" t="s">
        <v>154</v>
      </c>
      <c r="B10" s="111">
        <v>2311998</v>
      </c>
      <c r="C10" s="112" t="s">
        <v>155</v>
      </c>
      <c r="D10" s="113">
        <v>40156</v>
      </c>
      <c r="E10" s="109" t="s">
        <v>156</v>
      </c>
    </row>
    <row r="11" spans="1:5" ht="15" customHeight="1" x14ac:dyDescent="0.2">
      <c r="A11" s="72" t="s">
        <v>63</v>
      </c>
      <c r="B11" s="15">
        <f>SUM(B10)</f>
        <v>2311998</v>
      </c>
      <c r="C11" s="114"/>
      <c r="D11" s="108"/>
      <c r="E11" s="109"/>
    </row>
    <row r="12" spans="1:5" ht="63.75" x14ac:dyDescent="0.2">
      <c r="A12" s="71" t="s">
        <v>157</v>
      </c>
      <c r="B12" s="67">
        <v>3000000</v>
      </c>
      <c r="C12" s="66" t="s">
        <v>158</v>
      </c>
      <c r="D12" s="106">
        <v>40575</v>
      </c>
      <c r="E12" s="107" t="s">
        <v>151</v>
      </c>
    </row>
    <row r="13" spans="1:5" x14ac:dyDescent="0.2">
      <c r="A13" s="72" t="s">
        <v>63</v>
      </c>
      <c r="B13" s="15">
        <f>SUM(B12)</f>
        <v>3000000</v>
      </c>
      <c r="C13" s="14"/>
      <c r="D13" s="14"/>
      <c r="E13" s="73"/>
    </row>
    <row r="14" spans="1:5" s="488" customFormat="1" ht="38.25" x14ac:dyDescent="0.2">
      <c r="A14" s="484" t="s">
        <v>193</v>
      </c>
      <c r="B14" s="485">
        <v>5000</v>
      </c>
      <c r="C14" s="486" t="s">
        <v>192</v>
      </c>
      <c r="D14" s="106">
        <v>40878</v>
      </c>
      <c r="E14" s="487" t="s">
        <v>194</v>
      </c>
    </row>
    <row r="15" spans="1:5" s="488" customFormat="1" x14ac:dyDescent="0.2">
      <c r="A15" s="489" t="s">
        <v>63</v>
      </c>
      <c r="B15" s="490">
        <f>SUM(B14)</f>
        <v>5000</v>
      </c>
      <c r="C15" s="491"/>
      <c r="D15" s="491"/>
      <c r="E15" s="492"/>
    </row>
    <row r="16" spans="1:5" s="488" customFormat="1" ht="51" x14ac:dyDescent="0.2">
      <c r="A16" s="484" t="s">
        <v>197</v>
      </c>
      <c r="B16" s="485">
        <v>285000</v>
      </c>
      <c r="C16" s="486" t="s">
        <v>195</v>
      </c>
      <c r="D16" s="106">
        <v>40878</v>
      </c>
      <c r="E16" s="487" t="s">
        <v>196</v>
      </c>
    </row>
    <row r="17" spans="1:5" s="488" customFormat="1" x14ac:dyDescent="0.2">
      <c r="A17" s="489" t="s">
        <v>63</v>
      </c>
      <c r="B17" s="490">
        <f>SUM(B16)</f>
        <v>285000</v>
      </c>
      <c r="C17" s="491"/>
      <c r="D17" s="491"/>
      <c r="E17" s="492"/>
    </row>
    <row r="18" spans="1:5" ht="13.5" thickBot="1" x14ac:dyDescent="0.25">
      <c r="A18" s="74"/>
      <c r="B18" s="75"/>
      <c r="C18" s="75"/>
      <c r="D18" s="75"/>
      <c r="E18" s="76"/>
    </row>
    <row r="31" spans="1:5" x14ac:dyDescent="0.2">
      <c r="C31" s="11"/>
    </row>
  </sheetData>
  <sheetProtection password="C511" sheet="1" objects="1" scenarios="1"/>
  <phoneticPr fontId="31" type="noConversion"/>
  <printOptions horizontalCentered="1"/>
  <pageMargins left="0" right="0" top="0.93854166666666705" bottom="0.25" header="0.13" footer="0.1"/>
  <pageSetup scale="84" orientation="landscape" cellComments="atEnd" r:id="rId1"/>
  <headerFooter alignWithMargins="0">
    <oddHeader>&amp;C&amp;"Arial,Bold"Pacific Gas and Electric Company 
Fund Shifting Documentation
December 2011</oddHeader>
    <oddFooter>&amp;L&amp;F&amp;CPage 11 of 11&amp;R&amp;A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8"/>
  <sheetViews>
    <sheetView showGridLines="0" view="pageLayout" topLeftCell="A4" zoomScaleNormal="100" zoomScaleSheetLayoutView="100" workbookViewId="0">
      <selection activeCell="K30" sqref="K30"/>
    </sheetView>
  </sheetViews>
  <sheetFormatPr defaultRowHeight="12.75" x14ac:dyDescent="0.2"/>
  <cols>
    <col min="1" max="10" width="9.140625" style="324"/>
    <col min="11" max="11" width="25.42578125" style="324" customWidth="1"/>
    <col min="12" max="16384" width="9.140625" style="324"/>
  </cols>
  <sheetData>
    <row r="1" spans="1:11" x14ac:dyDescent="0.2">
      <c r="A1" s="323"/>
      <c r="B1" s="323"/>
      <c r="C1" s="323"/>
      <c r="D1" s="323"/>
      <c r="E1" s="323"/>
      <c r="F1" s="323"/>
      <c r="G1" s="323"/>
      <c r="H1" s="323"/>
      <c r="I1" s="323"/>
      <c r="J1" s="323"/>
      <c r="K1" s="323"/>
    </row>
    <row r="2" spans="1:11" x14ac:dyDescent="0.2">
      <c r="A2" s="325"/>
      <c r="B2" s="325"/>
      <c r="C2" s="325"/>
      <c r="D2" s="325"/>
      <c r="E2" s="325"/>
      <c r="F2" s="325"/>
      <c r="G2" s="325"/>
      <c r="H2" s="325"/>
      <c r="I2" s="325"/>
      <c r="J2" s="325"/>
      <c r="K2" s="325"/>
    </row>
    <row r="3" spans="1:11" s="325" customFormat="1" x14ac:dyDescent="0.2"/>
    <row r="4" spans="1:11" ht="80.25" customHeight="1" x14ac:dyDescent="0.2">
      <c r="A4" s="602" t="s">
        <v>190</v>
      </c>
      <c r="B4" s="602"/>
      <c r="C4" s="602"/>
      <c r="D4" s="602"/>
      <c r="E4" s="602"/>
      <c r="F4" s="602"/>
      <c r="G4" s="602"/>
      <c r="H4" s="602"/>
      <c r="I4" s="602"/>
      <c r="J4" s="602"/>
      <c r="K4" s="602"/>
    </row>
    <row r="5" spans="1:11" ht="19.5" customHeight="1" x14ac:dyDescent="0.2">
      <c r="A5" s="603" t="s">
        <v>141</v>
      </c>
      <c r="B5" s="603"/>
      <c r="C5" s="603"/>
      <c r="D5" s="603"/>
      <c r="E5" s="603"/>
      <c r="F5" s="603"/>
      <c r="G5" s="603"/>
      <c r="H5" s="603"/>
      <c r="I5" s="603"/>
      <c r="J5" s="603"/>
      <c r="K5" s="603"/>
    </row>
    <row r="6" spans="1:11" ht="15" x14ac:dyDescent="0.2">
      <c r="A6" s="604" t="s">
        <v>12</v>
      </c>
      <c r="B6" s="604"/>
      <c r="C6" s="604"/>
      <c r="D6" s="604"/>
      <c r="E6" s="604"/>
      <c r="F6" s="604"/>
      <c r="G6" s="604"/>
      <c r="H6" s="604"/>
      <c r="I6" s="604"/>
      <c r="J6" s="604"/>
      <c r="K6" s="604"/>
    </row>
    <row r="7" spans="1:11" ht="15" x14ac:dyDescent="0.2">
      <c r="A7" s="604" t="s">
        <v>12</v>
      </c>
      <c r="B7" s="604"/>
      <c r="C7" s="604"/>
      <c r="D7" s="604"/>
      <c r="E7" s="604"/>
      <c r="F7" s="604"/>
      <c r="G7" s="604"/>
      <c r="H7" s="604"/>
      <c r="I7" s="604"/>
      <c r="J7" s="604"/>
      <c r="K7" s="604"/>
    </row>
    <row r="8" spans="1:11" ht="15" x14ac:dyDescent="0.2">
      <c r="A8" s="601"/>
      <c r="B8" s="602"/>
      <c r="C8" s="602"/>
      <c r="D8" s="602"/>
      <c r="E8" s="602"/>
      <c r="F8" s="602"/>
      <c r="G8" s="602"/>
      <c r="H8" s="602"/>
      <c r="I8" s="602"/>
      <c r="J8" s="602"/>
      <c r="K8" s="602"/>
    </row>
    <row r="9" spans="1:11" x14ac:dyDescent="0.2">
      <c r="A9" s="325"/>
      <c r="B9" s="325"/>
      <c r="C9" s="325"/>
      <c r="D9" s="325"/>
      <c r="E9" s="325"/>
      <c r="F9" s="325"/>
      <c r="G9" s="325"/>
      <c r="H9" s="325"/>
      <c r="I9" s="325"/>
      <c r="J9" s="325"/>
      <c r="K9" s="325"/>
    </row>
    <row r="10" spans="1:11" x14ac:dyDescent="0.2">
      <c r="A10" s="325"/>
      <c r="B10" s="325"/>
      <c r="C10" s="325"/>
      <c r="D10" s="325"/>
      <c r="E10" s="325"/>
      <c r="F10" s="325"/>
      <c r="G10" s="325"/>
      <c r="H10" s="325"/>
      <c r="I10" s="325"/>
      <c r="J10" s="325"/>
      <c r="K10" s="325"/>
    </row>
    <row r="11" spans="1:11" x14ac:dyDescent="0.2">
      <c r="A11" s="325" t="s">
        <v>12</v>
      </c>
      <c r="B11" s="325"/>
      <c r="C11" s="325"/>
      <c r="D11" s="325"/>
      <c r="E11" s="325"/>
      <c r="F11" s="325"/>
      <c r="G11" s="325"/>
      <c r="H11" s="325"/>
      <c r="I11" s="325"/>
      <c r="J11" s="325"/>
      <c r="K11" s="325"/>
    </row>
    <row r="12" spans="1:11" x14ac:dyDescent="0.2">
      <c r="A12" s="325"/>
      <c r="B12" s="325"/>
      <c r="C12" s="325"/>
      <c r="D12" s="325"/>
      <c r="E12" s="325"/>
      <c r="F12" s="325"/>
      <c r="G12" s="325"/>
      <c r="H12" s="325"/>
      <c r="I12" s="325"/>
      <c r="J12" s="325"/>
      <c r="K12" s="325"/>
    </row>
    <row r="13" spans="1:11" x14ac:dyDescent="0.2">
      <c r="A13" s="325"/>
      <c r="B13" s="325"/>
      <c r="C13" s="325"/>
      <c r="D13" s="325"/>
      <c r="E13" s="325"/>
      <c r="F13" s="325"/>
      <c r="G13" s="325"/>
      <c r="H13" s="325"/>
      <c r="I13" s="325"/>
      <c r="J13" s="325"/>
      <c r="K13" s="325"/>
    </row>
    <row r="14" spans="1:11" x14ac:dyDescent="0.2">
      <c r="A14" s="325"/>
      <c r="B14" s="325"/>
      <c r="C14" s="325"/>
      <c r="D14" s="325"/>
      <c r="E14" s="325"/>
      <c r="F14" s="325"/>
      <c r="G14" s="325"/>
      <c r="H14" s="325"/>
      <c r="I14" s="325"/>
      <c r="J14" s="325"/>
      <c r="K14" s="325"/>
    </row>
    <row r="15" spans="1:11" x14ac:dyDescent="0.2">
      <c r="A15" s="325"/>
      <c r="B15" s="325"/>
      <c r="C15" s="325"/>
      <c r="D15" s="325"/>
      <c r="E15" s="325"/>
      <c r="F15" s="325"/>
      <c r="G15" s="325"/>
      <c r="H15" s="325"/>
      <c r="I15" s="325"/>
      <c r="J15" s="325"/>
      <c r="K15" s="325"/>
    </row>
    <row r="16" spans="1:11" x14ac:dyDescent="0.2">
      <c r="A16" s="325"/>
      <c r="B16" s="325"/>
      <c r="C16" s="325"/>
      <c r="D16" s="325"/>
      <c r="E16" s="325"/>
      <c r="F16" s="325"/>
      <c r="G16" s="325"/>
      <c r="H16" s="325"/>
      <c r="I16" s="325"/>
      <c r="J16" s="325"/>
      <c r="K16" s="325"/>
    </row>
    <row r="17" spans="1:11" x14ac:dyDescent="0.2">
      <c r="A17" s="325"/>
      <c r="B17" s="325"/>
      <c r="C17" s="325"/>
      <c r="D17" s="325"/>
      <c r="E17" s="325"/>
      <c r="F17" s="325"/>
      <c r="G17" s="325"/>
      <c r="H17" s="325"/>
      <c r="I17" s="325"/>
      <c r="J17" s="325"/>
      <c r="K17" s="325"/>
    </row>
    <row r="18" spans="1:11" x14ac:dyDescent="0.2">
      <c r="A18" s="325"/>
      <c r="B18" s="325"/>
      <c r="C18" s="325"/>
      <c r="D18" s="325"/>
      <c r="E18" s="325"/>
      <c r="F18" s="325"/>
      <c r="G18" s="325"/>
      <c r="H18" s="325"/>
      <c r="I18" s="325"/>
      <c r="J18" s="325"/>
      <c r="K18" s="325"/>
    </row>
    <row r="19" spans="1:11" x14ac:dyDescent="0.2">
      <c r="A19" s="325"/>
      <c r="B19" s="325"/>
      <c r="C19" s="325"/>
      <c r="D19" s="325"/>
      <c r="E19" s="325"/>
      <c r="F19" s="325"/>
      <c r="G19" s="325"/>
      <c r="H19" s="325"/>
      <c r="I19" s="325"/>
      <c r="J19" s="325"/>
      <c r="K19" s="325"/>
    </row>
    <row r="20" spans="1:11" x14ac:dyDescent="0.2">
      <c r="A20" s="325"/>
      <c r="B20" s="325"/>
      <c r="C20" s="325"/>
      <c r="D20" s="325"/>
      <c r="E20" s="325"/>
      <c r="F20" s="325"/>
      <c r="G20" s="325"/>
      <c r="H20" s="325"/>
      <c r="I20" s="325"/>
      <c r="J20" s="325"/>
      <c r="K20" s="325"/>
    </row>
    <row r="21" spans="1:11" x14ac:dyDescent="0.2">
      <c r="A21" s="325"/>
      <c r="B21" s="325"/>
      <c r="C21" s="325"/>
      <c r="D21" s="325"/>
      <c r="E21" s="325"/>
      <c r="F21" s="325"/>
      <c r="G21" s="325"/>
      <c r="H21" s="325"/>
      <c r="I21" s="325"/>
      <c r="J21" s="325"/>
      <c r="K21" s="325"/>
    </row>
    <row r="22" spans="1:11" x14ac:dyDescent="0.2">
      <c r="A22" s="325"/>
      <c r="B22" s="325"/>
      <c r="C22" s="325"/>
      <c r="D22" s="325"/>
      <c r="E22" s="325"/>
      <c r="F22" s="325"/>
      <c r="G22" s="325"/>
      <c r="H22" s="325"/>
      <c r="I22" s="325"/>
      <c r="J22" s="325"/>
      <c r="K22" s="325"/>
    </row>
    <row r="23" spans="1:11" x14ac:dyDescent="0.2">
      <c r="A23" s="325"/>
      <c r="B23" s="325"/>
      <c r="C23" s="325"/>
      <c r="D23" s="325"/>
      <c r="E23" s="325"/>
      <c r="F23" s="325"/>
      <c r="G23" s="325"/>
      <c r="H23" s="325"/>
      <c r="I23" s="325"/>
      <c r="J23" s="325"/>
      <c r="K23" s="325"/>
    </row>
    <row r="24" spans="1:11" x14ac:dyDescent="0.2">
      <c r="A24" s="325"/>
      <c r="B24" s="325"/>
      <c r="C24" s="325"/>
      <c r="D24" s="325"/>
      <c r="E24" s="325"/>
      <c r="F24" s="325"/>
      <c r="G24" s="325"/>
      <c r="H24" s="325"/>
      <c r="I24" s="325"/>
      <c r="J24" s="325"/>
      <c r="K24" s="325"/>
    </row>
    <row r="25" spans="1:11" x14ac:dyDescent="0.2">
      <c r="A25" s="325"/>
      <c r="B25" s="325"/>
      <c r="C25" s="325"/>
      <c r="D25" s="325"/>
      <c r="E25" s="325"/>
      <c r="F25" s="325"/>
      <c r="G25" s="325"/>
      <c r="H25" s="325"/>
      <c r="I25" s="325"/>
      <c r="J25" s="325"/>
      <c r="K25" s="325"/>
    </row>
    <row r="26" spans="1:11" x14ac:dyDescent="0.2">
      <c r="A26" s="325"/>
      <c r="B26" s="325"/>
      <c r="C26" s="325"/>
      <c r="D26" s="325"/>
      <c r="E26" s="325"/>
      <c r="F26" s="325"/>
      <c r="G26" s="325"/>
      <c r="H26" s="325"/>
      <c r="I26" s="325"/>
      <c r="J26" s="325"/>
      <c r="K26" s="325"/>
    </row>
    <row r="27" spans="1:11" x14ac:dyDescent="0.2">
      <c r="A27" s="326" t="s">
        <v>142</v>
      </c>
      <c r="B27" s="326"/>
      <c r="C27" s="326"/>
      <c r="D27" s="326"/>
      <c r="E27" s="326"/>
      <c r="F27" s="326"/>
      <c r="G27" s="326"/>
      <c r="H27" s="326"/>
      <c r="I27" s="326"/>
      <c r="J27" s="326"/>
      <c r="K27" s="326"/>
    </row>
    <row r="28" spans="1:11" x14ac:dyDescent="0.2">
      <c r="A28" s="325"/>
      <c r="B28" s="325"/>
      <c r="C28" s="325"/>
      <c r="D28" s="325"/>
      <c r="E28" s="325"/>
      <c r="F28" s="325"/>
      <c r="G28" s="325"/>
      <c r="H28" s="325"/>
      <c r="I28" s="325"/>
      <c r="J28" s="325"/>
      <c r="K28" s="325"/>
    </row>
  </sheetData>
  <sheetProtection password="C511" sheet="1" objects="1" scenarios="1"/>
  <mergeCells count="5">
    <mergeCell ref="A8:K8"/>
    <mergeCell ref="A4:K4"/>
    <mergeCell ref="A5:K5"/>
    <mergeCell ref="A6:K6"/>
    <mergeCell ref="A7:K7"/>
  </mergeCells>
  <phoneticPr fontId="31" type="noConversion"/>
  <hyperlinks>
    <hyperlink ref="A5:K5" r:id="rId1" display="http://www.pge.com/mybusiness/energysavingsrebates/demandresponse/cs/ "/>
  </hyperlinks>
  <printOptions horizontalCentered="1"/>
  <pageMargins left="0" right="0" top="0.93854166666666705" bottom="0.25" header="0.13" footer="0.1"/>
  <pageSetup orientation="landscape" cellComments="atEnd" r:id="rId2"/>
  <headerFooter alignWithMargins="0">
    <oddFooter>&amp;L &amp;C &amp;R&amp;A</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71"/>
  <sheetViews>
    <sheetView showGridLines="0" view="pageLayout" topLeftCell="A52" zoomScaleNormal="100" zoomScaleSheetLayoutView="100" workbookViewId="0">
      <selection activeCell="K30" sqref="K30"/>
    </sheetView>
  </sheetViews>
  <sheetFormatPr defaultRowHeight="12.75" x14ac:dyDescent="0.2"/>
  <cols>
    <col min="1" max="1" width="32.7109375" style="261" customWidth="1"/>
    <col min="2" max="2" width="9.5703125" style="263" customWidth="1"/>
    <col min="3" max="3" width="10.28515625" style="211" customWidth="1"/>
    <col min="4" max="4" width="9.85546875" style="211" customWidth="1"/>
    <col min="5" max="5" width="9.5703125" style="211" customWidth="1"/>
    <col min="6" max="6" width="10.28515625" style="211" customWidth="1"/>
    <col min="7" max="7" width="9.85546875" style="211" customWidth="1"/>
    <col min="8" max="8" width="9.5703125" style="211" customWidth="1"/>
    <col min="9" max="9" width="10.28515625" style="211" customWidth="1"/>
    <col min="10" max="10" width="9.85546875" style="211" customWidth="1"/>
    <col min="11" max="11" width="9.5703125" style="264" customWidth="1"/>
    <col min="12" max="12" width="10.28515625" style="261" customWidth="1"/>
    <col min="13" max="13" width="9.85546875" style="261" customWidth="1"/>
    <col min="14" max="14" width="9.5703125" style="264" customWidth="1"/>
    <col min="15" max="15" width="10.28515625" style="264" customWidth="1"/>
    <col min="16" max="16" width="9.85546875" style="264" customWidth="1"/>
    <col min="17" max="17" width="9.5703125" style="211" customWidth="1"/>
    <col min="18" max="18" width="10.28515625" style="264" customWidth="1"/>
    <col min="19" max="19" width="9.85546875" style="264" customWidth="1"/>
    <col min="20" max="20" width="14.140625" style="83" customWidth="1"/>
    <col min="21" max="21" width="9.7109375" style="261" customWidth="1"/>
    <col min="22" max="22" width="11.42578125" style="261" customWidth="1"/>
    <col min="23" max="23" width="11" style="261" customWidth="1"/>
    <col min="24" max="25" width="9.7109375" style="261" customWidth="1"/>
    <col min="26" max="26" width="12.85546875" style="261" customWidth="1"/>
    <col min="27" max="27" width="8.85546875" style="261" bestFit="1" customWidth="1"/>
    <col min="28" max="28" width="10.5703125" style="261" customWidth="1"/>
    <col min="29" max="29" width="9.85546875" style="261" bestFit="1" customWidth="1"/>
    <col min="30" max="30" width="11.140625" style="261" customWidth="1"/>
    <col min="31" max="31" width="9.85546875" style="261" bestFit="1" customWidth="1"/>
    <col min="32" max="32" width="10.85546875" style="261" customWidth="1"/>
    <col min="33" max="33" width="12.140625" style="261" bestFit="1" customWidth="1"/>
    <col min="34" max="34" width="12.140625" style="261" customWidth="1"/>
    <col min="35" max="35" width="9.5703125" style="261" bestFit="1" customWidth="1"/>
    <col min="36" max="36" width="11.140625" style="261" customWidth="1"/>
    <col min="37" max="37" width="11.7109375" style="261" bestFit="1" customWidth="1"/>
    <col min="38" max="38" width="11.7109375" style="261" customWidth="1"/>
    <col min="39" max="16384" width="9.140625" style="261"/>
  </cols>
  <sheetData>
    <row r="1" spans="1:31" s="83" customFormat="1" ht="11.25" customHeight="1" x14ac:dyDescent="0.2">
      <c r="A1" s="83" t="s">
        <v>100</v>
      </c>
      <c r="B1" s="215"/>
      <c r="C1" s="198"/>
      <c r="D1" s="198"/>
      <c r="E1" s="198"/>
      <c r="F1" s="198"/>
      <c r="G1" s="198"/>
      <c r="H1" s="198"/>
      <c r="I1" s="198"/>
      <c r="J1" s="198"/>
      <c r="K1" s="100"/>
      <c r="N1" s="100"/>
      <c r="O1" s="100"/>
      <c r="P1" s="100"/>
      <c r="Q1" s="198"/>
      <c r="R1" s="100"/>
      <c r="S1" s="100"/>
    </row>
    <row r="2" spans="1:31" s="83" customFormat="1" ht="2.25" customHeight="1" x14ac:dyDescent="0.2">
      <c r="B2" s="215"/>
      <c r="C2" s="198"/>
      <c r="D2" s="198"/>
      <c r="E2" s="198"/>
      <c r="F2" s="198"/>
      <c r="G2" s="198"/>
      <c r="H2" s="198"/>
      <c r="I2" s="198"/>
      <c r="J2" s="198"/>
      <c r="K2" s="100"/>
      <c r="N2" s="100"/>
      <c r="O2" s="100"/>
      <c r="P2" s="100"/>
      <c r="Q2" s="198"/>
      <c r="R2" s="100"/>
      <c r="S2" s="100"/>
    </row>
    <row r="3" spans="1:31" s="83" customFormat="1" ht="11.25" customHeight="1" x14ac:dyDescent="0.2">
      <c r="A3" s="83" t="s">
        <v>65</v>
      </c>
      <c r="B3" s="215"/>
      <c r="C3" s="198"/>
      <c r="D3" s="198"/>
      <c r="E3" s="198"/>
      <c r="F3" s="198"/>
      <c r="G3" s="198"/>
      <c r="H3" s="198"/>
      <c r="I3" s="198"/>
      <c r="J3" s="198"/>
      <c r="K3" s="100"/>
      <c r="N3" s="100"/>
      <c r="O3" s="100"/>
      <c r="P3" s="100"/>
      <c r="Q3" s="198"/>
      <c r="R3" s="100"/>
      <c r="S3" s="100"/>
    </row>
    <row r="4" spans="1:31" s="83" customFormat="1" ht="13.5" hidden="1" customHeight="1" x14ac:dyDescent="0.2">
      <c r="B4" s="215"/>
      <c r="C4" s="198"/>
      <c r="D4" s="198"/>
      <c r="E4" s="198"/>
      <c r="F4" s="198"/>
      <c r="G4" s="198"/>
      <c r="H4" s="198"/>
      <c r="I4" s="198"/>
      <c r="J4" s="198"/>
      <c r="K4" s="100"/>
      <c r="N4" s="100"/>
      <c r="O4" s="100"/>
      <c r="P4" s="100"/>
      <c r="Q4" s="198"/>
      <c r="R4" s="100"/>
      <c r="S4" s="100"/>
    </row>
    <row r="5" spans="1:31" s="83" customFormat="1" hidden="1" x14ac:dyDescent="0.2">
      <c r="B5" s="215"/>
      <c r="C5" s="198">
        <v>2</v>
      </c>
      <c r="D5" s="198">
        <f>C5</f>
        <v>2</v>
      </c>
      <c r="E5" s="198"/>
      <c r="F5" s="198">
        <f>C5+1</f>
        <v>3</v>
      </c>
      <c r="G5" s="198">
        <f>F5</f>
        <v>3</v>
      </c>
      <c r="H5" s="198"/>
      <c r="I5" s="198">
        <f>F5+1</f>
        <v>4</v>
      </c>
      <c r="J5" s="198">
        <f>I5</f>
        <v>4</v>
      </c>
      <c r="K5" s="100"/>
      <c r="L5" s="83">
        <f>I5+1</f>
        <v>5</v>
      </c>
      <c r="M5" s="83">
        <f>L5</f>
        <v>5</v>
      </c>
      <c r="N5" s="100"/>
      <c r="O5" s="100">
        <f>L5+1</f>
        <v>6</v>
      </c>
      <c r="P5" s="100">
        <f>O5</f>
        <v>6</v>
      </c>
      <c r="Q5" s="198"/>
      <c r="R5" s="100">
        <f>O5+1</f>
        <v>7</v>
      </c>
      <c r="S5" s="100">
        <f>R5</f>
        <v>7</v>
      </c>
    </row>
    <row r="6" spans="1:31" s="83" customFormat="1" hidden="1" x14ac:dyDescent="0.2">
      <c r="B6" s="215"/>
      <c r="C6" s="198"/>
      <c r="D6" s="198"/>
      <c r="E6" s="198"/>
      <c r="F6" s="198"/>
      <c r="G6" s="198"/>
      <c r="H6" s="198"/>
      <c r="I6" s="198"/>
      <c r="J6" s="198"/>
      <c r="K6" s="100"/>
      <c r="N6" s="100"/>
      <c r="O6" s="100"/>
      <c r="P6" s="100"/>
      <c r="Q6" s="198"/>
      <c r="R6" s="100"/>
      <c r="S6" s="100"/>
    </row>
    <row r="7" spans="1:31" s="83" customFormat="1" ht="11.25" customHeight="1" x14ac:dyDescent="0.2">
      <c r="A7" s="238"/>
      <c r="B7" s="609" t="s">
        <v>0</v>
      </c>
      <c r="C7" s="610"/>
      <c r="D7" s="611"/>
      <c r="E7" s="609" t="s">
        <v>1</v>
      </c>
      <c r="F7" s="610"/>
      <c r="G7" s="611"/>
      <c r="H7" s="609" t="s">
        <v>2</v>
      </c>
      <c r="I7" s="610"/>
      <c r="J7" s="611"/>
      <c r="K7" s="609" t="s">
        <v>3</v>
      </c>
      <c r="L7" s="610"/>
      <c r="M7" s="611"/>
      <c r="N7" s="609" t="s">
        <v>4</v>
      </c>
      <c r="O7" s="610"/>
      <c r="P7" s="611"/>
      <c r="Q7" s="609" t="s">
        <v>5</v>
      </c>
      <c r="R7" s="610"/>
      <c r="S7" s="611"/>
      <c r="T7" s="349"/>
    </row>
    <row r="8" spans="1:31" s="83" customFormat="1" ht="42" customHeight="1" x14ac:dyDescent="0.25">
      <c r="A8" s="79" t="s">
        <v>21</v>
      </c>
      <c r="B8" s="216" t="s">
        <v>15</v>
      </c>
      <c r="C8" s="217" t="s">
        <v>163</v>
      </c>
      <c r="D8" s="218" t="s">
        <v>164</v>
      </c>
      <c r="E8" s="219" t="s">
        <v>15</v>
      </c>
      <c r="F8" s="217" t="s">
        <v>163</v>
      </c>
      <c r="G8" s="218" t="s">
        <v>164</v>
      </c>
      <c r="H8" s="199" t="s">
        <v>15</v>
      </c>
      <c r="I8" s="217" t="s">
        <v>163</v>
      </c>
      <c r="J8" s="218" t="s">
        <v>164</v>
      </c>
      <c r="K8" s="105" t="s">
        <v>15</v>
      </c>
      <c r="L8" s="81" t="s">
        <v>163</v>
      </c>
      <c r="M8" s="82" t="s">
        <v>164</v>
      </c>
      <c r="N8" s="105" t="s">
        <v>15</v>
      </c>
      <c r="O8" s="197" t="s">
        <v>163</v>
      </c>
      <c r="P8" s="212" t="s">
        <v>164</v>
      </c>
      <c r="Q8" s="199" t="s">
        <v>15</v>
      </c>
      <c r="R8" s="197" t="s">
        <v>163</v>
      </c>
      <c r="S8" s="212" t="s">
        <v>164</v>
      </c>
      <c r="T8" s="350" t="s">
        <v>188</v>
      </c>
    </row>
    <row r="9" spans="1:31" s="83" customFormat="1" ht="12.75" customHeight="1" x14ac:dyDescent="0.2">
      <c r="A9" s="28" t="s">
        <v>22</v>
      </c>
      <c r="B9" s="203"/>
      <c r="C9" s="220"/>
      <c r="D9" s="221"/>
      <c r="E9" s="199"/>
      <c r="F9" s="219"/>
      <c r="G9" s="222"/>
      <c r="H9" s="199"/>
      <c r="I9" s="219"/>
      <c r="J9" s="219"/>
      <c r="K9" s="105"/>
      <c r="L9" s="80"/>
      <c r="M9" s="332"/>
      <c r="N9" s="105"/>
      <c r="O9" s="101"/>
      <c r="P9" s="322"/>
      <c r="Q9" s="199"/>
      <c r="R9" s="101"/>
      <c r="S9" s="322"/>
      <c r="T9" s="351"/>
    </row>
    <row r="10" spans="1:31" s="83" customFormat="1" ht="12" customHeight="1" x14ac:dyDescent="0.2">
      <c r="A10" s="84" t="s">
        <v>68</v>
      </c>
      <c r="B10" s="204">
        <v>190</v>
      </c>
      <c r="C10" s="223">
        <f>IF(B10="","",IF(VLOOKUP($A10,'Ex ante LI &amp; Eligibility Stats'!$A$7:$M$23,C$5,FALSE)="N/A",0,VLOOKUP($A10,'Ex ante LI &amp; Eligibility Stats'!$A$7:$M$23,C$5,FALSE)*B10/1000))</f>
        <v>151.68615591</v>
      </c>
      <c r="D10" s="224">
        <f>IF(B10="","",IF(VLOOKUP($A10,'Ex post LI &amp; Eligibility Stats'!$A$10:$M$26,C$5,FALSE)="N/A",0,VLOOKUP($A10,'Ex post LI &amp; Eligibility Stats'!$A$10:$M$26,C$5,FALSE)*B10/1000))</f>
        <v>149.70099999999999</v>
      </c>
      <c r="E10" s="200">
        <v>193</v>
      </c>
      <c r="F10" s="223">
        <f>IF(E10="","",IF(VLOOKUP($A10,'Ex ante LI &amp; Eligibility Stats'!$A$7:$M$23,F$5,FALSE)="N/A",0,VLOOKUP($A10,'Ex ante LI &amp; Eligibility Stats'!$A$7:$M$23,F$5,FALSE)*E10/1000))</f>
        <v>161.83773425180999</v>
      </c>
      <c r="G10" s="224">
        <f>IF(E10="","",IF(VLOOKUP($A10,'Ex post LI &amp; Eligibility Stats'!$A$10:$M$26,F$5,FALSE)="N/A",0,VLOOKUP($A10,'Ex post LI &amp; Eligibility Stats'!$A$10:$M$26,F$5,FALSE)*E10/1000))</f>
        <v>152.06469999999999</v>
      </c>
      <c r="H10" s="141">
        <v>215</v>
      </c>
      <c r="I10" s="223">
        <f>IF(H10="","",IF(VLOOKUP($A10,'Ex ante LI &amp; Eligibility Stats'!$A$7:$M$23,I$5,FALSE)="N/A",0,VLOOKUP($A10,'Ex ante LI &amp; Eligibility Stats'!$A$7:$M$23,I$5,FALSE)*H10/1000))</f>
        <v>181.82470706064998</v>
      </c>
      <c r="J10" s="224">
        <f>IF(H10="","",IF(VLOOKUP($A10,'Ex post LI &amp; Eligibility Stats'!$A$10:$M$26,I$5,FALSE)="N/A",0,VLOOKUP($A10,'Ex post LI &amp; Eligibility Stats'!$A$10:$M$26,I$5,FALSE)*H10/1000))</f>
        <v>169.39850000000001</v>
      </c>
      <c r="K10" s="145">
        <v>213</v>
      </c>
      <c r="L10" s="133">
        <f>IF(K10="","",IF(VLOOKUP($A10,'Ex ante LI &amp; Eligibility Stats'!$A$7:$M$23,L$5,FALSE)="N/A",0,VLOOKUP($A10,'Ex ante LI &amp; Eligibility Stats'!$A$7:$M$23,L$5,FALSE)*K10/1000))</f>
        <v>200.2632063897</v>
      </c>
      <c r="M10" s="130">
        <f>IF(K10="","",IF(VLOOKUP($A10,'Ex post LI &amp; Eligibility Stats'!$A$10:$M$26,L$5,FALSE)="N/A",0,VLOOKUP($A10,'Ex post LI &amp; Eligibility Stats'!$A$10:$M$26,L$5,FALSE)*K10/1000))</f>
        <v>167.82269999999997</v>
      </c>
      <c r="N10" s="191">
        <v>213</v>
      </c>
      <c r="O10" s="133">
        <f>IF(N10="","",IF(VLOOKUP($A10,'Ex ante LI &amp; Eligibility Stats'!$A$7:$M$23,O$5,FALSE)="N/A",0,VLOOKUP($A10,'Ex ante LI &amp; Eligibility Stats'!$A$7:$M$23,O$5,FALSE)*N10/1000))</f>
        <v>174.46307467761</v>
      </c>
      <c r="P10" s="130">
        <f>IF(N10="","",IF(VLOOKUP($A10,'Ex post LI &amp; Eligibility Stats'!$A$10:$M$26,O$5,FALSE)="N/A",0,VLOOKUP($A10,'Ex post LI &amp; Eligibility Stats'!$A$10:$M$26,O$5,FALSE)*N10/1000))</f>
        <v>167.82269999999997</v>
      </c>
      <c r="Q10" s="200">
        <v>216</v>
      </c>
      <c r="R10" s="133">
        <f>IF(Q10="","",IF(VLOOKUP($A10,'Ex ante LI &amp; Eligibility Stats'!$A$7:$M$23,R$5,FALSE)="N/A",0,VLOOKUP($A10,'Ex ante LI &amp; Eligibility Stats'!$A$7:$M$23,R$5,FALSE)*Q10/1000))</f>
        <v>193.80398773319999</v>
      </c>
      <c r="S10" s="130">
        <f>IF(Q10="","",IF(VLOOKUP($A10,'Ex post LI &amp; Eligibility Stats'!$A$10:$M$26,R$5,FALSE)="N/A",0,VLOOKUP($A10,'Ex post LI &amp; Eligibility Stats'!$A$10:$M$26,R$5,FALSE)*Q10/1000))</f>
        <v>170.18639999999999</v>
      </c>
      <c r="T10" s="352">
        <v>10199</v>
      </c>
    </row>
    <row r="11" spans="1:31" s="83" customFormat="1" ht="12" customHeight="1" x14ac:dyDescent="0.2">
      <c r="A11" s="84" t="s">
        <v>13</v>
      </c>
      <c r="B11" s="194">
        <v>30</v>
      </c>
      <c r="C11" s="225">
        <f>IF(B11="","",IF(VLOOKUP($A11,'Ex ante LI &amp; Eligibility Stats'!$A$7:$M$23,C$5,FALSE)="N/A",0,VLOOKUP($A11,'Ex ante LI &amp; Eligibility Stats'!$A$7:$M$23,C$5,FALSE)*B11/1000))</f>
        <v>0</v>
      </c>
      <c r="D11" s="226">
        <f>IF(B11="","",IF(VLOOKUP($A11,'Ex post LI &amp; Eligibility Stats'!$A$10:$M$26,C$5,FALSE)="N/A",0,VLOOKUP($A11,'Ex post LI &amp; Eligibility Stats'!$A$10:$M$26,C$5,FALSE)*B11/1000))</f>
        <v>0</v>
      </c>
      <c r="E11" s="195">
        <v>29</v>
      </c>
      <c r="F11" s="225">
        <f>IF(E11="","",IF(VLOOKUP($A11,'Ex ante LI &amp; Eligibility Stats'!$A$7:$M$23,F$5,FALSE)="N/A",0,VLOOKUP($A11,'Ex ante LI &amp; Eligibility Stats'!$A$7:$M$23,F$5,FALSE)*E11/1000))</f>
        <v>0</v>
      </c>
      <c r="G11" s="226">
        <f>IF(E11="","",IF(VLOOKUP($A11,'Ex post LI &amp; Eligibility Stats'!$A$10:$M$26,F$5,FALSE)="N/A",0,VLOOKUP($A11,'Ex post LI &amp; Eligibility Stats'!$A$10:$M$26,F$5,FALSE)*E11/1000))</f>
        <v>0</v>
      </c>
      <c r="H11" s="142">
        <v>29</v>
      </c>
      <c r="I11" s="225">
        <f>IF(H11="","",IF(VLOOKUP($A11,'Ex ante LI &amp; Eligibility Stats'!$A$7:$M$23,I$5,FALSE)="N/A",0,VLOOKUP($A11,'Ex ante LI &amp; Eligibility Stats'!$A$7:$M$23,I$5,FALSE)*H11/1000))</f>
        <v>0</v>
      </c>
      <c r="J11" s="226">
        <f>IF(H11="","",IF(VLOOKUP($A11,'Ex post LI &amp; Eligibility Stats'!$A$10:$M$26,I$5,FALSE)="N/A",0,VLOOKUP($A11,'Ex post LI &amp; Eligibility Stats'!$A$10:$M$26,I$5,FALSE)*H11/1000))</f>
        <v>0</v>
      </c>
      <c r="K11" s="146">
        <v>28</v>
      </c>
      <c r="L11" s="134">
        <f>IF(K11="","",IF(VLOOKUP($A11,'Ex ante LI &amp; Eligibility Stats'!$A$7:$M$23,L$5,FALSE)="N/A",0,VLOOKUP($A11,'Ex ante LI &amp; Eligibility Stats'!$A$7:$M$23,L$5,FALSE)*K11/1000))</f>
        <v>0</v>
      </c>
      <c r="M11" s="131">
        <f>IF(K11="","",IF(VLOOKUP($A11,'Ex post LI &amp; Eligibility Stats'!$A$10:$M$26,L$5,FALSE)="N/A",0,VLOOKUP($A11,'Ex post LI &amp; Eligibility Stats'!$A$10:$M$26,L$5,FALSE)*K11/1000))</f>
        <v>0</v>
      </c>
      <c r="N11" s="190">
        <v>28</v>
      </c>
      <c r="O11" s="134">
        <f>IF(N11="","",IF(VLOOKUP($A11,'Ex ante LI &amp; Eligibility Stats'!$A$7:$M$23,O$5,FALSE)="N/A",0,VLOOKUP($A11,'Ex ante LI &amp; Eligibility Stats'!$A$7:$M$23,O$5,FALSE)*N11/1000))</f>
        <v>0</v>
      </c>
      <c r="P11" s="131">
        <f>IF(N11="","",IF(VLOOKUP($A11,'Ex post LI &amp; Eligibility Stats'!$A$10:$M$26,O$5,FALSE)="N/A",0,VLOOKUP($A11,'Ex post LI &amp; Eligibility Stats'!$A$10:$M$26,O$5,FALSE)*N11/1000))</f>
        <v>0</v>
      </c>
      <c r="Q11" s="195">
        <v>28</v>
      </c>
      <c r="R11" s="134">
        <f>IF(Q11="","",IF(VLOOKUP($A11,'Ex ante LI &amp; Eligibility Stats'!$A$7:$M$23,R$5,FALSE)="N/A",0,VLOOKUP($A11,'Ex ante LI &amp; Eligibility Stats'!$A$7:$M$23,R$5,FALSE)*Q11/1000))</f>
        <v>0</v>
      </c>
      <c r="S11" s="131">
        <f>IF(Q11="","",IF(VLOOKUP($A11,'Ex post LI &amp; Eligibility Stats'!$A$10:$M$26,R$5,FALSE)="N/A",0,VLOOKUP($A11,'Ex post LI &amp; Eligibility Stats'!$A$10:$M$26,R$5,FALSE)*Q11/1000))</f>
        <v>0</v>
      </c>
      <c r="T11" s="352">
        <v>0</v>
      </c>
    </row>
    <row r="12" spans="1:31" s="83" customFormat="1" ht="12" customHeight="1" x14ac:dyDescent="0.2">
      <c r="A12" s="84" t="s">
        <v>25</v>
      </c>
      <c r="B12" s="194">
        <v>0</v>
      </c>
      <c r="C12" s="225">
        <f>IF(B12="","",IF(VLOOKUP($A12,'Ex ante LI &amp; Eligibility Stats'!$A$7:$M$23,C$5,FALSE)="N/A",0,VLOOKUP($A12,'Ex ante LI &amp; Eligibility Stats'!$A$7:$M$23,C$5,FALSE)*B12/1000))</f>
        <v>0</v>
      </c>
      <c r="D12" s="226">
        <f>IF(B12="","",IF(VLOOKUP($A12,'Ex post LI &amp; Eligibility Stats'!$A$10:$M$26,C$5,FALSE)="N/A",0,VLOOKUP($A12,'Ex post LI &amp; Eligibility Stats'!$A$10:$M$26,C$5,FALSE)*B12/1000))</f>
        <v>0</v>
      </c>
      <c r="E12" s="195">
        <v>0</v>
      </c>
      <c r="F12" s="225">
        <f>IF(E12="","",IF(VLOOKUP($A12,'Ex ante LI &amp; Eligibility Stats'!$A$7:$M$23,F$5,FALSE)="N/A",0,VLOOKUP($A12,'Ex ante LI &amp; Eligibility Stats'!$A$7:$M$23,F$5,FALSE)*E12/1000))</f>
        <v>0</v>
      </c>
      <c r="G12" s="226">
        <f>IF(E12="","",IF(VLOOKUP($A12,'Ex post LI &amp; Eligibility Stats'!$A$10:$M$26,F$5,FALSE)="N/A",0,VLOOKUP($A12,'Ex post LI &amp; Eligibility Stats'!$A$10:$M$26,F$5,FALSE)*E12/1000))</f>
        <v>0</v>
      </c>
      <c r="H12" s="143">
        <v>0</v>
      </c>
      <c r="I12" s="225">
        <f>IF(H12="","",IF(VLOOKUP($A12,'Ex ante LI &amp; Eligibility Stats'!$A$7:$M$23,I$5,FALSE)="N/A",0,VLOOKUP($A12,'Ex ante LI &amp; Eligibility Stats'!$A$7:$M$23,I$5,FALSE)*H12/1000))</f>
        <v>0</v>
      </c>
      <c r="J12" s="226">
        <f>IF(H12="","",IF(VLOOKUP($A12,'Ex post LI &amp; Eligibility Stats'!$A$10:$M$26,I$5,FALSE)="N/A",0,VLOOKUP($A12,'Ex post LI &amp; Eligibility Stats'!$A$10:$M$26,I$5,FALSE)*H12/1000))</f>
        <v>0</v>
      </c>
      <c r="K12" s="146">
        <v>0</v>
      </c>
      <c r="L12" s="134">
        <f>IF(K12="","",IF(VLOOKUP($A12,'Ex ante LI &amp; Eligibility Stats'!$A$7:$M$23,L$5,FALSE)="N/A",0,VLOOKUP($A12,'Ex ante LI &amp; Eligibility Stats'!$A$7:$M$23,L$5,FALSE)*K12/1000))</f>
        <v>0</v>
      </c>
      <c r="M12" s="131">
        <f>IF(K12="","",IF(VLOOKUP($A12,'Ex post LI &amp; Eligibility Stats'!$A$10:$M$26,L$5,FALSE)="N/A",0,VLOOKUP($A12,'Ex post LI &amp; Eligibility Stats'!$A$10:$M$26,L$5,FALSE)*K12/1000))</f>
        <v>0</v>
      </c>
      <c r="N12" s="190">
        <v>0</v>
      </c>
      <c r="O12" s="134">
        <f>IF(N12="","",IF(VLOOKUP($A12,'Ex ante LI &amp; Eligibility Stats'!$A$7:$M$23,O$5,FALSE)="N/A",0,VLOOKUP($A12,'Ex ante LI &amp; Eligibility Stats'!$A$7:$M$23,O$5,FALSE)*N12/1000))</f>
        <v>0</v>
      </c>
      <c r="P12" s="131">
        <f>IF(N12="","",IF(VLOOKUP($A12,'Ex post LI &amp; Eligibility Stats'!$A$10:$M$26,O$5,FALSE)="N/A",0,VLOOKUP($A12,'Ex post LI &amp; Eligibility Stats'!$A$10:$M$26,O$5,FALSE)*N12/1000))</f>
        <v>0</v>
      </c>
      <c r="Q12" s="195">
        <v>0</v>
      </c>
      <c r="R12" s="134">
        <f>IF(Q12="","",IF(VLOOKUP($A12,'Ex ante LI &amp; Eligibility Stats'!$A$7:$M$23,R$5,FALSE)="N/A",0,VLOOKUP($A12,'Ex ante LI &amp; Eligibility Stats'!$A$7:$M$23,R$5,FALSE)*Q12/1000))</f>
        <v>0</v>
      </c>
      <c r="S12" s="131">
        <f>IF(Q12="","",IF(VLOOKUP($A12,'Ex post LI &amp; Eligibility Stats'!$A$10:$M$26,R$5,FALSE)="N/A",0,VLOOKUP($A12,'Ex post LI &amp; Eligibility Stats'!$A$10:$M$26,R$5,FALSE)*Q12/1000))</f>
        <v>0</v>
      </c>
      <c r="T12" s="352">
        <v>0</v>
      </c>
    </row>
    <row r="13" spans="1:31" s="83" customFormat="1" ht="12" customHeight="1" x14ac:dyDescent="0.2">
      <c r="A13" s="254" t="s">
        <v>182</v>
      </c>
      <c r="B13" s="194">
        <v>3069</v>
      </c>
      <c r="C13" s="225">
        <f>IF(B13="","",IF(VLOOKUP($A13,'Ex ante LI &amp; Eligibility Stats'!$A$7:$M$23,C$5,FALSE)="N/A",0,VLOOKUP($A13,'Ex ante LI &amp; Eligibility Stats'!$A$7:$M$23,C$5,FALSE)*B13/1000))</f>
        <v>0</v>
      </c>
      <c r="D13" s="226">
        <f>IF(B13="","",IF(VLOOKUP($A13,'Ex post LI &amp; Eligibility Stats'!$A$10:$M$26,C$5,FALSE)="N/A",0,VLOOKUP($A13,'Ex post LI &amp; Eligibility Stats'!$A$10:$M$26,C$5,FALSE)*B13/1000))</f>
        <v>0.67518</v>
      </c>
      <c r="E13" s="195">
        <v>3191</v>
      </c>
      <c r="F13" s="225">
        <f>IF(E13="","",IF(VLOOKUP($A13,'Ex ante LI &amp; Eligibility Stats'!$A$7:$M$23,F$5,FALSE)="N/A",0,VLOOKUP($A13,'Ex ante LI &amp; Eligibility Stats'!$A$7:$M$23,F$5,FALSE)*E13/1000))</f>
        <v>0</v>
      </c>
      <c r="G13" s="226">
        <f>IF(E13="","",IF(VLOOKUP($A13,'Ex post LI &amp; Eligibility Stats'!$A$10:$M$26,F$5,FALSE)="N/A",0,VLOOKUP($A13,'Ex post LI &amp; Eligibility Stats'!$A$10:$M$26,F$5,FALSE)*E13/1000))</f>
        <v>0.70201999999999998</v>
      </c>
      <c r="H13" s="143">
        <v>3881</v>
      </c>
      <c r="I13" s="225">
        <f>IF(H13="","",IF(VLOOKUP($A13,'Ex ante LI &amp; Eligibility Stats'!$A$7:$M$23,I$5,FALSE)="N/A",0,VLOOKUP($A13,'Ex ante LI &amp; Eligibility Stats'!$A$7:$M$23,I$5,FALSE)*H13/1000))</f>
        <v>0</v>
      </c>
      <c r="J13" s="226">
        <f>IF(H13="","",IF(VLOOKUP($A13,'Ex post LI &amp; Eligibility Stats'!$A$10:$M$26,I$5,FALSE)="N/A",0,VLOOKUP($A13,'Ex post LI &amp; Eligibility Stats'!$A$10:$M$26,I$5,FALSE)*H13/1000))</f>
        <v>0.85382000000000002</v>
      </c>
      <c r="K13" s="146">
        <v>4443</v>
      </c>
      <c r="L13" s="134">
        <f>IF(K13="","",IF(VLOOKUP($A13,'Ex ante LI &amp; Eligibility Stats'!$A$7:$M$23,L$5,FALSE)="N/A",0,VLOOKUP($A13,'Ex ante LI &amp; Eligibility Stats'!$A$7:$M$23,L$5,FALSE)*K13/1000))</f>
        <v>0</v>
      </c>
      <c r="M13" s="131">
        <f>IF(K13="","",IF(VLOOKUP($A13,'Ex post LI &amp; Eligibility Stats'!$A$10:$M$26,L$5,FALSE)="N/A",0,VLOOKUP($A13,'Ex post LI &amp; Eligibility Stats'!$A$10:$M$26,L$5,FALSE)*K13/1000))</f>
        <v>0.97746</v>
      </c>
      <c r="N13" s="190">
        <v>4961</v>
      </c>
      <c r="O13" s="134">
        <f>IF(N13="","",IF(VLOOKUP($A13,'Ex ante LI &amp; Eligibility Stats'!$A$7:$M$23,O$5,FALSE)="N/A",0,VLOOKUP($A13,'Ex ante LI &amp; Eligibility Stats'!$A$7:$M$23,O$5,FALSE)*N13/1000))</f>
        <v>1.5982150116097</v>
      </c>
      <c r="P13" s="131">
        <f>IF(N13="","",IF(VLOOKUP($A13,'Ex post LI &amp; Eligibility Stats'!$A$10:$M$26,O$5,FALSE)="N/A",0,VLOOKUP($A13,'Ex post LI &amp; Eligibility Stats'!$A$10:$M$26,O$5,FALSE)*N13/1000))</f>
        <v>1.0914200000000001</v>
      </c>
      <c r="Q13" s="195">
        <v>5811</v>
      </c>
      <c r="R13" s="134">
        <f>IF(Q13="","",IF(VLOOKUP($A13,'Ex ante LI &amp; Eligibility Stats'!$A$7:$M$23,R$5,FALSE)="N/A",0,VLOOKUP($A13,'Ex ante LI &amp; Eligibility Stats'!$A$7:$M$23,R$5,FALSE)*Q13/1000))</f>
        <v>2.1259427105669997</v>
      </c>
      <c r="S13" s="131">
        <f>IF(Q13="","",IF(VLOOKUP($A13,'Ex post LI &amp; Eligibility Stats'!$A$10:$M$26,R$5,FALSE)="N/A",0,VLOOKUP($A13,'Ex post LI &amp; Eligibility Stats'!$A$10:$M$26,R$5,FALSE)*Q13/1000))</f>
        <v>1.2784200000000001</v>
      </c>
      <c r="T13" s="352">
        <v>585981</v>
      </c>
    </row>
    <row r="14" spans="1:31" s="83" customFormat="1" ht="12" customHeight="1" x14ac:dyDescent="0.2">
      <c r="A14" s="254" t="s">
        <v>183</v>
      </c>
      <c r="B14" s="227">
        <v>112068</v>
      </c>
      <c r="C14" s="228">
        <f>IF(B14="","",IF(VLOOKUP($A14,'Ex ante LI &amp; Eligibility Stats'!$A$7:$M$23,C$5,FALSE)="N/A",0,VLOOKUP($A14,'Ex ante LI &amp; Eligibility Stats'!$A$7:$M$23,C$5,FALSE)*B14/1000))</f>
        <v>0</v>
      </c>
      <c r="D14" s="229">
        <f>IF(B14="","",IF(VLOOKUP($A14,'Ex post LI &amp; Eligibility Stats'!$A$10:$M$26,C$5,FALSE)="N/A",0,VLOOKUP($A14,'Ex post LI &amp; Eligibility Stats'!$A$10:$M$26,C$5,FALSE)*B14/1000))</f>
        <v>24.654959999999999</v>
      </c>
      <c r="E14" s="208">
        <v>111788</v>
      </c>
      <c r="F14" s="228">
        <f>IF(E14="","",IF(VLOOKUP($A14,'Ex ante LI &amp; Eligibility Stats'!$A$7:$M$23,F$5,FALSE)="N/A",0,VLOOKUP($A14,'Ex ante LI &amp; Eligibility Stats'!$A$7:$M$23,F$5,FALSE)*E14/1000))</f>
        <v>0</v>
      </c>
      <c r="G14" s="229">
        <f>IF(E14="","",IF(VLOOKUP($A14,'Ex post LI &amp; Eligibility Stats'!$A$10:$M$26,F$5,FALSE)="N/A",0,VLOOKUP($A14,'Ex post LI &amp; Eligibility Stats'!$A$10:$M$26,F$5,FALSE)*E14/1000))</f>
        <v>24.593360000000001</v>
      </c>
      <c r="H14" s="144">
        <v>113388</v>
      </c>
      <c r="I14" s="228">
        <f>IF(H14="","",IF(VLOOKUP($A14,'Ex ante LI &amp; Eligibility Stats'!$A$7:$M$23,I$5,FALSE)="N/A",0,VLOOKUP($A14,'Ex ante LI &amp; Eligibility Stats'!$A$7:$M$23,I$5,FALSE)*H14/1000))</f>
        <v>0</v>
      </c>
      <c r="J14" s="229">
        <f>IF(H14="","",IF(VLOOKUP($A14,'Ex post LI &amp; Eligibility Stats'!$A$10:$M$26,I$5,FALSE)="N/A",0,VLOOKUP($A14,'Ex post LI &amp; Eligibility Stats'!$A$10:$M$26,I$5,FALSE)*H14/1000))</f>
        <v>24.945360000000001</v>
      </c>
      <c r="K14" s="147">
        <v>112941</v>
      </c>
      <c r="L14" s="135">
        <f>IF(K14="","",IF(VLOOKUP($A14,'Ex ante LI &amp; Eligibility Stats'!$A$7:$M$23,L$5,FALSE)="N/A",0,VLOOKUP($A14,'Ex ante LI &amp; Eligibility Stats'!$A$7:$M$23,L$5,FALSE)*K14/1000))</f>
        <v>0</v>
      </c>
      <c r="M14" s="132">
        <f>IF(K14="","",IF(VLOOKUP($A14,'Ex post LI &amp; Eligibility Stats'!$A$10:$M$26,L$5,FALSE)="N/A",0,VLOOKUP($A14,'Ex post LI &amp; Eligibility Stats'!$A$10:$M$26,L$5,FALSE)*K14/1000))</f>
        <v>24.847020000000001</v>
      </c>
      <c r="N14" s="192">
        <v>113024</v>
      </c>
      <c r="O14" s="135">
        <f>IF(N14="","",IF(VLOOKUP($A14,'Ex ante LI &amp; Eligibility Stats'!$A$7:$M$23,O$5,FALSE)="N/A",0,VLOOKUP($A14,'Ex ante LI &amp; Eligibility Stats'!$A$7:$M$23,O$5,FALSE)*N14/1000))</f>
        <v>11.372889565056001</v>
      </c>
      <c r="P14" s="132">
        <f>IF(N14="","",IF(VLOOKUP($A14,'Ex post LI &amp; Eligibility Stats'!$A$10:$M$26,O$5,FALSE)="N/A",0,VLOOKUP($A14,'Ex post LI &amp; Eligibility Stats'!$A$10:$M$26,O$5,FALSE)*N14/1000))</f>
        <v>24.865279999999998</v>
      </c>
      <c r="Q14" s="201">
        <v>147658</v>
      </c>
      <c r="R14" s="135">
        <f>IF(Q14="","",IF(VLOOKUP($A14,'Ex ante LI &amp; Eligibility Stats'!$A$7:$M$23,R$5,FALSE)="N/A",0,VLOOKUP($A14,'Ex ante LI &amp; Eligibility Stats'!$A$7:$M$23,R$5,FALSE)*Q14/1000))</f>
        <v>37.435633513824001</v>
      </c>
      <c r="S14" s="132">
        <f>IF(Q14="","",IF(VLOOKUP($A14,'Ex post LI &amp; Eligibility Stats'!$A$10:$M$26,R$5,FALSE)="N/A",0,VLOOKUP($A14,'Ex post LI &amp; Eligibility Stats'!$A$10:$M$26,R$5,FALSE)*Q14/1000))</f>
        <v>32.484760000000001</v>
      </c>
      <c r="T14" s="353">
        <v>3000000</v>
      </c>
    </row>
    <row r="15" spans="1:31" s="83" customFormat="1" ht="12" customHeight="1" thickBot="1" x14ac:dyDescent="0.25">
      <c r="A15" s="29" t="s">
        <v>20</v>
      </c>
      <c r="B15" s="202">
        <f>SUM(B10:B14)</f>
        <v>115357</v>
      </c>
      <c r="C15" s="230">
        <f t="shared" ref="C15:S15" si="0">SUM(C10:C14)</f>
        <v>151.68615591</v>
      </c>
      <c r="D15" s="231">
        <f t="shared" si="0"/>
        <v>175.03113999999999</v>
      </c>
      <c r="E15" s="202">
        <f t="shared" si="0"/>
        <v>115201</v>
      </c>
      <c r="F15" s="230">
        <f t="shared" si="0"/>
        <v>161.83773425180999</v>
      </c>
      <c r="G15" s="231">
        <f t="shared" si="0"/>
        <v>177.36007999999998</v>
      </c>
      <c r="H15" s="202">
        <f t="shared" si="0"/>
        <v>117513</v>
      </c>
      <c r="I15" s="230">
        <f t="shared" si="0"/>
        <v>181.82470706064998</v>
      </c>
      <c r="J15" s="231">
        <f t="shared" si="0"/>
        <v>195.19768000000002</v>
      </c>
      <c r="K15" s="102">
        <f t="shared" si="0"/>
        <v>117625</v>
      </c>
      <c r="L15" s="136">
        <f t="shared" si="0"/>
        <v>200.2632063897</v>
      </c>
      <c r="M15" s="137">
        <f t="shared" si="0"/>
        <v>193.64717999999999</v>
      </c>
      <c r="N15" s="102">
        <f t="shared" si="0"/>
        <v>118226</v>
      </c>
      <c r="O15" s="136">
        <f t="shared" si="0"/>
        <v>187.4341792542757</v>
      </c>
      <c r="P15" s="137">
        <f t="shared" si="0"/>
        <v>193.77939999999995</v>
      </c>
      <c r="Q15" s="202">
        <f t="shared" si="0"/>
        <v>153713</v>
      </c>
      <c r="R15" s="136">
        <f t="shared" si="0"/>
        <v>233.36556395759098</v>
      </c>
      <c r="S15" s="137">
        <f t="shared" si="0"/>
        <v>203.94958</v>
      </c>
      <c r="T15" s="354"/>
    </row>
    <row r="16" spans="1:31" s="83" customFormat="1" ht="12" customHeight="1" thickTop="1" x14ac:dyDescent="0.2">
      <c r="A16" s="28" t="s">
        <v>29</v>
      </c>
      <c r="B16" s="203"/>
      <c r="C16" s="232"/>
      <c r="D16" s="233"/>
      <c r="E16" s="203"/>
      <c r="F16" s="232"/>
      <c r="G16" s="233"/>
      <c r="H16" s="203"/>
      <c r="I16" s="232"/>
      <c r="J16" s="233"/>
      <c r="K16" s="148"/>
      <c r="L16" s="77"/>
      <c r="M16" s="78"/>
      <c r="N16" s="148"/>
      <c r="O16" s="139"/>
      <c r="P16" s="140"/>
      <c r="Q16" s="203"/>
      <c r="R16" s="139"/>
      <c r="S16" s="140"/>
      <c r="T16" s="355"/>
      <c r="U16" s="51"/>
      <c r="V16" s="51"/>
      <c r="W16" s="51"/>
      <c r="X16" s="51"/>
      <c r="Y16" s="51"/>
      <c r="Z16" s="51"/>
      <c r="AA16" s="51"/>
      <c r="AB16" s="51"/>
      <c r="AC16" s="51"/>
      <c r="AD16" s="51"/>
      <c r="AE16" s="51"/>
    </row>
    <row r="17" spans="1:31" s="83" customFormat="1" ht="12" customHeight="1" x14ac:dyDescent="0.2">
      <c r="A17" s="84" t="s">
        <v>69</v>
      </c>
      <c r="B17" s="204">
        <v>258</v>
      </c>
      <c r="C17" s="223">
        <f>IF(B17="","",IF(VLOOKUP($A17,'Ex ante LI &amp; Eligibility Stats'!$A$7:$M$23,C$5,FALSE)="N/A",0,VLOOKUP($A17,'Ex ante LI &amp; Eligibility Stats'!$A$7:$M$23,C$5,FALSE)*B17/1000))</f>
        <v>0</v>
      </c>
      <c r="D17" s="224">
        <f>IF(B17="","",IF(VLOOKUP($A17,'Ex post LI &amp; Eligibility Stats'!$A$10:$M$26,C$5,FALSE)="N/A",0,VLOOKUP($A17,'Ex post LI &amp; Eligibility Stats'!$A$10:$M$26,C$5,FALSE)*B17/1000))</f>
        <v>0</v>
      </c>
      <c r="E17" s="204">
        <v>257</v>
      </c>
      <c r="F17" s="223">
        <f>IF(E17="","",IF(VLOOKUP($A17,'Ex ante LI &amp; Eligibility Stats'!$A$7:$M$23,F$5,FALSE)="N/A",0,VLOOKUP($A17,'Ex ante LI &amp; Eligibility Stats'!$A$7:$M$23,F$5,FALSE)*E17/1000))</f>
        <v>0</v>
      </c>
      <c r="G17" s="224">
        <f>IF(E17="","",IF(VLOOKUP($A17,'Ex post LI &amp; Eligibility Stats'!$A$10:$M$26,F$5,FALSE)="N/A",0,VLOOKUP($A17,'Ex post LI &amp; Eligibility Stats'!$A$10:$M$26,F$5,FALSE)*E17/1000))</f>
        <v>0</v>
      </c>
      <c r="H17" s="204">
        <v>257</v>
      </c>
      <c r="I17" s="223">
        <f>IF(H17="","",IF(VLOOKUP($A17,'Ex ante LI &amp; Eligibility Stats'!$A$7:$M$23,I$5,FALSE)="N/A",0,VLOOKUP($A17,'Ex ante LI &amp; Eligibility Stats'!$A$7:$M$23,I$5,FALSE)*H17/1000))</f>
        <v>0</v>
      </c>
      <c r="J17" s="224">
        <f>IF(H17="","",IF(VLOOKUP($A17,'Ex post LI &amp; Eligibility Stats'!$A$10:$M$26,I$5,FALSE)="N/A",0,VLOOKUP($A17,'Ex post LI &amp; Eligibility Stats'!$A$10:$M$26,I$5,FALSE)*H17/1000))</f>
        <v>0</v>
      </c>
      <c r="K17" s="146">
        <v>281</v>
      </c>
      <c r="L17" s="133">
        <f>IF(K17="","",IF(VLOOKUP($A17,'Ex ante LI &amp; Eligibility Stats'!$A$7:$M$23,L$5,FALSE)="N/A",0,VLOOKUP($A17,'Ex ante LI &amp; Eligibility Stats'!$A$7:$M$23,L$5,FALSE)*K17/1000))</f>
        <v>0</v>
      </c>
      <c r="M17" s="133">
        <f>IF(K17="","",IF(VLOOKUP($A17,'Ex post LI &amp; Eligibility Stats'!$A$10:$M$26,L$5,FALSE)="N/A",0,VLOOKUP($A17,'Ex post LI &amp; Eligibility Stats'!$A$10:$M$26,L$5,FALSE)*K17/1000))</f>
        <v>0</v>
      </c>
      <c r="N17" s="191">
        <v>281</v>
      </c>
      <c r="O17" s="133">
        <f>IF(N17="","",IF(VLOOKUP($A17,'Ex ante LI &amp; Eligibility Stats'!$A$7:$M$23,O$5,FALSE)="N/A",0,VLOOKUP($A17,'Ex ante LI &amp; Eligibility Stats'!$A$7:$M$23,O$5,FALSE)*N17/1000))</f>
        <v>71.750463171790003</v>
      </c>
      <c r="P17" s="130">
        <f>IF(N17="","",IF(VLOOKUP($A17,'Ex post LI &amp; Eligibility Stats'!$A$10:$M$26,O$5,FALSE)="N/A",0,VLOOKUP($A17,'Ex post LI &amp; Eligibility Stats'!$A$10:$M$26,O$5,FALSE)*N17/1000))</f>
        <v>0</v>
      </c>
      <c r="Q17" s="204">
        <v>290</v>
      </c>
      <c r="R17" s="133">
        <f>IF(Q17="","",IF(VLOOKUP($A17,'Ex ante LI &amp; Eligibility Stats'!$A$7:$M$23,R$5,FALSE)="N/A",0,VLOOKUP($A17,'Ex ante LI &amp; Eligibility Stats'!$A$7:$M$23,R$5,FALSE)*Q17/1000))</f>
        <v>74.048520711100011</v>
      </c>
      <c r="S17" s="130">
        <f>IF(Q17="","",IF(VLOOKUP($A17,'Ex post LI &amp; Eligibility Stats'!$A$10:$M$26,R$5,FALSE)="N/A",0,VLOOKUP($A17,'Ex post LI &amp; Eligibility Stats'!$A$10:$M$26,R$5,FALSE)*Q17/1000))</f>
        <v>0</v>
      </c>
      <c r="T17" s="352">
        <v>590834</v>
      </c>
      <c r="U17" s="51"/>
      <c r="V17" s="51"/>
      <c r="W17" s="51"/>
      <c r="X17" s="51"/>
      <c r="Y17" s="51"/>
      <c r="Z17" s="51"/>
      <c r="AA17" s="51"/>
      <c r="AB17" s="51"/>
      <c r="AC17" s="51"/>
      <c r="AD17" s="51"/>
      <c r="AE17" s="51"/>
    </row>
    <row r="18" spans="1:31" s="83" customFormat="1" ht="12" customHeight="1" x14ac:dyDescent="0.2">
      <c r="A18" s="84" t="s">
        <v>70</v>
      </c>
      <c r="B18" s="194">
        <v>859</v>
      </c>
      <c r="C18" s="225">
        <f>IF(B18="","",IF(VLOOKUP($A18,'Ex ante LI &amp; Eligibility Stats'!$A$7:$M$23,C$5,FALSE)="N/A",0,VLOOKUP($A18,'Ex ante LI &amp; Eligibility Stats'!$A$7:$M$23,C$5,FALSE)*B18/1000))</f>
        <v>0</v>
      </c>
      <c r="D18" s="226">
        <f>IF(B18="","",IF(VLOOKUP($A18,'Ex post LI &amp; Eligibility Stats'!$A$10:$M$26,C$5,FALSE)="N/A",0,VLOOKUP($A18,'Ex post LI &amp; Eligibility Stats'!$A$10:$M$26,C$5,FALSE)*B18/1000))</f>
        <v>180.39</v>
      </c>
      <c r="E18" s="194">
        <v>868</v>
      </c>
      <c r="F18" s="225">
        <f>IF(E18="","",IF(VLOOKUP($A18,'Ex ante LI &amp; Eligibility Stats'!$A$7:$M$23,F$5,FALSE)="N/A",0,VLOOKUP($A18,'Ex ante LI &amp; Eligibility Stats'!$A$7:$M$23,F$5,FALSE)*E18/1000))</f>
        <v>0</v>
      </c>
      <c r="G18" s="226">
        <f>IF(E18="","",IF(VLOOKUP($A18,'Ex post LI &amp; Eligibility Stats'!$A$10:$M$26,F$5,FALSE)="N/A",0,VLOOKUP($A18,'Ex post LI &amp; Eligibility Stats'!$A$10:$M$26,F$5,FALSE)*E18/1000))</f>
        <v>182.28</v>
      </c>
      <c r="H18" s="194">
        <v>930</v>
      </c>
      <c r="I18" s="225">
        <f>IF(H18="","",IF(VLOOKUP($A18,'Ex ante LI &amp; Eligibility Stats'!$A$7:$M$23,I$5,FALSE)="N/A",0,VLOOKUP($A18,'Ex ante LI &amp; Eligibility Stats'!$A$7:$M$23,I$5,FALSE)*H18/1000))</f>
        <v>0</v>
      </c>
      <c r="J18" s="226">
        <f>IF(H18="","",IF(VLOOKUP($A18,'Ex post LI &amp; Eligibility Stats'!$A$10:$M$26,I$5,FALSE)="N/A",0,VLOOKUP($A18,'Ex post LI &amp; Eligibility Stats'!$A$10:$M$26,I$5,FALSE)*H18/1000))</f>
        <v>195.3</v>
      </c>
      <c r="K18" s="146">
        <v>956</v>
      </c>
      <c r="L18" s="134">
        <f>IF(K18="","",IF(VLOOKUP($A18,'Ex ante LI &amp; Eligibility Stats'!$A$7:$M$23,L$5,FALSE)="N/A",0,VLOOKUP($A18,'Ex ante LI &amp; Eligibility Stats'!$A$7:$M$23,L$5,FALSE)*K18/1000))</f>
        <v>0</v>
      </c>
      <c r="M18" s="131">
        <f>IF(K18="","",IF(VLOOKUP($A18,'Ex post LI &amp; Eligibility Stats'!$A$10:$M$26,L$5,FALSE)="N/A",0,VLOOKUP($A18,'Ex post LI &amp; Eligibility Stats'!$A$10:$M$26,L$5,FALSE)*K18/1000))</f>
        <v>200.76</v>
      </c>
      <c r="N18" s="189">
        <v>973</v>
      </c>
      <c r="O18" s="134">
        <f>IF(N18="","",IF(VLOOKUP($A18,'Ex ante LI &amp; Eligibility Stats'!$A$7:$M$23,O$5,FALSE)="N/A",0,VLOOKUP($A18,'Ex ante LI &amp; Eligibility Stats'!$A$7:$M$23,O$5,FALSE)*N18/1000))</f>
        <v>173.33785661969</v>
      </c>
      <c r="P18" s="131">
        <f>IF(N18="","",IF(VLOOKUP($A18,'Ex post LI &amp; Eligibility Stats'!$A$10:$M$26,O$5,FALSE)="N/A",0,VLOOKUP($A18,'Ex post LI &amp; Eligibility Stats'!$A$10:$M$26,O$5,FALSE)*N18/1000))</f>
        <v>204.33</v>
      </c>
      <c r="Q18" s="194">
        <v>1181</v>
      </c>
      <c r="R18" s="134">
        <f>IF(Q18="","",IF(VLOOKUP($A18,'Ex ante LI &amp; Eligibility Stats'!$A$7:$M$23,R$5,FALSE)="N/A",0,VLOOKUP($A18,'Ex ante LI &amp; Eligibility Stats'!$A$7:$M$23,R$5,FALSE)*Q18/1000))</f>
        <v>210.39260911393001</v>
      </c>
      <c r="S18" s="131">
        <f>IF(Q18="","",IF(VLOOKUP($A18,'Ex post LI &amp; Eligibility Stats'!$A$10:$M$26,R$5,FALSE)="N/A",0,VLOOKUP($A18,'Ex post LI &amp; Eligibility Stats'!$A$10:$M$26,R$5,FALSE)*Q18/1000))</f>
        <v>248.01</v>
      </c>
      <c r="T18" s="352">
        <v>590834</v>
      </c>
      <c r="U18" s="51"/>
      <c r="V18" s="51"/>
      <c r="W18" s="51"/>
      <c r="X18" s="51"/>
      <c r="Y18" s="51"/>
      <c r="Z18" s="51"/>
      <c r="AA18" s="51"/>
      <c r="AB18" s="51"/>
      <c r="AC18" s="51"/>
      <c r="AD18" s="51"/>
      <c r="AE18" s="51"/>
    </row>
    <row r="19" spans="1:31" s="83" customFormat="1" ht="12" customHeight="1" x14ac:dyDescent="0.2">
      <c r="A19" s="84" t="s">
        <v>122</v>
      </c>
      <c r="B19" s="194">
        <v>0</v>
      </c>
      <c r="C19" s="225">
        <f>IF(B19="","",IF(VLOOKUP($A19,'Ex ante LI &amp; Eligibility Stats'!$A$7:$M$23,C$5,FALSE)="N/A",0,VLOOKUP($A19,'Ex ante LI &amp; Eligibility Stats'!$A$7:$M$23,C$5,FALSE)*B19/1000))</f>
        <v>0</v>
      </c>
      <c r="D19" s="226">
        <f>IF(B19="","",IF(VLOOKUP($A19,'Ex post LI &amp; Eligibility Stats'!$A$10:$M$26,C$5,FALSE)="N/A",0,VLOOKUP($A19,'Ex post LI &amp; Eligibility Stats'!$A$10:$M$26,C$5,FALSE)*B19/1000))</f>
        <v>0</v>
      </c>
      <c r="E19" s="194">
        <v>0</v>
      </c>
      <c r="F19" s="225">
        <f>IF(E19="","",IF(VLOOKUP($A19,'Ex ante LI &amp; Eligibility Stats'!$A$7:$M$23,F$5,FALSE)="N/A",0,VLOOKUP($A19,'Ex ante LI &amp; Eligibility Stats'!$A$7:$M$23,F$5,FALSE)*E19/1000))</f>
        <v>0</v>
      </c>
      <c r="G19" s="226">
        <f>IF(E19="","",IF(VLOOKUP($A19,'Ex post LI &amp; Eligibility Stats'!$A$10:$M$26,F$5,FALSE)="N/A",0,VLOOKUP($A19,'Ex post LI &amp; Eligibility Stats'!$A$10:$M$26,F$5,FALSE)*E19/1000))</f>
        <v>0</v>
      </c>
      <c r="H19" s="194">
        <v>0</v>
      </c>
      <c r="I19" s="225">
        <f>IF(H19="","",IF(VLOOKUP($A19,'Ex ante LI &amp; Eligibility Stats'!$A$7:$M$23,I$5,FALSE)="N/A",0,VLOOKUP($A19,'Ex ante LI &amp; Eligibility Stats'!$A$7:$M$23,I$5,FALSE)*H19/1000))</f>
        <v>0</v>
      </c>
      <c r="J19" s="226">
        <f>IF(H19="","",IF(VLOOKUP($A19,'Ex post LI &amp; Eligibility Stats'!$A$10:$M$26,I$5,FALSE)="N/A",0,VLOOKUP($A19,'Ex post LI &amp; Eligibility Stats'!$A$10:$M$26,I$5,FALSE)*H19/1000))</f>
        <v>0</v>
      </c>
      <c r="K19" s="146">
        <v>0</v>
      </c>
      <c r="L19" s="134">
        <f>IF(K19="","",IF(VLOOKUP($A19,'Ex ante LI &amp; Eligibility Stats'!$A$7:$M$23,L$5,FALSE)="N/A",0,VLOOKUP($A19,'Ex ante LI &amp; Eligibility Stats'!$A$7:$M$23,L$5,FALSE)*K19/1000))</f>
        <v>0</v>
      </c>
      <c r="M19" s="131">
        <f>IF(K19="","",IF(VLOOKUP($A19,'Ex post LI &amp; Eligibility Stats'!$A$10:$M$26,L$5,FALSE)="N/A",0,VLOOKUP($A19,'Ex post LI &amp; Eligibility Stats'!$A$10:$M$26,L$5,FALSE)*K19/1000))</f>
        <v>0</v>
      </c>
      <c r="N19" s="189">
        <v>0</v>
      </c>
      <c r="O19" s="134">
        <f>IF(N19="","",IF(VLOOKUP($A19,'Ex ante LI &amp; Eligibility Stats'!$A$7:$M$23,O$5,FALSE)="N/A",0,VLOOKUP($A19,'Ex ante LI &amp; Eligibility Stats'!$A$7:$M$23,O$5,FALSE)*N19/1000))</f>
        <v>0</v>
      </c>
      <c r="P19" s="131">
        <f>IF(N19="","",IF(VLOOKUP($A19,'Ex post LI &amp; Eligibility Stats'!$A$10:$M$26,O$5,FALSE)="N/A",0,VLOOKUP($A19,'Ex post LI &amp; Eligibility Stats'!$A$10:$M$26,O$5,FALSE)*N19/1000))</f>
        <v>0</v>
      </c>
      <c r="Q19" s="194">
        <v>0</v>
      </c>
      <c r="R19" s="134">
        <f>IF(Q19="","",IF(VLOOKUP($A19,'Ex ante LI &amp; Eligibility Stats'!$A$7:$M$23,R$5,FALSE)="N/A",0,VLOOKUP($A19,'Ex ante LI &amp; Eligibility Stats'!$A$7:$M$23,R$5,FALSE)*Q19/1000))</f>
        <v>0</v>
      </c>
      <c r="S19" s="131">
        <f>IF(Q19="","",IF(VLOOKUP($A19,'Ex post LI &amp; Eligibility Stats'!$A$10:$M$26,R$5,FALSE)="N/A",0,VLOOKUP($A19,'Ex post LI &amp; Eligibility Stats'!$A$10:$M$26,R$5,FALSE)*Q19/1000))</f>
        <v>0</v>
      </c>
      <c r="T19" s="352">
        <v>590834</v>
      </c>
      <c r="U19" s="51"/>
      <c r="V19" s="51"/>
      <c r="W19" s="51"/>
      <c r="X19" s="51"/>
      <c r="Y19" s="51"/>
      <c r="Z19" s="51"/>
      <c r="AA19" s="51"/>
      <c r="AB19" s="51"/>
      <c r="AC19" s="51"/>
      <c r="AD19" s="51"/>
      <c r="AE19" s="51"/>
    </row>
    <row r="20" spans="1:31" s="83" customFormat="1" ht="12" customHeight="1" x14ac:dyDescent="0.2">
      <c r="A20" s="84" t="s">
        <v>123</v>
      </c>
      <c r="B20" s="194">
        <v>0</v>
      </c>
      <c r="C20" s="225">
        <f>IF(B20="","",IF(VLOOKUP($A20,'Ex ante LI &amp; Eligibility Stats'!$A$7:$M$23,C$5,FALSE)="N/A",0,VLOOKUP($A20,'Ex ante LI &amp; Eligibility Stats'!$A$7:$M$23,C$5,FALSE)*B20/1000))</f>
        <v>0</v>
      </c>
      <c r="D20" s="226">
        <f>IF(B20="","",IF(VLOOKUP($A20,'Ex post LI &amp; Eligibility Stats'!$A$10:$M$26,C$5,FALSE)="N/A",0,VLOOKUP($A20,'Ex post LI &amp; Eligibility Stats'!$A$10:$M$26,C$5,FALSE)*B20/1000))</f>
        <v>0</v>
      </c>
      <c r="E20" s="194">
        <v>0</v>
      </c>
      <c r="F20" s="225">
        <f>IF(E20="","",IF(VLOOKUP($A20,'Ex ante LI &amp; Eligibility Stats'!$A$7:$M$23,F$5,FALSE)="N/A",0,VLOOKUP($A20,'Ex ante LI &amp; Eligibility Stats'!$A$7:$M$23,F$5,FALSE)*E20/1000))</f>
        <v>0</v>
      </c>
      <c r="G20" s="226">
        <f>IF(E20="","",IF(VLOOKUP($A20,'Ex post LI &amp; Eligibility Stats'!$A$10:$M$26,F$5,FALSE)="N/A",0,VLOOKUP($A20,'Ex post LI &amp; Eligibility Stats'!$A$10:$M$26,F$5,FALSE)*E20/1000))</f>
        <v>0</v>
      </c>
      <c r="H20" s="194">
        <v>0</v>
      </c>
      <c r="I20" s="225">
        <f>IF(H20="","",IF(VLOOKUP($A20,'Ex ante LI &amp; Eligibility Stats'!$A$7:$M$23,I$5,FALSE)="N/A",0,VLOOKUP($A20,'Ex ante LI &amp; Eligibility Stats'!$A$7:$M$23,I$5,FALSE)*H20/1000))</f>
        <v>0</v>
      </c>
      <c r="J20" s="226">
        <f>IF(H20="","",IF(VLOOKUP($A20,'Ex post LI &amp; Eligibility Stats'!$A$10:$M$26,I$5,FALSE)="N/A",0,VLOOKUP($A20,'Ex post LI &amp; Eligibility Stats'!$A$10:$M$26,I$5,FALSE)*H20/1000))</f>
        <v>0</v>
      </c>
      <c r="K20" s="146">
        <v>0</v>
      </c>
      <c r="L20" s="134">
        <f>IF(K20="","",IF(VLOOKUP($A20,'Ex ante LI &amp; Eligibility Stats'!$A$7:$M$23,L$5,FALSE)="N/A",0,VLOOKUP($A20,'Ex ante LI &amp; Eligibility Stats'!$A$7:$M$23,L$5,FALSE)*K20/1000))</f>
        <v>0</v>
      </c>
      <c r="M20" s="131">
        <f>IF(K20="","",IF(VLOOKUP($A20,'Ex post LI &amp; Eligibility Stats'!$A$10:$M$26,L$5,FALSE)="N/A",0,VLOOKUP($A20,'Ex post LI &amp; Eligibility Stats'!$A$10:$M$26,L$5,FALSE)*K20/1000))</f>
        <v>0</v>
      </c>
      <c r="N20" s="189">
        <v>0</v>
      </c>
      <c r="O20" s="134">
        <f>IF(N20="","",IF(VLOOKUP($A20,'Ex ante LI &amp; Eligibility Stats'!$A$7:$M$23,O$5,FALSE)="N/A",0,VLOOKUP($A20,'Ex ante LI &amp; Eligibility Stats'!$A$7:$M$23,O$5,FALSE)*N20/1000))</f>
        <v>0</v>
      </c>
      <c r="P20" s="131">
        <f>IF(N20="","",IF(VLOOKUP($A20,'Ex post LI &amp; Eligibility Stats'!$A$10:$M$26,O$5,FALSE)="N/A",0,VLOOKUP($A20,'Ex post LI &amp; Eligibility Stats'!$A$10:$M$26,O$5,FALSE)*N20/1000))</f>
        <v>0</v>
      </c>
      <c r="Q20" s="194">
        <v>0</v>
      </c>
      <c r="R20" s="134">
        <f>IF(Q20="","",IF(VLOOKUP($A20,'Ex ante LI &amp; Eligibility Stats'!$A$7:$M$23,R$5,FALSE)="N/A",0,VLOOKUP($A20,'Ex ante LI &amp; Eligibility Stats'!$A$7:$M$23,R$5,FALSE)*Q20/1000))</f>
        <v>0</v>
      </c>
      <c r="S20" s="131">
        <f>IF(Q20="","",IF(VLOOKUP($A20,'Ex post LI &amp; Eligibility Stats'!$A$10:$M$26,R$5,FALSE)="N/A",0,VLOOKUP($A20,'Ex post LI &amp; Eligibility Stats'!$A$10:$M$26,R$5,FALSE)*Q20/1000))</f>
        <v>0</v>
      </c>
      <c r="T20" s="352">
        <v>590834</v>
      </c>
      <c r="U20" s="51"/>
      <c r="V20" s="51"/>
      <c r="W20" s="51"/>
      <c r="X20" s="51"/>
      <c r="Y20" s="51"/>
      <c r="Z20" s="51"/>
      <c r="AA20" s="51"/>
      <c r="AB20" s="51"/>
      <c r="AC20" s="51"/>
      <c r="AD20" s="51"/>
      <c r="AE20" s="51"/>
    </row>
    <row r="21" spans="1:31" s="83" customFormat="1" ht="12" customHeight="1" x14ac:dyDescent="0.2">
      <c r="A21" s="84" t="s">
        <v>14</v>
      </c>
      <c r="B21" s="194">
        <v>1041</v>
      </c>
      <c r="C21" s="225">
        <f>IF(B21="","",IF(VLOOKUP($A21,'Ex ante LI &amp; Eligibility Stats'!$A$7:$M$23,C$5,FALSE)="N/A",0,VLOOKUP($A21,'Ex ante LI &amp; Eligibility Stats'!$A$7:$M$23,C$5,FALSE)*B21/1000))</f>
        <v>69.485177978612995</v>
      </c>
      <c r="D21" s="226">
        <f>IF(B21="","",IF(VLOOKUP($A21,'Ex post LI &amp; Eligibility Stats'!$A$10:$M$26,C$5,FALSE)="N/A",0,VLOOKUP($A21,'Ex post LI &amp; Eligibility Stats'!$A$10:$M$26,C$5,FALSE)*B21/1000))</f>
        <v>67.560900000000004</v>
      </c>
      <c r="E21" s="195">
        <v>1041</v>
      </c>
      <c r="F21" s="225">
        <f>IF(E21="","",IF(VLOOKUP($A21,'Ex ante LI &amp; Eligibility Stats'!$A$7:$M$23,F$5,FALSE)="N/A",0,VLOOKUP($A21,'Ex ante LI &amp; Eligibility Stats'!$A$7:$M$23,F$5,FALSE)*E21/1000))</f>
        <v>72.462507603816007</v>
      </c>
      <c r="G21" s="226">
        <f>IF(E21="","",IF(VLOOKUP($A21,'Ex post LI &amp; Eligibility Stats'!$A$10:$M$26,F$5,FALSE)="N/A",0,VLOOKUP($A21,'Ex post LI &amp; Eligibility Stats'!$A$10:$M$26,F$5,FALSE)*E21/1000))</f>
        <v>67.560900000000004</v>
      </c>
      <c r="H21" s="195">
        <v>1035</v>
      </c>
      <c r="I21" s="225">
        <f>IF(H21="","",IF(VLOOKUP($A21,'Ex ante LI &amp; Eligibility Stats'!$A$7:$M$23,I$5,FALSE)="N/A",0,VLOOKUP($A21,'Ex ante LI &amp; Eligibility Stats'!$A$7:$M$23,I$5,FALSE)*H21/1000))</f>
        <v>72.257703991425004</v>
      </c>
      <c r="J21" s="226">
        <f>IF(H21="","",IF(VLOOKUP($A21,'Ex post LI &amp; Eligibility Stats'!$A$10:$M$26,I$5,FALSE)="N/A",0,VLOOKUP($A21,'Ex post LI &amp; Eligibility Stats'!$A$10:$M$26,I$5,FALSE)*H21/1000))</f>
        <v>67.171499999999995</v>
      </c>
      <c r="K21" s="146">
        <v>1046</v>
      </c>
      <c r="L21" s="134">
        <f>IF(K21="","",IF(VLOOKUP($A21,'Ex ante LI &amp; Eligibility Stats'!$A$7:$M$23,L$5,FALSE)="N/A",0,VLOOKUP($A21,'Ex ante LI &amp; Eligibility Stats'!$A$7:$M$23,L$5,FALSE)*K21/1000))</f>
        <v>74.038589037492002</v>
      </c>
      <c r="M21" s="131">
        <f>IF(K21="","",IF(VLOOKUP($A21,'Ex post LI &amp; Eligibility Stats'!$A$10:$M$26,L$5,FALSE)="N/A",0,VLOOKUP($A21,'Ex post LI &amp; Eligibility Stats'!$A$10:$M$26,L$5,FALSE)*K21/1000))</f>
        <v>67.885400000000004</v>
      </c>
      <c r="N21" s="190">
        <v>1069</v>
      </c>
      <c r="O21" s="134">
        <f>IF(N21="","",IF(VLOOKUP($A21,'Ex ante LI &amp; Eligibility Stats'!$A$7:$M$23,O$5,FALSE)="N/A",0,VLOOKUP($A21,'Ex ante LI &amp; Eligibility Stats'!$A$7:$M$23,O$5,FALSE)*N21/1000))</f>
        <v>69.448523298715003</v>
      </c>
      <c r="P21" s="131">
        <f>IF(N21="","",IF(VLOOKUP($A21,'Ex post LI &amp; Eligibility Stats'!$A$10:$M$26,O$5,FALSE)="N/A",0,VLOOKUP($A21,'Ex post LI &amp; Eligibility Stats'!$A$10:$M$26,O$5,FALSE)*N21/1000))</f>
        <v>69.378100000000003</v>
      </c>
      <c r="Q21" s="195">
        <v>1068</v>
      </c>
      <c r="R21" s="134">
        <f>IF(Q21="","",IF(VLOOKUP($A21,'Ex ante LI &amp; Eligibility Stats'!$A$7:$M$23,R$5,FALSE)="N/A",0,VLOOKUP($A21,'Ex ante LI &amp; Eligibility Stats'!$A$7:$M$23,R$5,FALSE)*Q21/1000))</f>
        <v>75.215628641304008</v>
      </c>
      <c r="S21" s="131">
        <f>IF(Q21="","",IF(VLOOKUP($A21,'Ex post LI &amp; Eligibility Stats'!$A$10:$M$26,R$5,FALSE)="N/A",0,VLOOKUP($A21,'Ex post LI &amp; Eligibility Stats'!$A$10:$M$26,R$5,FALSE)*Q21/1000))</f>
        <v>69.313200000000009</v>
      </c>
      <c r="T21" s="352">
        <v>10199</v>
      </c>
      <c r="U21" s="51"/>
      <c r="V21" s="51"/>
      <c r="W21" s="51"/>
      <c r="X21" s="51"/>
      <c r="Y21" s="51"/>
      <c r="Z21" s="51"/>
      <c r="AA21" s="51"/>
      <c r="AB21" s="51"/>
      <c r="AC21" s="51"/>
      <c r="AD21" s="51"/>
      <c r="AE21" s="51"/>
    </row>
    <row r="22" spans="1:31" s="83" customFormat="1" ht="12" customHeight="1" x14ac:dyDescent="0.2">
      <c r="A22" s="84" t="s">
        <v>174</v>
      </c>
      <c r="B22" s="194">
        <v>1996</v>
      </c>
      <c r="C22" s="225">
        <f>IF(B22="","",IF(VLOOKUP($A22,'Ex ante LI &amp; Eligibility Stats'!$A$7:$M$23,C$5,FALSE)="N/A",0,VLOOKUP($A22,'Ex ante LI &amp; Eligibility Stats'!$A$7:$M$23,C$5,FALSE)*B22/1000))</f>
        <v>30.075698568979998</v>
      </c>
      <c r="D22" s="226">
        <f>IF(B22="","",IF(VLOOKUP($A22,'Ex post LI &amp; Eligibility Stats'!$A$10:$M$26,C$5,FALSE)="N/A",0,VLOOKUP($A22,'Ex post LI &amp; Eligibility Stats'!$A$10:$M$26,C$5,FALSE)*B22/1000))</f>
        <v>27.544800000000002</v>
      </c>
      <c r="E22" s="194">
        <v>1965</v>
      </c>
      <c r="F22" s="225">
        <f>IF(E22="","",IF(VLOOKUP($A22,'Ex ante LI &amp; Eligibility Stats'!$A$7:$M$23,F$5,FALSE)="N/A",0,VLOOKUP($A22,'Ex ante LI &amp; Eligibility Stats'!$A$7:$M$23,F$5,FALSE)*E22/1000))</f>
        <v>29.631618434669999</v>
      </c>
      <c r="G22" s="226">
        <f>IF(E22="","",IF(VLOOKUP($A22,'Ex post LI &amp; Eligibility Stats'!$A$10:$M$26,F$5,FALSE)="N/A",0,VLOOKUP($A22,'Ex post LI &amp; Eligibility Stats'!$A$10:$M$26,F$5,FALSE)*E22/1000))</f>
        <v>27.117000000000001</v>
      </c>
      <c r="H22" s="194">
        <v>1965</v>
      </c>
      <c r="I22" s="225">
        <f>IF(H22="","",IF(VLOOKUP($A22,'Ex ante LI &amp; Eligibility Stats'!$A$7:$M$23,I$5,FALSE)="N/A",0,VLOOKUP($A22,'Ex ante LI &amp; Eligibility Stats'!$A$7:$M$23,I$5,FALSE)*H22/1000))</f>
        <v>29.649495195090001</v>
      </c>
      <c r="J22" s="226">
        <f>IF(H22="","",IF(VLOOKUP($A22,'Ex post LI &amp; Eligibility Stats'!$A$10:$M$26,I$5,FALSE)="N/A",0,VLOOKUP($A22,'Ex post LI &amp; Eligibility Stats'!$A$10:$M$26,I$5,FALSE)*H22/1000))</f>
        <v>27.117000000000001</v>
      </c>
      <c r="K22" s="146">
        <v>1921</v>
      </c>
      <c r="L22" s="134">
        <f>IF(K22="","",IF(VLOOKUP($A22,'Ex ante LI &amp; Eligibility Stats'!$A$7:$M$23,L$5,FALSE)="N/A",0,VLOOKUP($A22,'Ex ante LI &amp; Eligibility Stats'!$A$7:$M$23,L$5,FALSE)*K22/1000))</f>
        <v>28.093933136482004</v>
      </c>
      <c r="M22" s="131">
        <f>IF(K22="","",IF(VLOOKUP($A22,'Ex post LI &amp; Eligibility Stats'!$A$10:$M$26,L$5,FALSE)="N/A",0,VLOOKUP($A22,'Ex post LI &amp; Eligibility Stats'!$A$10:$M$26,L$5,FALSE)*K22/1000))</f>
        <v>26.509800000000002</v>
      </c>
      <c r="N22" s="189">
        <v>1872</v>
      </c>
      <c r="O22" s="134">
        <f>IF(N22="","",IF(VLOOKUP($A22,'Ex ante LI &amp; Eligibility Stats'!$A$7:$M$23,O$5,FALSE)="N/A",0,VLOOKUP($A22,'Ex ante LI &amp; Eligibility Stats'!$A$7:$M$23,O$5,FALSE)*N22/1000))</f>
        <v>28.720093203360001</v>
      </c>
      <c r="P22" s="131">
        <f>IF(N22="","",IF(VLOOKUP($A22,'Ex post LI &amp; Eligibility Stats'!$A$10:$M$26,O$5,FALSE)="N/A",0,VLOOKUP($A22,'Ex post LI &amp; Eligibility Stats'!$A$10:$M$26,O$5,FALSE)*N22/1000))</f>
        <v>25.833600000000001</v>
      </c>
      <c r="Q22" s="194">
        <v>1851</v>
      </c>
      <c r="R22" s="134">
        <f>IF(Q22="","",IF(VLOOKUP($A22,'Ex ante LI &amp; Eligibility Stats'!$A$7:$M$23,R$5,FALSE)="N/A",0,VLOOKUP($A22,'Ex ante LI &amp; Eligibility Stats'!$A$7:$M$23,R$5,FALSE)*Q22/1000))</f>
        <v>20.370272541926997</v>
      </c>
      <c r="S22" s="131">
        <f>IF(Q22="","",IF(VLOOKUP($A22,'Ex post LI &amp; Eligibility Stats'!$A$10:$M$26,R$5,FALSE)="N/A",0,VLOOKUP($A22,'Ex post LI &amp; Eligibility Stats'!$A$10:$M$26,R$5,FALSE)*Q22/1000))</f>
        <v>25.543800000000005</v>
      </c>
      <c r="T22" s="352">
        <v>161391</v>
      </c>
      <c r="U22" s="51"/>
      <c r="V22" s="51"/>
      <c r="W22" s="51"/>
      <c r="X22" s="51"/>
      <c r="Y22" s="51"/>
      <c r="Z22" s="51"/>
      <c r="AA22" s="51"/>
      <c r="AB22" s="51"/>
      <c r="AC22" s="51"/>
      <c r="AD22" s="51"/>
      <c r="AE22" s="51"/>
    </row>
    <row r="23" spans="1:31" s="83" customFormat="1" ht="12" customHeight="1" x14ac:dyDescent="0.2">
      <c r="A23" s="84" t="s">
        <v>126</v>
      </c>
      <c r="B23" s="194">
        <v>106</v>
      </c>
      <c r="C23" s="225">
        <f>IF(B23="","",IF(VLOOKUP($A23,'Ex ante LI &amp; Eligibility Stats'!$A$7:$M$23,C$5,FALSE)="N/A",0,VLOOKUP($A23,'Ex ante LI &amp; Eligibility Stats'!$A$7:$M$23,C$5,FALSE)*B23/1000))</f>
        <v>0</v>
      </c>
      <c r="D23" s="226">
        <f>IF(B23="","",IF(VLOOKUP($A23,'Ex post LI &amp; Eligibility Stats'!$A$10:$M$26,C$5,FALSE)="N/A",0,VLOOKUP($A23,'Ex post LI &amp; Eligibility Stats'!$A$10:$M$26,C$5,FALSE)*B23/1000))</f>
        <v>1.4416</v>
      </c>
      <c r="E23" s="194">
        <v>105</v>
      </c>
      <c r="F23" s="225">
        <f>IF(E23="","",IF(VLOOKUP($A23,'Ex ante LI &amp; Eligibility Stats'!$A$7:$M$23,F$5,FALSE)="N/A",0,VLOOKUP($A23,'Ex ante LI &amp; Eligibility Stats'!$A$7:$M$23,F$5,FALSE)*E23/1000))</f>
        <v>0</v>
      </c>
      <c r="G23" s="226">
        <f>IF(E23="","",IF(VLOOKUP($A23,'Ex post LI &amp; Eligibility Stats'!$A$10:$M$26,F$5,FALSE)="N/A",0,VLOOKUP($A23,'Ex post LI &amp; Eligibility Stats'!$A$10:$M$26,F$5,FALSE)*E23/1000))</f>
        <v>1.4279999999999999</v>
      </c>
      <c r="H23" s="194">
        <v>105</v>
      </c>
      <c r="I23" s="225">
        <f>IF(H23="","",IF(VLOOKUP($A23,'Ex ante LI &amp; Eligibility Stats'!$A$7:$M$23,I$5,FALSE)="N/A",0,VLOOKUP($A23,'Ex ante LI &amp; Eligibility Stats'!$A$7:$M$23,I$5,FALSE)*H23/1000))</f>
        <v>0</v>
      </c>
      <c r="J23" s="226">
        <f>IF(H23="","",IF(VLOOKUP($A23,'Ex post LI &amp; Eligibility Stats'!$A$10:$M$26,I$5,FALSE)="N/A",0,VLOOKUP($A23,'Ex post LI &amp; Eligibility Stats'!$A$10:$M$26,I$5,FALSE)*H23/1000))</f>
        <v>1.4279999999999999</v>
      </c>
      <c r="K23" s="146">
        <v>122</v>
      </c>
      <c r="L23" s="134">
        <f>IF(K23="","",IF(VLOOKUP($A23,'Ex ante LI &amp; Eligibility Stats'!$A$7:$M$23,L$5,FALSE)="N/A",0,VLOOKUP($A23,'Ex ante LI &amp; Eligibility Stats'!$A$7:$M$23,L$5,FALSE)*K23/1000))</f>
        <v>0</v>
      </c>
      <c r="M23" s="131">
        <f>IF(K23="","",IF(VLOOKUP($A23,'Ex post LI &amp; Eligibility Stats'!$A$10:$M$26,L$5,FALSE)="N/A",0,VLOOKUP($A23,'Ex post LI &amp; Eligibility Stats'!$A$10:$M$26,L$5,FALSE)*K23/1000))</f>
        <v>1.6592</v>
      </c>
      <c r="N23" s="196">
        <v>113</v>
      </c>
      <c r="O23" s="134">
        <f>IF(N23="","",IF(VLOOKUP($A23,'Ex ante LI &amp; Eligibility Stats'!$A$7:$M$23,O$5,FALSE)="N/A",0,VLOOKUP($A23,'Ex ante LI &amp; Eligibility Stats'!$A$7:$M$23,O$5,FALSE)*N23/1000))</f>
        <v>0.70232121037259987</v>
      </c>
      <c r="P23" s="131">
        <f>IF(N23="","",IF(VLOOKUP($A23,'Ex post LI &amp; Eligibility Stats'!$A$10:$M$26,O$5,FALSE)="N/A",0,VLOOKUP($A23,'Ex post LI &amp; Eligibility Stats'!$A$10:$M$26,O$5,FALSE)*N23/1000))</f>
        <v>1.5367999999999999</v>
      </c>
      <c r="Q23" s="194">
        <v>113</v>
      </c>
      <c r="R23" s="134">
        <f>IF(Q23="","",IF(VLOOKUP($A23,'Ex ante LI &amp; Eligibility Stats'!$A$7:$M$23,R$5,FALSE)="N/A",0,VLOOKUP($A23,'Ex ante LI &amp; Eligibility Stats'!$A$7:$M$23,R$5,FALSE)*Q23/1000))</f>
        <v>0.78863354011230002</v>
      </c>
      <c r="S23" s="131">
        <f>IF(Q23="","",IF(VLOOKUP($A23,'Ex post LI &amp; Eligibility Stats'!$A$10:$M$26,R$5,FALSE)="N/A",0,VLOOKUP($A23,'Ex post LI &amp; Eligibility Stats'!$A$10:$M$26,R$5,FALSE)*Q23/1000))</f>
        <v>1.5367999999999999</v>
      </c>
      <c r="T23" s="352">
        <v>100833</v>
      </c>
      <c r="U23" s="51"/>
      <c r="V23" s="51"/>
      <c r="W23" s="51"/>
      <c r="X23" s="51"/>
      <c r="Y23" s="51"/>
      <c r="Z23" s="51"/>
      <c r="AA23" s="51"/>
      <c r="AB23" s="51"/>
      <c r="AC23" s="51"/>
      <c r="AD23" s="51"/>
      <c r="AE23" s="51"/>
    </row>
    <row r="24" spans="1:31" s="83" customFormat="1" ht="12" customHeight="1" x14ac:dyDescent="0.2">
      <c r="A24" s="84" t="s">
        <v>127</v>
      </c>
      <c r="B24" s="194">
        <v>49</v>
      </c>
      <c r="C24" s="225">
        <f>IF(B24="","",IF(VLOOKUP($A24,'Ex ante LI &amp; Eligibility Stats'!$A$7:$M$23,C$5,FALSE)="N/A",0,VLOOKUP($A24,'Ex ante LI &amp; Eligibility Stats'!$A$7:$M$23,C$5,FALSE)*B24/1000))</f>
        <v>0</v>
      </c>
      <c r="D24" s="226">
        <f>IF(B24="","",IF(VLOOKUP($A24,'Ex post LI &amp; Eligibility Stats'!$A$10:$M$26,C$5,FALSE)="N/A",0,VLOOKUP($A24,'Ex post LI &amp; Eligibility Stats'!$A$10:$M$26,C$5,FALSE)*B24/1000))</f>
        <v>1.421</v>
      </c>
      <c r="E24" s="194">
        <v>52</v>
      </c>
      <c r="F24" s="225">
        <f>IF(E24="","",IF(VLOOKUP($A24,'Ex ante LI &amp; Eligibility Stats'!$A$7:$M$23,F$5,FALSE)="N/A",0,VLOOKUP($A24,'Ex ante LI &amp; Eligibility Stats'!$A$7:$M$23,F$5,FALSE)*E24/1000))</f>
        <v>0</v>
      </c>
      <c r="G24" s="226">
        <f>IF(E24="","",IF(VLOOKUP($A24,'Ex post LI &amp; Eligibility Stats'!$A$10:$M$26,F$5,FALSE)="N/A",0,VLOOKUP($A24,'Ex post LI &amp; Eligibility Stats'!$A$10:$M$26,F$5,FALSE)*E24/1000))</f>
        <v>1.508</v>
      </c>
      <c r="H24" s="194">
        <v>51</v>
      </c>
      <c r="I24" s="225">
        <f>IF(H24="","",IF(VLOOKUP($A24,'Ex ante LI &amp; Eligibility Stats'!$A$7:$M$23,I$5,FALSE)="N/A",0,VLOOKUP($A24,'Ex ante LI &amp; Eligibility Stats'!$A$7:$M$23,I$5,FALSE)*H24/1000))</f>
        <v>0</v>
      </c>
      <c r="J24" s="226">
        <f>IF(H24="","",IF(VLOOKUP($A24,'Ex post LI &amp; Eligibility Stats'!$A$10:$M$26,I$5,FALSE)="N/A",0,VLOOKUP($A24,'Ex post LI &amp; Eligibility Stats'!$A$10:$M$26,I$5,FALSE)*H24/1000))</f>
        <v>1.4790000000000001</v>
      </c>
      <c r="K24" s="146">
        <v>51</v>
      </c>
      <c r="L24" s="134">
        <f>IF(K24="","",IF(VLOOKUP($A24,'Ex ante LI &amp; Eligibility Stats'!$A$7:$M$23,L$5,FALSE)="N/A",0,VLOOKUP($A24,'Ex ante LI &amp; Eligibility Stats'!$A$7:$M$23,L$5,FALSE)*K24/1000))</f>
        <v>0</v>
      </c>
      <c r="M24" s="131">
        <f>IF(K24="","",IF(VLOOKUP($A24,'Ex post LI &amp; Eligibility Stats'!$A$10:$M$26,L$5,FALSE)="N/A",0,VLOOKUP($A24,'Ex post LI &amp; Eligibility Stats'!$A$10:$M$26,L$5,FALSE)*K24/1000))</f>
        <v>1.4790000000000001</v>
      </c>
      <c r="N24" s="196">
        <v>50</v>
      </c>
      <c r="O24" s="134">
        <f>IF(N24="","",IF(VLOOKUP($A24,'Ex ante LI &amp; Eligibility Stats'!$A$7:$M$23,O$5,FALSE)="N/A",0,VLOOKUP($A24,'Ex ante LI &amp; Eligibility Stats'!$A$7:$M$23,O$5,FALSE)*N24/1000))</f>
        <v>0.99493653840000007</v>
      </c>
      <c r="P24" s="131">
        <f>IF(N24="","",IF(VLOOKUP($A24,'Ex post LI &amp; Eligibility Stats'!$A$10:$M$26,O$5,FALSE)="N/A",0,VLOOKUP($A24,'Ex post LI &amp; Eligibility Stats'!$A$10:$M$26,O$5,FALSE)*N24/1000))</f>
        <v>1.45</v>
      </c>
      <c r="Q24" s="194">
        <v>50</v>
      </c>
      <c r="R24" s="134">
        <f>IF(Q24="","",IF(VLOOKUP($A24,'Ex ante LI &amp; Eligibility Stats'!$A$7:$M$23,R$5,FALSE)="N/A",0,VLOOKUP($A24,'Ex ante LI &amp; Eligibility Stats'!$A$7:$M$23,R$5,FALSE)*Q24/1000))</f>
        <v>1.2462904479999999</v>
      </c>
      <c r="S24" s="131">
        <f>IF(Q24="","",IF(VLOOKUP($A24,'Ex post LI &amp; Eligibility Stats'!$A$10:$M$26,R$5,FALSE)="N/A",0,VLOOKUP($A24,'Ex post LI &amp; Eligibility Stats'!$A$10:$M$26,R$5,FALSE)*Q24/1000))</f>
        <v>1.45</v>
      </c>
      <c r="T24" s="352">
        <v>100833</v>
      </c>
      <c r="U24" s="51"/>
      <c r="V24" s="51"/>
      <c r="W24" s="51"/>
      <c r="X24" s="51"/>
      <c r="Y24" s="51"/>
      <c r="Z24" s="51"/>
      <c r="AA24" s="51"/>
      <c r="AB24" s="51"/>
      <c r="AC24" s="51"/>
      <c r="AD24" s="51"/>
      <c r="AE24" s="51"/>
    </row>
    <row r="25" spans="1:31" s="83" customFormat="1" ht="12" customHeight="1" x14ac:dyDescent="0.2">
      <c r="A25" s="84" t="s">
        <v>128</v>
      </c>
      <c r="B25" s="194">
        <v>137</v>
      </c>
      <c r="C25" s="225">
        <f>IF(B25="","",IF(VLOOKUP($A25,'Ex ante LI &amp; Eligibility Stats'!$A$7:$M$23,C$5,FALSE)="N/A",0,VLOOKUP($A25,'Ex ante LI &amp; Eligibility Stats'!$A$7:$M$23,C$5,FALSE)*B25/1000))</f>
        <v>0</v>
      </c>
      <c r="D25" s="226">
        <f>IF(B25="","",IF(VLOOKUP($A25,'Ex post LI &amp; Eligibility Stats'!$A$10:$M$26,C$5,FALSE)="N/A",0,VLOOKUP($A25,'Ex post LI &amp; Eligibility Stats'!$A$10:$M$26,C$5,FALSE)*B25/1000))</f>
        <v>3.0139999999999998</v>
      </c>
      <c r="E25" s="194">
        <v>139</v>
      </c>
      <c r="F25" s="225">
        <f>IF(E25="","",IF(VLOOKUP($A25,'Ex ante LI &amp; Eligibility Stats'!$A$7:$M$23,F$5,FALSE)="N/A",0,VLOOKUP($A25,'Ex ante LI &amp; Eligibility Stats'!$A$7:$M$23,F$5,FALSE)*E25/1000))</f>
        <v>0</v>
      </c>
      <c r="G25" s="226">
        <f>IF(E25="","",IF(VLOOKUP($A25,'Ex post LI &amp; Eligibility Stats'!$A$10:$M$26,F$5,FALSE)="N/A",0,VLOOKUP($A25,'Ex post LI &amp; Eligibility Stats'!$A$10:$M$26,F$5,FALSE)*E25/1000))</f>
        <v>3.0579999999999998</v>
      </c>
      <c r="H25" s="194">
        <v>137</v>
      </c>
      <c r="I25" s="225">
        <f>IF(H25="","",IF(VLOOKUP($A25,'Ex ante LI &amp; Eligibility Stats'!$A$7:$M$23,I$5,FALSE)="N/A",0,VLOOKUP($A25,'Ex ante LI &amp; Eligibility Stats'!$A$7:$M$23,I$5,FALSE)*H25/1000))</f>
        <v>0</v>
      </c>
      <c r="J25" s="226">
        <f>IF(H25="","",IF(VLOOKUP($A25,'Ex post LI &amp; Eligibility Stats'!$A$10:$M$26,I$5,FALSE)="N/A",0,VLOOKUP($A25,'Ex post LI &amp; Eligibility Stats'!$A$10:$M$26,I$5,FALSE)*H25/1000))</f>
        <v>3.0139999999999998</v>
      </c>
      <c r="K25" s="146">
        <v>117</v>
      </c>
      <c r="L25" s="134">
        <f>IF(K25="","",IF(VLOOKUP($A25,'Ex ante LI &amp; Eligibility Stats'!$A$7:$M$23,L$5,FALSE)="N/A",0,VLOOKUP($A25,'Ex ante LI &amp; Eligibility Stats'!$A$7:$M$23,L$5,FALSE)*K25/1000))</f>
        <v>0</v>
      </c>
      <c r="M25" s="131">
        <f>IF(K25="","",IF(VLOOKUP($A25,'Ex post LI &amp; Eligibility Stats'!$A$10:$M$26,L$5,FALSE)="N/A",0,VLOOKUP($A25,'Ex post LI &amp; Eligibility Stats'!$A$10:$M$26,L$5,FALSE)*K25/1000))</f>
        <v>2.5739999999999998</v>
      </c>
      <c r="N25" s="196">
        <v>117</v>
      </c>
      <c r="O25" s="134">
        <f>IF(N25="","",IF(VLOOKUP($A25,'Ex ante LI &amp; Eligibility Stats'!$A$7:$M$23,O$5,FALSE)="N/A",0,VLOOKUP($A25,'Ex ante LI &amp; Eligibility Stats'!$A$7:$M$23,O$5,FALSE)*N25/1000))</f>
        <v>2.0097063238590001</v>
      </c>
      <c r="P25" s="131">
        <f>IF(N25="","",IF(VLOOKUP($A25,'Ex post LI &amp; Eligibility Stats'!$A$10:$M$26,O$5,FALSE)="N/A",0,VLOOKUP($A25,'Ex post LI &amp; Eligibility Stats'!$A$10:$M$26,O$5,FALSE)*N25/1000))</f>
        <v>2.5739999999999998</v>
      </c>
      <c r="Q25" s="194">
        <v>132</v>
      </c>
      <c r="R25" s="134">
        <f>IF(Q25="","",IF(VLOOKUP($A25,'Ex ante LI &amp; Eligibility Stats'!$A$7:$M$23,R$5,FALSE)="N/A",0,VLOOKUP($A25,'Ex ante LI &amp; Eligibility Stats'!$A$7:$M$23,R$5,FALSE)*Q25/1000))</f>
        <v>2.62065285042</v>
      </c>
      <c r="S25" s="131">
        <f>IF(Q25="","",IF(VLOOKUP($A25,'Ex post LI &amp; Eligibility Stats'!$A$10:$M$26,R$5,FALSE)="N/A",0,VLOOKUP($A25,'Ex post LI &amp; Eligibility Stats'!$A$10:$M$26,R$5,FALSE)*Q25/1000))</f>
        <v>2.9039999999999999</v>
      </c>
      <c r="T25" s="352">
        <v>100833</v>
      </c>
      <c r="U25" s="51"/>
      <c r="V25" s="51"/>
      <c r="W25" s="51"/>
      <c r="X25" s="51"/>
      <c r="Y25" s="51"/>
      <c r="Z25" s="51"/>
      <c r="AA25" s="51"/>
      <c r="AB25" s="51"/>
      <c r="AC25" s="51"/>
      <c r="AD25" s="51"/>
      <c r="AE25" s="51"/>
    </row>
    <row r="26" spans="1:31" s="83" customFormat="1" ht="12" customHeight="1" x14ac:dyDescent="0.2">
      <c r="A26" s="84" t="s">
        <v>129</v>
      </c>
      <c r="B26" s="194">
        <v>16</v>
      </c>
      <c r="C26" s="225">
        <f>IF(B26="","",IF(VLOOKUP($A26,'Ex ante LI &amp; Eligibility Stats'!$A$7:$M$23,C$5,FALSE)="N/A",0,VLOOKUP($A26,'Ex ante LI &amp; Eligibility Stats'!$A$7:$M$23,C$5,FALSE)*B26/1000))</f>
        <v>0</v>
      </c>
      <c r="D26" s="226">
        <f>IF(B26="","",IF(VLOOKUP($A26,'Ex post LI &amp; Eligibility Stats'!$A$10:$M$26,C$5,FALSE)="N/A",0,VLOOKUP($A26,'Ex post LI &amp; Eligibility Stats'!$A$10:$M$26,C$5,FALSE)*B26/1000))</f>
        <v>20.384</v>
      </c>
      <c r="E26" s="194">
        <v>16</v>
      </c>
      <c r="F26" s="225">
        <f>IF(E26="","",IF(VLOOKUP($A26,'Ex ante LI &amp; Eligibility Stats'!$A$7:$M$23,F$5,FALSE)="N/A",0,VLOOKUP($A26,'Ex ante LI &amp; Eligibility Stats'!$A$7:$M$23,F$5,FALSE)*E26/1000))</f>
        <v>0</v>
      </c>
      <c r="G26" s="226">
        <f>IF(E26="","",IF(VLOOKUP($A26,'Ex post LI &amp; Eligibility Stats'!$A$10:$M$26,F$5,FALSE)="N/A",0,VLOOKUP($A26,'Ex post LI &amp; Eligibility Stats'!$A$10:$M$26,F$5,FALSE)*E26/1000))</f>
        <v>20.384</v>
      </c>
      <c r="H26" s="194">
        <v>14</v>
      </c>
      <c r="I26" s="225">
        <f>IF(H26="","",IF(VLOOKUP($A26,'Ex ante LI &amp; Eligibility Stats'!$A$7:$M$23,I$5,FALSE)="N/A",0,VLOOKUP($A26,'Ex ante LI &amp; Eligibility Stats'!$A$7:$M$23,I$5,FALSE)*H26/1000))</f>
        <v>0</v>
      </c>
      <c r="J26" s="226">
        <f>IF(H26="","",IF(VLOOKUP($A26,'Ex post LI &amp; Eligibility Stats'!$A$10:$M$26,I$5,FALSE)="N/A",0,VLOOKUP($A26,'Ex post LI &amp; Eligibility Stats'!$A$10:$M$26,I$5,FALSE)*H26/1000))</f>
        <v>17.835999999999999</v>
      </c>
      <c r="K26" s="146">
        <v>15</v>
      </c>
      <c r="L26" s="134">
        <f>IF(K26="","",IF(VLOOKUP($A26,'Ex ante LI &amp; Eligibility Stats'!$A$7:$M$23,L$5,FALSE)="N/A",0,VLOOKUP($A26,'Ex ante LI &amp; Eligibility Stats'!$A$7:$M$23,L$5,FALSE)*K26/1000))</f>
        <v>0</v>
      </c>
      <c r="M26" s="131">
        <f>IF(K26="","",IF(VLOOKUP($A26,'Ex post LI &amp; Eligibility Stats'!$A$10:$M$26,L$5,FALSE)="N/A",0,VLOOKUP($A26,'Ex post LI &amp; Eligibility Stats'!$A$10:$M$26,L$5,FALSE)*K26/1000))</f>
        <v>19.11</v>
      </c>
      <c r="N26" s="196">
        <v>15</v>
      </c>
      <c r="O26" s="134">
        <f>IF(N26="","",IF(VLOOKUP($A26,'Ex ante LI &amp; Eligibility Stats'!$A$7:$M$23,O$5,FALSE)="N/A",0,VLOOKUP($A26,'Ex ante LI &amp; Eligibility Stats'!$A$7:$M$23,O$5,FALSE)*N26/1000))</f>
        <v>13.025983984349999</v>
      </c>
      <c r="P26" s="131">
        <f>IF(N26="","",IF(VLOOKUP($A26,'Ex post LI &amp; Eligibility Stats'!$A$10:$M$26,O$5,FALSE)="N/A",0,VLOOKUP($A26,'Ex post LI &amp; Eligibility Stats'!$A$10:$M$26,O$5,FALSE)*N26/1000))</f>
        <v>19.11</v>
      </c>
      <c r="Q26" s="194">
        <v>15</v>
      </c>
      <c r="R26" s="134">
        <f>IF(Q26="","",IF(VLOOKUP($A26,'Ex ante LI &amp; Eligibility Stats'!$A$7:$M$23,R$5,FALSE)="N/A",0,VLOOKUP($A26,'Ex ante LI &amp; Eligibility Stats'!$A$7:$M$23,R$5,FALSE)*Q26/1000))</f>
        <v>12.234506662649999</v>
      </c>
      <c r="S26" s="131">
        <f>IF(Q26="","",IF(VLOOKUP($A26,'Ex post LI &amp; Eligibility Stats'!$A$10:$M$26,R$5,FALSE)="N/A",0,VLOOKUP($A26,'Ex post LI &amp; Eligibility Stats'!$A$10:$M$26,R$5,FALSE)*Q26/1000))</f>
        <v>19.11</v>
      </c>
      <c r="T26" s="352">
        <v>100833</v>
      </c>
      <c r="U26" s="51"/>
      <c r="V26" s="51"/>
      <c r="W26" s="51"/>
      <c r="X26" s="51"/>
      <c r="Y26" s="51"/>
      <c r="Z26" s="51"/>
      <c r="AA26" s="51"/>
      <c r="AB26" s="51"/>
      <c r="AC26" s="51"/>
      <c r="AD26" s="51"/>
      <c r="AE26" s="51"/>
    </row>
    <row r="27" spans="1:31" s="83" customFormat="1" ht="12" customHeight="1" x14ac:dyDescent="0.2">
      <c r="A27" s="254" t="s">
        <v>181</v>
      </c>
      <c r="B27" s="194">
        <v>0</v>
      </c>
      <c r="C27" s="225">
        <f>IF(B27="","",IF(VLOOKUP($A27,'Ex ante LI &amp; Eligibility Stats'!$A$7:$M$23,C$5,FALSE)="N/A",0,VLOOKUP($A27,'Ex ante LI &amp; Eligibility Stats'!$A$7:$M$23,C$5,FALSE)*B27/1000))</f>
        <v>0</v>
      </c>
      <c r="D27" s="226">
        <f>IF(B27="","",IF(VLOOKUP($A27,'Ex post LI &amp; Eligibility Stats'!$A$10:$M$26,C$5,FALSE)="N/A",0,VLOOKUP($A27,'Ex post LI &amp; Eligibility Stats'!$A$10:$M$26,C$5,FALSE)*B27/1000))</f>
        <v>0</v>
      </c>
      <c r="E27" s="195">
        <v>0</v>
      </c>
      <c r="F27" s="225">
        <f>IF(E27="","",IF(VLOOKUP($A27,'Ex ante LI &amp; Eligibility Stats'!$A$7:$M$23,F$5,FALSE)="N/A",0,VLOOKUP($A27,'Ex ante LI &amp; Eligibility Stats'!$A$7:$M$23,F$5,FALSE)*E27/1000))</f>
        <v>0</v>
      </c>
      <c r="G27" s="226">
        <f>IF(E27="","",IF(VLOOKUP($A27,'Ex post LI &amp; Eligibility Stats'!$A$10:$M$26,F$5,FALSE)="N/A",0,VLOOKUP($A27,'Ex post LI &amp; Eligibility Stats'!$A$10:$M$26,F$5,FALSE)*E27/1000))</f>
        <v>0</v>
      </c>
      <c r="H27" s="195">
        <v>0</v>
      </c>
      <c r="I27" s="225">
        <f>IF(H27="","",IF(VLOOKUP($A27,'Ex ante LI &amp; Eligibility Stats'!$A$7:$M$23,I$5,FALSE)="N/A",0,VLOOKUP($A27,'Ex ante LI &amp; Eligibility Stats'!$A$7:$M$23,I$5,FALSE)*H27/1000))</f>
        <v>0</v>
      </c>
      <c r="J27" s="226">
        <f>IF(H27="","",IF(VLOOKUP($A27,'Ex post LI &amp; Eligibility Stats'!$A$10:$M$26,I$5,FALSE)="N/A",0,VLOOKUP($A27,'Ex post LI &amp; Eligibility Stats'!$A$10:$M$26,I$5,FALSE)*H27/1000))</f>
        <v>0</v>
      </c>
      <c r="K27" s="146">
        <v>0</v>
      </c>
      <c r="L27" s="134">
        <f>IF(K27="","",IF(VLOOKUP($A27,'Ex ante LI &amp; Eligibility Stats'!$A$7:$M$23,L$5,FALSE)="N/A",0,VLOOKUP($A27,'Ex ante LI &amp; Eligibility Stats'!$A$7:$M$23,L$5,FALSE)*K27/1000))</f>
        <v>0</v>
      </c>
      <c r="M27" s="131">
        <f>IF(K27="","",IF(VLOOKUP($A27,'Ex post LI &amp; Eligibility Stats'!$A$10:$M$26,L$5,FALSE)="N/A",0,VLOOKUP($A27,'Ex post LI &amp; Eligibility Stats'!$A$10:$M$26,L$5,FALSE)*K27/1000))</f>
        <v>0</v>
      </c>
      <c r="N27" s="190">
        <v>0</v>
      </c>
      <c r="O27" s="134">
        <f>IF(N27="","",IF(VLOOKUP($A27,'Ex ante LI &amp; Eligibility Stats'!$A$7:$M$23,O$5,FALSE)="N/A",0,VLOOKUP($A27,'Ex ante LI &amp; Eligibility Stats'!$A$7:$M$23,O$5,FALSE)*N27/1000))</f>
        <v>0</v>
      </c>
      <c r="P27" s="131">
        <f>IF(N27="","",IF(VLOOKUP($A27,'Ex post LI &amp; Eligibility Stats'!$A$10:$M$26,O$5,FALSE)="N/A",0,VLOOKUP($A27,'Ex post LI &amp; Eligibility Stats'!$A$10:$M$26,O$5,FALSE)*N27/1000))</f>
        <v>0</v>
      </c>
      <c r="Q27" s="195">
        <v>0</v>
      </c>
      <c r="R27" s="134">
        <f>IF(Q27="","",IF(VLOOKUP($A27,'Ex ante LI &amp; Eligibility Stats'!$A$7:$M$23,R$5,FALSE)="N/A",0,VLOOKUP($A27,'Ex ante LI &amp; Eligibility Stats'!$A$7:$M$23,R$5,FALSE)*Q27/1000))</f>
        <v>0</v>
      </c>
      <c r="S27" s="131">
        <f>IF(Q27="","",IF(VLOOKUP($A27,'Ex post LI &amp; Eligibility Stats'!$A$10:$M$26,R$5,FALSE)="N/A",0,VLOOKUP($A27,'Ex post LI &amp; Eligibility Stats'!$A$10:$M$26,R$5,FALSE)*Q27/1000))</f>
        <v>0</v>
      </c>
      <c r="T27" s="352">
        <v>0</v>
      </c>
    </row>
    <row r="28" spans="1:31" s="83" customFormat="1" ht="12" customHeight="1" x14ac:dyDescent="0.2">
      <c r="A28" s="254" t="s">
        <v>184</v>
      </c>
      <c r="B28" s="227">
        <v>23951</v>
      </c>
      <c r="C28" s="228">
        <f>IF(B28="","",IF(VLOOKUP($A28,'Ex ante LI &amp; Eligibility Stats'!$A$7:$M$23,C$5,FALSE)="N/A",0,VLOOKUP($A28,'Ex ante LI &amp; Eligibility Stats'!$A$7:$M$23,C$5,FALSE)*B28/1000))</f>
        <v>0</v>
      </c>
      <c r="D28" s="229">
        <f>IF(B28="","",IF(VLOOKUP($A28,'Ex post LI &amp; Eligibility Stats'!$A$10:$M$26,C$5,FALSE)="N/A",0,VLOOKUP($A28,'Ex post LI &amp; Eligibility Stats'!$A$10:$M$26,C$5,FALSE)*B28/1000))</f>
        <v>6.2272600000000002</v>
      </c>
      <c r="E28" s="208">
        <v>23749</v>
      </c>
      <c r="F28" s="228">
        <f>IF(E28="","",IF(VLOOKUP($A28,'Ex ante LI &amp; Eligibility Stats'!$A$7:$M$23,F$5,FALSE)="N/A",0,VLOOKUP($A28,'Ex ante LI &amp; Eligibility Stats'!$A$7:$M$23,F$5,FALSE)*E28/1000))</f>
        <v>0</v>
      </c>
      <c r="G28" s="229">
        <f>IF(E28="","",IF(VLOOKUP($A28,'Ex post LI &amp; Eligibility Stats'!$A$10:$M$26,F$5,FALSE)="N/A",0,VLOOKUP($A28,'Ex post LI &amp; Eligibility Stats'!$A$10:$M$26,F$5,FALSE)*E28/1000))</f>
        <v>6.1747399999999999</v>
      </c>
      <c r="H28" s="208">
        <v>23577</v>
      </c>
      <c r="I28" s="228">
        <f>IF(H28="","",IF(VLOOKUP($A28,'Ex ante LI &amp; Eligibility Stats'!$A$7:$M$23,I$5,FALSE)="N/A",0,VLOOKUP($A28,'Ex ante LI &amp; Eligibility Stats'!$A$7:$M$23,I$5,FALSE)*H28/1000))</f>
        <v>0</v>
      </c>
      <c r="J28" s="229">
        <f>IF(H28="","",IF(VLOOKUP($A28,'Ex post LI &amp; Eligibility Stats'!$A$10:$M$26,I$5,FALSE)="N/A",0,VLOOKUP($A28,'Ex post LI &amp; Eligibility Stats'!$A$10:$M$26,I$5,FALSE)*H28/1000))</f>
        <v>6.13002</v>
      </c>
      <c r="K28" s="147">
        <v>23577</v>
      </c>
      <c r="L28" s="135">
        <f>IF(K28="","",IF(VLOOKUP($A28,'Ex ante LI &amp; Eligibility Stats'!$A$7:$M$23,L$5,FALSE)="N/A",0,VLOOKUP($A28,'Ex ante LI &amp; Eligibility Stats'!$A$7:$M$23,L$5,FALSE)*K28/1000))</f>
        <v>0</v>
      </c>
      <c r="M28" s="132">
        <f>IF(K28="","",IF(VLOOKUP($A28,'Ex post LI &amp; Eligibility Stats'!$A$10:$M$26,L$5,FALSE)="N/A",0,VLOOKUP($A28,'Ex post LI &amp; Eligibility Stats'!$A$10:$M$26,L$5,FALSE)*K28/1000))</f>
        <v>6.13002</v>
      </c>
      <c r="N28" s="192">
        <v>23185</v>
      </c>
      <c r="O28" s="135">
        <f>IF(N28="","",IF(VLOOKUP($A28,'Ex ante LI &amp; Eligibility Stats'!$A$7:$M$23,O$5,FALSE)="N/A",0,VLOOKUP($A28,'Ex ante LI &amp; Eligibility Stats'!$A$7:$M$23,O$5,FALSE)*N28/1000))</f>
        <v>1.7040256265</v>
      </c>
      <c r="P28" s="132">
        <f>IF(N28="","",IF(VLOOKUP($A28,'Ex post LI &amp; Eligibility Stats'!$A$10:$M$26,O$5,FALSE)="N/A",0,VLOOKUP($A28,'Ex post LI &amp; Eligibility Stats'!$A$10:$M$26,O$5,FALSE)*N28/1000))</f>
        <v>6.0281000000000002</v>
      </c>
      <c r="Q28" s="205">
        <v>22974</v>
      </c>
      <c r="R28" s="135">
        <f>IF(Q28="","",IF(VLOOKUP($A28,'Ex ante LI &amp; Eligibility Stats'!$A$7:$M$23,R$5,FALSE)="N/A",0,VLOOKUP($A28,'Ex ante LI &amp; Eligibility Stats'!$A$7:$M$23,R$5,FALSE)*Q28/1000))</f>
        <v>2.9759242245599999</v>
      </c>
      <c r="S28" s="132">
        <f>IF(Q28="","",IF(VLOOKUP($A28,'Ex post LI &amp; Eligibility Stats'!$A$10:$M$26,R$5,FALSE)="N/A",0,VLOOKUP($A28,'Ex post LI &amp; Eligibility Stats'!$A$10:$M$26,R$5,FALSE)*Q28/1000))</f>
        <v>5.9732399999999997</v>
      </c>
      <c r="T28" s="353">
        <v>3000000</v>
      </c>
    </row>
    <row r="29" spans="1:31" s="83" customFormat="1" ht="12" customHeight="1" thickBot="1" x14ac:dyDescent="0.25">
      <c r="A29" s="29" t="s">
        <v>30</v>
      </c>
      <c r="B29" s="202">
        <f t="shared" ref="B29:S29" si="1">SUM(B17:B28)</f>
        <v>28413</v>
      </c>
      <c r="C29" s="230">
        <f t="shared" si="1"/>
        <v>99.560876547592997</v>
      </c>
      <c r="D29" s="230">
        <f t="shared" si="1"/>
        <v>307.98356000000001</v>
      </c>
      <c r="E29" s="202">
        <f t="shared" si="1"/>
        <v>28192</v>
      </c>
      <c r="F29" s="230">
        <f t="shared" si="1"/>
        <v>102.09412603848601</v>
      </c>
      <c r="G29" s="230">
        <f t="shared" si="1"/>
        <v>309.51063999999997</v>
      </c>
      <c r="H29" s="202">
        <f t="shared" si="1"/>
        <v>28071</v>
      </c>
      <c r="I29" s="230">
        <f t="shared" si="1"/>
        <v>101.907199186515</v>
      </c>
      <c r="J29" s="230">
        <f t="shared" si="1"/>
        <v>319.47552000000002</v>
      </c>
      <c r="K29" s="102">
        <f t="shared" si="1"/>
        <v>28086</v>
      </c>
      <c r="L29" s="136">
        <f t="shared" si="1"/>
        <v>102.13252217397401</v>
      </c>
      <c r="M29" s="136">
        <f t="shared" si="1"/>
        <v>326.10741999999999</v>
      </c>
      <c r="N29" s="102">
        <f t="shared" si="1"/>
        <v>27675</v>
      </c>
      <c r="O29" s="136">
        <f t="shared" si="1"/>
        <v>361.69390997703664</v>
      </c>
      <c r="P29" s="136">
        <f t="shared" si="1"/>
        <v>330.24060000000003</v>
      </c>
      <c r="Q29" s="202">
        <f t="shared" si="1"/>
        <v>27674</v>
      </c>
      <c r="R29" s="136">
        <f t="shared" si="1"/>
        <v>399.89303873400343</v>
      </c>
      <c r="S29" s="136">
        <f t="shared" si="1"/>
        <v>373.84103999999996</v>
      </c>
      <c r="T29" s="356"/>
      <c r="U29" s="51"/>
      <c r="V29" s="51"/>
      <c r="W29" s="51"/>
      <c r="X29" s="51"/>
      <c r="Y29" s="51"/>
      <c r="Z29" s="51"/>
      <c r="AA29" s="51"/>
      <c r="AB29" s="51"/>
      <c r="AC29" s="51"/>
      <c r="AD29" s="51"/>
      <c r="AE29" s="51"/>
    </row>
    <row r="30" spans="1:31" s="83" customFormat="1" ht="14.25" thickTop="1" thickBot="1" x14ac:dyDescent="0.25">
      <c r="A30" s="30" t="s">
        <v>23</v>
      </c>
      <c r="B30" s="202">
        <f t="shared" ref="B30:S30" si="2">+B15+B29</f>
        <v>143770</v>
      </c>
      <c r="C30" s="230">
        <f t="shared" si="2"/>
        <v>251.24703245759298</v>
      </c>
      <c r="D30" s="234">
        <f t="shared" si="2"/>
        <v>483.0147</v>
      </c>
      <c r="E30" s="202">
        <f t="shared" si="2"/>
        <v>143393</v>
      </c>
      <c r="F30" s="230">
        <f t="shared" si="2"/>
        <v>263.93186029029602</v>
      </c>
      <c r="G30" s="234">
        <f t="shared" si="2"/>
        <v>486.87071999999995</v>
      </c>
      <c r="H30" s="202">
        <f t="shared" si="2"/>
        <v>145584</v>
      </c>
      <c r="I30" s="230">
        <f t="shared" si="2"/>
        <v>283.731906247165</v>
      </c>
      <c r="J30" s="234">
        <f t="shared" si="2"/>
        <v>514.67320000000007</v>
      </c>
      <c r="K30" s="102">
        <f t="shared" si="2"/>
        <v>145711</v>
      </c>
      <c r="L30" s="136">
        <f t="shared" si="2"/>
        <v>302.39572856367403</v>
      </c>
      <c r="M30" s="138">
        <f t="shared" si="2"/>
        <v>519.75459999999998</v>
      </c>
      <c r="N30" s="102">
        <f t="shared" si="2"/>
        <v>145901</v>
      </c>
      <c r="O30" s="136">
        <f t="shared" si="2"/>
        <v>549.12808923131229</v>
      </c>
      <c r="P30" s="138">
        <f t="shared" si="2"/>
        <v>524.02</v>
      </c>
      <c r="Q30" s="202">
        <f t="shared" si="2"/>
        <v>181387</v>
      </c>
      <c r="R30" s="136">
        <f t="shared" si="2"/>
        <v>633.25860269159443</v>
      </c>
      <c r="S30" s="138">
        <f t="shared" si="2"/>
        <v>577.79061999999999</v>
      </c>
      <c r="T30" s="354"/>
      <c r="U30" s="51"/>
      <c r="V30" s="51"/>
      <c r="W30" s="51"/>
      <c r="X30" s="51"/>
      <c r="Y30" s="51"/>
      <c r="Z30" s="51"/>
      <c r="AA30" s="51"/>
      <c r="AB30" s="51"/>
      <c r="AC30" s="51"/>
      <c r="AD30" s="51"/>
      <c r="AE30" s="51"/>
    </row>
    <row r="31" spans="1:31" s="83" customFormat="1" ht="3" customHeight="1" thickTop="1" x14ac:dyDescent="0.2">
      <c r="A31" s="186"/>
      <c r="B31" s="206"/>
      <c r="C31" s="242"/>
      <c r="D31" s="235"/>
      <c r="E31" s="206"/>
      <c r="F31" s="242"/>
      <c r="G31" s="243"/>
      <c r="H31" s="206"/>
      <c r="I31" s="242"/>
      <c r="J31" s="243"/>
      <c r="K31" s="244"/>
      <c r="L31" s="245"/>
      <c r="M31" s="246"/>
      <c r="N31" s="244"/>
      <c r="O31" s="247"/>
      <c r="P31" s="213"/>
      <c r="Q31" s="206"/>
      <c r="R31" s="247"/>
      <c r="S31" s="213"/>
      <c r="T31" s="357"/>
      <c r="U31" s="51"/>
      <c r="V31" s="51"/>
      <c r="W31" s="51"/>
      <c r="X31" s="51"/>
      <c r="Y31" s="51"/>
      <c r="Z31" s="51"/>
      <c r="AA31" s="51"/>
      <c r="AB31" s="51"/>
      <c r="AC31" s="51"/>
      <c r="AD31" s="51"/>
      <c r="AE31" s="51"/>
    </row>
    <row r="32" spans="1:31" s="83" customFormat="1" ht="4.5" hidden="1" customHeight="1" x14ac:dyDescent="0.2">
      <c r="A32" s="186"/>
      <c r="B32" s="206"/>
      <c r="C32" s="242"/>
      <c r="D32" s="235"/>
      <c r="E32" s="206"/>
      <c r="F32" s="242"/>
      <c r="G32" s="243"/>
      <c r="H32" s="206"/>
      <c r="I32" s="242"/>
      <c r="J32" s="243"/>
      <c r="K32" s="244"/>
      <c r="L32" s="245"/>
      <c r="M32" s="246"/>
      <c r="N32" s="244"/>
      <c r="O32" s="247"/>
      <c r="P32" s="213"/>
      <c r="Q32" s="206"/>
      <c r="R32" s="247"/>
      <c r="S32" s="213"/>
      <c r="T32" s="357"/>
      <c r="U32" s="51"/>
      <c r="V32" s="51"/>
      <c r="W32" s="51"/>
      <c r="X32" s="51"/>
      <c r="Y32" s="51"/>
      <c r="Z32" s="51"/>
      <c r="AA32" s="51"/>
      <c r="AB32" s="51"/>
      <c r="AC32" s="51"/>
      <c r="AD32" s="51"/>
      <c r="AE32" s="51"/>
    </row>
    <row r="33" spans="1:21" s="83" customFormat="1" ht="4.5" hidden="1" customHeight="1" x14ac:dyDescent="0.2">
      <c r="A33" s="84"/>
      <c r="B33" s="206"/>
      <c r="C33" s="207"/>
      <c r="D33" s="207"/>
      <c r="E33" s="207"/>
      <c r="F33" s="207"/>
      <c r="G33" s="207"/>
      <c r="H33" s="207"/>
      <c r="I33" s="207"/>
      <c r="J33" s="207"/>
      <c r="K33" s="248"/>
      <c r="L33" s="249"/>
      <c r="M33" s="249"/>
      <c r="N33" s="248"/>
      <c r="O33" s="248"/>
      <c r="P33" s="248"/>
      <c r="Q33" s="207"/>
      <c r="R33" s="248"/>
      <c r="S33" s="248"/>
      <c r="T33" s="358"/>
    </row>
    <row r="34" spans="1:21" s="83" customFormat="1" hidden="1" x14ac:dyDescent="0.2">
      <c r="A34" s="84"/>
      <c r="B34" s="206"/>
      <c r="C34" s="207">
        <f>C5+6</f>
        <v>8</v>
      </c>
      <c r="D34" s="207">
        <f>D5+6</f>
        <v>8</v>
      </c>
      <c r="E34" s="207"/>
      <c r="F34" s="207">
        <f>F5+6</f>
        <v>9</v>
      </c>
      <c r="G34" s="207">
        <f>G5+6</f>
        <v>9</v>
      </c>
      <c r="H34" s="207"/>
      <c r="I34" s="207">
        <f>I5+6</f>
        <v>10</v>
      </c>
      <c r="J34" s="207">
        <f>J5+6</f>
        <v>10</v>
      </c>
      <c r="K34" s="248"/>
      <c r="L34" s="249">
        <f>L5+6</f>
        <v>11</v>
      </c>
      <c r="M34" s="249">
        <f>M5+6</f>
        <v>11</v>
      </c>
      <c r="N34" s="248"/>
      <c r="O34" s="248">
        <f>O5+6</f>
        <v>12</v>
      </c>
      <c r="P34" s="248">
        <f>P5+6</f>
        <v>12</v>
      </c>
      <c r="Q34" s="207"/>
      <c r="R34" s="248">
        <f>R5+6</f>
        <v>13</v>
      </c>
      <c r="S34" s="248">
        <f>S5+6</f>
        <v>13</v>
      </c>
      <c r="T34" s="358"/>
    </row>
    <row r="35" spans="1:21" s="83" customFormat="1" ht="11.25" customHeight="1" x14ac:dyDescent="0.2">
      <c r="A35" s="250"/>
      <c r="B35" s="609" t="s">
        <v>6</v>
      </c>
      <c r="C35" s="610"/>
      <c r="D35" s="611"/>
      <c r="E35" s="609" t="s">
        <v>7</v>
      </c>
      <c r="F35" s="610"/>
      <c r="G35" s="611"/>
      <c r="H35" s="609" t="s">
        <v>8</v>
      </c>
      <c r="I35" s="610"/>
      <c r="J35" s="611"/>
      <c r="K35" s="609" t="s">
        <v>9</v>
      </c>
      <c r="L35" s="610"/>
      <c r="M35" s="611"/>
      <c r="N35" s="609" t="s">
        <v>10</v>
      </c>
      <c r="O35" s="610"/>
      <c r="P35" s="611"/>
      <c r="Q35" s="609" t="s">
        <v>11</v>
      </c>
      <c r="R35" s="610"/>
      <c r="S35" s="611"/>
      <c r="T35" s="359"/>
      <c r="U35" s="251"/>
    </row>
    <row r="36" spans="1:21" s="83" customFormat="1" ht="43.5" customHeight="1" x14ac:dyDescent="0.25">
      <c r="A36" s="28" t="s">
        <v>21</v>
      </c>
      <c r="B36" s="252" t="s">
        <v>15</v>
      </c>
      <c r="C36" s="217" t="s">
        <v>163</v>
      </c>
      <c r="D36" s="218" t="s">
        <v>164</v>
      </c>
      <c r="E36" s="199" t="s">
        <v>15</v>
      </c>
      <c r="F36" s="217" t="s">
        <v>163</v>
      </c>
      <c r="G36" s="218" t="s">
        <v>164</v>
      </c>
      <c r="H36" s="199" t="s">
        <v>15</v>
      </c>
      <c r="I36" s="217" t="s">
        <v>163</v>
      </c>
      <c r="J36" s="218" t="s">
        <v>164</v>
      </c>
      <c r="K36" s="105" t="s">
        <v>15</v>
      </c>
      <c r="L36" s="81" t="s">
        <v>163</v>
      </c>
      <c r="M36" s="82" t="s">
        <v>164</v>
      </c>
      <c r="N36" s="105" t="s">
        <v>15</v>
      </c>
      <c r="O36" s="197" t="s">
        <v>163</v>
      </c>
      <c r="P36" s="212" t="s">
        <v>164</v>
      </c>
      <c r="Q36" s="199" t="s">
        <v>15</v>
      </c>
      <c r="R36" s="197" t="s">
        <v>163</v>
      </c>
      <c r="S36" s="212" t="s">
        <v>164</v>
      </c>
      <c r="T36" s="350" t="s">
        <v>188</v>
      </c>
      <c r="U36" s="249"/>
    </row>
    <row r="37" spans="1:21" s="83" customFormat="1" x14ac:dyDescent="0.2">
      <c r="A37" s="28" t="s">
        <v>22</v>
      </c>
      <c r="B37" s="252"/>
      <c r="C37" s="219"/>
      <c r="D37" s="253"/>
      <c r="E37" s="199"/>
      <c r="F37" s="219"/>
      <c r="G37" s="253"/>
      <c r="H37" s="199"/>
      <c r="I37" s="219"/>
      <c r="J37" s="219"/>
      <c r="K37" s="105"/>
      <c r="L37" s="80"/>
      <c r="M37" s="332"/>
      <c r="N37" s="105"/>
      <c r="O37" s="101"/>
      <c r="P37" s="322"/>
      <c r="Q37" s="199"/>
      <c r="R37" s="101"/>
      <c r="S37" s="322"/>
      <c r="T37" s="351"/>
      <c r="U37" s="249"/>
    </row>
    <row r="38" spans="1:21" s="83" customFormat="1" ht="11.25" customHeight="1" x14ac:dyDescent="0.2">
      <c r="A38" s="254" t="s">
        <v>68</v>
      </c>
      <c r="B38" s="204">
        <v>217</v>
      </c>
      <c r="C38" s="223">
        <f>IF(B38="","",IF(VLOOKUP($A38,'Ex ante LI &amp; Eligibility Stats'!$A$7:$M$23,C$34,FALSE)="N/A",0,VLOOKUP($A38,'Ex ante LI &amp; Eligibility Stats'!$A$7:$M$23,C$34,FALSE)*B38/1000))</f>
        <v>198.79900801312999</v>
      </c>
      <c r="D38" s="224">
        <f>IF(B38="","",IF(VLOOKUP($A38,'Ex post LI &amp; Eligibility Stats'!$A$10:$M$26,C$34,FALSE)="N/A",0,VLOOKUP($A38,'Ex post LI &amp; Eligibility Stats'!$A$10:$M$26,C$34,FALSE)*B38/1000))</f>
        <v>170.9743</v>
      </c>
      <c r="E38" s="200">
        <v>218</v>
      </c>
      <c r="F38" s="223">
        <f>IF(E38="","",IF(VLOOKUP($A38,'Ex ante LI &amp; Eligibility Stats'!$A$7:$M$23,F$34,FALSE)="N/A",0,VLOOKUP($A38,'Ex ante LI &amp; Eligibility Stats'!$A$7:$M$23,F$34,FALSE)*E38/1000))</f>
        <v>195.78346354140001</v>
      </c>
      <c r="G38" s="224">
        <f>IF(E38="","",IF(VLOOKUP($A38,'Ex post LI &amp; Eligibility Stats'!$A$10:$M$26,F$34,FALSE)="N/A",0,VLOOKUP($A38,'Ex post LI &amp; Eligibility Stats'!$A$10:$M$26,F$34,FALSE)*E38/1000))</f>
        <v>171.76219999999998</v>
      </c>
      <c r="H38" s="200">
        <v>224</v>
      </c>
      <c r="I38" s="223">
        <f>IF(H38="","",IF(VLOOKUP($A38,'Ex ante LI &amp; Eligibility Stats'!$A$7:$M$23,I$34,FALSE)="N/A",0,VLOOKUP($A38,'Ex ante LI &amp; Eligibility Stats'!$A$7:$M$23,I$34,FALSE)*H38/1000))</f>
        <v>198.46231799072001</v>
      </c>
      <c r="J38" s="224">
        <f>IF(H38="","",IF(VLOOKUP($A38,'Ex post LI &amp; Eligibility Stats'!$A$10:$M$26,I$34,FALSE)="N/A",0,VLOOKUP($A38,'Ex post LI &amp; Eligibility Stats'!$A$10:$M$26,I$34,FALSE)*H38/1000))</f>
        <v>176.4896</v>
      </c>
      <c r="K38" s="191">
        <v>227</v>
      </c>
      <c r="L38" s="333">
        <f>IF(K38="","",IF(VLOOKUP($A38,'Ex ante LI &amp; Eligibility Stats'!$A$7:$M$23,L$34,FALSE)="N/A",0,VLOOKUP($A38,'Ex ante LI &amp; Eligibility Stats'!$A$7:$M$23,L$34,FALSE)*K38/1000))</f>
        <v>224.68678541299002</v>
      </c>
      <c r="M38" s="334">
        <f>IF(K38="","",IF(VLOOKUP($A38,'Ex post LI &amp; Eligibility Stats'!$A$10:$M$26,L$34,FALSE)="N/A",0,VLOOKUP($A38,'Ex post LI &amp; Eligibility Stats'!$A$10:$M$26,L$34,FALSE)*K38/1000))</f>
        <v>178.85329999999999</v>
      </c>
      <c r="N38" s="191">
        <v>228</v>
      </c>
      <c r="O38" s="133">
        <f>IF(N38="","",IF(VLOOKUP($A38,'Ex ante LI &amp; Eligibility Stats'!$A$7:$M$23,O$34,FALSE)="N/A",0,VLOOKUP($A38,'Ex ante LI &amp; Eligibility Stats'!$A$7:$M$23,O$34,FALSE)*N38/1000))</f>
        <v>215.94680374391999</v>
      </c>
      <c r="P38" s="130">
        <f>IF(N38="","",IF(VLOOKUP($A38,'Ex post LI &amp; Eligibility Stats'!$A$10:$M$26,O$34,FALSE)="N/A",0,VLOOKUP($A38,'Ex post LI &amp; Eligibility Stats'!$A$10:$M$26,O$34,FALSE)*N38/1000))</f>
        <v>179.64119999999997</v>
      </c>
      <c r="Q38" s="200">
        <v>232</v>
      </c>
      <c r="R38" s="133">
        <f>IF(Q38="","",IF(VLOOKUP($A38,'Ex ante LI &amp; Eligibility Stats'!$A$7:$M$23,R$34,FALSE)="N/A",0,VLOOKUP($A38,'Ex ante LI &amp; Eligibility Stats'!$A$7:$M$23,R$34,FALSE)*Q38/1000))</f>
        <v>184.042938612</v>
      </c>
      <c r="S38" s="130">
        <f>IF(Q38="","",IF(VLOOKUP($A38,'Ex post LI &amp; Eligibility Stats'!$A$10:$M$26,R$34,FALSE)="N/A",0,VLOOKUP($A38,'Ex post LI &amp; Eligibility Stats'!$A$10:$M$26,R$34,FALSE)*Q38/1000))</f>
        <v>182.7928</v>
      </c>
      <c r="T38" s="352">
        <v>10199</v>
      </c>
      <c r="U38" s="249"/>
    </row>
    <row r="39" spans="1:21" s="83" customFormat="1" ht="11.25" customHeight="1" x14ac:dyDescent="0.2">
      <c r="A39" s="254" t="s">
        <v>13</v>
      </c>
      <c r="B39" s="194">
        <v>28</v>
      </c>
      <c r="C39" s="225">
        <f>IF(B39="","",IF(VLOOKUP($A39,'Ex ante LI &amp; Eligibility Stats'!$A$7:$M$23,C$34,FALSE)="N/A",0,VLOOKUP($A39,'Ex ante LI &amp; Eligibility Stats'!$A$7:$M$23,C$34,FALSE)*B39/1000))</f>
        <v>0</v>
      </c>
      <c r="D39" s="226">
        <f>IF(B39="","",IF(VLOOKUP($A39,'Ex post LI &amp; Eligibility Stats'!$A$10:$M$26,C$34,FALSE)="N/A",0,VLOOKUP($A39,'Ex post LI &amp; Eligibility Stats'!$A$10:$M$26,C$34,FALSE)*B39/1000))</f>
        <v>0</v>
      </c>
      <c r="E39" s="195">
        <v>28</v>
      </c>
      <c r="F39" s="225">
        <f>IF(E39="","",IF(VLOOKUP($A39,'Ex ante LI &amp; Eligibility Stats'!$A$7:$M$23,F$34,FALSE)="N/A",0,VLOOKUP($A39,'Ex ante LI &amp; Eligibility Stats'!$A$7:$M$23,F$34,FALSE)*E39/1000))</f>
        <v>0</v>
      </c>
      <c r="G39" s="226">
        <f>IF(E39="","",IF(VLOOKUP($A39,'Ex post LI &amp; Eligibility Stats'!$A$10:$M$26,F$34,FALSE)="N/A",0,VLOOKUP($A39,'Ex post LI &amp; Eligibility Stats'!$A$10:$M$26,F$34,FALSE)*E39/1000))</f>
        <v>0</v>
      </c>
      <c r="H39" s="195">
        <v>28</v>
      </c>
      <c r="I39" s="225">
        <f>IF(H39="","",IF(VLOOKUP($A39,'Ex ante LI &amp; Eligibility Stats'!$A$7:$M$23,I$34,FALSE)="N/A",0,VLOOKUP($A39,'Ex ante LI &amp; Eligibility Stats'!$A$7:$M$23,I$34,FALSE)*H39/1000))</f>
        <v>0</v>
      </c>
      <c r="J39" s="226">
        <f>IF(H39="","",IF(VLOOKUP($A39,'Ex post LI &amp; Eligibility Stats'!$A$10:$M$26,I$34,FALSE)="N/A",0,VLOOKUP($A39,'Ex post LI &amp; Eligibility Stats'!$A$10:$M$26,I$34,FALSE)*H39/1000))</f>
        <v>0</v>
      </c>
      <c r="K39" s="190">
        <v>28</v>
      </c>
      <c r="L39" s="335">
        <f>IF(K39="","",IF(VLOOKUP($A39,'Ex ante LI &amp; Eligibility Stats'!$A$7:$M$23,L$34,FALSE)="N/A",0,VLOOKUP($A39,'Ex ante LI &amp; Eligibility Stats'!$A$7:$M$23,L$34,FALSE)*K39/1000))</f>
        <v>0</v>
      </c>
      <c r="M39" s="336">
        <f>IF(K39="","",IF(VLOOKUP($A39,'Ex post LI &amp; Eligibility Stats'!$A$10:$M$26,L$34,FALSE)="N/A",0,VLOOKUP($A39,'Ex post LI &amp; Eligibility Stats'!$A$10:$M$26,L$34,FALSE)*K39/1000))</f>
        <v>0</v>
      </c>
      <c r="N39" s="190">
        <v>28</v>
      </c>
      <c r="O39" s="134">
        <f>IF(N39="","",IF(VLOOKUP($A39,'Ex ante LI &amp; Eligibility Stats'!$A$7:$M$23,O$34,FALSE)="N/A",0,VLOOKUP($A39,'Ex ante LI &amp; Eligibility Stats'!$A$7:$M$23,O$34,FALSE)*N39/1000))</f>
        <v>0</v>
      </c>
      <c r="P39" s="131">
        <f>IF(N39="","",IF(VLOOKUP($A39,'Ex post LI &amp; Eligibility Stats'!$A$10:$M$26,O$34,FALSE)="N/A",0,VLOOKUP($A39,'Ex post LI &amp; Eligibility Stats'!$A$10:$M$26,O$34,FALSE)*N39/1000))</f>
        <v>0</v>
      </c>
      <c r="Q39" s="195">
        <v>28</v>
      </c>
      <c r="R39" s="134">
        <f>IF(Q39="","",IF(VLOOKUP($A39,'Ex ante LI &amp; Eligibility Stats'!$A$7:$M$23,R$34,FALSE)="N/A",0,VLOOKUP($A39,'Ex ante LI &amp; Eligibility Stats'!$A$7:$M$23,R$34,FALSE)*Q39/1000))</f>
        <v>0</v>
      </c>
      <c r="S39" s="131">
        <f>IF(Q39="","",IF(VLOOKUP($A39,'Ex post LI &amp; Eligibility Stats'!$A$10:$M$26,R$34,FALSE)="N/A",0,VLOOKUP($A39,'Ex post LI &amp; Eligibility Stats'!$A$10:$M$26,R$34,FALSE)*Q39/1000))</f>
        <v>0</v>
      </c>
      <c r="T39" s="352">
        <v>0</v>
      </c>
      <c r="U39" s="249"/>
    </row>
    <row r="40" spans="1:21" s="83" customFormat="1" ht="11.25" customHeight="1" x14ac:dyDescent="0.2">
      <c r="A40" s="254" t="s">
        <v>25</v>
      </c>
      <c r="B40" s="194">
        <v>0</v>
      </c>
      <c r="C40" s="225">
        <f>IF(B40="","",IF(VLOOKUP($A40,'Ex ante LI &amp; Eligibility Stats'!$A$7:$M$23,C$34,FALSE)="N/A",0,VLOOKUP($A40,'Ex ante LI &amp; Eligibility Stats'!$A$7:$M$23,C$34,FALSE)*B40/1000))</f>
        <v>0</v>
      </c>
      <c r="D40" s="226">
        <f>IF(B40="","",IF(VLOOKUP($A40,'Ex post LI &amp; Eligibility Stats'!$A$10:$M$26,C$34,FALSE)="N/A",0,VLOOKUP($A40,'Ex post LI &amp; Eligibility Stats'!$A$10:$M$26,C$34,FALSE)*B40/1000))</f>
        <v>0</v>
      </c>
      <c r="E40" s="195">
        <v>0</v>
      </c>
      <c r="F40" s="225">
        <f>IF(E40="","",IF(VLOOKUP($A40,'Ex ante LI &amp; Eligibility Stats'!$A$7:$M$23,F$34,FALSE)="N/A",0,VLOOKUP($A40,'Ex ante LI &amp; Eligibility Stats'!$A$7:$M$23,F$34,FALSE)*E40/1000))</f>
        <v>0</v>
      </c>
      <c r="G40" s="226">
        <f>IF(E40="","",IF(VLOOKUP($A40,'Ex post LI &amp; Eligibility Stats'!$A$10:$M$26,F$34,FALSE)="N/A",0,VLOOKUP($A40,'Ex post LI &amp; Eligibility Stats'!$A$10:$M$26,F$34,FALSE)*E40/1000))</f>
        <v>0</v>
      </c>
      <c r="H40" s="195">
        <v>0</v>
      </c>
      <c r="I40" s="225">
        <f>IF(H40="","",IF(VLOOKUP($A40,'Ex ante LI &amp; Eligibility Stats'!$A$7:$M$23,I$34,FALSE)="N/A",0,VLOOKUP($A40,'Ex ante LI &amp; Eligibility Stats'!$A$7:$M$23,I$34,FALSE)*H40/1000))</f>
        <v>0</v>
      </c>
      <c r="J40" s="226">
        <f>IF(H40="","",IF(VLOOKUP($A40,'Ex post LI &amp; Eligibility Stats'!$A$10:$M$26,I$34,FALSE)="N/A",0,VLOOKUP($A40,'Ex post LI &amp; Eligibility Stats'!$A$10:$M$26,I$34,FALSE)*H40/1000))</f>
        <v>0</v>
      </c>
      <c r="K40" s="190">
        <v>0</v>
      </c>
      <c r="L40" s="335">
        <f>IF(K40="","",IF(VLOOKUP($A40,'Ex ante LI &amp; Eligibility Stats'!$A$7:$M$23,L$34,FALSE)="N/A",0,VLOOKUP($A40,'Ex ante LI &amp; Eligibility Stats'!$A$7:$M$23,L$34,FALSE)*K40/1000))</f>
        <v>0</v>
      </c>
      <c r="M40" s="336">
        <f>IF(K40="","",IF(VLOOKUP($A40,'Ex post LI &amp; Eligibility Stats'!$A$10:$M$26,L$34,FALSE)="N/A",0,VLOOKUP($A40,'Ex post LI &amp; Eligibility Stats'!$A$10:$M$26,L$34,FALSE)*K40/1000))</f>
        <v>0</v>
      </c>
      <c r="N40" s="190">
        <v>0</v>
      </c>
      <c r="O40" s="134">
        <f>IF(N40="","",IF(VLOOKUP($A40,'Ex ante LI &amp; Eligibility Stats'!$A$7:$M$23,O$34,FALSE)="N/A",0,VLOOKUP($A40,'Ex ante LI &amp; Eligibility Stats'!$A$7:$M$23,O$34,FALSE)*N40/1000))</f>
        <v>0</v>
      </c>
      <c r="P40" s="131">
        <f>IF(N40="","",IF(VLOOKUP($A40,'Ex post LI &amp; Eligibility Stats'!$A$10:$M$26,O$34,FALSE)="N/A",0,VLOOKUP($A40,'Ex post LI &amp; Eligibility Stats'!$A$10:$M$26,O$34,FALSE)*N40/1000))</f>
        <v>0</v>
      </c>
      <c r="Q40" s="195">
        <v>0</v>
      </c>
      <c r="R40" s="134">
        <f>IF(Q40="","",IF(VLOOKUP($A40,'Ex ante LI &amp; Eligibility Stats'!$A$7:$M$23,R$34,FALSE)="N/A",0,VLOOKUP($A40,'Ex ante LI &amp; Eligibility Stats'!$A$7:$M$23,R$34,FALSE)*Q40/1000))</f>
        <v>0</v>
      </c>
      <c r="S40" s="131">
        <f>IF(Q40="","",IF(VLOOKUP($A40,'Ex post LI &amp; Eligibility Stats'!$A$10:$M$26,R$34,FALSE)="N/A",0,VLOOKUP($A40,'Ex post LI &amp; Eligibility Stats'!$A$10:$M$26,R$34,FALSE)*Q40/1000))</f>
        <v>0</v>
      </c>
      <c r="T40" s="352">
        <v>0</v>
      </c>
      <c r="U40" s="249"/>
    </row>
    <row r="41" spans="1:21" s="83" customFormat="1" ht="11.25" customHeight="1" x14ac:dyDescent="0.2">
      <c r="A41" s="254" t="s">
        <v>182</v>
      </c>
      <c r="B41" s="194">
        <v>6005</v>
      </c>
      <c r="C41" s="225">
        <f>IF(B41="","",IF(VLOOKUP($A41,'Ex ante LI &amp; Eligibility Stats'!$A$7:$M$23,C$34,FALSE)="N/A",0,VLOOKUP($A41,'Ex ante LI &amp; Eligibility Stats'!$A$7:$M$23,C$34,FALSE)*B41/1000))</f>
        <v>2.934538793217</v>
      </c>
      <c r="D41" s="226">
        <f>IF(B41="","",IF(VLOOKUP($A41,'Ex post LI &amp; Eligibility Stats'!$A$10:$M$26,C$34,FALSE)="N/A",0,VLOOKUP($A41,'Ex post LI &amp; Eligibility Stats'!$A$10:$M$26,C$34,FALSE)*B41/1000))</f>
        <v>1.3210999999999999</v>
      </c>
      <c r="E41" s="195">
        <v>6163</v>
      </c>
      <c r="F41" s="225">
        <f>IF(E41="","",IF(VLOOKUP($A41,'Ex ante LI &amp; Eligibility Stats'!$A$7:$M$23,F$34,FALSE)="N/A",0,VLOOKUP($A41,'Ex ante LI &amp; Eligibility Stats'!$A$7:$M$23,F$34,FALSE)*E41/1000))</f>
        <v>2.2493375051513</v>
      </c>
      <c r="G41" s="226">
        <f>IF(E41="","",IF(VLOOKUP($A41,'Ex post LI &amp; Eligibility Stats'!$A$10:$M$26,F$34,FALSE)="N/A",0,VLOOKUP($A41,'Ex post LI &amp; Eligibility Stats'!$A$10:$M$26,F$34,FALSE)*E41/1000))</f>
        <v>1.3558599999999998</v>
      </c>
      <c r="H41" s="195">
        <v>6361</v>
      </c>
      <c r="I41" s="225">
        <f>IF(H41="","",IF(VLOOKUP($A41,'Ex ante LI &amp; Eligibility Stats'!$A$7:$M$23,I$34,FALSE)="N/A",0,VLOOKUP($A41,'Ex ante LI &amp; Eligibility Stats'!$A$7:$M$23,I$34,FALSE)*H41/1000))</f>
        <v>3.3121757380136003</v>
      </c>
      <c r="J41" s="226">
        <f>IF(H41="","",IF(VLOOKUP($A41,'Ex post LI &amp; Eligibility Stats'!$A$10:$M$26,I$34,FALSE)="N/A",0,VLOOKUP($A41,'Ex post LI &amp; Eligibility Stats'!$A$10:$M$26,I$34,FALSE)*H41/1000))</f>
        <v>1.3994200000000001</v>
      </c>
      <c r="K41" s="190">
        <v>6429</v>
      </c>
      <c r="L41" s="335">
        <f>IF(K41="","",IF(VLOOKUP($A41,'Ex ante LI &amp; Eligibility Stats'!$A$7:$M$23,L$34,FALSE)="N/A",0,VLOOKUP($A41,'Ex ante LI &amp; Eligibility Stats'!$A$7:$M$23,L$34,FALSE)*K41/1000))</f>
        <v>1.2807181114442998</v>
      </c>
      <c r="M41" s="336">
        <f>IF(K41="","",IF(VLOOKUP($A41,'Ex post LI &amp; Eligibility Stats'!$A$10:$M$26,L$34,FALSE)="N/A",0,VLOOKUP($A41,'Ex post LI &amp; Eligibility Stats'!$A$10:$M$26,L$34,FALSE)*K41/1000))</f>
        <v>1.4143800000000002</v>
      </c>
      <c r="N41" s="190">
        <v>6424</v>
      </c>
      <c r="O41" s="134">
        <f>IF(N41="","",IF(VLOOKUP($A41,'Ex ante LI &amp; Eligibility Stats'!$A$7:$M$23,O$34,FALSE)="N/A",0,VLOOKUP($A41,'Ex ante LI &amp; Eligibility Stats'!$A$7:$M$23,O$34,FALSE)*N41/1000))</f>
        <v>0</v>
      </c>
      <c r="P41" s="131">
        <f>IF(N41="","",IF(VLOOKUP($A41,'Ex post LI &amp; Eligibility Stats'!$A$10:$M$26,O$34,FALSE)="N/A",0,VLOOKUP($A41,'Ex post LI &amp; Eligibility Stats'!$A$10:$M$26,O$34,FALSE)*N41/1000))</f>
        <v>1.4132799999999999</v>
      </c>
      <c r="Q41" s="195">
        <v>6375</v>
      </c>
      <c r="R41" s="134">
        <f>IF(Q41="","",IF(VLOOKUP($A41,'Ex ante LI &amp; Eligibility Stats'!$A$7:$M$23,R$34,FALSE)="N/A",0,VLOOKUP($A41,'Ex ante LI &amp; Eligibility Stats'!$A$7:$M$23,R$34,FALSE)*Q41/1000))</f>
        <v>0</v>
      </c>
      <c r="S41" s="131">
        <f>IF(Q41="","",IF(VLOOKUP($A41,'Ex post LI &amp; Eligibility Stats'!$A$10:$M$26,R$34,FALSE)="N/A",0,VLOOKUP($A41,'Ex post LI &amp; Eligibility Stats'!$A$10:$M$26,R$34,FALSE)*Q41/1000))</f>
        <v>1.4025000000000001</v>
      </c>
      <c r="T41" s="352">
        <v>585981</v>
      </c>
      <c r="U41" s="249"/>
    </row>
    <row r="42" spans="1:21" s="83" customFormat="1" ht="11.25" customHeight="1" x14ac:dyDescent="0.2">
      <c r="A42" s="254" t="s">
        <v>183</v>
      </c>
      <c r="B42" s="227">
        <v>151467</v>
      </c>
      <c r="C42" s="228">
        <f>IF(B42="","",IF(VLOOKUP($A42,'Ex ante LI &amp; Eligibility Stats'!$A$7:$M$23,C$34,FALSE)="N/A",0,VLOOKUP($A42,'Ex ante LI &amp; Eligibility Stats'!$A$7:$M$23,C$34,FALSE)*B42/1000))</f>
        <v>78.9534203839968</v>
      </c>
      <c r="D42" s="229">
        <f>IF(B42="","",IF(VLOOKUP($A42,'Ex post LI &amp; Eligibility Stats'!$A$10:$M$26,C$34,FALSE)="N/A",0,VLOOKUP($A42,'Ex post LI &amp; Eligibility Stats'!$A$10:$M$26,C$34,FALSE)*B42/1000))</f>
        <v>33.322739999999996</v>
      </c>
      <c r="E42" s="208">
        <v>153097</v>
      </c>
      <c r="F42" s="228">
        <f>IF(E42="","",IF(VLOOKUP($A42,'Ex ante LI &amp; Eligibility Stats'!$A$7:$M$23,F$34,FALSE)="N/A",0,VLOOKUP($A42,'Ex ante LI &amp; Eligibility Stats'!$A$7:$M$23,F$34,FALSE)*E42/1000))</f>
        <v>54.878523549997702</v>
      </c>
      <c r="G42" s="229">
        <f>IF(E42="","",IF(VLOOKUP($A42,'Ex post LI &amp; Eligibility Stats'!$A$10:$M$26,F$34,FALSE)="N/A",0,VLOOKUP($A42,'Ex post LI &amp; Eligibility Stats'!$A$10:$M$26,F$34,FALSE)*E42/1000))</f>
        <v>33.681340000000006</v>
      </c>
      <c r="H42" s="208">
        <v>154811</v>
      </c>
      <c r="I42" s="228">
        <f>IF(H42="","",IF(VLOOKUP($A42,'Ex ante LI &amp; Eligibility Stats'!$A$7:$M$23,I$34,FALSE)="N/A",0,VLOOKUP($A42,'Ex ante LI &amp; Eligibility Stats'!$A$7:$M$23,I$34,FALSE)*H42/1000))</f>
        <v>45.621756385165796</v>
      </c>
      <c r="J42" s="229">
        <f>IF(H42="","",IF(VLOOKUP($A42,'Ex post LI &amp; Eligibility Stats'!$A$10:$M$26,I$34,FALSE)="N/A",0,VLOOKUP($A42,'Ex post LI &amp; Eligibility Stats'!$A$10:$M$26,I$34,FALSE)*H42/1000))</f>
        <v>34.058419999999998</v>
      </c>
      <c r="K42" s="192">
        <v>158521</v>
      </c>
      <c r="L42" s="337">
        <f>IF(K42="","",IF(VLOOKUP($A42,'Ex ante LI &amp; Eligibility Stats'!$A$7:$M$23,L$34,FALSE)="N/A",0,VLOOKUP($A42,'Ex ante LI &amp; Eligibility Stats'!$A$7:$M$23,L$34,FALSE)*K42/1000))</f>
        <v>8.9930009538600011</v>
      </c>
      <c r="M42" s="338">
        <f>IF(K42="","",IF(VLOOKUP($A42,'Ex post LI &amp; Eligibility Stats'!$A$10:$M$26,L$34,FALSE)="N/A",0,VLOOKUP($A42,'Ex post LI &amp; Eligibility Stats'!$A$10:$M$26,L$34,FALSE)*K42/1000))</f>
        <v>34.87462</v>
      </c>
      <c r="N42" s="192">
        <v>158894</v>
      </c>
      <c r="O42" s="135">
        <f>IF(N42="","",IF(VLOOKUP($A42,'Ex ante LI &amp; Eligibility Stats'!$A$7:$M$23,O$34,FALSE)="N/A",0,VLOOKUP($A42,'Ex ante LI &amp; Eligibility Stats'!$A$7:$M$23,O$34,FALSE)*N42/1000))</f>
        <v>0</v>
      </c>
      <c r="P42" s="132">
        <f>IF(N42="","",IF(VLOOKUP($A42,'Ex post LI &amp; Eligibility Stats'!$A$10:$M$26,O$34,FALSE)="N/A",0,VLOOKUP($A42,'Ex post LI &amp; Eligibility Stats'!$A$10:$M$26,O$34,FALSE)*N42/1000))</f>
        <v>34.956679999999999</v>
      </c>
      <c r="Q42" s="208">
        <v>157979</v>
      </c>
      <c r="R42" s="135">
        <f>IF(Q42="","",IF(VLOOKUP($A42,'Ex ante LI &amp; Eligibility Stats'!$A$7:$M$23,R$34,FALSE)="N/A",0,VLOOKUP($A42,'Ex ante LI &amp; Eligibility Stats'!$A$7:$M$23,R$34,FALSE)*Q42/1000))</f>
        <v>0</v>
      </c>
      <c r="S42" s="132">
        <f>IF(Q42="","",IF(VLOOKUP($A42,'Ex post LI &amp; Eligibility Stats'!$A$10:$M$26,R$34,FALSE)="N/A",0,VLOOKUP($A42,'Ex post LI &amp; Eligibility Stats'!$A$10:$M$26,R$34,FALSE)*Q42/1000))</f>
        <v>34.755379999999995</v>
      </c>
      <c r="T42" s="353">
        <v>3000000</v>
      </c>
      <c r="U42" s="249"/>
    </row>
    <row r="43" spans="1:21" s="83" customFormat="1" ht="12.75" customHeight="1" thickBot="1" x14ac:dyDescent="0.25">
      <c r="A43" s="29" t="s">
        <v>20</v>
      </c>
      <c r="B43" s="202">
        <f t="shared" ref="B43:S43" si="3">SUM(B38:B42)</f>
        <v>157717</v>
      </c>
      <c r="C43" s="230">
        <f t="shared" si="3"/>
        <v>280.68696719034381</v>
      </c>
      <c r="D43" s="231">
        <f t="shared" si="3"/>
        <v>205.61813999999998</v>
      </c>
      <c r="E43" s="202">
        <f t="shared" si="3"/>
        <v>159506</v>
      </c>
      <c r="F43" s="230">
        <f t="shared" si="3"/>
        <v>252.91132459654901</v>
      </c>
      <c r="G43" s="231">
        <f t="shared" si="3"/>
        <v>206.79939999999999</v>
      </c>
      <c r="H43" s="202">
        <f t="shared" si="3"/>
        <v>161424</v>
      </c>
      <c r="I43" s="230">
        <f t="shared" si="3"/>
        <v>247.39625011389938</v>
      </c>
      <c r="J43" s="231">
        <f t="shared" si="3"/>
        <v>211.94743999999997</v>
      </c>
      <c r="K43" s="102">
        <f t="shared" si="3"/>
        <v>165205</v>
      </c>
      <c r="L43" s="339">
        <f t="shared" si="3"/>
        <v>234.9605044782943</v>
      </c>
      <c r="M43" s="340">
        <f t="shared" si="3"/>
        <v>215.14229999999998</v>
      </c>
      <c r="N43" s="102">
        <f t="shared" si="3"/>
        <v>165574</v>
      </c>
      <c r="O43" s="136">
        <f t="shared" si="3"/>
        <v>215.94680374391999</v>
      </c>
      <c r="P43" s="137">
        <f t="shared" si="3"/>
        <v>216.01115999999996</v>
      </c>
      <c r="Q43" s="202">
        <f t="shared" si="3"/>
        <v>164614</v>
      </c>
      <c r="R43" s="136">
        <f t="shared" si="3"/>
        <v>184.042938612</v>
      </c>
      <c r="S43" s="137">
        <f t="shared" si="3"/>
        <v>218.95068000000001</v>
      </c>
      <c r="T43" s="354"/>
      <c r="U43" s="249"/>
    </row>
    <row r="44" spans="1:21" s="83" customFormat="1" ht="11.25" customHeight="1" thickTop="1" x14ac:dyDescent="0.2">
      <c r="A44" s="28" t="s">
        <v>29</v>
      </c>
      <c r="B44" s="203"/>
      <c r="C44" s="232"/>
      <c r="D44" s="233"/>
      <c r="E44" s="203"/>
      <c r="F44" s="232"/>
      <c r="G44" s="233"/>
      <c r="H44" s="203"/>
      <c r="I44" s="232"/>
      <c r="J44" s="233"/>
      <c r="K44" s="103"/>
      <c r="L44" s="77"/>
      <c r="M44" s="78"/>
      <c r="N44" s="103"/>
      <c r="O44" s="139"/>
      <c r="P44" s="140"/>
      <c r="Q44" s="455"/>
      <c r="R44" s="139"/>
      <c r="S44" s="449"/>
      <c r="T44" s="355"/>
      <c r="U44" s="249"/>
    </row>
    <row r="45" spans="1:21" s="83" customFormat="1" ht="11.25" customHeight="1" x14ac:dyDescent="0.2">
      <c r="A45" s="254" t="s">
        <v>69</v>
      </c>
      <c r="B45" s="204">
        <v>291</v>
      </c>
      <c r="C45" s="223">
        <f>IF(B45="","",IF(VLOOKUP($A45,'Ex ante LI &amp; Eligibility Stats'!$A$7:$M$23,C$34,FALSE)="N/A",0,VLOOKUP($A45,'Ex ante LI &amp; Eligibility Stats'!$A$7:$M$23,C$34,FALSE)*B45/1000))</f>
        <v>74.303860437690005</v>
      </c>
      <c r="D45" s="224">
        <f>IF(B45="","",IF(VLOOKUP($A45,'Ex post LI &amp; Eligibility Stats'!$A$10:$M$26,C$34,FALSE)="N/A",0,VLOOKUP($A45,'Ex post LI &amp; Eligibility Stats'!$A$10:$M$26,C$34,FALSE)*B45/1000))</f>
        <v>0</v>
      </c>
      <c r="E45" s="204">
        <v>296</v>
      </c>
      <c r="F45" s="223">
        <f>IF(E45="","",IF(VLOOKUP($A45,'Ex ante LI &amp; Eligibility Stats'!$A$7:$M$23,F$34,FALSE)="N/A",0,VLOOKUP($A45,'Ex ante LI &amp; Eligibility Stats'!$A$7:$M$23,F$34,FALSE)*E45/1000))</f>
        <v>75.580559070639993</v>
      </c>
      <c r="G45" s="224">
        <f>IF(E45="","",IF(VLOOKUP($A45,'Ex post LI &amp; Eligibility Stats'!$A$10:$M$26,F$34,FALSE)="N/A",0,VLOOKUP($A45,'Ex post LI &amp; Eligibility Stats'!$A$10:$M$26,F$34,FALSE)*E45/1000))</f>
        <v>0</v>
      </c>
      <c r="H45" s="204">
        <v>296</v>
      </c>
      <c r="I45" s="223">
        <f>IF(H45="","",IF(VLOOKUP($A45,'Ex ante LI &amp; Eligibility Stats'!$A$7:$M$23,I$34,FALSE)="N/A",0,VLOOKUP($A45,'Ex ante LI &amp; Eligibility Stats'!$A$7:$M$23,I$34,FALSE)*H45/1000))</f>
        <v>75.580559070639993</v>
      </c>
      <c r="J45" s="224">
        <f>IF(H45="","",IF(VLOOKUP($A45,'Ex post LI &amp; Eligibility Stats'!$A$10:$M$26,I$34,FALSE)="N/A",0,VLOOKUP($A45,'Ex post LI &amp; Eligibility Stats'!$A$10:$M$26,I$34,FALSE)*H45/1000))</f>
        <v>0</v>
      </c>
      <c r="K45" s="341">
        <v>296</v>
      </c>
      <c r="L45" s="333">
        <f>IF(K45="","",IF(VLOOKUP($A45,'Ex ante LI &amp; Eligibility Stats'!$A$7:$M$23,L$34,FALSE)="N/A",0,VLOOKUP($A45,'Ex ante LI &amp; Eligibility Stats'!$A$7:$M$23,L$34,FALSE)*K45/1000))</f>
        <v>75.580559070639993</v>
      </c>
      <c r="M45" s="334">
        <f>IF(K45="","",IF(VLOOKUP($A45,'Ex post LI &amp; Eligibility Stats'!$A$10:$M$26,L$34,FALSE)="N/A",0,VLOOKUP($A45,'Ex post LI &amp; Eligibility Stats'!$A$10:$M$26,L$34,FALSE)*K45/1000))</f>
        <v>0</v>
      </c>
      <c r="N45" s="364">
        <v>291</v>
      </c>
      <c r="O45" s="133">
        <f>IF(N45="","",IF(VLOOKUP($A45,'Ex ante LI &amp; Eligibility Stats'!$A$7:$M$23,O$34,FALSE)="N/A",0,VLOOKUP($A45,'Ex ante LI &amp; Eligibility Stats'!$A$7:$M$23,O$34,FALSE)*N45/1000))</f>
        <v>0</v>
      </c>
      <c r="P45" s="130">
        <f>IF(N45="","",IF(VLOOKUP($A45,'Ex post LI &amp; Eligibility Stats'!$A$10:$M$26,O$34,FALSE)="N/A",0,VLOOKUP($A45,'Ex post LI &amp; Eligibility Stats'!$A$10:$M$26,O$34,FALSE)*N45/1000))</f>
        <v>0</v>
      </c>
      <c r="Q45" s="204">
        <v>295</v>
      </c>
      <c r="R45" s="133">
        <f>IF(Q45="","",IF(VLOOKUP($A45,'Ex ante LI &amp; Eligibility Stats'!$A$7:$M$23,R$34,FALSE)="N/A",0,VLOOKUP($A45,'Ex ante LI &amp; Eligibility Stats'!$A$7:$M$23,R$34,FALSE)*Q45/1000))</f>
        <v>0</v>
      </c>
      <c r="S45" s="130">
        <f>IF(Q45="","",IF(VLOOKUP($A45,'Ex post LI &amp; Eligibility Stats'!$A$10:$M$26,R$34,FALSE)="N/A",0,VLOOKUP($A45,'Ex post LI &amp; Eligibility Stats'!$A$10:$M$26,R$34,FALSE)*Q45/1000))</f>
        <v>0</v>
      </c>
      <c r="T45" s="352">
        <v>590834</v>
      </c>
      <c r="U45" s="249"/>
    </row>
    <row r="46" spans="1:21" s="83" customFormat="1" ht="11.25" customHeight="1" x14ac:dyDescent="0.2">
      <c r="A46" s="254" t="s">
        <v>70</v>
      </c>
      <c r="B46" s="194">
        <v>1266</v>
      </c>
      <c r="C46" s="225">
        <f>IF(B46="","",IF(VLOOKUP($A46,'Ex ante LI &amp; Eligibility Stats'!$A$7:$M$23,C$34,FALSE)="N/A",0,VLOOKUP($A46,'Ex ante LI &amp; Eligibility Stats'!$A$7:$M$23,C$34,FALSE)*B46/1000))</f>
        <v>225.53517623898</v>
      </c>
      <c r="D46" s="226">
        <f>IF(B46="","",IF(VLOOKUP($A46,'Ex post LI &amp; Eligibility Stats'!$A$10:$M$26,C$34,FALSE)="N/A",0,VLOOKUP($A46,'Ex post LI &amp; Eligibility Stats'!$A$10:$M$26,C$34,FALSE)*B46/1000))</f>
        <v>265.86</v>
      </c>
      <c r="E46" s="194">
        <v>1445</v>
      </c>
      <c r="F46" s="225">
        <f>IF(E46="","",IF(VLOOKUP($A46,'Ex ante LI &amp; Eligibility Stats'!$A$7:$M$23,F$34,FALSE)="N/A",0,VLOOKUP($A46,'Ex ante LI &amp; Eligibility Stats'!$A$7:$M$23,F$34,FALSE)*E46/1000))</f>
        <v>257.42364112585</v>
      </c>
      <c r="G46" s="226">
        <f>IF(E46="","",IF(VLOOKUP($A46,'Ex post LI &amp; Eligibility Stats'!$A$10:$M$26,F$34,FALSE)="N/A",0,VLOOKUP($A46,'Ex post LI &amp; Eligibility Stats'!$A$10:$M$26,F$34,FALSE)*E46/1000))</f>
        <v>303.45</v>
      </c>
      <c r="H46" s="194">
        <v>1489</v>
      </c>
      <c r="I46" s="225">
        <f>IF(H46="","",IF(VLOOKUP($A46,'Ex ante LI &amp; Eligibility Stats'!$A$7:$M$23,I$34,FALSE)="N/A",0,VLOOKUP($A46,'Ex ante LI &amp; Eligibility Stats'!$A$7:$M$23,I$34,FALSE)*H46/1000))</f>
        <v>265.26214646117</v>
      </c>
      <c r="J46" s="226">
        <f>IF(H46="","",IF(VLOOKUP($A46,'Ex post LI &amp; Eligibility Stats'!$A$10:$M$26,I$34,FALSE)="N/A",0,VLOOKUP($A46,'Ex post LI &amp; Eligibility Stats'!$A$10:$M$26,I$34,FALSE)*H46/1000))</f>
        <v>312.69</v>
      </c>
      <c r="K46" s="342">
        <v>1510</v>
      </c>
      <c r="L46" s="335">
        <f>IF(K46="","",IF(VLOOKUP($A46,'Ex ante LI &amp; Eligibility Stats'!$A$7:$M$23,L$34,FALSE)="N/A",0,VLOOKUP($A46,'Ex ante LI &amp; Eligibility Stats'!$A$7:$M$23,L$34,FALSE)*K46/1000))</f>
        <v>269.00325128030005</v>
      </c>
      <c r="M46" s="336">
        <f>IF(K46="","",IF(VLOOKUP($A46,'Ex post LI &amp; Eligibility Stats'!$A$10:$M$26,L$34,FALSE)="N/A",0,VLOOKUP($A46,'Ex post LI &amp; Eligibility Stats'!$A$10:$M$26,L$34,FALSE)*K46/1000))</f>
        <v>317.10000000000002</v>
      </c>
      <c r="N46" s="189">
        <v>1505</v>
      </c>
      <c r="O46" s="134">
        <f>IF(N46="","",IF(VLOOKUP($A46,'Ex ante LI &amp; Eligibility Stats'!$A$7:$M$23,O$34,FALSE)="N/A",0,VLOOKUP($A46,'Ex ante LI &amp; Eligibility Stats'!$A$7:$M$23,O$34,FALSE)*N46/1000))</f>
        <v>0</v>
      </c>
      <c r="P46" s="131">
        <f>IF(N46="","",IF(VLOOKUP($A46,'Ex post LI &amp; Eligibility Stats'!$A$10:$M$26,O$34,FALSE)="N/A",0,VLOOKUP($A46,'Ex post LI &amp; Eligibility Stats'!$A$10:$M$26,O$34,FALSE)*N46/1000))</f>
        <v>316.05</v>
      </c>
      <c r="Q46" s="194">
        <v>1511</v>
      </c>
      <c r="R46" s="134">
        <f>IF(Q46="","",IF(VLOOKUP($A46,'Ex ante LI &amp; Eligibility Stats'!$A$7:$M$23,R$34,FALSE)="N/A",0,VLOOKUP($A46,'Ex ante LI &amp; Eligibility Stats'!$A$7:$M$23,R$34,FALSE)*Q46/1000))</f>
        <v>0</v>
      </c>
      <c r="S46" s="131">
        <f>IF(Q46="","",IF(VLOOKUP($A46,'Ex post LI &amp; Eligibility Stats'!$A$10:$M$26,R$34,FALSE)="N/A",0,VLOOKUP($A46,'Ex post LI &amp; Eligibility Stats'!$A$10:$M$26,R$34,FALSE)*Q46/1000))</f>
        <v>317.31</v>
      </c>
      <c r="T46" s="352">
        <v>590834</v>
      </c>
      <c r="U46" s="249"/>
    </row>
    <row r="47" spans="1:21" s="83" customFormat="1" ht="11.25" customHeight="1" x14ac:dyDescent="0.2">
      <c r="A47" s="254" t="s">
        <v>122</v>
      </c>
      <c r="B47" s="255">
        <v>141</v>
      </c>
      <c r="C47" s="225">
        <f>IF(B47="","",IF(VLOOKUP($A47,'Ex ante LI &amp; Eligibility Stats'!$A$7:$M$23,C$34,FALSE)="N/A",0,VLOOKUP($A47,'Ex ante LI &amp; Eligibility Stats'!$A$7:$M$23,C$34,FALSE)*B47/1000))</f>
        <v>4.8027995380109996</v>
      </c>
      <c r="D47" s="226">
        <f>IF(B47="","",IF(VLOOKUP($A47,'Ex post LI &amp; Eligibility Stats'!$A$10:$M$26,C$34,FALSE)="N/A",0,VLOOKUP($A47,'Ex post LI &amp; Eligibility Stats'!$A$10:$M$26,C$34,FALSE)*B47/1000))</f>
        <v>4.2300000000000004</v>
      </c>
      <c r="E47" s="194">
        <v>178</v>
      </c>
      <c r="F47" s="225">
        <f>IF(E47="","",IF(VLOOKUP($A47,'Ex ante LI &amp; Eligibility Stats'!$A$7:$M$23,F$34,FALSE)="N/A",0,VLOOKUP($A47,'Ex ante LI &amp; Eligibility Stats'!$A$7:$M$23,F$34,FALSE)*E47/1000))</f>
        <v>5.96997451971</v>
      </c>
      <c r="G47" s="226">
        <f>IF(E47="","",IF(VLOOKUP($A47,'Ex post LI &amp; Eligibility Stats'!$A$10:$M$26,F$34,FALSE)="N/A",0,VLOOKUP($A47,'Ex post LI &amp; Eligibility Stats'!$A$10:$M$26,F$34,FALSE)*E47/1000))</f>
        <v>5.34</v>
      </c>
      <c r="H47" s="194">
        <v>185</v>
      </c>
      <c r="I47" s="225">
        <f>IF(H47="","",IF(VLOOKUP($A47,'Ex ante LI &amp; Eligibility Stats'!$A$7:$M$23,I$34,FALSE)="N/A",0,VLOOKUP($A47,'Ex ante LI &amp; Eligibility Stats'!$A$7:$M$23,I$34,FALSE)*H47/1000))</f>
        <v>6.2210437012499993</v>
      </c>
      <c r="J47" s="226">
        <f>IF(H47="","",IF(VLOOKUP($A47,'Ex post LI &amp; Eligibility Stats'!$A$10:$M$26,I$34,FALSE)="N/A",0,VLOOKUP($A47,'Ex post LI &amp; Eligibility Stats'!$A$10:$M$26,I$34,FALSE)*H47/1000))</f>
        <v>5.55</v>
      </c>
      <c r="K47" s="342">
        <v>0</v>
      </c>
      <c r="L47" s="335">
        <f>IF(K47="","",IF(VLOOKUP($A47,'Ex ante LI &amp; Eligibility Stats'!$A$7:$M$23,L$34,FALSE)="N/A",0,VLOOKUP($A47,'Ex ante LI &amp; Eligibility Stats'!$A$7:$M$23,L$34,FALSE)*K47/1000))</f>
        <v>0</v>
      </c>
      <c r="M47" s="336">
        <f>IF(K47="","",IF(VLOOKUP($A47,'Ex post LI &amp; Eligibility Stats'!$A$10:$M$26,L$34,FALSE)="N/A",0,VLOOKUP($A47,'Ex post LI &amp; Eligibility Stats'!$A$10:$M$26,L$34,FALSE)*K47/1000))</f>
        <v>0</v>
      </c>
      <c r="N47" s="189">
        <v>0</v>
      </c>
      <c r="O47" s="134">
        <f>IF(N47="","",IF(VLOOKUP($A47,'Ex ante LI &amp; Eligibility Stats'!$A$7:$M$23,O$34,FALSE)="N/A",0,VLOOKUP($A47,'Ex ante LI &amp; Eligibility Stats'!$A$7:$M$23,O$34,FALSE)*N47/1000))</f>
        <v>0</v>
      </c>
      <c r="P47" s="131">
        <f>IF(N47="","",IF(VLOOKUP($A47,'Ex post LI &amp; Eligibility Stats'!$A$10:$M$26,O$34,FALSE)="N/A",0,VLOOKUP($A47,'Ex post LI &amp; Eligibility Stats'!$A$10:$M$26,O$34,FALSE)*N47/1000))</f>
        <v>0</v>
      </c>
      <c r="Q47" s="194">
        <v>0</v>
      </c>
      <c r="R47" s="134">
        <f>IF(Q47="","",IF(VLOOKUP($A47,'Ex ante LI &amp; Eligibility Stats'!$A$7:$M$23,R$34,FALSE)="N/A",0,VLOOKUP($A47,'Ex ante LI &amp; Eligibility Stats'!$A$7:$M$23,R$34,FALSE)*Q47/1000))</f>
        <v>0</v>
      </c>
      <c r="S47" s="131">
        <f>IF(Q47="","",IF(VLOOKUP($A47,'Ex post LI &amp; Eligibility Stats'!$A$10:$M$26,R$34,FALSE)="N/A",0,VLOOKUP($A47,'Ex post LI &amp; Eligibility Stats'!$A$10:$M$26,R$34,FALSE)*Q47/1000))</f>
        <v>0</v>
      </c>
      <c r="T47" s="352">
        <v>590834</v>
      </c>
      <c r="U47" s="249"/>
    </row>
    <row r="48" spans="1:21" s="83" customFormat="1" ht="11.25" customHeight="1" x14ac:dyDescent="0.2">
      <c r="A48" s="254" t="s">
        <v>123</v>
      </c>
      <c r="B48" s="255">
        <v>238</v>
      </c>
      <c r="C48" s="225">
        <f>IF(B48="","",IF(VLOOKUP($A48,'Ex ante LI &amp; Eligibility Stats'!$A$7:$M$23,C$34,FALSE)="N/A",0,VLOOKUP($A48,'Ex ante LI &amp; Eligibility Stats'!$A$7:$M$23,C$34,FALSE)*B48/1000))</f>
        <v>19.971865098374</v>
      </c>
      <c r="D48" s="226">
        <f>IF(B48="","",IF(VLOOKUP($A48,'Ex post LI &amp; Eligibility Stats'!$A$10:$M$26,C$34,FALSE)="N/A",0,VLOOKUP($A48,'Ex post LI &amp; Eligibility Stats'!$A$10:$M$26,C$34,FALSE)*B48/1000))</f>
        <v>19.04</v>
      </c>
      <c r="E48" s="194">
        <v>214</v>
      </c>
      <c r="F48" s="225">
        <f>IF(E48="","",IF(VLOOKUP($A48,'Ex ante LI &amp; Eligibility Stats'!$A$7:$M$23,F$34,FALSE)="N/A",0,VLOOKUP($A48,'Ex ante LI &amp; Eligibility Stats'!$A$7:$M$23,F$34,FALSE)*E48/1000))</f>
        <v>18.135638029186001</v>
      </c>
      <c r="G48" s="226">
        <f>IF(E48="","",IF(VLOOKUP($A48,'Ex post LI &amp; Eligibility Stats'!$A$10:$M$26,F$34,FALSE)="N/A",0,VLOOKUP($A48,'Ex post LI &amp; Eligibility Stats'!$A$10:$M$26,F$34,FALSE)*E48/1000))</f>
        <v>17.12</v>
      </c>
      <c r="H48" s="194">
        <v>214</v>
      </c>
      <c r="I48" s="225">
        <f>IF(H48="","",IF(VLOOKUP($A48,'Ex ante LI &amp; Eligibility Stats'!$A$7:$M$23,I$34,FALSE)="N/A",0,VLOOKUP($A48,'Ex ante LI &amp; Eligibility Stats'!$A$7:$M$23,I$34,FALSE)*H48/1000))</f>
        <v>18.023898141901999</v>
      </c>
      <c r="J48" s="226">
        <f>IF(H48="","",IF(VLOOKUP($A48,'Ex post LI &amp; Eligibility Stats'!$A$10:$M$26,I$34,FALSE)="N/A",0,VLOOKUP($A48,'Ex post LI &amp; Eligibility Stats'!$A$10:$M$26,I$34,FALSE)*H48/1000))</f>
        <v>17.12</v>
      </c>
      <c r="K48" s="342">
        <v>0</v>
      </c>
      <c r="L48" s="335">
        <f>IF(K48="","",IF(VLOOKUP($A48,'Ex ante LI &amp; Eligibility Stats'!$A$7:$M$23,L$34,FALSE)="N/A",0,VLOOKUP($A48,'Ex ante LI &amp; Eligibility Stats'!$A$7:$M$23,L$34,FALSE)*K48/1000))</f>
        <v>0</v>
      </c>
      <c r="M48" s="336">
        <f>IF(K48="","",IF(VLOOKUP($A48,'Ex post LI &amp; Eligibility Stats'!$A$10:$M$26,L$34,FALSE)="N/A",0,VLOOKUP($A48,'Ex post LI &amp; Eligibility Stats'!$A$10:$M$26,L$34,FALSE)*K48/1000))</f>
        <v>0</v>
      </c>
      <c r="N48" s="189">
        <v>0</v>
      </c>
      <c r="O48" s="134">
        <f>IF(N48="","",IF(VLOOKUP($A48,'Ex ante LI &amp; Eligibility Stats'!$A$7:$M$23,O$34,FALSE)="N/A",0,VLOOKUP($A48,'Ex ante LI &amp; Eligibility Stats'!$A$7:$M$23,O$34,FALSE)*N48/1000))</f>
        <v>0</v>
      </c>
      <c r="P48" s="131">
        <f>IF(N48="","",IF(VLOOKUP($A48,'Ex post LI &amp; Eligibility Stats'!$A$10:$M$26,O$34,FALSE)="N/A",0,VLOOKUP($A48,'Ex post LI &amp; Eligibility Stats'!$A$10:$M$26,O$34,FALSE)*N48/1000))</f>
        <v>0</v>
      </c>
      <c r="Q48" s="194">
        <v>0</v>
      </c>
      <c r="R48" s="134">
        <f>IF(Q48="","",IF(VLOOKUP($A48,'Ex ante LI &amp; Eligibility Stats'!$A$7:$M$23,R$34,FALSE)="N/A",0,VLOOKUP($A48,'Ex ante LI &amp; Eligibility Stats'!$A$7:$M$23,R$34,FALSE)*Q48/1000))</f>
        <v>0</v>
      </c>
      <c r="S48" s="131">
        <f>IF(Q48="","",IF(VLOOKUP($A48,'Ex post LI &amp; Eligibility Stats'!$A$10:$M$26,R$34,FALSE)="N/A",0,VLOOKUP($A48,'Ex post LI &amp; Eligibility Stats'!$A$10:$M$26,R$34,FALSE)*Q48/1000))</f>
        <v>0</v>
      </c>
      <c r="T48" s="352">
        <v>590834</v>
      </c>
      <c r="U48" s="249"/>
    </row>
    <row r="49" spans="1:21" s="83" customFormat="1" ht="11.25" customHeight="1" x14ac:dyDescent="0.2">
      <c r="A49" s="254" t="s">
        <v>14</v>
      </c>
      <c r="B49" s="255">
        <v>1058</v>
      </c>
      <c r="C49" s="225">
        <f>IF(B49="","",IF(VLOOKUP($A49,'Ex ante LI &amp; Eligibility Stats'!$A$7:$M$23,C$34,FALSE)="N/A",0,VLOOKUP($A49,'Ex ante LI &amp; Eligibility Stats'!$A$7:$M$23,C$34,FALSE)*B49/1000))</f>
        <v>72.485247861882002</v>
      </c>
      <c r="D49" s="226">
        <f>IF(B49="","",IF(VLOOKUP($A49,'Ex post LI &amp; Eligibility Stats'!$A$10:$M$26,C$34,FALSE)="N/A",0,VLOOKUP($A49,'Ex post LI &amp; Eligibility Stats'!$A$10:$M$26,C$34,FALSE)*B49/1000))</f>
        <v>68.664200000000008</v>
      </c>
      <c r="E49" s="195">
        <v>1054</v>
      </c>
      <c r="F49" s="225">
        <f>IF(E49="","",IF(VLOOKUP($A49,'Ex ante LI &amp; Eligibility Stats'!$A$7:$M$23,F$34,FALSE)="N/A",0,VLOOKUP($A49,'Ex ante LI &amp; Eligibility Stats'!$A$7:$M$23,F$34,FALSE)*E49/1000))</f>
        <v>68.836855878867993</v>
      </c>
      <c r="G49" s="226">
        <f>IF(E49="","",IF(VLOOKUP($A49,'Ex post LI &amp; Eligibility Stats'!$A$10:$M$26,F$34,FALSE)="N/A",0,VLOOKUP($A49,'Ex post LI &amp; Eligibility Stats'!$A$10:$M$26,F$34,FALSE)*E49/1000))</f>
        <v>68.404600000000002</v>
      </c>
      <c r="H49" s="195">
        <v>1060</v>
      </c>
      <c r="I49" s="225">
        <f>IF(H49="","",IF(VLOOKUP($A49,'Ex ante LI &amp; Eligibility Stats'!$A$7:$M$23,I$34,FALSE)="N/A",0,VLOOKUP($A49,'Ex ante LI &amp; Eligibility Stats'!$A$7:$M$23,I$34,FALSE)*H49/1000))</f>
        <v>72.240125860980001</v>
      </c>
      <c r="J49" s="226">
        <f>IF(H49="","",IF(VLOOKUP($A49,'Ex post LI &amp; Eligibility Stats'!$A$10:$M$26,I$34,FALSE)="N/A",0,VLOOKUP($A49,'Ex post LI &amp; Eligibility Stats'!$A$10:$M$26,I$34,FALSE)*H49/1000))</f>
        <v>68.793999999999997</v>
      </c>
      <c r="K49" s="190">
        <v>1049</v>
      </c>
      <c r="L49" s="335">
        <f>IF(K49="","",IF(VLOOKUP($A49,'Ex ante LI &amp; Eligibility Stats'!$A$7:$M$23,L$34,FALSE)="N/A",0,VLOOKUP($A49,'Ex ante LI &amp; Eligibility Stats'!$A$7:$M$23,L$34,FALSE)*K49/1000))</f>
        <v>68.636593926196994</v>
      </c>
      <c r="M49" s="336">
        <f>IF(K49="","",IF(VLOOKUP($A49,'Ex post LI &amp; Eligibility Stats'!$A$10:$M$26,L$34,FALSE)="N/A",0,VLOOKUP($A49,'Ex post LI &amp; Eligibility Stats'!$A$10:$M$26,L$34,FALSE)*K49/1000))</f>
        <v>68.080100000000002</v>
      </c>
      <c r="N49" s="190">
        <v>1044</v>
      </c>
      <c r="O49" s="134">
        <f>IF(N49="","",IF(VLOOKUP($A49,'Ex ante LI &amp; Eligibility Stats'!$A$7:$M$23,O$34,FALSE)="N/A",0,VLOOKUP($A49,'Ex ante LI &amp; Eligibility Stats'!$A$7:$M$23,O$34,FALSE)*N49/1000))</f>
        <v>73.205755472052005</v>
      </c>
      <c r="P49" s="131">
        <f>IF(N49="","",IF(VLOOKUP($A49,'Ex post LI &amp; Eligibility Stats'!$A$10:$M$26,O$34,FALSE)="N/A",0,VLOOKUP($A49,'Ex post LI &amp; Eligibility Stats'!$A$10:$M$26,O$34,FALSE)*N49/1000))</f>
        <v>67.755600000000001</v>
      </c>
      <c r="Q49" s="195">
        <v>1044</v>
      </c>
      <c r="R49" s="134">
        <f>IF(Q49="","",IF(VLOOKUP($A49,'Ex ante LI &amp; Eligibility Stats'!$A$7:$M$23,R$34,FALSE)="N/A",0,VLOOKUP($A49,'Ex ante LI &amp; Eligibility Stats'!$A$7:$M$23,R$34,FALSE)*Q49/1000))</f>
        <v>58.620652606116003</v>
      </c>
      <c r="S49" s="131">
        <f>IF(Q49="","",IF(VLOOKUP($A49,'Ex post LI &amp; Eligibility Stats'!$A$10:$M$26,R$34,FALSE)="N/A",0,VLOOKUP($A49,'Ex post LI &amp; Eligibility Stats'!$A$10:$M$26,R$34,FALSE)*Q49/1000))</f>
        <v>67.755600000000001</v>
      </c>
      <c r="T49" s="352">
        <v>10199</v>
      </c>
      <c r="U49" s="249"/>
    </row>
    <row r="50" spans="1:21" s="83" customFormat="1" ht="11.25" customHeight="1" x14ac:dyDescent="0.2">
      <c r="A50" s="254" t="s">
        <v>174</v>
      </c>
      <c r="B50" s="194">
        <v>1888</v>
      </c>
      <c r="C50" s="225">
        <f>IF(B50="","",IF(VLOOKUP($A50,'Ex ante LI &amp; Eligibility Stats'!$A$7:$M$23,C$34,FALSE)="N/A",0,VLOOKUP($A50,'Ex ante LI &amp; Eligibility Stats'!$A$7:$M$23,C$34,FALSE)*B50/1000))</f>
        <v>23.266674341984</v>
      </c>
      <c r="D50" s="226">
        <f>IF(B50="","",IF(VLOOKUP($A50,'Ex post LI &amp; Eligibility Stats'!$A$10:$M$26,C$34,FALSE)="N/A",0,VLOOKUP($A50,'Ex post LI &amp; Eligibility Stats'!$A$10:$M$26,C$34,FALSE)*B50/1000))</f>
        <v>26.054400000000001</v>
      </c>
      <c r="E50" s="194">
        <v>1952</v>
      </c>
      <c r="F50" s="225">
        <f>IF(E50="","",IF(VLOOKUP($A50,'Ex ante LI &amp; Eligibility Stats'!$A$7:$M$23,F$34,FALSE)="N/A",0,VLOOKUP($A50,'Ex ante LI &amp; Eligibility Stats'!$A$7:$M$23,F$34,FALSE)*E50/1000))</f>
        <v>23.947933840960001</v>
      </c>
      <c r="G50" s="226">
        <f>IF(E50="","",IF(VLOOKUP($A50,'Ex post LI &amp; Eligibility Stats'!$A$10:$M$26,F$34,FALSE)="N/A",0,VLOOKUP($A50,'Ex post LI &amp; Eligibility Stats'!$A$10:$M$26,F$34,FALSE)*E50/1000))</f>
        <v>26.937600000000003</v>
      </c>
      <c r="H50" s="194">
        <v>1904</v>
      </c>
      <c r="I50" s="225">
        <f>IF(H50="","",IF(VLOOKUP($A50,'Ex ante LI &amp; Eligibility Stats'!$A$7:$M$23,I$34,FALSE)="N/A",0,VLOOKUP($A50,'Ex ante LI &amp; Eligibility Stats'!$A$7:$M$23,I$34,FALSE)*H50/1000))</f>
        <v>27.83690923776</v>
      </c>
      <c r="J50" s="226">
        <f>IF(H50="","",IF(VLOOKUP($A50,'Ex post LI &amp; Eligibility Stats'!$A$10:$M$26,I$34,FALSE)="N/A",0,VLOOKUP($A50,'Ex post LI &amp; Eligibility Stats'!$A$10:$M$26,I$34,FALSE)*H50/1000))</f>
        <v>26.275200000000002</v>
      </c>
      <c r="K50" s="189">
        <v>1937</v>
      </c>
      <c r="L50" s="335">
        <f>IF(K50="","",IF(VLOOKUP($A50,'Ex ante LI &amp; Eligibility Stats'!$A$7:$M$23,L$34,FALSE)="N/A",0,VLOOKUP($A50,'Ex ante LI &amp; Eligibility Stats'!$A$7:$M$23,L$34,FALSE)*K50/1000))</f>
        <v>26.847455758265998</v>
      </c>
      <c r="M50" s="336">
        <f>IF(K50="","",IF(VLOOKUP($A50,'Ex post LI &amp; Eligibility Stats'!$A$10:$M$26,L$34,FALSE)="N/A",0,VLOOKUP($A50,'Ex post LI &amp; Eligibility Stats'!$A$10:$M$26,L$34,FALSE)*K50/1000))</f>
        <v>26.730600000000003</v>
      </c>
      <c r="N50" s="189">
        <v>1963</v>
      </c>
      <c r="O50" s="134">
        <f>IF(N50="","",IF(VLOOKUP($A50,'Ex ante LI &amp; Eligibility Stats'!$A$7:$M$23,O$34,FALSE)="N/A",0,VLOOKUP($A50,'Ex ante LI &amp; Eligibility Stats'!$A$7:$M$23,O$34,FALSE)*N50/1000))</f>
        <v>11.720154962023299</v>
      </c>
      <c r="P50" s="131">
        <f>IF(N50="","",IF(VLOOKUP($A50,'Ex post LI &amp; Eligibility Stats'!$A$10:$M$26,O$34,FALSE)="N/A",0,VLOOKUP($A50,'Ex post LI &amp; Eligibility Stats'!$A$10:$M$26,O$34,FALSE)*N50/1000))</f>
        <v>27.089400000000001</v>
      </c>
      <c r="Q50" s="194">
        <v>5271</v>
      </c>
      <c r="R50" s="134">
        <f>IF(Q50="","",IF(VLOOKUP($A50,'Ex ante LI &amp; Eligibility Stats'!$A$7:$M$23,R$34,FALSE)="N/A",0,VLOOKUP($A50,'Ex ante LI &amp; Eligibility Stats'!$A$7:$M$23,R$34,FALSE)*Q50/1000))</f>
        <v>30.807942603209099</v>
      </c>
      <c r="S50" s="131">
        <f>IF(Q50="","",IF(VLOOKUP($A50,'Ex post LI &amp; Eligibility Stats'!$A$10:$M$26,R$34,FALSE)="N/A",0,VLOOKUP($A50,'Ex post LI &amp; Eligibility Stats'!$A$10:$M$26,R$34,FALSE)*Q50/1000))</f>
        <v>72.739800000000002</v>
      </c>
      <c r="T50" s="352">
        <v>161391</v>
      </c>
      <c r="U50" s="249"/>
    </row>
    <row r="51" spans="1:21" s="83" customFormat="1" ht="11.25" customHeight="1" x14ac:dyDescent="0.2">
      <c r="A51" s="254" t="s">
        <v>126</v>
      </c>
      <c r="B51" s="194">
        <v>119</v>
      </c>
      <c r="C51" s="225">
        <f>IF(B51="","",IF(VLOOKUP($A51,'Ex ante LI &amp; Eligibility Stats'!$A$7:$M$23,C$34,FALSE)="N/A",0,VLOOKUP($A51,'Ex ante LI &amp; Eligibility Stats'!$A$7:$M$23,C$34,FALSE)*B51/1000))</f>
        <v>0.80058304983790007</v>
      </c>
      <c r="D51" s="226">
        <f>IF(B51="","",IF(VLOOKUP($A51,'Ex post LI &amp; Eligibility Stats'!$A$10:$M$26,C$34,FALSE)="N/A",0,VLOOKUP($A51,'Ex post LI &amp; Eligibility Stats'!$A$10:$M$26,C$34,FALSE)*B51/1000))</f>
        <v>1.6183999999999998</v>
      </c>
      <c r="E51" s="194">
        <v>121</v>
      </c>
      <c r="F51" s="225">
        <f>IF(E51="","",IF(VLOOKUP($A51,'Ex ante LI &amp; Eligibility Stats'!$A$7:$M$23,F$34,FALSE)="N/A",0,VLOOKUP($A51,'Ex ante LI &amp; Eligibility Stats'!$A$7:$M$23,F$34,FALSE)*E51/1000))</f>
        <v>0.81665492081360003</v>
      </c>
      <c r="G51" s="226">
        <f>IF(E51="","",IF(VLOOKUP($A51,'Ex post LI &amp; Eligibility Stats'!$A$10:$M$26,F$34,FALSE)="N/A",0,VLOOKUP($A51,'Ex post LI &amp; Eligibility Stats'!$A$10:$M$26,F$34,FALSE)*E51/1000))</f>
        <v>1.6456</v>
      </c>
      <c r="H51" s="194">
        <v>122</v>
      </c>
      <c r="I51" s="225">
        <f>IF(H51="","",IF(VLOOKUP($A51,'Ex ante LI &amp; Eligibility Stats'!$A$7:$M$23,I$34,FALSE)="N/A",0,VLOOKUP($A51,'Ex ante LI &amp; Eligibility Stats'!$A$7:$M$23,I$34,FALSE)*H51/1000))</f>
        <v>0.80368315926239997</v>
      </c>
      <c r="J51" s="226">
        <f>IF(H51="","",IF(VLOOKUP($A51,'Ex post LI &amp; Eligibility Stats'!$A$10:$M$26,I$34,FALSE)="N/A",0,VLOOKUP($A51,'Ex post LI &amp; Eligibility Stats'!$A$10:$M$26,I$34,FALSE)*H51/1000))</f>
        <v>1.6592</v>
      </c>
      <c r="K51" s="342">
        <v>116</v>
      </c>
      <c r="L51" s="335">
        <f>IF(K51="","",IF(VLOOKUP($A51,'Ex ante LI &amp; Eligibility Stats'!$A$7:$M$23,L$34,FALSE)="N/A",0,VLOOKUP($A51,'Ex ante LI &amp; Eligibility Stats'!$A$7:$M$23,L$34,FALSE)*K51/1000))</f>
        <v>0.66450775758559999</v>
      </c>
      <c r="M51" s="336">
        <f>IF(K51="","",IF(VLOOKUP($A51,'Ex post LI &amp; Eligibility Stats'!$A$10:$M$26,L$34,FALSE)="N/A",0,VLOOKUP($A51,'Ex post LI &amp; Eligibility Stats'!$A$10:$M$26,L$34,FALSE)*K51/1000))</f>
        <v>1.5775999999999999</v>
      </c>
      <c r="N51" s="189">
        <v>115</v>
      </c>
      <c r="O51" s="134">
        <f>IF(N51="","",IF(VLOOKUP($A51,'Ex ante LI &amp; Eligibility Stats'!$A$7:$M$23,O$34,FALSE)="N/A",0,VLOOKUP($A51,'Ex ante LI &amp; Eligibility Stats'!$A$7:$M$23,O$34,FALSE)*N51/1000))</f>
        <v>0</v>
      </c>
      <c r="P51" s="131">
        <f>IF(N51="","",IF(VLOOKUP($A51,'Ex post LI &amp; Eligibility Stats'!$A$10:$M$26,O$34,FALSE)="N/A",0,VLOOKUP($A51,'Ex post LI &amp; Eligibility Stats'!$A$10:$M$26,O$34,FALSE)*N51/1000))</f>
        <v>1.5640000000000001</v>
      </c>
      <c r="Q51" s="194">
        <v>115</v>
      </c>
      <c r="R51" s="134">
        <f>IF(Q51="","",IF(VLOOKUP($A51,'Ex ante LI &amp; Eligibility Stats'!$A$7:$M$23,R$34,FALSE)="N/A",0,VLOOKUP($A51,'Ex ante LI &amp; Eligibility Stats'!$A$7:$M$23,R$34,FALSE)*Q51/1000))</f>
        <v>0</v>
      </c>
      <c r="S51" s="131">
        <f>IF(Q51="","",IF(VLOOKUP($A51,'Ex post LI &amp; Eligibility Stats'!$A$10:$M$26,R$34,FALSE)="N/A",0,VLOOKUP($A51,'Ex post LI &amp; Eligibility Stats'!$A$10:$M$26,R$34,FALSE)*Q51/1000))</f>
        <v>1.5640000000000001</v>
      </c>
      <c r="T51" s="352">
        <v>100833</v>
      </c>
      <c r="U51" s="249"/>
    </row>
    <row r="52" spans="1:21" s="83" customFormat="1" ht="11.25" customHeight="1" x14ac:dyDescent="0.2">
      <c r="A52" s="254" t="s">
        <v>127</v>
      </c>
      <c r="B52" s="194">
        <v>48</v>
      </c>
      <c r="C52" s="225">
        <f>IF(B52="","",IF(VLOOKUP($A52,'Ex ante LI &amp; Eligibility Stats'!$A$7:$M$23,C$34,FALSE)="N/A",0,VLOOKUP($A52,'Ex ante LI &amp; Eligibility Stats'!$A$7:$M$23,C$34,FALSE)*B52/1000))</f>
        <v>1.1375226069119999</v>
      </c>
      <c r="D52" s="226">
        <f>IF(B52="","",IF(VLOOKUP($A52,'Ex post LI &amp; Eligibility Stats'!$A$10:$M$26,C$34,FALSE)="N/A",0,VLOOKUP($A52,'Ex post LI &amp; Eligibility Stats'!$A$10:$M$26,C$34,FALSE)*B52/1000))</f>
        <v>1.3919999999999999</v>
      </c>
      <c r="E52" s="194">
        <v>48</v>
      </c>
      <c r="F52" s="225">
        <f>IF(E52="","",IF(VLOOKUP($A52,'Ex ante LI &amp; Eligibility Stats'!$A$7:$M$23,F$34,FALSE)="N/A",0,VLOOKUP($A52,'Ex ante LI &amp; Eligibility Stats'!$A$7:$M$23,F$34,FALSE)*E52/1000))</f>
        <v>1.1191699484159998</v>
      </c>
      <c r="G52" s="226">
        <f>IF(E52="","",IF(VLOOKUP($A52,'Ex post LI &amp; Eligibility Stats'!$A$10:$M$26,F$34,FALSE)="N/A",0,VLOOKUP($A52,'Ex post LI &amp; Eligibility Stats'!$A$10:$M$26,F$34,FALSE)*E52/1000))</f>
        <v>1.3919999999999999</v>
      </c>
      <c r="H52" s="194">
        <v>47</v>
      </c>
      <c r="I52" s="225">
        <f>IF(H52="","",IF(VLOOKUP($A52,'Ex ante LI &amp; Eligibility Stats'!$A$7:$M$23,I$34,FALSE)="N/A",0,VLOOKUP($A52,'Ex ante LI &amp; Eligibility Stats'!$A$7:$M$23,I$34,FALSE)*H52/1000))</f>
        <v>1.0480338378649998</v>
      </c>
      <c r="J52" s="226">
        <f>IF(H52="","",IF(VLOOKUP($A52,'Ex post LI &amp; Eligibility Stats'!$A$10:$M$26,I$34,FALSE)="N/A",0,VLOOKUP($A52,'Ex post LI &amp; Eligibility Stats'!$A$10:$M$26,I$34,FALSE)*H52/1000))</f>
        <v>1.363</v>
      </c>
      <c r="K52" s="342">
        <v>46</v>
      </c>
      <c r="L52" s="335">
        <f>IF(K52="","",IF(VLOOKUP($A52,'Ex ante LI &amp; Eligibility Stats'!$A$7:$M$23,L$34,FALSE)="N/A",0,VLOOKUP($A52,'Ex ante LI &amp; Eligibility Stats'!$A$7:$M$23,L$34,FALSE)*K52/1000))</f>
        <v>1.0354660199280001</v>
      </c>
      <c r="M52" s="336">
        <f>IF(K52="","",IF(VLOOKUP($A52,'Ex post LI &amp; Eligibility Stats'!$A$10:$M$26,L$34,FALSE)="N/A",0,VLOOKUP($A52,'Ex post LI &amp; Eligibility Stats'!$A$10:$M$26,L$34,FALSE)*K52/1000))</f>
        <v>1.3340000000000001</v>
      </c>
      <c r="N52" s="189">
        <v>46</v>
      </c>
      <c r="O52" s="134">
        <f>IF(N52="","",IF(VLOOKUP($A52,'Ex ante LI &amp; Eligibility Stats'!$A$7:$M$23,O$34,FALSE)="N/A",0,VLOOKUP($A52,'Ex ante LI &amp; Eligibility Stats'!$A$7:$M$23,O$34,FALSE)*N52/1000))</f>
        <v>0</v>
      </c>
      <c r="P52" s="131">
        <f>IF(N52="","",IF(VLOOKUP($A52,'Ex post LI &amp; Eligibility Stats'!$A$10:$M$26,O$34,FALSE)="N/A",0,VLOOKUP($A52,'Ex post LI &amp; Eligibility Stats'!$A$10:$M$26,O$34,FALSE)*N52/1000))</f>
        <v>1.3340000000000001</v>
      </c>
      <c r="Q52" s="194">
        <v>46</v>
      </c>
      <c r="R52" s="134">
        <f>IF(Q52="","",IF(VLOOKUP($A52,'Ex ante LI &amp; Eligibility Stats'!$A$7:$M$23,R$34,FALSE)="N/A",0,VLOOKUP($A52,'Ex ante LI &amp; Eligibility Stats'!$A$7:$M$23,R$34,FALSE)*Q52/1000))</f>
        <v>0</v>
      </c>
      <c r="S52" s="131">
        <f>IF(Q52="","",IF(VLOOKUP($A52,'Ex post LI &amp; Eligibility Stats'!$A$10:$M$26,R$34,FALSE)="N/A",0,VLOOKUP($A52,'Ex post LI &amp; Eligibility Stats'!$A$10:$M$26,R$34,FALSE)*Q52/1000))</f>
        <v>1.3340000000000001</v>
      </c>
      <c r="T52" s="352">
        <v>100833</v>
      </c>
      <c r="U52" s="249"/>
    </row>
    <row r="53" spans="1:21" s="83" customFormat="1" ht="11.25" customHeight="1" x14ac:dyDescent="0.2">
      <c r="A53" s="254" t="s">
        <v>128</v>
      </c>
      <c r="B53" s="194">
        <v>129</v>
      </c>
      <c r="C53" s="225">
        <f>IF(B53="","",IF(VLOOKUP($A53,'Ex ante LI &amp; Eligibility Stats'!$A$7:$M$23,C$34,FALSE)="N/A",0,VLOOKUP($A53,'Ex ante LI &amp; Eligibility Stats'!$A$7:$M$23,C$34,FALSE)*B53/1000))</f>
        <v>2.4725516095889999</v>
      </c>
      <c r="D53" s="226">
        <f>IF(B53="","",IF(VLOOKUP($A53,'Ex post LI &amp; Eligibility Stats'!$A$10:$M$26,C$34,FALSE)="N/A",0,VLOOKUP($A53,'Ex post LI &amp; Eligibility Stats'!$A$10:$M$26,C$34,FALSE)*B53/1000))</f>
        <v>2.8380000000000001</v>
      </c>
      <c r="E53" s="194">
        <v>128</v>
      </c>
      <c r="F53" s="225">
        <f>IF(E53="","",IF(VLOOKUP($A53,'Ex ante LI &amp; Eligibility Stats'!$A$7:$M$23,F$34,FALSE)="N/A",0,VLOOKUP($A53,'Ex ante LI &amp; Eligibility Stats'!$A$7:$M$23,F$34,FALSE)*E53/1000))</f>
        <v>2.4581285802239998</v>
      </c>
      <c r="G53" s="226">
        <f>IF(E53="","",IF(VLOOKUP($A53,'Ex post LI &amp; Eligibility Stats'!$A$10:$M$26,F$34,FALSE)="N/A",0,VLOOKUP($A53,'Ex post LI &amp; Eligibility Stats'!$A$10:$M$26,F$34,FALSE)*E53/1000))</f>
        <v>2.8159999999999998</v>
      </c>
      <c r="H53" s="194">
        <v>129</v>
      </c>
      <c r="I53" s="225">
        <f>IF(H53="","",IF(VLOOKUP($A53,'Ex ante LI &amp; Eligibility Stats'!$A$7:$M$23,I$34,FALSE)="N/A",0,VLOOKUP($A53,'Ex ante LI &amp; Eligibility Stats'!$A$7:$M$23,I$34,FALSE)*H53/1000))</f>
        <v>2.316658036857</v>
      </c>
      <c r="J53" s="226">
        <f>IF(H53="","",IF(VLOOKUP($A53,'Ex post LI &amp; Eligibility Stats'!$A$10:$M$26,I$34,FALSE)="N/A",0,VLOOKUP($A53,'Ex post LI &amp; Eligibility Stats'!$A$10:$M$26,I$34,FALSE)*H53/1000))</f>
        <v>2.8380000000000001</v>
      </c>
      <c r="K53" s="342">
        <v>130</v>
      </c>
      <c r="L53" s="335">
        <f>IF(K53="","",IF(VLOOKUP($A53,'Ex ante LI &amp; Eligibility Stats'!$A$7:$M$23,L$34,FALSE)="N/A",0,VLOOKUP($A53,'Ex ante LI &amp; Eligibility Stats'!$A$7:$M$23,L$34,FALSE)*K53/1000))</f>
        <v>2.3170967635399999</v>
      </c>
      <c r="M53" s="336">
        <f>IF(K53="","",IF(VLOOKUP($A53,'Ex post LI &amp; Eligibility Stats'!$A$10:$M$26,L$34,FALSE)="N/A",0,VLOOKUP($A53,'Ex post LI &amp; Eligibility Stats'!$A$10:$M$26,L$34,FALSE)*K53/1000))</f>
        <v>2.86</v>
      </c>
      <c r="N53" s="189">
        <v>129</v>
      </c>
      <c r="O53" s="134">
        <f>IF(N53="","",IF(VLOOKUP($A53,'Ex ante LI &amp; Eligibility Stats'!$A$7:$M$23,O$34,FALSE)="N/A",0,VLOOKUP($A53,'Ex ante LI &amp; Eligibility Stats'!$A$7:$M$23,O$34,FALSE)*N53/1000))</f>
        <v>0</v>
      </c>
      <c r="P53" s="131">
        <f>IF(N53="","",IF(VLOOKUP($A53,'Ex post LI &amp; Eligibility Stats'!$A$10:$M$26,O$34,FALSE)="N/A",0,VLOOKUP($A53,'Ex post LI &amp; Eligibility Stats'!$A$10:$M$26,O$34,FALSE)*N53/1000))</f>
        <v>2.8380000000000001</v>
      </c>
      <c r="Q53" s="194">
        <v>111</v>
      </c>
      <c r="R53" s="134">
        <f>IF(Q53="","",IF(VLOOKUP($A53,'Ex ante LI &amp; Eligibility Stats'!$A$7:$M$23,R$34,FALSE)="N/A",0,VLOOKUP($A53,'Ex ante LI &amp; Eligibility Stats'!$A$7:$M$23,R$34,FALSE)*Q53/1000))</f>
        <v>0</v>
      </c>
      <c r="S53" s="131">
        <f>IF(Q53="","",IF(VLOOKUP($A53,'Ex post LI &amp; Eligibility Stats'!$A$10:$M$26,R$34,FALSE)="N/A",0,VLOOKUP($A53,'Ex post LI &amp; Eligibility Stats'!$A$10:$M$26,R$34,FALSE)*Q53/1000))</f>
        <v>2.4420000000000002</v>
      </c>
      <c r="T53" s="352">
        <v>100833</v>
      </c>
      <c r="U53" s="249"/>
    </row>
    <row r="54" spans="1:21" s="83" customFormat="1" ht="11.25" customHeight="1" x14ac:dyDescent="0.2">
      <c r="A54" s="254" t="s">
        <v>129</v>
      </c>
      <c r="B54" s="194">
        <v>15</v>
      </c>
      <c r="C54" s="225">
        <f>IF(B54="","",IF(VLOOKUP($A54,'Ex ante LI &amp; Eligibility Stats'!$A$7:$M$23,C$34,FALSE)="N/A",0,VLOOKUP($A54,'Ex ante LI &amp; Eligibility Stats'!$A$7:$M$23,C$34,FALSE)*B54/1000))</f>
        <v>12.040871729099999</v>
      </c>
      <c r="D54" s="226">
        <f>IF(B54="","",IF(VLOOKUP($A54,'Ex post LI &amp; Eligibility Stats'!$A$10:$M$26,C$34,FALSE)="N/A",0,VLOOKUP($A54,'Ex post LI &amp; Eligibility Stats'!$A$10:$M$26,C$34,FALSE)*B54/1000))</f>
        <v>19.11</v>
      </c>
      <c r="E54" s="194">
        <v>14</v>
      </c>
      <c r="F54" s="225">
        <f>IF(E54="","",IF(VLOOKUP($A54,'Ex ante LI &amp; Eligibility Stats'!$A$7:$M$23,F$34,FALSE)="N/A",0,VLOOKUP($A54,'Ex ante LI &amp; Eligibility Stats'!$A$7:$M$23,F$34,FALSE)*E54/1000))</f>
        <v>10.482827538820001</v>
      </c>
      <c r="G54" s="226">
        <f>IF(E54="","",IF(VLOOKUP($A54,'Ex post LI &amp; Eligibility Stats'!$A$10:$M$26,F$34,FALSE)="N/A",0,VLOOKUP($A54,'Ex post LI &amp; Eligibility Stats'!$A$10:$M$26,F$34,FALSE)*E54/1000))</f>
        <v>17.835999999999999</v>
      </c>
      <c r="H54" s="194">
        <v>15</v>
      </c>
      <c r="I54" s="225">
        <f>IF(H54="","",IF(VLOOKUP($A54,'Ex ante LI &amp; Eligibility Stats'!$A$7:$M$23,I$34,FALSE)="N/A",0,VLOOKUP($A54,'Ex ante LI &amp; Eligibility Stats'!$A$7:$M$23,I$34,FALSE)*H54/1000))</f>
        <v>9.8025881836500002</v>
      </c>
      <c r="J54" s="226">
        <f>IF(H54="","",IF(VLOOKUP($A54,'Ex post LI &amp; Eligibility Stats'!$A$10:$M$26,I$34,FALSE)="N/A",0,VLOOKUP($A54,'Ex post LI &amp; Eligibility Stats'!$A$10:$M$26,I$34,FALSE)*H54/1000))</f>
        <v>19.11</v>
      </c>
      <c r="K54" s="342">
        <v>14</v>
      </c>
      <c r="L54" s="335">
        <f>IF(K54="","",IF(VLOOKUP($A54,'Ex ante LI &amp; Eligibility Stats'!$A$7:$M$23,L$34,FALSE)="N/A",0,VLOOKUP($A54,'Ex ante LI &amp; Eligibility Stats'!$A$7:$M$23,L$34,FALSE)*K54/1000))</f>
        <v>8.9506584976199992</v>
      </c>
      <c r="M54" s="336">
        <f>IF(K54="","",IF(VLOOKUP($A54,'Ex post LI &amp; Eligibility Stats'!$A$10:$M$26,L$34,FALSE)="N/A",0,VLOOKUP($A54,'Ex post LI &amp; Eligibility Stats'!$A$10:$M$26,L$34,FALSE)*K54/1000))</f>
        <v>17.835999999999999</v>
      </c>
      <c r="N54" s="189">
        <v>14</v>
      </c>
      <c r="O54" s="134">
        <f>IF(N54="","",IF(VLOOKUP($A54,'Ex ante LI &amp; Eligibility Stats'!$A$7:$M$23,O$34,FALSE)="N/A",0,VLOOKUP($A54,'Ex ante LI &amp; Eligibility Stats'!$A$7:$M$23,O$34,FALSE)*N54/1000))</f>
        <v>0</v>
      </c>
      <c r="P54" s="131">
        <f>IF(N54="","",IF(VLOOKUP($A54,'Ex post LI &amp; Eligibility Stats'!$A$10:$M$26,O$34,FALSE)="N/A",0,VLOOKUP($A54,'Ex post LI &amp; Eligibility Stats'!$A$10:$M$26,O$34,FALSE)*N54/1000))</f>
        <v>17.835999999999999</v>
      </c>
      <c r="Q54" s="194">
        <v>14</v>
      </c>
      <c r="R54" s="134">
        <f>IF(Q54="","",IF(VLOOKUP($A54,'Ex ante LI &amp; Eligibility Stats'!$A$7:$M$23,R$34,FALSE)="N/A",0,VLOOKUP($A54,'Ex ante LI &amp; Eligibility Stats'!$A$7:$M$23,R$34,FALSE)*Q54/1000))</f>
        <v>0</v>
      </c>
      <c r="S54" s="131">
        <f>IF(Q54="","",IF(VLOOKUP($A54,'Ex post LI &amp; Eligibility Stats'!$A$10:$M$26,R$34,FALSE)="N/A",0,VLOOKUP($A54,'Ex post LI &amp; Eligibility Stats'!$A$10:$M$26,R$34,FALSE)*Q54/1000))</f>
        <v>17.835999999999999</v>
      </c>
      <c r="T54" s="352">
        <v>100833</v>
      </c>
      <c r="U54" s="249"/>
    </row>
    <row r="55" spans="1:21" s="83" customFormat="1" ht="11.25" customHeight="1" x14ac:dyDescent="0.2">
      <c r="A55" s="254" t="s">
        <v>181</v>
      </c>
      <c r="B55" s="194">
        <v>0</v>
      </c>
      <c r="C55" s="225">
        <f>IF(B55="","",IF(VLOOKUP($A55,'Ex ante LI &amp; Eligibility Stats'!$A$7:$M$23,C$34,FALSE)="N/A",0,VLOOKUP($A55,'Ex ante LI &amp; Eligibility Stats'!$A$7:$M$23,C$34,FALSE)*B55/1000))</f>
        <v>0</v>
      </c>
      <c r="D55" s="226">
        <f>IF(B55="","",IF(VLOOKUP($A55,'Ex post LI &amp; Eligibility Stats'!$A$10:$M$26,C$34,FALSE)="N/A",0,VLOOKUP($A55,'Ex post LI &amp; Eligibility Stats'!$A$10:$M$26,C$34,FALSE)*B55/1000))</f>
        <v>0</v>
      </c>
      <c r="E55" s="195">
        <v>0</v>
      </c>
      <c r="F55" s="225">
        <f>IF(E55="","",IF(VLOOKUP($A55,'Ex ante LI &amp; Eligibility Stats'!$A$7:$M$23,F$34,FALSE)="N/A",0,VLOOKUP($A55,'Ex ante LI &amp; Eligibility Stats'!$A$7:$M$23,F$34,FALSE)*E55/1000))</f>
        <v>0</v>
      </c>
      <c r="G55" s="226">
        <f>IF(E55="","",IF(VLOOKUP($A55,'Ex post LI &amp; Eligibility Stats'!$A$10:$M$26,F$34,FALSE)="N/A",0,VLOOKUP($A55,'Ex post LI &amp; Eligibility Stats'!$A$10:$M$26,F$34,FALSE)*E55/1000))</f>
        <v>0</v>
      </c>
      <c r="H55" s="195">
        <v>0</v>
      </c>
      <c r="I55" s="225">
        <f>IF(H55="","",IF(VLOOKUP($A55,'Ex ante LI &amp; Eligibility Stats'!$A$7:$M$23,I$34,FALSE)="N/A",0,VLOOKUP($A55,'Ex ante LI &amp; Eligibility Stats'!$A$7:$M$23,I$34,FALSE)*H55/1000))</f>
        <v>0</v>
      </c>
      <c r="J55" s="226">
        <f>IF(H55="","",IF(VLOOKUP($A55,'Ex post LI &amp; Eligibility Stats'!$A$10:$M$26,I$34,FALSE)="N/A",0,VLOOKUP($A55,'Ex post LI &amp; Eligibility Stats'!$A$10:$M$26,I$34,FALSE)*H55/1000))</f>
        <v>0</v>
      </c>
      <c r="K55" s="343">
        <v>0</v>
      </c>
      <c r="L55" s="335">
        <f>IF(K55="","",IF(VLOOKUP($A55,'Ex ante LI &amp; Eligibility Stats'!$A$7:$M$23,L$34,FALSE)="N/A",0,VLOOKUP($A55,'Ex ante LI &amp; Eligibility Stats'!$A$7:$M$23,L$34,FALSE)*K55/1000))</f>
        <v>0</v>
      </c>
      <c r="M55" s="336">
        <f>IF(K55="","",IF(VLOOKUP($A55,'Ex post LI &amp; Eligibility Stats'!$A$10:$M$26,L$34,FALSE)="N/A",0,VLOOKUP($A55,'Ex post LI &amp; Eligibility Stats'!$A$10:$M$26,L$34,FALSE)*K55/1000))</f>
        <v>0</v>
      </c>
      <c r="N55" s="190">
        <v>0</v>
      </c>
      <c r="O55" s="134">
        <f>IF(N55="","",IF(VLOOKUP($A55,'Ex ante LI &amp; Eligibility Stats'!$A$7:$M$23,O$34,FALSE)="N/A",0,VLOOKUP($A55,'Ex ante LI &amp; Eligibility Stats'!$A$7:$M$23,O$34,FALSE)*N55/1000))</f>
        <v>0</v>
      </c>
      <c r="P55" s="131">
        <f>IF(N55="","",IF(VLOOKUP($A55,'Ex post LI &amp; Eligibility Stats'!$A$10:$M$26,O$34,FALSE)="N/A",0,VLOOKUP($A55,'Ex post LI &amp; Eligibility Stats'!$A$10:$M$26,O$34,FALSE)*N55/1000))</f>
        <v>0</v>
      </c>
      <c r="Q55" s="195">
        <v>0</v>
      </c>
      <c r="R55" s="134">
        <f>IF(Q55="","",IF(VLOOKUP($A55,'Ex ante LI &amp; Eligibility Stats'!$A$7:$M$23,R$34,FALSE)="N/A",0,VLOOKUP($A55,'Ex ante LI &amp; Eligibility Stats'!$A$7:$M$23,R$34,FALSE)*Q55/1000))</f>
        <v>0</v>
      </c>
      <c r="S55" s="131">
        <f>IF(Q55="","",IF(VLOOKUP($A55,'Ex post LI &amp; Eligibility Stats'!$A$10:$M$26,R$34,FALSE)="N/A",0,VLOOKUP($A55,'Ex post LI &amp; Eligibility Stats'!$A$10:$M$26,R$34,FALSE)*Q55/1000))</f>
        <v>0</v>
      </c>
      <c r="T55" s="352">
        <v>0</v>
      </c>
      <c r="U55" s="249"/>
    </row>
    <row r="56" spans="1:21" s="83" customFormat="1" ht="11.25" customHeight="1" x14ac:dyDescent="0.2">
      <c r="A56" s="254" t="s">
        <v>184</v>
      </c>
      <c r="B56" s="227">
        <v>22938</v>
      </c>
      <c r="C56" s="228">
        <f>IF(B56="","",IF(VLOOKUP($A56,'Ex ante LI &amp; Eligibility Stats'!$A$7:$M$23,C$34,FALSE)="N/A",0,VLOOKUP($A56,'Ex ante LI &amp; Eligibility Stats'!$A$7:$M$23,C$34,FALSE)*B56/1000))</f>
        <v>6.9606195943200007</v>
      </c>
      <c r="D56" s="229">
        <f>IF(B56="","",IF(VLOOKUP($A56,'Ex post LI &amp; Eligibility Stats'!$A$10:$M$26,C$34,FALSE)="N/A",0,VLOOKUP($A56,'Ex post LI &amp; Eligibility Stats'!$A$10:$M$26,C$34,FALSE)*B56/1000))</f>
        <v>5.9638800000000005</v>
      </c>
      <c r="E56" s="208">
        <v>22796</v>
      </c>
      <c r="F56" s="228">
        <f>IF(E56="","",IF(VLOOKUP($A56,'Ex ante LI &amp; Eligibility Stats'!$A$7:$M$23,F$34,FALSE)="N/A",0,VLOOKUP($A56,'Ex ante LI &amp; Eligibility Stats'!$A$7:$M$23,F$34,FALSE)*E56/1000))</f>
        <v>4.5318069586399998</v>
      </c>
      <c r="G56" s="229">
        <f>IF(E56="","",IF(VLOOKUP($A56,'Ex post LI &amp; Eligibility Stats'!$A$10:$M$26,F$34,FALSE)="N/A",0,VLOOKUP($A56,'Ex post LI &amp; Eligibility Stats'!$A$10:$M$26,F$34,FALSE)*E56/1000))</f>
        <v>5.9269600000000002</v>
      </c>
      <c r="H56" s="208">
        <v>22608</v>
      </c>
      <c r="I56" s="228">
        <f>IF(H56="","",IF(VLOOKUP($A56,'Ex ante LI &amp; Eligibility Stats'!$A$7:$M$23,I$34,FALSE)="N/A",0,VLOOKUP($A56,'Ex ante LI &amp; Eligibility Stats'!$A$7:$M$23,I$34,FALSE)*H56/1000))</f>
        <v>3.8597336179200004</v>
      </c>
      <c r="J56" s="229">
        <f>IF(H56="","",IF(VLOOKUP($A56,'Ex post LI &amp; Eligibility Stats'!$A$10:$M$26,I$34,FALSE)="N/A",0,VLOOKUP($A56,'Ex post LI &amp; Eligibility Stats'!$A$10:$M$26,I$34,FALSE)*H56/1000))</f>
        <v>5.8780799999999997</v>
      </c>
      <c r="K56" s="192">
        <v>22440</v>
      </c>
      <c r="L56" s="337">
        <f>IF(K56="","",IF(VLOOKUP($A56,'Ex ante LI &amp; Eligibility Stats'!$A$7:$M$23,L$34,FALSE)="N/A",0,VLOOKUP($A56,'Ex ante LI &amp; Eligibility Stats'!$A$7:$M$23,L$34,FALSE)*K56/1000))</f>
        <v>1.6497919416</v>
      </c>
      <c r="M56" s="338">
        <f>IF(K56="","",IF(VLOOKUP($A56,'Ex post LI &amp; Eligibility Stats'!$A$10:$M$26,L$34,FALSE)="N/A",0,VLOOKUP($A56,'Ex post LI &amp; Eligibility Stats'!$A$10:$M$26,L$34,FALSE)*K56/1000))</f>
        <v>5.8344000000000005</v>
      </c>
      <c r="N56" s="192">
        <v>22308</v>
      </c>
      <c r="O56" s="135">
        <f>IF(N56="","",IF(VLOOKUP($A56,'Ex ante LI &amp; Eligibility Stats'!$A$7:$M$23,O$34,FALSE)="N/A",0,VLOOKUP($A56,'Ex ante LI &amp; Eligibility Stats'!$A$7:$M$23,O$34,FALSE)*N56/1000))</f>
        <v>0.46690644000000003</v>
      </c>
      <c r="P56" s="132">
        <f>IF(N56="","",IF(VLOOKUP($A56,'Ex post LI &amp; Eligibility Stats'!$A$10:$M$26,O$34,FALSE)="N/A",0,VLOOKUP($A56,'Ex post LI &amp; Eligibility Stats'!$A$10:$M$26,O$34,FALSE)*N56/1000))</f>
        <v>5.8000800000000003</v>
      </c>
      <c r="Q56" s="208">
        <v>22136</v>
      </c>
      <c r="R56" s="135">
        <f>IF(Q56="","",IF(VLOOKUP($A56,'Ex ante LI &amp; Eligibility Stats'!$A$7:$M$23,R$34,FALSE)="N/A",0,VLOOKUP($A56,'Ex ante LI &amp; Eligibility Stats'!$A$7:$M$23,R$34,FALSE)*Q56/1000))</f>
        <v>0.46408788080000002</v>
      </c>
      <c r="S56" s="132">
        <f>IF(Q56="","",IF(VLOOKUP($A56,'Ex post LI &amp; Eligibility Stats'!$A$10:$M$26,R$34,FALSE)="N/A",0,VLOOKUP($A56,'Ex post LI &amp; Eligibility Stats'!$A$10:$M$26,R$34,FALSE)*Q56/1000))</f>
        <v>5.7553600000000005</v>
      </c>
      <c r="T56" s="353">
        <v>3000000</v>
      </c>
      <c r="U56" s="249"/>
    </row>
    <row r="57" spans="1:21" s="83" customFormat="1" ht="12" customHeight="1" thickBot="1" x14ac:dyDescent="0.25">
      <c r="A57" s="29" t="s">
        <v>30</v>
      </c>
      <c r="B57" s="202">
        <f t="shared" ref="B57:S57" si="4">SUM(B45:B56)</f>
        <v>28131</v>
      </c>
      <c r="C57" s="230">
        <f t="shared" si="4"/>
        <v>443.77777210667989</v>
      </c>
      <c r="D57" s="230">
        <f t="shared" si="4"/>
        <v>414.77088000000009</v>
      </c>
      <c r="E57" s="202">
        <f t="shared" si="4"/>
        <v>28246</v>
      </c>
      <c r="F57" s="230">
        <f t="shared" si="4"/>
        <v>469.30319041212761</v>
      </c>
      <c r="G57" s="230">
        <f t="shared" si="4"/>
        <v>450.86876000000001</v>
      </c>
      <c r="H57" s="202">
        <f t="shared" si="4"/>
        <v>28069</v>
      </c>
      <c r="I57" s="230">
        <f t="shared" si="4"/>
        <v>482.99537930925641</v>
      </c>
      <c r="J57" s="230">
        <f t="shared" si="4"/>
        <v>461.27748000000003</v>
      </c>
      <c r="K57" s="102">
        <f t="shared" si="4"/>
        <v>27538</v>
      </c>
      <c r="L57" s="339">
        <f t="shared" si="4"/>
        <v>454.68538101567663</v>
      </c>
      <c r="M57" s="339">
        <f t="shared" si="4"/>
        <v>441.35270000000008</v>
      </c>
      <c r="N57" s="102">
        <f t="shared" si="4"/>
        <v>27415</v>
      </c>
      <c r="O57" s="136">
        <f t="shared" si="4"/>
        <v>85.392816874075308</v>
      </c>
      <c r="P57" s="136">
        <f t="shared" si="4"/>
        <v>440.26708000000008</v>
      </c>
      <c r="Q57" s="202">
        <f t="shared" si="4"/>
        <v>30543</v>
      </c>
      <c r="R57" s="136">
        <f t="shared" si="4"/>
        <v>89.89268309012509</v>
      </c>
      <c r="S57" s="137">
        <f t="shared" si="4"/>
        <v>486.73676000000006</v>
      </c>
      <c r="T57" s="354"/>
      <c r="U57" s="249"/>
    </row>
    <row r="58" spans="1:21" s="83" customFormat="1" ht="13.5" customHeight="1" thickTop="1" x14ac:dyDescent="0.2">
      <c r="A58" s="187" t="s">
        <v>23</v>
      </c>
      <c r="B58" s="209">
        <f t="shared" ref="B58:S58" si="5">+B43+B57</f>
        <v>185848</v>
      </c>
      <c r="C58" s="228">
        <f t="shared" si="5"/>
        <v>724.4647392970237</v>
      </c>
      <c r="D58" s="236">
        <f t="shared" si="5"/>
        <v>620.38902000000007</v>
      </c>
      <c r="E58" s="209">
        <f t="shared" si="5"/>
        <v>187752</v>
      </c>
      <c r="F58" s="228">
        <f t="shared" si="5"/>
        <v>722.21451500867659</v>
      </c>
      <c r="G58" s="236">
        <f t="shared" si="5"/>
        <v>657.66815999999994</v>
      </c>
      <c r="H58" s="209">
        <f t="shared" si="5"/>
        <v>189493</v>
      </c>
      <c r="I58" s="228">
        <f t="shared" si="5"/>
        <v>730.39162942315579</v>
      </c>
      <c r="J58" s="236">
        <f t="shared" si="5"/>
        <v>673.22492</v>
      </c>
      <c r="K58" s="188">
        <f t="shared" si="5"/>
        <v>192743</v>
      </c>
      <c r="L58" s="337">
        <f t="shared" si="5"/>
        <v>689.64588549397092</v>
      </c>
      <c r="M58" s="344">
        <f t="shared" si="5"/>
        <v>656.49500000000012</v>
      </c>
      <c r="N58" s="188">
        <f t="shared" si="5"/>
        <v>192989</v>
      </c>
      <c r="O58" s="135">
        <f t="shared" si="5"/>
        <v>301.33962061799531</v>
      </c>
      <c r="P58" s="214">
        <f t="shared" si="5"/>
        <v>656.2782400000001</v>
      </c>
      <c r="Q58" s="209">
        <f t="shared" si="5"/>
        <v>195157</v>
      </c>
      <c r="R58" s="135">
        <f t="shared" si="5"/>
        <v>273.9356217021251</v>
      </c>
      <c r="S58" s="450">
        <f t="shared" si="5"/>
        <v>705.68744000000004</v>
      </c>
      <c r="T58" s="360"/>
      <c r="U58" s="249"/>
    </row>
    <row r="59" spans="1:21" s="600" customFormat="1" ht="38.25" customHeight="1" x14ac:dyDescent="0.2">
      <c r="A59" s="607" t="s">
        <v>231</v>
      </c>
      <c r="B59" s="608"/>
      <c r="C59" s="608"/>
      <c r="D59" s="608"/>
      <c r="E59" s="608"/>
      <c r="F59" s="608"/>
      <c r="G59" s="608"/>
      <c r="H59" s="608"/>
      <c r="I59" s="608"/>
      <c r="J59" s="608"/>
      <c r="K59" s="608"/>
      <c r="L59" s="608"/>
      <c r="M59" s="608"/>
      <c r="N59" s="608"/>
      <c r="O59" s="608"/>
      <c r="P59" s="608"/>
      <c r="Q59" s="608"/>
      <c r="R59" s="608"/>
      <c r="S59" s="608"/>
      <c r="T59" s="608"/>
      <c r="U59" s="599"/>
    </row>
    <row r="60" spans="1:21" s="185" customFormat="1" ht="12.75" customHeight="1" x14ac:dyDescent="0.2">
      <c r="A60" s="614" t="s">
        <v>175</v>
      </c>
      <c r="B60" s="615"/>
      <c r="C60" s="615"/>
      <c r="D60" s="615"/>
      <c r="E60" s="615"/>
      <c r="F60" s="615"/>
      <c r="G60" s="615"/>
      <c r="H60" s="615"/>
      <c r="I60" s="615"/>
      <c r="J60" s="615"/>
      <c r="K60" s="615"/>
      <c r="L60" s="615"/>
      <c r="M60" s="615"/>
      <c r="N60" s="615"/>
      <c r="O60" s="615"/>
      <c r="P60" s="615"/>
      <c r="Q60" s="615"/>
      <c r="R60" s="615"/>
      <c r="S60" s="615"/>
      <c r="T60" s="615"/>
    </row>
    <row r="61" spans="1:21" s="321" customFormat="1" ht="23.25" customHeight="1" x14ac:dyDescent="0.2">
      <c r="A61" s="605" t="s">
        <v>161</v>
      </c>
      <c r="B61" s="606"/>
      <c r="C61" s="606"/>
      <c r="D61" s="606"/>
      <c r="E61" s="606"/>
      <c r="F61" s="606"/>
      <c r="G61" s="606"/>
      <c r="H61" s="606"/>
      <c r="I61" s="606"/>
      <c r="J61" s="606"/>
      <c r="K61" s="606"/>
      <c r="L61" s="606"/>
      <c r="M61" s="606"/>
      <c r="N61" s="606"/>
      <c r="O61" s="606"/>
      <c r="P61" s="606"/>
      <c r="Q61" s="606"/>
      <c r="R61" s="606"/>
      <c r="S61" s="606"/>
      <c r="T61" s="606"/>
    </row>
    <row r="62" spans="1:21" s="321" customFormat="1" ht="23.25" customHeight="1" x14ac:dyDescent="0.2">
      <c r="A62" s="605" t="s">
        <v>165</v>
      </c>
      <c r="B62" s="606"/>
      <c r="C62" s="606"/>
      <c r="D62" s="606"/>
      <c r="E62" s="606"/>
      <c r="F62" s="606"/>
      <c r="G62" s="606"/>
      <c r="H62" s="606"/>
      <c r="I62" s="606"/>
      <c r="J62" s="606"/>
      <c r="K62" s="606"/>
      <c r="L62" s="606"/>
      <c r="M62" s="606"/>
      <c r="N62" s="606"/>
      <c r="O62" s="606"/>
      <c r="P62" s="606"/>
      <c r="Q62" s="606"/>
      <c r="R62" s="606"/>
      <c r="S62" s="606"/>
      <c r="T62" s="606"/>
    </row>
    <row r="63" spans="1:21" s="125" customFormat="1" ht="44.25" customHeight="1" x14ac:dyDescent="0.2">
      <c r="A63" s="616" t="s">
        <v>162</v>
      </c>
      <c r="B63" s="606"/>
      <c r="C63" s="606"/>
      <c r="D63" s="606"/>
      <c r="E63" s="606"/>
      <c r="F63" s="606"/>
      <c r="G63" s="606"/>
      <c r="H63" s="606"/>
      <c r="I63" s="606"/>
      <c r="J63" s="606"/>
      <c r="K63" s="606"/>
      <c r="L63" s="606"/>
      <c r="M63" s="606"/>
      <c r="N63" s="606"/>
      <c r="O63" s="606"/>
      <c r="P63" s="606"/>
      <c r="Q63" s="606"/>
      <c r="R63" s="606"/>
      <c r="S63" s="606"/>
      <c r="T63" s="606"/>
    </row>
    <row r="64" spans="1:21" s="125" customFormat="1" ht="13.5" customHeight="1" x14ac:dyDescent="0.2">
      <c r="A64" s="256"/>
      <c r="B64" s="257"/>
      <c r="C64" s="257"/>
      <c r="D64" s="257"/>
      <c r="E64" s="257"/>
      <c r="F64" s="257"/>
      <c r="G64" s="257"/>
      <c r="H64" s="257"/>
      <c r="I64" s="257"/>
      <c r="J64" s="257"/>
      <c r="K64" s="257"/>
      <c r="L64" s="257"/>
      <c r="M64" s="257"/>
      <c r="N64" s="258"/>
      <c r="O64" s="104"/>
      <c r="P64" s="104"/>
      <c r="Q64" s="210"/>
      <c r="R64" s="104"/>
      <c r="S64" s="104"/>
      <c r="T64" s="361"/>
    </row>
    <row r="65" spans="1:26" s="211" customFormat="1" ht="13.5" customHeight="1" x14ac:dyDescent="0.2">
      <c r="A65" s="257"/>
      <c r="B65" s="257"/>
      <c r="C65" s="257"/>
      <c r="D65" s="257"/>
      <c r="E65" s="257"/>
      <c r="F65" s="257"/>
      <c r="G65" s="257"/>
      <c r="H65" s="257"/>
      <c r="I65" s="257"/>
      <c r="J65" s="257"/>
      <c r="K65" s="257"/>
      <c r="L65" s="257"/>
      <c r="M65" s="257"/>
      <c r="N65" s="258"/>
      <c r="O65" s="104"/>
      <c r="P65" s="104"/>
      <c r="Q65" s="210"/>
      <c r="R65" s="104"/>
      <c r="S65" s="104"/>
      <c r="T65" s="361"/>
      <c r="U65" s="210"/>
      <c r="V65" s="210"/>
      <c r="W65" s="210"/>
      <c r="X65" s="210"/>
      <c r="Y65" s="210"/>
      <c r="Z65" s="210"/>
    </row>
    <row r="66" spans="1:26" s="211" customFormat="1" ht="13.5" customHeight="1" x14ac:dyDescent="0.2">
      <c r="A66" s="259"/>
      <c r="B66" s="320"/>
      <c r="C66" s="320"/>
      <c r="D66" s="320"/>
      <c r="E66" s="320"/>
      <c r="F66" s="320"/>
      <c r="G66" s="320"/>
      <c r="H66" s="320"/>
      <c r="I66" s="320"/>
      <c r="J66" s="320"/>
      <c r="K66" s="320"/>
      <c r="L66" s="320"/>
      <c r="M66" s="320"/>
      <c r="N66" s="260"/>
      <c r="O66" s="104"/>
      <c r="P66" s="104"/>
      <c r="Q66" s="210"/>
      <c r="R66" s="104"/>
      <c r="S66" s="104"/>
      <c r="T66" s="361"/>
      <c r="U66" s="210"/>
      <c r="V66" s="210"/>
      <c r="W66" s="210"/>
      <c r="X66" s="210"/>
      <c r="Y66" s="210"/>
      <c r="Z66" s="210"/>
    </row>
    <row r="67" spans="1:26" s="211" customFormat="1" ht="13.5" customHeight="1" x14ac:dyDescent="0.2">
      <c r="A67" s="320"/>
      <c r="B67" s="320"/>
      <c r="C67" s="320"/>
      <c r="D67" s="320"/>
      <c r="E67" s="320"/>
      <c r="F67" s="320"/>
      <c r="G67" s="320"/>
      <c r="H67" s="320"/>
      <c r="I67" s="320"/>
      <c r="J67" s="320"/>
      <c r="K67" s="320"/>
      <c r="L67" s="320"/>
      <c r="M67" s="320"/>
      <c r="N67" s="260"/>
      <c r="O67" s="104"/>
      <c r="P67" s="104"/>
      <c r="Q67" s="210"/>
      <c r="R67" s="104"/>
      <c r="S67" s="104"/>
      <c r="T67" s="361"/>
      <c r="U67" s="210"/>
      <c r="V67" s="210"/>
      <c r="W67" s="210"/>
      <c r="X67" s="210"/>
      <c r="Y67" s="210"/>
      <c r="Z67" s="210"/>
    </row>
    <row r="68" spans="1:26" ht="13.5" customHeight="1" x14ac:dyDescent="0.2">
      <c r="A68" s="31"/>
      <c r="B68" s="237"/>
      <c r="C68" s="210"/>
      <c r="D68" s="210"/>
      <c r="E68" s="210"/>
      <c r="F68" s="210"/>
      <c r="G68" s="210"/>
      <c r="H68" s="210"/>
      <c r="I68" s="210"/>
      <c r="J68" s="210"/>
      <c r="K68" s="104"/>
      <c r="L68" s="31"/>
      <c r="M68" s="31"/>
      <c r="N68" s="104"/>
      <c r="O68" s="104"/>
      <c r="P68" s="104"/>
      <c r="Q68" s="210"/>
      <c r="R68" s="104"/>
      <c r="S68" s="104"/>
      <c r="T68" s="262"/>
      <c r="U68" s="31"/>
      <c r="V68" s="31"/>
      <c r="W68" s="31"/>
      <c r="X68" s="31"/>
      <c r="Y68" s="31"/>
      <c r="Z68" s="31"/>
    </row>
    <row r="69" spans="1:26" ht="13.5" customHeight="1" x14ac:dyDescent="0.2">
      <c r="A69" s="612"/>
      <c r="B69" s="613"/>
      <c r="C69" s="613"/>
      <c r="D69" s="613"/>
      <c r="E69" s="613"/>
      <c r="F69" s="613"/>
      <c r="G69" s="613"/>
      <c r="H69" s="613"/>
      <c r="I69" s="613"/>
      <c r="J69" s="613"/>
      <c r="K69" s="613"/>
      <c r="L69" s="613"/>
      <c r="M69" s="613"/>
      <c r="N69" s="613"/>
      <c r="O69" s="613"/>
      <c r="P69" s="613"/>
      <c r="Q69" s="613"/>
      <c r="R69" s="613"/>
      <c r="S69" s="613"/>
      <c r="T69" s="613"/>
    </row>
    <row r="70" spans="1:26" ht="13.5" customHeight="1" x14ac:dyDescent="0.2">
      <c r="A70" s="262"/>
    </row>
    <row r="71" spans="1:26" ht="13.5" customHeight="1" x14ac:dyDescent="0.2">
      <c r="A71" s="31"/>
    </row>
  </sheetData>
  <sheetProtection password="C511" sheet="1" objects="1" scenarios="1"/>
  <mergeCells count="18">
    <mergeCell ref="A69:T69"/>
    <mergeCell ref="A60:T60"/>
    <mergeCell ref="N35:P35"/>
    <mergeCell ref="Q35:S35"/>
    <mergeCell ref="B35:D35"/>
    <mergeCell ref="E35:G35"/>
    <mergeCell ref="H35:J35"/>
    <mergeCell ref="K35:M35"/>
    <mergeCell ref="A61:T61"/>
    <mergeCell ref="A63:T63"/>
    <mergeCell ref="A62:T62"/>
    <mergeCell ref="A59:T59"/>
    <mergeCell ref="Q7:S7"/>
    <mergeCell ref="K7:M7"/>
    <mergeCell ref="N7:P7"/>
    <mergeCell ref="B7:D7"/>
    <mergeCell ref="E7:G7"/>
    <mergeCell ref="H7:J7"/>
  </mergeCells>
  <phoneticPr fontId="0" type="noConversion"/>
  <printOptions horizontalCentered="1"/>
  <pageMargins left="0" right="0" top="0.93854166666666705" bottom="0.25" header="0.13" footer="0.1"/>
  <pageSetup paperSize="220" scale="91" orientation="landscape" cellComments="atEnd" r:id="rId1"/>
  <headerFooter alignWithMargins="0">
    <oddHeader>&amp;C&amp;"Arial,Bold"Table I-1 
Pacific Gas and Electric Company 
Interruptible and Price Responsive Programs
 Subscription Statistics - Enrolled MW
December 2011</oddHeader>
    <oddFooter>&amp;L&amp;F&amp;CPage 3 of 11&amp;R&amp;A</oddFooter>
  </headerFooter>
  <ignoredErrors>
    <ignoredError sqref="H57 K57 Q57 E57 N15 Q15 B57 N57 L10:M14 R10:S14 E15 H15 K15 Q43 N43 K43 H43 E43 Q44 R43:S56 N44 O43:P56 K44 L43:M56 H44 I43:J56 C43:D56 F43:G56 B43:B44 B29:K29 N29:Q29 C10:D14 C17:D28 F10:G14 F17:G28 I10:J14 I17:J28 L17:M28 O10:P14 O17:P28 R17:S28 C38:D42 E44 F38:G38 F42:G42 F40:G40 I40:J40 F39:G39 I39:J39 I38:J38 F41:G41 I41:J41 I42:J42 L38:M38 L39:M39 L40:M40 L41:M41 L42:M42 O38:P38 O39:P39 O40:P40 O41:P41 O42:P42 R38:S38 R39:S39 R40:S40 R42:S42 R41:S41"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7"/>
  <sheetViews>
    <sheetView showGridLines="0" view="pageLayout" topLeftCell="A22" zoomScaleNormal="75" zoomScaleSheetLayoutView="100" workbookViewId="0">
      <selection activeCell="K30" sqref="K30"/>
    </sheetView>
  </sheetViews>
  <sheetFormatPr defaultRowHeight="12.75" x14ac:dyDescent="0.2"/>
  <cols>
    <col min="1" max="1" width="35.7109375" style="8" customWidth="1"/>
    <col min="2" max="2" width="11.140625" style="8" customWidth="1"/>
    <col min="3" max="3" width="10" style="8" customWidth="1"/>
    <col min="4" max="4" width="8.7109375" style="8" customWidth="1"/>
    <col min="5" max="5" width="7.5703125" style="8" customWidth="1"/>
    <col min="6" max="6" width="7.140625" style="8" customWidth="1"/>
    <col min="7" max="7" width="7.28515625" style="8" customWidth="1"/>
    <col min="8" max="8" width="7.140625" style="8" customWidth="1"/>
    <col min="9" max="9" width="9.5703125" style="8" customWidth="1"/>
    <col min="10" max="10" width="11.5703125" style="8" customWidth="1"/>
    <col min="11" max="11" width="9.42578125" style="8" customWidth="1"/>
    <col min="12" max="12" width="11.140625" style="8" customWidth="1"/>
    <col min="13" max="13" width="10.7109375" style="8" customWidth="1"/>
    <col min="14" max="14" width="13.28515625" style="8" customWidth="1"/>
    <col min="15" max="15" width="52.140625" style="8" customWidth="1"/>
    <col min="16" max="16" width="8.140625" style="8" bestFit="1" customWidth="1"/>
    <col min="17" max="17" width="14.42578125" style="8" bestFit="1" customWidth="1"/>
    <col min="18" max="18" width="46.28515625" style="8" customWidth="1"/>
    <col min="19" max="19" width="10.85546875" style="8" customWidth="1"/>
    <col min="20" max="20" width="12.140625" style="8" bestFit="1" customWidth="1"/>
    <col min="21" max="21" width="12.140625" style="8" customWidth="1"/>
    <col min="22" max="22" width="9.5703125" style="8" bestFit="1" customWidth="1"/>
    <col min="23" max="23" width="11.140625" style="8" customWidth="1"/>
    <col min="24" max="24" width="11.7109375" style="8" bestFit="1" customWidth="1"/>
    <col min="25" max="25" width="11.7109375" style="8" customWidth="1"/>
    <col min="26" max="16384" width="9.140625" style="8"/>
  </cols>
  <sheetData>
    <row r="1" spans="1:17" x14ac:dyDescent="0.2">
      <c r="A1" s="371" t="s">
        <v>64</v>
      </c>
      <c r="B1" s="372"/>
      <c r="C1" s="372"/>
      <c r="D1" s="372"/>
      <c r="E1" s="372"/>
      <c r="F1" s="372"/>
      <c r="G1" s="372"/>
      <c r="H1" s="372"/>
      <c r="I1" s="372"/>
      <c r="J1" s="372"/>
      <c r="K1" s="372"/>
      <c r="L1" s="372"/>
      <c r="M1" s="372"/>
      <c r="N1" s="372"/>
      <c r="O1" s="373"/>
    </row>
    <row r="2" spans="1:17" ht="6.75" customHeight="1" x14ac:dyDescent="0.2">
      <c r="A2" s="292"/>
      <c r="B2" s="54"/>
      <c r="C2" s="54"/>
      <c r="D2" s="54"/>
      <c r="E2" s="54"/>
      <c r="F2" s="54"/>
      <c r="G2" s="54"/>
      <c r="H2" s="54"/>
      <c r="I2" s="54"/>
      <c r="J2" s="54"/>
      <c r="K2" s="54"/>
      <c r="L2" s="54"/>
      <c r="M2" s="54"/>
      <c r="N2" s="54"/>
      <c r="O2" s="374"/>
    </row>
    <row r="3" spans="1:17" ht="6.75" customHeight="1" x14ac:dyDescent="0.2">
      <c r="A3" s="375"/>
      <c r="B3" s="54"/>
      <c r="C3" s="54"/>
      <c r="D3" s="54"/>
      <c r="E3" s="54"/>
      <c r="F3" s="54"/>
      <c r="G3" s="54"/>
      <c r="H3" s="54"/>
      <c r="I3" s="54"/>
      <c r="J3" s="54"/>
      <c r="K3" s="54"/>
      <c r="L3" s="54"/>
      <c r="M3" s="54"/>
      <c r="N3" s="54"/>
      <c r="O3" s="374"/>
    </row>
    <row r="4" spans="1:17" ht="6.75" customHeight="1" x14ac:dyDescent="0.2">
      <c r="A4" s="375"/>
      <c r="B4" s="54"/>
      <c r="C4" s="54"/>
      <c r="D4" s="54"/>
      <c r="E4" s="54"/>
      <c r="F4" s="54"/>
      <c r="G4" s="54"/>
      <c r="H4" s="54"/>
      <c r="I4" s="54"/>
      <c r="J4" s="54"/>
      <c r="K4" s="54"/>
      <c r="L4" s="54"/>
      <c r="M4" s="54"/>
      <c r="N4" s="54"/>
      <c r="O4" s="374"/>
    </row>
    <row r="5" spans="1:17" ht="12.75" customHeight="1" x14ac:dyDescent="0.2">
      <c r="A5" s="376"/>
      <c r="B5" s="617" t="s">
        <v>102</v>
      </c>
      <c r="C5" s="617"/>
      <c r="D5" s="617"/>
      <c r="E5" s="617"/>
      <c r="F5" s="617"/>
      <c r="G5" s="617"/>
      <c r="H5" s="617"/>
      <c r="I5" s="617"/>
      <c r="J5" s="617"/>
      <c r="K5" s="617"/>
      <c r="L5" s="617"/>
      <c r="M5" s="617"/>
      <c r="N5" s="618" t="s">
        <v>176</v>
      </c>
      <c r="O5" s="283"/>
      <c r="P5" s="620" t="s">
        <v>132</v>
      </c>
      <c r="Q5" s="621"/>
    </row>
    <row r="6" spans="1:17" ht="48" customHeight="1" x14ac:dyDescent="0.2">
      <c r="A6" s="278" t="s">
        <v>50</v>
      </c>
      <c r="B6" s="16" t="s">
        <v>0</v>
      </c>
      <c r="C6" s="16" t="s">
        <v>1</v>
      </c>
      <c r="D6" s="16" t="s">
        <v>2</v>
      </c>
      <c r="E6" s="16" t="s">
        <v>3</v>
      </c>
      <c r="F6" s="16" t="s">
        <v>4</v>
      </c>
      <c r="G6" s="16" t="s">
        <v>5</v>
      </c>
      <c r="H6" s="16" t="s">
        <v>6</v>
      </c>
      <c r="I6" s="16" t="s">
        <v>51</v>
      </c>
      <c r="J6" s="16" t="s">
        <v>52</v>
      </c>
      <c r="K6" s="16" t="s">
        <v>9</v>
      </c>
      <c r="L6" s="16" t="s">
        <v>53</v>
      </c>
      <c r="M6" s="16" t="s">
        <v>11</v>
      </c>
      <c r="N6" s="619"/>
      <c r="O6" s="377" t="s">
        <v>107</v>
      </c>
      <c r="P6" s="369" t="s">
        <v>133</v>
      </c>
      <c r="Q6" s="16" t="s">
        <v>134</v>
      </c>
    </row>
    <row r="7" spans="1:17" ht="38.25" x14ac:dyDescent="0.2">
      <c r="A7" s="378" t="s">
        <v>71</v>
      </c>
      <c r="B7" s="126">
        <v>798.34818900000005</v>
      </c>
      <c r="C7" s="126">
        <v>838.53748316999997</v>
      </c>
      <c r="D7" s="126">
        <v>845.69631190999996</v>
      </c>
      <c r="E7" s="126">
        <v>940.20284690000005</v>
      </c>
      <c r="F7" s="126">
        <v>819.07546796999998</v>
      </c>
      <c r="G7" s="126">
        <v>897.24068394999995</v>
      </c>
      <c r="H7" s="126">
        <v>916.12446089000002</v>
      </c>
      <c r="I7" s="126">
        <v>898.08928230000004</v>
      </c>
      <c r="J7" s="126">
        <v>885.99249103</v>
      </c>
      <c r="K7" s="126">
        <v>989.80962737000004</v>
      </c>
      <c r="L7" s="126">
        <v>947.13510413999995</v>
      </c>
      <c r="M7" s="126">
        <v>793.28852849999998</v>
      </c>
      <c r="N7" s="127">
        <v>10199</v>
      </c>
      <c r="O7" s="379" t="s">
        <v>106</v>
      </c>
    </row>
    <row r="8" spans="1:17" ht="76.5" x14ac:dyDescent="0.2">
      <c r="A8" s="378" t="s">
        <v>13</v>
      </c>
      <c r="B8" s="126" t="s">
        <v>31</v>
      </c>
      <c r="C8" s="126" t="s">
        <v>31</v>
      </c>
      <c r="D8" s="126" t="s">
        <v>31</v>
      </c>
      <c r="E8" s="126" t="s">
        <v>31</v>
      </c>
      <c r="F8" s="126" t="s">
        <v>31</v>
      </c>
      <c r="G8" s="126" t="s">
        <v>31</v>
      </c>
      <c r="H8" s="126" t="s">
        <v>31</v>
      </c>
      <c r="I8" s="126" t="s">
        <v>31</v>
      </c>
      <c r="J8" s="126" t="s">
        <v>31</v>
      </c>
      <c r="K8" s="126" t="s">
        <v>31</v>
      </c>
      <c r="L8" s="126" t="s">
        <v>31</v>
      </c>
      <c r="M8" s="126" t="s">
        <v>31</v>
      </c>
      <c r="N8" s="127" t="s">
        <v>31</v>
      </c>
      <c r="O8" s="379" t="s">
        <v>104</v>
      </c>
    </row>
    <row r="9" spans="1:17" ht="63.75" x14ac:dyDescent="0.2">
      <c r="A9" s="378" t="s">
        <v>25</v>
      </c>
      <c r="B9" s="126" t="s">
        <v>31</v>
      </c>
      <c r="C9" s="126" t="s">
        <v>31</v>
      </c>
      <c r="D9" s="126" t="s">
        <v>31</v>
      </c>
      <c r="E9" s="126" t="s">
        <v>31</v>
      </c>
      <c r="F9" s="126" t="s">
        <v>31</v>
      </c>
      <c r="G9" s="126" t="s">
        <v>31</v>
      </c>
      <c r="H9" s="126" t="s">
        <v>31</v>
      </c>
      <c r="I9" s="126" t="s">
        <v>31</v>
      </c>
      <c r="J9" s="126" t="s">
        <v>31</v>
      </c>
      <c r="K9" s="126" t="s">
        <v>31</v>
      </c>
      <c r="L9" s="126" t="s">
        <v>31</v>
      </c>
      <c r="M9" s="126" t="s">
        <v>31</v>
      </c>
      <c r="N9" s="127" t="s">
        <v>31</v>
      </c>
      <c r="O9" s="379" t="s">
        <v>105</v>
      </c>
    </row>
    <row r="10" spans="1:17" ht="38.25" x14ac:dyDescent="0.2">
      <c r="A10" s="380" t="s">
        <v>182</v>
      </c>
      <c r="B10" s="126">
        <v>0</v>
      </c>
      <c r="C10" s="126">
        <v>0</v>
      </c>
      <c r="D10" s="126">
        <v>0</v>
      </c>
      <c r="E10" s="126">
        <v>0</v>
      </c>
      <c r="F10" s="126">
        <v>0.32215581770000001</v>
      </c>
      <c r="G10" s="126">
        <v>0.36584799699999998</v>
      </c>
      <c r="H10" s="126">
        <v>0.48868256339999999</v>
      </c>
      <c r="I10" s="126">
        <v>0.36497444509999999</v>
      </c>
      <c r="J10" s="126">
        <v>0.52070047760000004</v>
      </c>
      <c r="K10" s="126">
        <v>0.1992095367</v>
      </c>
      <c r="L10" s="126">
        <v>0</v>
      </c>
      <c r="M10" s="126">
        <v>0</v>
      </c>
      <c r="N10" s="127">
        <v>585981</v>
      </c>
      <c r="O10" s="379" t="s">
        <v>125</v>
      </c>
    </row>
    <row r="11" spans="1:17" ht="38.25" x14ac:dyDescent="0.2">
      <c r="A11" s="380" t="s">
        <v>183</v>
      </c>
      <c r="B11" s="126" t="s">
        <v>31</v>
      </c>
      <c r="C11" s="126" t="s">
        <v>31</v>
      </c>
      <c r="D11" s="126" t="s">
        <v>31</v>
      </c>
      <c r="E11" s="126" t="s">
        <v>31</v>
      </c>
      <c r="F11" s="126">
        <v>0.100623669</v>
      </c>
      <c r="G11" s="126">
        <v>0.253529328</v>
      </c>
      <c r="H11" s="126">
        <v>0.52125823039999997</v>
      </c>
      <c r="I11" s="126">
        <v>0.3584559041</v>
      </c>
      <c r="J11" s="126">
        <v>0.2946932478</v>
      </c>
      <c r="K11" s="126">
        <v>5.6730660000000002E-2</v>
      </c>
      <c r="L11" s="126" t="s">
        <v>31</v>
      </c>
      <c r="M11" s="126" t="s">
        <v>31</v>
      </c>
      <c r="N11" s="127">
        <v>3000000</v>
      </c>
      <c r="O11" s="379" t="s">
        <v>124</v>
      </c>
    </row>
    <row r="12" spans="1:17" ht="51" x14ac:dyDescent="0.2">
      <c r="A12" s="378" t="s">
        <v>69</v>
      </c>
      <c r="B12" s="126">
        <v>0</v>
      </c>
      <c r="C12" s="126">
        <v>0</v>
      </c>
      <c r="D12" s="126">
        <v>0</v>
      </c>
      <c r="E12" s="126">
        <v>0</v>
      </c>
      <c r="F12" s="126">
        <v>255.33972659</v>
      </c>
      <c r="G12" s="126">
        <v>255.33972659</v>
      </c>
      <c r="H12" s="126">
        <v>255.33972659</v>
      </c>
      <c r="I12" s="126">
        <v>255.33972659</v>
      </c>
      <c r="J12" s="126">
        <v>255.33972659</v>
      </c>
      <c r="K12" s="126">
        <v>255.33972659</v>
      </c>
      <c r="L12" s="126">
        <v>0</v>
      </c>
      <c r="M12" s="126">
        <v>0</v>
      </c>
      <c r="N12" s="127">
        <v>590834</v>
      </c>
      <c r="O12" s="379" t="s">
        <v>112</v>
      </c>
    </row>
    <row r="13" spans="1:17" ht="51" x14ac:dyDescent="0.2">
      <c r="A13" s="378" t="s">
        <v>70</v>
      </c>
      <c r="B13" s="126">
        <v>0</v>
      </c>
      <c r="C13" s="126">
        <v>0</v>
      </c>
      <c r="D13" s="126">
        <v>0</v>
      </c>
      <c r="E13" s="126">
        <v>0</v>
      </c>
      <c r="F13" s="126">
        <v>178.14784853</v>
      </c>
      <c r="G13" s="126">
        <v>178.14784853</v>
      </c>
      <c r="H13" s="126">
        <v>178.14784853</v>
      </c>
      <c r="I13" s="126">
        <v>178.14784853</v>
      </c>
      <c r="J13" s="126">
        <v>178.14784853</v>
      </c>
      <c r="K13" s="126">
        <v>178.14784853</v>
      </c>
      <c r="L13" s="126">
        <v>0</v>
      </c>
      <c r="M13" s="126">
        <v>0</v>
      </c>
      <c r="N13" s="127">
        <v>590834</v>
      </c>
      <c r="O13" s="379" t="s">
        <v>113</v>
      </c>
    </row>
    <row r="14" spans="1:17" ht="51" x14ac:dyDescent="0.2">
      <c r="A14" s="378" t="s">
        <v>122</v>
      </c>
      <c r="B14" s="126">
        <v>0</v>
      </c>
      <c r="C14" s="126">
        <v>0</v>
      </c>
      <c r="D14" s="126">
        <v>0</v>
      </c>
      <c r="E14" s="126">
        <v>0</v>
      </c>
      <c r="F14" s="126">
        <v>30.595883828000002</v>
      </c>
      <c r="G14" s="126">
        <v>34.140253383999998</v>
      </c>
      <c r="H14" s="126">
        <v>34.062408071</v>
      </c>
      <c r="I14" s="126">
        <v>33.539182695000001</v>
      </c>
      <c r="J14" s="126">
        <v>33.627263249999999</v>
      </c>
      <c r="K14" s="126">
        <v>32.112615554999998</v>
      </c>
      <c r="L14" s="126">
        <v>0</v>
      </c>
      <c r="M14" s="126">
        <v>0</v>
      </c>
      <c r="N14" s="127">
        <v>590834</v>
      </c>
      <c r="O14" s="379" t="s">
        <v>111</v>
      </c>
    </row>
    <row r="15" spans="1:17" ht="51" x14ac:dyDescent="0.2">
      <c r="A15" s="378" t="s">
        <v>123</v>
      </c>
      <c r="B15" s="126">
        <v>0</v>
      </c>
      <c r="C15" s="126">
        <v>0</v>
      </c>
      <c r="D15" s="126">
        <v>0</v>
      </c>
      <c r="E15" s="126">
        <v>0</v>
      </c>
      <c r="F15" s="126">
        <v>72.265732892000003</v>
      </c>
      <c r="G15" s="126">
        <v>82.668491337000006</v>
      </c>
      <c r="H15" s="126">
        <v>83.915399573000002</v>
      </c>
      <c r="I15" s="126">
        <v>84.745972098999999</v>
      </c>
      <c r="J15" s="126">
        <v>84.223823092999993</v>
      </c>
      <c r="K15" s="126">
        <v>75.797354800999997</v>
      </c>
      <c r="L15" s="126">
        <v>0</v>
      </c>
      <c r="M15" s="126">
        <v>0</v>
      </c>
      <c r="N15" s="127">
        <v>590834</v>
      </c>
      <c r="O15" s="379" t="s">
        <v>111</v>
      </c>
    </row>
    <row r="16" spans="1:17" ht="51" x14ac:dyDescent="0.2">
      <c r="A16" s="378" t="s">
        <v>14</v>
      </c>
      <c r="B16" s="126">
        <v>66.748489892999999</v>
      </c>
      <c r="C16" s="126">
        <v>69.608556776</v>
      </c>
      <c r="D16" s="126">
        <v>69.814206755000001</v>
      </c>
      <c r="E16" s="126">
        <v>70.782589901999998</v>
      </c>
      <c r="F16" s="126">
        <v>64.965877735000007</v>
      </c>
      <c r="G16" s="126">
        <v>70.426618578000003</v>
      </c>
      <c r="H16" s="126">
        <v>68.511576429000002</v>
      </c>
      <c r="I16" s="126">
        <v>65.310109941999997</v>
      </c>
      <c r="J16" s="126">
        <v>68.151062132999996</v>
      </c>
      <c r="K16" s="126">
        <v>65.430499452999996</v>
      </c>
      <c r="L16" s="126">
        <v>70.120455433000004</v>
      </c>
      <c r="M16" s="126">
        <v>56.150050389</v>
      </c>
      <c r="N16" s="127">
        <v>10199</v>
      </c>
      <c r="O16" s="379" t="s">
        <v>110</v>
      </c>
    </row>
    <row r="17" spans="1:18" ht="66.75" customHeight="1" x14ac:dyDescent="0.2">
      <c r="A17" s="378" t="s">
        <v>174</v>
      </c>
      <c r="B17" s="126">
        <v>15.067985255</v>
      </c>
      <c r="C17" s="126">
        <v>15.079704037999999</v>
      </c>
      <c r="D17" s="126">
        <v>15.088801626</v>
      </c>
      <c r="E17" s="126">
        <v>14.624639842000001</v>
      </c>
      <c r="F17" s="126">
        <v>15.34193013</v>
      </c>
      <c r="G17" s="126">
        <v>11.005009477</v>
      </c>
      <c r="H17" s="126">
        <v>12.323450393</v>
      </c>
      <c r="I17" s="126">
        <v>12.268408730000001</v>
      </c>
      <c r="J17" s="126">
        <v>14.62022544</v>
      </c>
      <c r="K17" s="126">
        <v>13.860328217999999</v>
      </c>
      <c r="L17" s="126">
        <v>5.9705323291000001</v>
      </c>
      <c r="M17" s="126">
        <v>5.8448003421000001</v>
      </c>
      <c r="N17" s="127">
        <v>161391</v>
      </c>
      <c r="O17" s="381" t="s">
        <v>180</v>
      </c>
      <c r="R17" s="241"/>
    </row>
    <row r="18" spans="1:18" ht="51" x14ac:dyDescent="0.2">
      <c r="A18" s="378" t="s">
        <v>126</v>
      </c>
      <c r="B18" s="126">
        <v>0</v>
      </c>
      <c r="C18" s="126">
        <v>0</v>
      </c>
      <c r="D18" s="126">
        <v>0</v>
      </c>
      <c r="E18" s="126">
        <v>0</v>
      </c>
      <c r="F18" s="126">
        <v>6.2152319501999997</v>
      </c>
      <c r="G18" s="126">
        <v>6.9790578770999998</v>
      </c>
      <c r="H18" s="126">
        <v>6.7275886540999998</v>
      </c>
      <c r="I18" s="126">
        <v>6.7492142216</v>
      </c>
      <c r="J18" s="126">
        <v>6.5875668791999997</v>
      </c>
      <c r="K18" s="126">
        <v>5.7285151515999999</v>
      </c>
      <c r="L18" s="126">
        <v>0</v>
      </c>
      <c r="M18" s="126">
        <v>0</v>
      </c>
      <c r="N18" s="127">
        <v>100833</v>
      </c>
      <c r="O18" s="379" t="s">
        <v>103</v>
      </c>
    </row>
    <row r="19" spans="1:18" ht="51" x14ac:dyDescent="0.2">
      <c r="A19" s="378" t="s">
        <v>127</v>
      </c>
      <c r="B19" s="126">
        <v>0</v>
      </c>
      <c r="C19" s="126">
        <v>0</v>
      </c>
      <c r="D19" s="126">
        <v>0</v>
      </c>
      <c r="E19" s="126">
        <v>0</v>
      </c>
      <c r="F19" s="126">
        <v>19.898730768</v>
      </c>
      <c r="G19" s="126">
        <v>24.925808960000001</v>
      </c>
      <c r="H19" s="126">
        <v>23.698387644</v>
      </c>
      <c r="I19" s="126">
        <v>23.316040592</v>
      </c>
      <c r="J19" s="126">
        <v>22.298592294999999</v>
      </c>
      <c r="K19" s="126">
        <v>22.510130868000001</v>
      </c>
      <c r="L19" s="126">
        <v>0</v>
      </c>
      <c r="M19" s="126">
        <v>0</v>
      </c>
      <c r="N19" s="127">
        <v>100833</v>
      </c>
      <c r="O19" s="379" t="s">
        <v>103</v>
      </c>
    </row>
    <row r="20" spans="1:18" ht="51" x14ac:dyDescent="0.2">
      <c r="A20" s="378" t="s">
        <v>128</v>
      </c>
      <c r="B20" s="126">
        <v>0</v>
      </c>
      <c r="C20" s="126">
        <v>0</v>
      </c>
      <c r="D20" s="126">
        <v>0</v>
      </c>
      <c r="E20" s="126">
        <v>0</v>
      </c>
      <c r="F20" s="126">
        <v>17.176977127000001</v>
      </c>
      <c r="G20" s="126">
        <v>19.853430684999999</v>
      </c>
      <c r="H20" s="126">
        <v>19.167066740999999</v>
      </c>
      <c r="I20" s="126">
        <v>19.204129533</v>
      </c>
      <c r="J20" s="126">
        <v>17.958589433</v>
      </c>
      <c r="K20" s="126">
        <v>17.823821257999999</v>
      </c>
      <c r="L20" s="126">
        <v>0</v>
      </c>
      <c r="M20" s="126">
        <v>0</v>
      </c>
      <c r="N20" s="127">
        <v>100833</v>
      </c>
      <c r="O20" s="379" t="s">
        <v>103</v>
      </c>
    </row>
    <row r="21" spans="1:18" ht="51" x14ac:dyDescent="0.2">
      <c r="A21" s="378" t="s">
        <v>129</v>
      </c>
      <c r="B21" s="126">
        <v>0</v>
      </c>
      <c r="C21" s="126">
        <v>0</v>
      </c>
      <c r="D21" s="126">
        <v>0</v>
      </c>
      <c r="E21" s="126">
        <v>0</v>
      </c>
      <c r="F21" s="126">
        <v>868.39893228999995</v>
      </c>
      <c r="G21" s="126">
        <v>815.63377750999996</v>
      </c>
      <c r="H21" s="126">
        <v>802.72478193999996</v>
      </c>
      <c r="I21" s="126">
        <v>748.77339562999998</v>
      </c>
      <c r="J21" s="126">
        <v>653.50587890999998</v>
      </c>
      <c r="K21" s="126">
        <v>639.33274983000001</v>
      </c>
      <c r="L21" s="126">
        <v>0</v>
      </c>
      <c r="M21" s="126">
        <v>0</v>
      </c>
      <c r="N21" s="127">
        <v>100833</v>
      </c>
      <c r="O21" s="379" t="s">
        <v>103</v>
      </c>
    </row>
    <row r="22" spans="1:18" ht="38.25" x14ac:dyDescent="0.2">
      <c r="A22" s="380" t="s">
        <v>181</v>
      </c>
      <c r="B22" s="126" t="s">
        <v>31</v>
      </c>
      <c r="C22" s="126" t="s">
        <v>31</v>
      </c>
      <c r="D22" s="126" t="s">
        <v>31</v>
      </c>
      <c r="E22" s="126" t="s">
        <v>31</v>
      </c>
      <c r="F22" s="126" t="s">
        <v>31</v>
      </c>
      <c r="G22" s="126" t="s">
        <v>31</v>
      </c>
      <c r="H22" s="126" t="s">
        <v>31</v>
      </c>
      <c r="I22" s="126" t="s">
        <v>31</v>
      </c>
      <c r="J22" s="126" t="s">
        <v>31</v>
      </c>
      <c r="K22" s="126" t="s">
        <v>31</v>
      </c>
      <c r="L22" s="126" t="s">
        <v>31</v>
      </c>
      <c r="M22" s="126" t="s">
        <v>31</v>
      </c>
      <c r="N22" s="127" t="s">
        <v>31</v>
      </c>
      <c r="O22" s="379" t="s">
        <v>108</v>
      </c>
    </row>
    <row r="23" spans="1:18" ht="51.75" thickBot="1" x14ac:dyDescent="0.25">
      <c r="A23" s="382" t="s">
        <v>184</v>
      </c>
      <c r="B23" s="383" t="s">
        <v>31</v>
      </c>
      <c r="C23" s="383" t="s">
        <v>31</v>
      </c>
      <c r="D23" s="383" t="s">
        <v>31</v>
      </c>
      <c r="E23" s="383" t="s">
        <v>31</v>
      </c>
      <c r="F23" s="383">
        <v>7.3496900000000004E-2</v>
      </c>
      <c r="G23" s="383">
        <v>0.12953444</v>
      </c>
      <c r="H23" s="383">
        <v>0.30345364000000002</v>
      </c>
      <c r="I23" s="383">
        <v>0.19879833999999999</v>
      </c>
      <c r="J23" s="383">
        <v>0.17072424</v>
      </c>
      <c r="K23" s="383">
        <v>7.3520139999999998E-2</v>
      </c>
      <c r="L23" s="383">
        <v>2.0930000000000001E-2</v>
      </c>
      <c r="M23" s="383">
        <v>2.0965299999999999E-2</v>
      </c>
      <c r="N23" s="384">
        <v>3000000</v>
      </c>
      <c r="O23" s="385" t="s">
        <v>109</v>
      </c>
    </row>
    <row r="24" spans="1:18" ht="39.75" customHeight="1" x14ac:dyDescent="0.2">
      <c r="A24" s="622"/>
      <c r="B24" s="622"/>
      <c r="C24" s="622"/>
      <c r="D24" s="622"/>
      <c r="E24" s="622"/>
      <c r="F24" s="622"/>
      <c r="G24" s="622"/>
      <c r="H24" s="622"/>
      <c r="I24" s="622"/>
      <c r="J24" s="622"/>
      <c r="K24" s="622"/>
      <c r="L24" s="622"/>
      <c r="M24" s="622"/>
      <c r="N24" s="622"/>
      <c r="O24" s="623"/>
    </row>
    <row r="25" spans="1:18" x14ac:dyDescent="0.2">
      <c r="A25" s="370"/>
      <c r="B25" s="370"/>
      <c r="C25" s="370"/>
      <c r="D25" s="370"/>
      <c r="E25" s="370"/>
      <c r="F25" s="370"/>
      <c r="G25" s="370"/>
      <c r="H25" s="370"/>
      <c r="I25" s="370"/>
      <c r="J25" s="370"/>
      <c r="K25" s="370"/>
      <c r="L25" s="370"/>
      <c r="M25" s="370"/>
      <c r="N25" s="370"/>
      <c r="O25" s="370"/>
    </row>
    <row r="26" spans="1:18" x14ac:dyDescent="0.2">
      <c r="A26" s="4"/>
      <c r="B26" s="19"/>
      <c r="C26" s="4"/>
      <c r="D26" s="19"/>
      <c r="E26" s="18"/>
      <c r="F26" s="19"/>
      <c r="G26" s="18"/>
      <c r="H26" s="20"/>
      <c r="I26" s="18"/>
      <c r="J26" s="20"/>
      <c r="K26" s="18"/>
      <c r="L26" s="20"/>
      <c r="M26" s="18"/>
      <c r="N26" s="20"/>
      <c r="O26" s="20"/>
    </row>
    <row r="27" spans="1:18" x14ac:dyDescent="0.2">
      <c r="A27" s="17"/>
    </row>
  </sheetData>
  <mergeCells count="4">
    <mergeCell ref="B5:M5"/>
    <mergeCell ref="N5:N6"/>
    <mergeCell ref="P5:Q5"/>
    <mergeCell ref="A24:O24"/>
  </mergeCells>
  <phoneticPr fontId="31" type="noConversion"/>
  <printOptions horizontalCentered="1"/>
  <pageMargins left="0" right="0" top="0.93854166666666705" bottom="0.25" header="0.13" footer="0.1"/>
  <pageSetup paperSize="220" scale="71" orientation="landscape" cellComments="atEnd" r:id="rId1"/>
  <headerFooter alignWithMargins="0">
    <oddHeader>&amp;C&amp;"Arial,Bold"
Pacific Gas and Electric Company 
Average Ex Ante Load Impact kW / Customer
December 2011</oddHeader>
    <oddFooter>&amp;L&amp;F&amp;CPage 4 of 11&amp;R&amp;A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29"/>
  <sheetViews>
    <sheetView showGridLines="0" view="pageLayout" zoomScaleNormal="75" zoomScaleSheetLayoutView="70" workbookViewId="0">
      <selection activeCell="K30" sqref="K30"/>
    </sheetView>
  </sheetViews>
  <sheetFormatPr defaultRowHeight="12.75" x14ac:dyDescent="0.2"/>
  <cols>
    <col min="1" max="1" width="37.28515625" style="8" customWidth="1"/>
    <col min="2" max="2" width="11.140625" style="8" bestFit="1" customWidth="1"/>
    <col min="3" max="3" width="10" style="8" bestFit="1" customWidth="1"/>
    <col min="4" max="4" width="8.7109375" style="8" customWidth="1"/>
    <col min="5" max="5" width="8.5703125" style="8" customWidth="1"/>
    <col min="6" max="6" width="8.42578125" style="8" customWidth="1"/>
    <col min="7" max="8" width="8.140625" style="8" customWidth="1"/>
    <col min="9" max="9" width="9.5703125" style="8" customWidth="1"/>
    <col min="10" max="10" width="11.5703125" style="8" customWidth="1"/>
    <col min="11" max="11" width="9.42578125" style="8" customWidth="1"/>
    <col min="12" max="12" width="11.140625" style="8" customWidth="1"/>
    <col min="13" max="13" width="10.7109375" style="8" customWidth="1"/>
    <col min="14" max="14" width="13.28515625" style="8" customWidth="1"/>
    <col min="15" max="15" width="66.7109375" style="8" customWidth="1"/>
    <col min="16" max="16" width="15" style="8" bestFit="1" customWidth="1"/>
    <col min="17" max="17" width="10.5703125" style="8" customWidth="1"/>
    <col min="18" max="18" width="9.85546875" style="8" bestFit="1" customWidth="1"/>
    <col min="19" max="19" width="11.140625" style="8" customWidth="1"/>
    <col min="20" max="20" width="9.85546875" style="8" bestFit="1" customWidth="1"/>
    <col min="21" max="21" width="10.85546875" style="8" customWidth="1"/>
    <col min="22" max="22" width="12.140625" style="8" bestFit="1" customWidth="1"/>
    <col min="23" max="23" width="12.140625" style="8" customWidth="1"/>
    <col min="24" max="24" width="9.5703125" style="8" bestFit="1" customWidth="1"/>
    <col min="25" max="25" width="11.140625" style="8" customWidth="1"/>
    <col min="26" max="26" width="11.7109375" style="8" bestFit="1" customWidth="1"/>
    <col min="27" max="27" width="11.7109375" style="8" customWidth="1"/>
    <col min="28" max="16384" width="9.140625" style="8"/>
  </cols>
  <sheetData>
    <row r="1" spans="1:15" x14ac:dyDescent="0.2">
      <c r="A1" s="371" t="s">
        <v>64</v>
      </c>
      <c r="B1" s="372"/>
      <c r="C1" s="372"/>
      <c r="D1" s="372"/>
      <c r="E1" s="372"/>
      <c r="F1" s="372"/>
      <c r="G1" s="372"/>
      <c r="H1" s="372"/>
      <c r="I1" s="372"/>
      <c r="J1" s="372"/>
      <c r="K1" s="372"/>
      <c r="L1" s="372"/>
      <c r="M1" s="372"/>
      <c r="N1" s="372"/>
      <c r="O1" s="373"/>
    </row>
    <row r="2" spans="1:15" ht="6.75" customHeight="1" x14ac:dyDescent="0.2">
      <c r="A2" s="292"/>
      <c r="B2" s="54"/>
      <c r="C2" s="54"/>
      <c r="D2" s="54"/>
      <c r="E2" s="54"/>
      <c r="F2" s="54"/>
      <c r="G2" s="54"/>
      <c r="H2" s="54"/>
      <c r="I2" s="54"/>
      <c r="J2" s="54"/>
      <c r="K2" s="54"/>
      <c r="L2" s="54"/>
      <c r="M2" s="54"/>
      <c r="N2" s="54"/>
      <c r="O2" s="374"/>
    </row>
    <row r="3" spans="1:15" ht="6.75" customHeight="1" x14ac:dyDescent="0.2">
      <c r="A3" s="292"/>
      <c r="B3" s="54"/>
      <c r="C3" s="54"/>
      <c r="D3" s="54"/>
      <c r="E3" s="54"/>
      <c r="F3" s="54"/>
      <c r="G3" s="54"/>
      <c r="H3" s="54"/>
      <c r="I3" s="54"/>
      <c r="J3" s="54"/>
      <c r="K3" s="54"/>
      <c r="L3" s="54"/>
      <c r="M3" s="54"/>
      <c r="N3" s="54"/>
      <c r="O3" s="374"/>
    </row>
    <row r="4" spans="1:15" ht="6.75" customHeight="1" x14ac:dyDescent="0.2">
      <c r="A4" s="292"/>
      <c r="B4" s="54"/>
      <c r="C4" s="54"/>
      <c r="D4" s="54"/>
      <c r="E4" s="54"/>
      <c r="F4" s="54"/>
      <c r="G4" s="54"/>
      <c r="H4" s="54"/>
      <c r="I4" s="54"/>
      <c r="J4" s="54"/>
      <c r="K4" s="54"/>
      <c r="L4" s="54"/>
      <c r="M4" s="54"/>
      <c r="N4" s="54"/>
      <c r="O4" s="374"/>
    </row>
    <row r="5" spans="1:15" ht="6.75" customHeight="1" x14ac:dyDescent="0.2">
      <c r="A5" s="292"/>
      <c r="B5" s="54"/>
      <c r="C5" s="54"/>
      <c r="D5" s="54"/>
      <c r="E5" s="54"/>
      <c r="F5" s="54"/>
      <c r="G5" s="54"/>
      <c r="H5" s="54"/>
      <c r="I5" s="54"/>
      <c r="J5" s="54"/>
      <c r="K5" s="54"/>
      <c r="L5" s="54"/>
      <c r="M5" s="54"/>
      <c r="N5" s="54"/>
      <c r="O5" s="374"/>
    </row>
    <row r="6" spans="1:15" ht="6.75" customHeight="1" x14ac:dyDescent="0.2">
      <c r="A6" s="375"/>
      <c r="B6" s="54"/>
      <c r="C6" s="54"/>
      <c r="D6" s="54"/>
      <c r="E6" s="54"/>
      <c r="F6" s="54"/>
      <c r="G6" s="54"/>
      <c r="H6" s="54"/>
      <c r="I6" s="54"/>
      <c r="J6" s="54"/>
      <c r="K6" s="54"/>
      <c r="L6" s="54"/>
      <c r="M6" s="54"/>
      <c r="N6" s="54"/>
      <c r="O6" s="374"/>
    </row>
    <row r="7" spans="1:15" ht="6.75" customHeight="1" x14ac:dyDescent="0.2">
      <c r="A7" s="375"/>
      <c r="B7" s="54"/>
      <c r="C7" s="54"/>
      <c r="D7" s="54"/>
      <c r="E7" s="54"/>
      <c r="F7" s="54"/>
      <c r="G7" s="54"/>
      <c r="H7" s="54"/>
      <c r="I7" s="54"/>
      <c r="J7" s="54"/>
      <c r="K7" s="54"/>
      <c r="L7" s="54"/>
      <c r="M7" s="54"/>
      <c r="N7" s="54"/>
      <c r="O7" s="374"/>
    </row>
    <row r="8" spans="1:15" ht="12.75" customHeight="1" x14ac:dyDescent="0.2">
      <c r="A8" s="376"/>
      <c r="B8" s="617" t="s">
        <v>101</v>
      </c>
      <c r="C8" s="617"/>
      <c r="D8" s="617"/>
      <c r="E8" s="617"/>
      <c r="F8" s="617"/>
      <c r="G8" s="617"/>
      <c r="H8" s="617"/>
      <c r="I8" s="617"/>
      <c r="J8" s="617"/>
      <c r="K8" s="617"/>
      <c r="L8" s="617"/>
      <c r="M8" s="617"/>
      <c r="N8" s="618" t="s">
        <v>176</v>
      </c>
      <c r="O8" s="283"/>
    </row>
    <row r="9" spans="1:15" ht="45.75" customHeight="1" x14ac:dyDescent="0.2">
      <c r="A9" s="278" t="s">
        <v>50</v>
      </c>
      <c r="B9" s="16" t="s">
        <v>0</v>
      </c>
      <c r="C9" s="16" t="s">
        <v>1</v>
      </c>
      <c r="D9" s="16" t="s">
        <v>2</v>
      </c>
      <c r="E9" s="16" t="s">
        <v>3</v>
      </c>
      <c r="F9" s="16" t="s">
        <v>4</v>
      </c>
      <c r="G9" s="16" t="s">
        <v>5</v>
      </c>
      <c r="H9" s="16" t="s">
        <v>6</v>
      </c>
      <c r="I9" s="16" t="s">
        <v>51</v>
      </c>
      <c r="J9" s="16" t="s">
        <v>52</v>
      </c>
      <c r="K9" s="16" t="s">
        <v>9</v>
      </c>
      <c r="L9" s="16" t="s">
        <v>53</v>
      </c>
      <c r="M9" s="16" t="s">
        <v>11</v>
      </c>
      <c r="N9" s="619"/>
      <c r="O9" s="386" t="s">
        <v>107</v>
      </c>
    </row>
    <row r="10" spans="1:15" ht="25.5" x14ac:dyDescent="0.2">
      <c r="A10" s="378" t="s">
        <v>71</v>
      </c>
      <c r="B10" s="128">
        <v>787.9</v>
      </c>
      <c r="C10" s="128">
        <v>787.9</v>
      </c>
      <c r="D10" s="128">
        <v>787.9</v>
      </c>
      <c r="E10" s="128">
        <v>787.9</v>
      </c>
      <c r="F10" s="128">
        <v>787.9</v>
      </c>
      <c r="G10" s="128">
        <v>787.9</v>
      </c>
      <c r="H10" s="128">
        <v>787.9</v>
      </c>
      <c r="I10" s="128">
        <v>787.9</v>
      </c>
      <c r="J10" s="128">
        <v>787.9</v>
      </c>
      <c r="K10" s="128">
        <v>787.9</v>
      </c>
      <c r="L10" s="128">
        <v>787.9</v>
      </c>
      <c r="M10" s="128">
        <v>787.9</v>
      </c>
      <c r="N10" s="32">
        <v>10199</v>
      </c>
      <c r="O10" s="379" t="s">
        <v>106</v>
      </c>
    </row>
    <row r="11" spans="1:15" ht="63.75" x14ac:dyDescent="0.2">
      <c r="A11" s="378" t="s">
        <v>13</v>
      </c>
      <c r="B11" s="129" t="s">
        <v>31</v>
      </c>
      <c r="C11" s="129" t="s">
        <v>31</v>
      </c>
      <c r="D11" s="129" t="s">
        <v>31</v>
      </c>
      <c r="E11" s="129" t="s">
        <v>31</v>
      </c>
      <c r="F11" s="129" t="s">
        <v>31</v>
      </c>
      <c r="G11" s="129" t="s">
        <v>31</v>
      </c>
      <c r="H11" s="129" t="s">
        <v>31</v>
      </c>
      <c r="I11" s="129" t="s">
        <v>31</v>
      </c>
      <c r="J11" s="129" t="s">
        <v>31</v>
      </c>
      <c r="K11" s="129" t="s">
        <v>31</v>
      </c>
      <c r="L11" s="129" t="s">
        <v>31</v>
      </c>
      <c r="M11" s="129" t="s">
        <v>31</v>
      </c>
      <c r="N11" s="50" t="s">
        <v>31</v>
      </c>
      <c r="O11" s="379" t="s">
        <v>104</v>
      </c>
    </row>
    <row r="12" spans="1:15" ht="51" x14ac:dyDescent="0.2">
      <c r="A12" s="378" t="s">
        <v>25</v>
      </c>
      <c r="B12" s="129" t="s">
        <v>31</v>
      </c>
      <c r="C12" s="129" t="s">
        <v>31</v>
      </c>
      <c r="D12" s="129" t="s">
        <v>31</v>
      </c>
      <c r="E12" s="129" t="s">
        <v>31</v>
      </c>
      <c r="F12" s="129" t="s">
        <v>31</v>
      </c>
      <c r="G12" s="129" t="s">
        <v>31</v>
      </c>
      <c r="H12" s="129" t="s">
        <v>31</v>
      </c>
      <c r="I12" s="129" t="s">
        <v>31</v>
      </c>
      <c r="J12" s="129" t="s">
        <v>31</v>
      </c>
      <c r="K12" s="129" t="s">
        <v>31</v>
      </c>
      <c r="L12" s="129" t="s">
        <v>31</v>
      </c>
      <c r="M12" s="129" t="s">
        <v>31</v>
      </c>
      <c r="N12" s="50" t="s">
        <v>31</v>
      </c>
      <c r="O12" s="379" t="s">
        <v>105</v>
      </c>
    </row>
    <row r="13" spans="1:15" ht="25.5" x14ac:dyDescent="0.2">
      <c r="A13" s="380" t="s">
        <v>182</v>
      </c>
      <c r="B13" s="126">
        <v>0.22</v>
      </c>
      <c r="C13" s="126">
        <v>0.22</v>
      </c>
      <c r="D13" s="126">
        <v>0.22</v>
      </c>
      <c r="E13" s="126">
        <v>0.22</v>
      </c>
      <c r="F13" s="126">
        <v>0.22</v>
      </c>
      <c r="G13" s="126">
        <v>0.22</v>
      </c>
      <c r="H13" s="126">
        <v>0.22</v>
      </c>
      <c r="I13" s="126">
        <v>0.22</v>
      </c>
      <c r="J13" s="126">
        <v>0.22</v>
      </c>
      <c r="K13" s="126">
        <v>0.22</v>
      </c>
      <c r="L13" s="126">
        <v>0.22</v>
      </c>
      <c r="M13" s="126">
        <v>0.22</v>
      </c>
      <c r="N13" s="33">
        <v>585981</v>
      </c>
      <c r="O13" s="379" t="s">
        <v>125</v>
      </c>
    </row>
    <row r="14" spans="1:15" ht="25.5" x14ac:dyDescent="0.2">
      <c r="A14" s="380" t="s">
        <v>183</v>
      </c>
      <c r="B14" s="126">
        <v>0.22</v>
      </c>
      <c r="C14" s="126">
        <v>0.22</v>
      </c>
      <c r="D14" s="126">
        <v>0.22</v>
      </c>
      <c r="E14" s="126">
        <v>0.22</v>
      </c>
      <c r="F14" s="126">
        <v>0.22</v>
      </c>
      <c r="G14" s="126">
        <v>0.22</v>
      </c>
      <c r="H14" s="126">
        <v>0.22</v>
      </c>
      <c r="I14" s="126">
        <v>0.22</v>
      </c>
      <c r="J14" s="126">
        <v>0.22</v>
      </c>
      <c r="K14" s="126">
        <v>0.22</v>
      </c>
      <c r="L14" s="126">
        <v>0.22</v>
      </c>
      <c r="M14" s="126">
        <v>0.22</v>
      </c>
      <c r="N14" s="387">
        <v>3000000</v>
      </c>
      <c r="O14" s="379" t="s">
        <v>124</v>
      </c>
    </row>
    <row r="15" spans="1:15" ht="38.25" x14ac:dyDescent="0.2">
      <c r="A15" s="378" t="s">
        <v>69</v>
      </c>
      <c r="B15" s="129" t="s">
        <v>31</v>
      </c>
      <c r="C15" s="129" t="s">
        <v>31</v>
      </c>
      <c r="D15" s="129" t="s">
        <v>31</v>
      </c>
      <c r="E15" s="129" t="s">
        <v>31</v>
      </c>
      <c r="F15" s="129" t="s">
        <v>31</v>
      </c>
      <c r="G15" s="129" t="s">
        <v>31</v>
      </c>
      <c r="H15" s="129" t="s">
        <v>31</v>
      </c>
      <c r="I15" s="129" t="s">
        <v>31</v>
      </c>
      <c r="J15" s="129" t="s">
        <v>31</v>
      </c>
      <c r="K15" s="129" t="s">
        <v>31</v>
      </c>
      <c r="L15" s="129" t="s">
        <v>31</v>
      </c>
      <c r="M15" s="129" t="s">
        <v>31</v>
      </c>
      <c r="N15" s="50">
        <v>590834</v>
      </c>
      <c r="O15" s="379" t="s">
        <v>112</v>
      </c>
    </row>
    <row r="16" spans="1:15" ht="38.25" x14ac:dyDescent="0.2">
      <c r="A16" s="378" t="s">
        <v>70</v>
      </c>
      <c r="B16" s="126">
        <v>210</v>
      </c>
      <c r="C16" s="126">
        <v>210</v>
      </c>
      <c r="D16" s="126">
        <v>210</v>
      </c>
      <c r="E16" s="126">
        <v>210</v>
      </c>
      <c r="F16" s="126">
        <v>210</v>
      </c>
      <c r="G16" s="126">
        <v>210</v>
      </c>
      <c r="H16" s="126">
        <v>210</v>
      </c>
      <c r="I16" s="126">
        <v>210</v>
      </c>
      <c r="J16" s="126">
        <v>210</v>
      </c>
      <c r="K16" s="126">
        <v>210</v>
      </c>
      <c r="L16" s="126">
        <v>210</v>
      </c>
      <c r="M16" s="126">
        <v>210</v>
      </c>
      <c r="N16" s="50">
        <v>590834</v>
      </c>
      <c r="O16" s="379" t="s">
        <v>113</v>
      </c>
    </row>
    <row r="17" spans="1:16" ht="38.25" x14ac:dyDescent="0.2">
      <c r="A17" s="378" t="s">
        <v>122</v>
      </c>
      <c r="B17" s="126">
        <v>30</v>
      </c>
      <c r="C17" s="126">
        <v>30</v>
      </c>
      <c r="D17" s="126">
        <v>30</v>
      </c>
      <c r="E17" s="126">
        <v>30</v>
      </c>
      <c r="F17" s="126">
        <v>30</v>
      </c>
      <c r="G17" s="126">
        <v>30</v>
      </c>
      <c r="H17" s="126">
        <v>30</v>
      </c>
      <c r="I17" s="126">
        <v>30</v>
      </c>
      <c r="J17" s="126">
        <v>30</v>
      </c>
      <c r="K17" s="126">
        <v>30</v>
      </c>
      <c r="L17" s="126">
        <v>30</v>
      </c>
      <c r="M17" s="126">
        <v>30</v>
      </c>
      <c r="N17" s="50">
        <v>590834</v>
      </c>
      <c r="O17" s="379" t="s">
        <v>111</v>
      </c>
    </row>
    <row r="18" spans="1:16" ht="38.25" x14ac:dyDescent="0.2">
      <c r="A18" s="378" t="s">
        <v>123</v>
      </c>
      <c r="B18" s="126">
        <v>80</v>
      </c>
      <c r="C18" s="126">
        <v>80</v>
      </c>
      <c r="D18" s="126">
        <v>80</v>
      </c>
      <c r="E18" s="126">
        <v>80</v>
      </c>
      <c r="F18" s="126">
        <v>80</v>
      </c>
      <c r="G18" s="126">
        <v>80</v>
      </c>
      <c r="H18" s="126">
        <v>80</v>
      </c>
      <c r="I18" s="126">
        <v>80</v>
      </c>
      <c r="J18" s="126">
        <v>80</v>
      </c>
      <c r="K18" s="126">
        <v>80</v>
      </c>
      <c r="L18" s="126">
        <v>80</v>
      </c>
      <c r="M18" s="126">
        <v>80</v>
      </c>
      <c r="N18" s="50">
        <v>590834</v>
      </c>
      <c r="O18" s="379" t="s">
        <v>111</v>
      </c>
    </row>
    <row r="19" spans="1:16" ht="38.25" x14ac:dyDescent="0.2">
      <c r="A19" s="378" t="s">
        <v>14</v>
      </c>
      <c r="B19" s="126">
        <v>64.900000000000006</v>
      </c>
      <c r="C19" s="126">
        <v>64.900000000000006</v>
      </c>
      <c r="D19" s="126">
        <v>64.900000000000006</v>
      </c>
      <c r="E19" s="126">
        <v>64.900000000000006</v>
      </c>
      <c r="F19" s="126">
        <v>64.900000000000006</v>
      </c>
      <c r="G19" s="126">
        <v>64.900000000000006</v>
      </c>
      <c r="H19" s="126">
        <v>64.900000000000006</v>
      </c>
      <c r="I19" s="126">
        <v>64.900000000000006</v>
      </c>
      <c r="J19" s="126">
        <v>64.900000000000006</v>
      </c>
      <c r="K19" s="126">
        <v>64.900000000000006</v>
      </c>
      <c r="L19" s="126">
        <v>64.900000000000006</v>
      </c>
      <c r="M19" s="126">
        <v>64.900000000000006</v>
      </c>
      <c r="N19" s="50">
        <v>10199</v>
      </c>
      <c r="O19" s="379" t="s">
        <v>110</v>
      </c>
    </row>
    <row r="20" spans="1:16" ht="51" x14ac:dyDescent="0.2">
      <c r="A20" s="378" t="s">
        <v>174</v>
      </c>
      <c r="B20" s="126">
        <v>13.8</v>
      </c>
      <c r="C20" s="126">
        <v>13.8</v>
      </c>
      <c r="D20" s="126">
        <v>13.8</v>
      </c>
      <c r="E20" s="126">
        <v>13.8</v>
      </c>
      <c r="F20" s="126">
        <v>13.8</v>
      </c>
      <c r="G20" s="126">
        <v>13.8</v>
      </c>
      <c r="H20" s="126">
        <v>13.8</v>
      </c>
      <c r="I20" s="126">
        <v>13.8</v>
      </c>
      <c r="J20" s="126">
        <v>13.8</v>
      </c>
      <c r="K20" s="126">
        <v>13.8</v>
      </c>
      <c r="L20" s="126">
        <v>13.8</v>
      </c>
      <c r="M20" s="126">
        <v>13.8</v>
      </c>
      <c r="N20" s="50">
        <v>161391</v>
      </c>
      <c r="O20" s="381" t="s">
        <v>180</v>
      </c>
      <c r="P20" s="241" t="s">
        <v>12</v>
      </c>
    </row>
    <row r="21" spans="1:16" ht="38.25" x14ac:dyDescent="0.2">
      <c r="A21" s="378" t="s">
        <v>126</v>
      </c>
      <c r="B21" s="128">
        <v>13.6</v>
      </c>
      <c r="C21" s="128">
        <v>13.6</v>
      </c>
      <c r="D21" s="128">
        <v>13.6</v>
      </c>
      <c r="E21" s="128">
        <v>13.6</v>
      </c>
      <c r="F21" s="128">
        <v>13.6</v>
      </c>
      <c r="G21" s="128">
        <v>13.6</v>
      </c>
      <c r="H21" s="128">
        <v>13.6</v>
      </c>
      <c r="I21" s="128">
        <v>13.6</v>
      </c>
      <c r="J21" s="128">
        <v>13.6</v>
      </c>
      <c r="K21" s="128">
        <v>13.6</v>
      </c>
      <c r="L21" s="128">
        <v>13.6</v>
      </c>
      <c r="M21" s="128">
        <v>13.6</v>
      </c>
      <c r="N21" s="50">
        <v>100833</v>
      </c>
      <c r="O21" s="379" t="s">
        <v>103</v>
      </c>
    </row>
    <row r="22" spans="1:16" ht="38.25" x14ac:dyDescent="0.2">
      <c r="A22" s="378" t="s">
        <v>127</v>
      </c>
      <c r="B22" s="128">
        <v>29</v>
      </c>
      <c r="C22" s="128">
        <v>29</v>
      </c>
      <c r="D22" s="128">
        <v>29</v>
      </c>
      <c r="E22" s="128">
        <v>29</v>
      </c>
      <c r="F22" s="128">
        <v>29</v>
      </c>
      <c r="G22" s="128">
        <v>29</v>
      </c>
      <c r="H22" s="128">
        <v>29</v>
      </c>
      <c r="I22" s="128">
        <v>29</v>
      </c>
      <c r="J22" s="128">
        <v>29</v>
      </c>
      <c r="K22" s="128">
        <v>29</v>
      </c>
      <c r="L22" s="128">
        <v>29</v>
      </c>
      <c r="M22" s="128">
        <v>29</v>
      </c>
      <c r="N22" s="50">
        <v>100833</v>
      </c>
      <c r="O22" s="379" t="s">
        <v>103</v>
      </c>
    </row>
    <row r="23" spans="1:16" ht="38.25" x14ac:dyDescent="0.2">
      <c r="A23" s="378" t="s">
        <v>128</v>
      </c>
      <c r="B23" s="126">
        <v>22</v>
      </c>
      <c r="C23" s="126">
        <v>22</v>
      </c>
      <c r="D23" s="126">
        <v>22</v>
      </c>
      <c r="E23" s="126">
        <v>22</v>
      </c>
      <c r="F23" s="126">
        <v>22</v>
      </c>
      <c r="G23" s="126">
        <v>22</v>
      </c>
      <c r="H23" s="126">
        <v>22</v>
      </c>
      <c r="I23" s="126">
        <v>22</v>
      </c>
      <c r="J23" s="126">
        <v>22</v>
      </c>
      <c r="K23" s="126">
        <v>22</v>
      </c>
      <c r="L23" s="126">
        <v>22</v>
      </c>
      <c r="M23" s="126">
        <v>22</v>
      </c>
      <c r="N23" s="50">
        <v>100833</v>
      </c>
      <c r="O23" s="379" t="s">
        <v>103</v>
      </c>
    </row>
    <row r="24" spans="1:16" ht="38.25" x14ac:dyDescent="0.2">
      <c r="A24" s="378" t="s">
        <v>129</v>
      </c>
      <c r="B24" s="126">
        <v>1274</v>
      </c>
      <c r="C24" s="126">
        <v>1274</v>
      </c>
      <c r="D24" s="126">
        <v>1274</v>
      </c>
      <c r="E24" s="126">
        <v>1274</v>
      </c>
      <c r="F24" s="126">
        <v>1274</v>
      </c>
      <c r="G24" s="126">
        <v>1274</v>
      </c>
      <c r="H24" s="126">
        <v>1274</v>
      </c>
      <c r="I24" s="126">
        <v>1274</v>
      </c>
      <c r="J24" s="126">
        <v>1274</v>
      </c>
      <c r="K24" s="126">
        <v>1274</v>
      </c>
      <c r="L24" s="126">
        <v>1274</v>
      </c>
      <c r="M24" s="126">
        <v>1274</v>
      </c>
      <c r="N24" s="50">
        <v>100833</v>
      </c>
      <c r="O24" s="379" t="s">
        <v>103</v>
      </c>
    </row>
    <row r="25" spans="1:16" ht="25.5" x14ac:dyDescent="0.2">
      <c r="A25" s="380" t="s">
        <v>181</v>
      </c>
      <c r="B25" s="129" t="s">
        <v>31</v>
      </c>
      <c r="C25" s="129" t="s">
        <v>31</v>
      </c>
      <c r="D25" s="129" t="s">
        <v>31</v>
      </c>
      <c r="E25" s="129" t="s">
        <v>31</v>
      </c>
      <c r="F25" s="129" t="s">
        <v>31</v>
      </c>
      <c r="G25" s="129" t="s">
        <v>31</v>
      </c>
      <c r="H25" s="129" t="s">
        <v>31</v>
      </c>
      <c r="I25" s="129" t="s">
        <v>31</v>
      </c>
      <c r="J25" s="129" t="s">
        <v>31</v>
      </c>
      <c r="K25" s="129" t="s">
        <v>31</v>
      </c>
      <c r="L25" s="129" t="s">
        <v>31</v>
      </c>
      <c r="M25" s="129" t="s">
        <v>31</v>
      </c>
      <c r="N25" s="50" t="s">
        <v>166</v>
      </c>
      <c r="O25" s="379" t="s">
        <v>108</v>
      </c>
    </row>
    <row r="26" spans="1:16" ht="51" x14ac:dyDescent="0.2">
      <c r="A26" s="380" t="s">
        <v>184</v>
      </c>
      <c r="B26" s="126">
        <v>0.26</v>
      </c>
      <c r="C26" s="126">
        <v>0.26</v>
      </c>
      <c r="D26" s="126">
        <v>0.26</v>
      </c>
      <c r="E26" s="126">
        <v>0.26</v>
      </c>
      <c r="F26" s="126">
        <v>0.26</v>
      </c>
      <c r="G26" s="126">
        <v>0.26</v>
      </c>
      <c r="H26" s="126">
        <v>0.26</v>
      </c>
      <c r="I26" s="126">
        <v>0.26</v>
      </c>
      <c r="J26" s="126">
        <v>0.26</v>
      </c>
      <c r="K26" s="126">
        <v>0.26</v>
      </c>
      <c r="L26" s="126">
        <v>0.26</v>
      </c>
      <c r="M26" s="126">
        <v>0.26</v>
      </c>
      <c r="N26" s="33">
        <v>3000000</v>
      </c>
      <c r="O26" s="379" t="s">
        <v>109</v>
      </c>
    </row>
    <row r="27" spans="1:16" ht="15" customHeight="1" x14ac:dyDescent="0.2">
      <c r="A27" s="388"/>
      <c r="B27" s="389"/>
      <c r="C27" s="389"/>
      <c r="D27" s="389"/>
      <c r="E27" s="389"/>
      <c r="F27" s="389"/>
      <c r="G27" s="389"/>
      <c r="H27" s="389"/>
      <c r="I27" s="389"/>
      <c r="J27" s="389"/>
      <c r="K27" s="389"/>
      <c r="L27" s="389"/>
      <c r="M27" s="389"/>
      <c r="N27" s="54"/>
      <c r="O27" s="374"/>
    </row>
    <row r="28" spans="1:16" ht="12.75" customHeight="1" x14ac:dyDescent="0.2">
      <c r="A28" s="624" t="s">
        <v>167</v>
      </c>
      <c r="B28" s="625"/>
      <c r="C28" s="625"/>
      <c r="D28" s="625"/>
      <c r="E28" s="625"/>
      <c r="F28" s="625"/>
      <c r="G28" s="625"/>
      <c r="H28" s="625"/>
      <c r="I28" s="625"/>
      <c r="J28" s="625"/>
      <c r="K28" s="625"/>
      <c r="L28" s="625"/>
      <c r="M28" s="625"/>
      <c r="N28" s="625"/>
      <c r="O28" s="626"/>
    </row>
    <row r="29" spans="1:16" ht="27.75" customHeight="1" thickBot="1" x14ac:dyDescent="0.25">
      <c r="A29" s="627"/>
      <c r="B29" s="628"/>
      <c r="C29" s="628"/>
      <c r="D29" s="628"/>
      <c r="E29" s="628"/>
      <c r="F29" s="628"/>
      <c r="G29" s="628"/>
      <c r="H29" s="628"/>
      <c r="I29" s="628"/>
      <c r="J29" s="628"/>
      <c r="K29" s="628"/>
      <c r="L29" s="628"/>
      <c r="M29" s="628"/>
      <c r="N29" s="628"/>
      <c r="O29" s="629"/>
    </row>
  </sheetData>
  <sheetProtection password="C511" sheet="1" objects="1" scenarios="1"/>
  <mergeCells count="3">
    <mergeCell ref="B8:M8"/>
    <mergeCell ref="N8:N9"/>
    <mergeCell ref="A28:O29"/>
  </mergeCells>
  <phoneticPr fontId="0" type="noConversion"/>
  <printOptions horizontalCentered="1"/>
  <pageMargins left="0" right="0" top="0.93854166666666705" bottom="0.25" header="0.13" footer="0.1"/>
  <pageSetup scale="61" orientation="landscape" cellComments="atEnd" r:id="rId1"/>
  <headerFooter alignWithMargins="0">
    <oddHeader>&amp;C
&amp;"Arial,Bold"Pacific Gas and Electric Company 
Average Ex Post Load Impact kW / Customer
December 2011</oddHeader>
    <oddFooter>&amp;L&amp;F&amp;CPage 5 of 11&amp;R&amp;A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82"/>
  <sheetViews>
    <sheetView showGridLines="0" view="pageLayout" topLeftCell="C1" zoomScaleNormal="75" zoomScaleSheetLayoutView="85" workbookViewId="0">
      <selection activeCell="K30" sqref="K30"/>
    </sheetView>
  </sheetViews>
  <sheetFormatPr defaultRowHeight="12" x14ac:dyDescent="0.2"/>
  <cols>
    <col min="1" max="1" width="35.85546875" style="494" customWidth="1"/>
    <col min="2" max="25" width="10" style="494" customWidth="1"/>
    <col min="26" max="16384" width="9.140625" style="494"/>
  </cols>
  <sheetData>
    <row r="1" spans="1:25" x14ac:dyDescent="0.2">
      <c r="A1" s="493" t="s">
        <v>114</v>
      </c>
    </row>
    <row r="3" spans="1:25" ht="21.75" customHeight="1" x14ac:dyDescent="0.2">
      <c r="A3" s="495">
        <v>2011</v>
      </c>
      <c r="B3" s="630" t="s">
        <v>0</v>
      </c>
      <c r="C3" s="630"/>
      <c r="D3" s="630"/>
      <c r="E3" s="630"/>
      <c r="F3" s="630" t="s">
        <v>1</v>
      </c>
      <c r="G3" s="630"/>
      <c r="H3" s="630"/>
      <c r="I3" s="630"/>
      <c r="J3" s="630" t="s">
        <v>2</v>
      </c>
      <c r="K3" s="630"/>
      <c r="L3" s="630"/>
      <c r="M3" s="630"/>
      <c r="N3" s="630" t="s">
        <v>3</v>
      </c>
      <c r="O3" s="630"/>
      <c r="P3" s="630"/>
      <c r="Q3" s="630"/>
      <c r="R3" s="630" t="s">
        <v>4</v>
      </c>
      <c r="S3" s="630"/>
      <c r="T3" s="630"/>
      <c r="U3" s="630"/>
      <c r="V3" s="630" t="s">
        <v>5</v>
      </c>
      <c r="W3" s="630"/>
      <c r="X3" s="630"/>
      <c r="Y3" s="630"/>
    </row>
    <row r="4" spans="1:25" ht="44.25" customHeight="1" x14ac:dyDescent="0.2">
      <c r="A4" s="496" t="s">
        <v>49</v>
      </c>
      <c r="B4" s="497" t="s">
        <v>115</v>
      </c>
      <c r="C4" s="497" t="s">
        <v>116</v>
      </c>
      <c r="D4" s="497" t="s">
        <v>117</v>
      </c>
      <c r="E4" s="497" t="s">
        <v>118</v>
      </c>
      <c r="F4" s="497" t="s">
        <v>115</v>
      </c>
      <c r="G4" s="497" t="s">
        <v>116</v>
      </c>
      <c r="H4" s="497" t="s">
        <v>117</v>
      </c>
      <c r="I4" s="497" t="s">
        <v>118</v>
      </c>
      <c r="J4" s="497" t="s">
        <v>115</v>
      </c>
      <c r="K4" s="497" t="s">
        <v>116</v>
      </c>
      <c r="L4" s="497" t="s">
        <v>117</v>
      </c>
      <c r="M4" s="497" t="s">
        <v>118</v>
      </c>
      <c r="N4" s="497" t="s">
        <v>115</v>
      </c>
      <c r="O4" s="497" t="s">
        <v>116</v>
      </c>
      <c r="P4" s="497" t="s">
        <v>117</v>
      </c>
      <c r="Q4" s="497" t="s">
        <v>118</v>
      </c>
      <c r="R4" s="497" t="s">
        <v>115</v>
      </c>
      <c r="S4" s="497" t="s">
        <v>116</v>
      </c>
      <c r="T4" s="497" t="s">
        <v>117</v>
      </c>
      <c r="U4" s="497" t="s">
        <v>118</v>
      </c>
      <c r="V4" s="497" t="s">
        <v>115</v>
      </c>
      <c r="W4" s="497" t="s">
        <v>116</v>
      </c>
      <c r="X4" s="497" t="s">
        <v>117</v>
      </c>
      <c r="Y4" s="497" t="s">
        <v>118</v>
      </c>
    </row>
    <row r="5" spans="1:25" x14ac:dyDescent="0.2">
      <c r="A5" s="498" t="s">
        <v>69</v>
      </c>
      <c r="B5" s="499"/>
      <c r="C5" s="500">
        <v>0</v>
      </c>
      <c r="D5" s="499">
        <v>0</v>
      </c>
      <c r="E5" s="501">
        <f>SUM(B5:D5)</f>
        <v>0</v>
      </c>
      <c r="F5" s="502"/>
      <c r="G5" s="503">
        <f>SUM(C5+0)</f>
        <v>0</v>
      </c>
      <c r="H5" s="504">
        <v>0</v>
      </c>
      <c r="I5" s="505">
        <f>SUM(F5:H5)</f>
        <v>0</v>
      </c>
      <c r="J5" s="506"/>
      <c r="K5" s="503">
        <v>0</v>
      </c>
      <c r="L5" s="503">
        <v>0</v>
      </c>
      <c r="M5" s="505">
        <f>SUM(J5:L5)</f>
        <v>0</v>
      </c>
      <c r="N5" s="506"/>
      <c r="O5" s="503">
        <v>0</v>
      </c>
      <c r="P5" s="504">
        <v>0</v>
      </c>
      <c r="Q5" s="505">
        <f>SUM(N5:P5)</f>
        <v>0</v>
      </c>
      <c r="R5" s="507"/>
      <c r="S5" s="503">
        <v>0</v>
      </c>
      <c r="T5" s="504">
        <v>0</v>
      </c>
      <c r="U5" s="505">
        <f t="shared" ref="U5:U10" si="0">SUM(R5:T5)</f>
        <v>0</v>
      </c>
      <c r="V5" s="506"/>
      <c r="W5" s="503">
        <v>0</v>
      </c>
      <c r="X5" s="503">
        <v>0</v>
      </c>
      <c r="Y5" s="505">
        <f>SUM(V5:X5)</f>
        <v>0</v>
      </c>
    </row>
    <row r="6" spans="1:25" x14ac:dyDescent="0.2">
      <c r="A6" s="498" t="s">
        <v>70</v>
      </c>
      <c r="B6" s="499"/>
      <c r="C6" s="500">
        <v>0</v>
      </c>
      <c r="D6" s="499">
        <v>0</v>
      </c>
      <c r="E6" s="501">
        <f t="shared" ref="E6:E16" si="1">SUM(B6:D6)</f>
        <v>0</v>
      </c>
      <c r="F6" s="502"/>
      <c r="G6" s="503">
        <f>SUM(C6+0)</f>
        <v>0</v>
      </c>
      <c r="H6" s="504">
        <v>0</v>
      </c>
      <c r="I6" s="505">
        <f t="shared" ref="I6:I16" si="2">SUM(F6:H6)</f>
        <v>0</v>
      </c>
      <c r="J6" s="506"/>
      <c r="K6" s="503">
        <v>0</v>
      </c>
      <c r="L6" s="503">
        <v>0</v>
      </c>
      <c r="M6" s="505">
        <f t="shared" ref="M6:M16" si="3">SUM(J6:L6)</f>
        <v>0</v>
      </c>
      <c r="N6" s="506"/>
      <c r="O6" s="503">
        <v>0</v>
      </c>
      <c r="P6" s="504">
        <v>0</v>
      </c>
      <c r="Q6" s="505">
        <f t="shared" ref="Q6:Q16" si="4">SUM(N6:P6)</f>
        <v>0</v>
      </c>
      <c r="R6" s="507"/>
      <c r="S6" s="503">
        <v>0</v>
      </c>
      <c r="T6" s="504">
        <v>0</v>
      </c>
      <c r="U6" s="505">
        <f t="shared" si="0"/>
        <v>0</v>
      </c>
      <c r="V6" s="506"/>
      <c r="W6" s="503">
        <v>0</v>
      </c>
      <c r="X6" s="503">
        <v>0</v>
      </c>
      <c r="Y6" s="505">
        <f t="shared" ref="Y6:Y16" si="5">SUM(V6:X6)</f>
        <v>0</v>
      </c>
    </row>
    <row r="7" spans="1:25" x14ac:dyDescent="0.2">
      <c r="A7" s="498" t="s">
        <v>122</v>
      </c>
      <c r="B7" s="499"/>
      <c r="C7" s="500">
        <v>0</v>
      </c>
      <c r="D7" s="499">
        <v>0</v>
      </c>
      <c r="E7" s="501">
        <f t="shared" si="1"/>
        <v>0</v>
      </c>
      <c r="F7" s="502"/>
      <c r="G7" s="503">
        <f>SUM(C7+0.425)</f>
        <v>0.42499999999999999</v>
      </c>
      <c r="H7" s="504">
        <v>0</v>
      </c>
      <c r="I7" s="505">
        <f t="shared" si="2"/>
        <v>0.42499999999999999</v>
      </c>
      <c r="J7" s="506"/>
      <c r="K7" s="503">
        <v>2.4609999999999999</v>
      </c>
      <c r="L7" s="503">
        <v>0</v>
      </c>
      <c r="M7" s="505">
        <f t="shared" si="3"/>
        <v>2.4609999999999999</v>
      </c>
      <c r="N7" s="506"/>
      <c r="O7" s="503">
        <f>K7+1.5</f>
        <v>3.9609999999999999</v>
      </c>
      <c r="P7" s="504">
        <v>0</v>
      </c>
      <c r="Q7" s="505">
        <f t="shared" si="4"/>
        <v>3.9609999999999999</v>
      </c>
      <c r="S7" s="507">
        <f>O7+1</f>
        <v>4.9610000000000003</v>
      </c>
      <c r="T7" s="504">
        <v>0</v>
      </c>
      <c r="U7" s="505">
        <f>SUM(S7:T7)</f>
        <v>4.9610000000000003</v>
      </c>
      <c r="V7" s="506"/>
      <c r="W7" s="503">
        <f>SUM(S7+1.3)</f>
        <v>6.2610000000000001</v>
      </c>
      <c r="X7" s="503">
        <v>0</v>
      </c>
      <c r="Y7" s="505">
        <f t="shared" si="5"/>
        <v>6.2610000000000001</v>
      </c>
    </row>
    <row r="8" spans="1:25" x14ac:dyDescent="0.2">
      <c r="A8" s="498" t="s">
        <v>123</v>
      </c>
      <c r="B8" s="499"/>
      <c r="C8" s="500">
        <v>0</v>
      </c>
      <c r="D8" s="499">
        <v>0</v>
      </c>
      <c r="E8" s="501">
        <f t="shared" si="1"/>
        <v>0</v>
      </c>
      <c r="F8" s="502"/>
      <c r="G8" s="503">
        <f>SUM(C8+0.425)</f>
        <v>0.42499999999999999</v>
      </c>
      <c r="H8" s="504">
        <v>0</v>
      </c>
      <c r="I8" s="505">
        <f t="shared" si="2"/>
        <v>0.42499999999999999</v>
      </c>
      <c r="J8" s="506"/>
      <c r="K8" s="503">
        <v>2.4609999999999999</v>
      </c>
      <c r="L8" s="503">
        <v>0</v>
      </c>
      <c r="M8" s="505">
        <f t="shared" si="3"/>
        <v>2.4609999999999999</v>
      </c>
      <c r="N8" s="506"/>
      <c r="O8" s="503">
        <f>K8+1.5</f>
        <v>3.9609999999999999</v>
      </c>
      <c r="P8" s="504">
        <v>0</v>
      </c>
      <c r="Q8" s="505">
        <f t="shared" si="4"/>
        <v>3.9609999999999999</v>
      </c>
      <c r="R8" s="507" t="s">
        <v>12</v>
      </c>
      <c r="S8" s="507">
        <f>O8+1</f>
        <v>4.9610000000000003</v>
      </c>
      <c r="T8" s="504">
        <v>0</v>
      </c>
      <c r="U8" s="505">
        <f t="shared" si="0"/>
        <v>4.9610000000000003</v>
      </c>
      <c r="V8" s="506"/>
      <c r="W8" s="503">
        <f>SUM(S8+1.3)</f>
        <v>6.2610000000000001</v>
      </c>
      <c r="X8" s="503">
        <v>0</v>
      </c>
      <c r="Y8" s="505">
        <f t="shared" si="5"/>
        <v>6.2610000000000001</v>
      </c>
    </row>
    <row r="9" spans="1:25" x14ac:dyDescent="0.2">
      <c r="A9" s="498" t="s">
        <v>14</v>
      </c>
      <c r="B9" s="499"/>
      <c r="C9" s="500">
        <v>0</v>
      </c>
      <c r="D9" s="499">
        <v>0</v>
      </c>
      <c r="E9" s="501">
        <f t="shared" si="1"/>
        <v>0</v>
      </c>
      <c r="F9" s="502"/>
      <c r="G9" s="503">
        <f t="shared" ref="G9:G16" si="6">SUM(C9+0)</f>
        <v>0</v>
      </c>
      <c r="H9" s="504">
        <v>0</v>
      </c>
      <c r="I9" s="505">
        <f t="shared" si="2"/>
        <v>0</v>
      </c>
      <c r="J9" s="506"/>
      <c r="K9" s="503">
        <v>0</v>
      </c>
      <c r="L9" s="503">
        <v>0</v>
      </c>
      <c r="M9" s="505">
        <f t="shared" si="3"/>
        <v>0</v>
      </c>
      <c r="N9" s="506"/>
      <c r="O9" s="503">
        <v>0</v>
      </c>
      <c r="P9" s="504">
        <v>0</v>
      </c>
      <c r="Q9" s="505">
        <f t="shared" si="4"/>
        <v>0</v>
      </c>
      <c r="R9" s="507"/>
      <c r="S9" s="503">
        <v>0</v>
      </c>
      <c r="T9" s="504">
        <v>0</v>
      </c>
      <c r="U9" s="505">
        <f t="shared" si="0"/>
        <v>0</v>
      </c>
      <c r="V9" s="506"/>
      <c r="W9" s="508">
        <f>SUM(S9+0.8)</f>
        <v>0.8</v>
      </c>
      <c r="X9" s="503">
        <v>0</v>
      </c>
      <c r="Y9" s="505">
        <f t="shared" si="5"/>
        <v>0.8</v>
      </c>
    </row>
    <row r="10" spans="1:25" x14ac:dyDescent="0.2">
      <c r="A10" s="498" t="s">
        <v>174</v>
      </c>
      <c r="B10" s="499"/>
      <c r="C10" s="499">
        <v>0.35</v>
      </c>
      <c r="D10" s="499">
        <v>0</v>
      </c>
      <c r="E10" s="501">
        <f t="shared" si="1"/>
        <v>0.35</v>
      </c>
      <c r="F10" s="502"/>
      <c r="G10" s="503">
        <f t="shared" si="6"/>
        <v>0.35</v>
      </c>
      <c r="H10" s="504">
        <v>0</v>
      </c>
      <c r="I10" s="505">
        <f t="shared" si="2"/>
        <v>0.35</v>
      </c>
      <c r="J10" s="506"/>
      <c r="K10" s="503">
        <v>0.35</v>
      </c>
      <c r="L10" s="503">
        <v>0</v>
      </c>
      <c r="M10" s="505">
        <f t="shared" si="3"/>
        <v>0.35</v>
      </c>
      <c r="N10" s="506"/>
      <c r="O10" s="503">
        <f>K10+0</f>
        <v>0.35</v>
      </c>
      <c r="P10" s="504">
        <v>0</v>
      </c>
      <c r="Q10" s="505">
        <f t="shared" si="4"/>
        <v>0.35</v>
      </c>
      <c r="R10" s="507"/>
      <c r="S10" s="503">
        <f>SUM(O10+0)</f>
        <v>0.35</v>
      </c>
      <c r="T10" s="504">
        <v>0</v>
      </c>
      <c r="U10" s="501">
        <f t="shared" si="0"/>
        <v>0.35</v>
      </c>
      <c r="V10" s="506"/>
      <c r="W10" s="503">
        <f>SUM(S10+0)</f>
        <v>0.35</v>
      </c>
      <c r="X10" s="503">
        <v>0</v>
      </c>
      <c r="Y10" s="505">
        <f t="shared" si="5"/>
        <v>0.35</v>
      </c>
    </row>
    <row r="11" spans="1:25" x14ac:dyDescent="0.2">
      <c r="A11" s="498" t="s">
        <v>126</v>
      </c>
      <c r="B11" s="499"/>
      <c r="C11" s="500">
        <v>0</v>
      </c>
      <c r="D11" s="499">
        <v>0</v>
      </c>
      <c r="E11" s="501">
        <f t="shared" si="1"/>
        <v>0</v>
      </c>
      <c r="F11" s="502"/>
      <c r="G11" s="503">
        <f t="shared" si="6"/>
        <v>0</v>
      </c>
      <c r="H11" s="504">
        <v>0</v>
      </c>
      <c r="I11" s="505">
        <f t="shared" si="2"/>
        <v>0</v>
      </c>
      <c r="J11" s="506"/>
      <c r="K11" s="503">
        <v>0</v>
      </c>
      <c r="L11" s="503">
        <v>0</v>
      </c>
      <c r="M11" s="505">
        <f t="shared" si="3"/>
        <v>0</v>
      </c>
      <c r="N11" s="506"/>
      <c r="O11" s="503">
        <v>0</v>
      </c>
      <c r="P11" s="504">
        <v>0</v>
      </c>
      <c r="Q11" s="505">
        <f t="shared" si="4"/>
        <v>0</v>
      </c>
      <c r="R11" s="507"/>
      <c r="S11" s="503">
        <v>0</v>
      </c>
      <c r="T11" s="504">
        <v>0</v>
      </c>
      <c r="U11" s="501">
        <f t="shared" ref="U11:U16" si="7">SUM(R11:T11)</f>
        <v>0</v>
      </c>
      <c r="V11" s="506"/>
      <c r="W11" s="503">
        <v>0</v>
      </c>
      <c r="X11" s="503">
        <v>0</v>
      </c>
      <c r="Y11" s="505">
        <f t="shared" si="5"/>
        <v>0</v>
      </c>
    </row>
    <row r="12" spans="1:25" x14ac:dyDescent="0.2">
      <c r="A12" s="498" t="s">
        <v>127</v>
      </c>
      <c r="B12" s="499"/>
      <c r="C12" s="500">
        <v>0</v>
      </c>
      <c r="D12" s="499">
        <v>0</v>
      </c>
      <c r="E12" s="501">
        <f t="shared" si="1"/>
        <v>0</v>
      </c>
      <c r="F12" s="502"/>
      <c r="G12" s="503">
        <f t="shared" si="6"/>
        <v>0</v>
      </c>
      <c r="H12" s="504">
        <v>0</v>
      </c>
      <c r="I12" s="505">
        <f t="shared" si="2"/>
        <v>0</v>
      </c>
      <c r="J12" s="506"/>
      <c r="K12" s="503">
        <v>0</v>
      </c>
      <c r="L12" s="503">
        <v>0</v>
      </c>
      <c r="M12" s="505">
        <f t="shared" si="3"/>
        <v>0</v>
      </c>
      <c r="N12" s="506"/>
      <c r="O12" s="503">
        <v>0</v>
      </c>
      <c r="P12" s="504">
        <v>0</v>
      </c>
      <c r="Q12" s="505">
        <f t="shared" si="4"/>
        <v>0</v>
      </c>
      <c r="R12" s="507"/>
      <c r="S12" s="503">
        <v>0</v>
      </c>
      <c r="T12" s="504">
        <v>0</v>
      </c>
      <c r="U12" s="501">
        <f t="shared" si="7"/>
        <v>0</v>
      </c>
      <c r="V12" s="506"/>
      <c r="W12" s="503">
        <v>0</v>
      </c>
      <c r="X12" s="503">
        <v>0</v>
      </c>
      <c r="Y12" s="505">
        <f t="shared" si="5"/>
        <v>0</v>
      </c>
    </row>
    <row r="13" spans="1:25" x14ac:dyDescent="0.2">
      <c r="A13" s="498" t="s">
        <v>128</v>
      </c>
      <c r="B13" s="499"/>
      <c r="C13" s="500">
        <v>0</v>
      </c>
      <c r="D13" s="499">
        <v>0</v>
      </c>
      <c r="E13" s="501">
        <f t="shared" si="1"/>
        <v>0</v>
      </c>
      <c r="F13" s="502"/>
      <c r="G13" s="503">
        <f t="shared" si="6"/>
        <v>0</v>
      </c>
      <c r="H13" s="504">
        <v>0</v>
      </c>
      <c r="I13" s="505">
        <f t="shared" si="2"/>
        <v>0</v>
      </c>
      <c r="J13" s="506"/>
      <c r="K13" s="503">
        <v>0</v>
      </c>
      <c r="L13" s="503">
        <v>0</v>
      </c>
      <c r="M13" s="505">
        <f t="shared" si="3"/>
        <v>0</v>
      </c>
      <c r="N13" s="506"/>
      <c r="O13" s="503">
        <v>0</v>
      </c>
      <c r="P13" s="504">
        <v>0</v>
      </c>
      <c r="Q13" s="505">
        <f t="shared" si="4"/>
        <v>0</v>
      </c>
      <c r="R13" s="507"/>
      <c r="S13" s="503">
        <v>0</v>
      </c>
      <c r="T13" s="504">
        <v>0</v>
      </c>
      <c r="U13" s="501">
        <f t="shared" si="7"/>
        <v>0</v>
      </c>
      <c r="V13" s="506"/>
      <c r="W13" s="503">
        <v>0</v>
      </c>
      <c r="X13" s="503">
        <v>0</v>
      </c>
      <c r="Y13" s="505">
        <f t="shared" si="5"/>
        <v>0</v>
      </c>
    </row>
    <row r="14" spans="1:25" x14ac:dyDescent="0.2">
      <c r="A14" s="498" t="s">
        <v>129</v>
      </c>
      <c r="B14" s="499"/>
      <c r="C14" s="500">
        <v>0</v>
      </c>
      <c r="D14" s="499">
        <v>0</v>
      </c>
      <c r="E14" s="501">
        <f t="shared" si="1"/>
        <v>0</v>
      </c>
      <c r="F14" s="502"/>
      <c r="G14" s="503">
        <f t="shared" si="6"/>
        <v>0</v>
      </c>
      <c r="H14" s="504">
        <v>0</v>
      </c>
      <c r="I14" s="505">
        <f t="shared" si="2"/>
        <v>0</v>
      </c>
      <c r="J14" s="506"/>
      <c r="K14" s="503">
        <v>0</v>
      </c>
      <c r="L14" s="503">
        <v>0</v>
      </c>
      <c r="M14" s="505">
        <f t="shared" si="3"/>
        <v>0</v>
      </c>
      <c r="N14" s="506"/>
      <c r="O14" s="503">
        <v>0</v>
      </c>
      <c r="P14" s="504">
        <v>0</v>
      </c>
      <c r="Q14" s="505">
        <f t="shared" si="4"/>
        <v>0</v>
      </c>
      <c r="R14" s="507"/>
      <c r="S14" s="503">
        <v>0</v>
      </c>
      <c r="T14" s="504">
        <v>0</v>
      </c>
      <c r="U14" s="501">
        <f t="shared" si="7"/>
        <v>0</v>
      </c>
      <c r="V14" s="506"/>
      <c r="W14" s="503">
        <v>0</v>
      </c>
      <c r="X14" s="503">
        <v>0</v>
      </c>
      <c r="Y14" s="505">
        <f t="shared" si="5"/>
        <v>0</v>
      </c>
    </row>
    <row r="15" spans="1:25" x14ac:dyDescent="0.2">
      <c r="A15" s="498" t="s">
        <v>181</v>
      </c>
      <c r="B15" s="499"/>
      <c r="C15" s="500">
        <v>0</v>
      </c>
      <c r="D15" s="499">
        <v>0</v>
      </c>
      <c r="E15" s="501">
        <f t="shared" si="1"/>
        <v>0</v>
      </c>
      <c r="F15" s="502"/>
      <c r="G15" s="503">
        <f t="shared" si="6"/>
        <v>0</v>
      </c>
      <c r="H15" s="504">
        <v>0</v>
      </c>
      <c r="I15" s="505">
        <f t="shared" si="2"/>
        <v>0</v>
      </c>
      <c r="J15" s="506"/>
      <c r="K15" s="503">
        <v>0</v>
      </c>
      <c r="L15" s="503">
        <v>0</v>
      </c>
      <c r="M15" s="505">
        <f t="shared" si="3"/>
        <v>0</v>
      </c>
      <c r="N15" s="506"/>
      <c r="O15" s="503">
        <v>0</v>
      </c>
      <c r="P15" s="504">
        <v>0</v>
      </c>
      <c r="Q15" s="505">
        <f t="shared" si="4"/>
        <v>0</v>
      </c>
      <c r="R15" s="507"/>
      <c r="S15" s="503">
        <v>0</v>
      </c>
      <c r="T15" s="504">
        <v>0</v>
      </c>
      <c r="U15" s="501">
        <f t="shared" si="7"/>
        <v>0</v>
      </c>
      <c r="V15" s="506"/>
      <c r="W15" s="503">
        <v>0</v>
      </c>
      <c r="X15" s="503">
        <v>0</v>
      </c>
      <c r="Y15" s="505">
        <f t="shared" si="5"/>
        <v>0</v>
      </c>
    </row>
    <row r="16" spans="1:25" x14ac:dyDescent="0.2">
      <c r="A16" s="498" t="s">
        <v>184</v>
      </c>
      <c r="B16" s="499"/>
      <c r="C16" s="500">
        <v>0</v>
      </c>
      <c r="D16" s="499">
        <v>0</v>
      </c>
      <c r="E16" s="501">
        <f t="shared" si="1"/>
        <v>0</v>
      </c>
      <c r="F16" s="502"/>
      <c r="G16" s="503">
        <f t="shared" si="6"/>
        <v>0</v>
      </c>
      <c r="H16" s="504">
        <v>0</v>
      </c>
      <c r="I16" s="505">
        <f t="shared" si="2"/>
        <v>0</v>
      </c>
      <c r="J16" s="506"/>
      <c r="K16" s="503">
        <v>0</v>
      </c>
      <c r="L16" s="503">
        <v>0</v>
      </c>
      <c r="M16" s="505">
        <f t="shared" si="3"/>
        <v>0</v>
      </c>
      <c r="N16" s="506"/>
      <c r="O16" s="503">
        <v>0</v>
      </c>
      <c r="P16" s="504">
        <v>0</v>
      </c>
      <c r="Q16" s="505">
        <f t="shared" si="4"/>
        <v>0</v>
      </c>
      <c r="R16" s="507"/>
      <c r="S16" s="503">
        <v>0</v>
      </c>
      <c r="T16" s="504">
        <v>0</v>
      </c>
      <c r="U16" s="501">
        <f t="shared" si="7"/>
        <v>0</v>
      </c>
      <c r="V16" s="506"/>
      <c r="W16" s="503">
        <v>0</v>
      </c>
      <c r="X16" s="503">
        <v>0</v>
      </c>
      <c r="Y16" s="505">
        <f t="shared" si="5"/>
        <v>0</v>
      </c>
    </row>
    <row r="17" spans="1:25" s="493" customFormat="1" x14ac:dyDescent="0.2">
      <c r="A17" s="509" t="s">
        <v>63</v>
      </c>
      <c r="B17" s="510"/>
      <c r="C17" s="510">
        <f t="shared" ref="C17:Y17" si="8">SUM(C5:C16)</f>
        <v>0.35</v>
      </c>
      <c r="D17" s="510">
        <f t="shared" si="8"/>
        <v>0</v>
      </c>
      <c r="E17" s="510">
        <f t="shared" si="8"/>
        <v>0.35</v>
      </c>
      <c r="F17" s="505"/>
      <c r="G17" s="505">
        <f t="shared" si="8"/>
        <v>1.2</v>
      </c>
      <c r="H17" s="505">
        <f t="shared" si="8"/>
        <v>0</v>
      </c>
      <c r="I17" s="505">
        <f t="shared" si="8"/>
        <v>1.2</v>
      </c>
      <c r="J17" s="505"/>
      <c r="K17" s="505">
        <f t="shared" si="8"/>
        <v>5.2719999999999994</v>
      </c>
      <c r="L17" s="505">
        <f t="shared" si="8"/>
        <v>0</v>
      </c>
      <c r="M17" s="505">
        <f t="shared" si="8"/>
        <v>5.2719999999999994</v>
      </c>
      <c r="N17" s="505"/>
      <c r="O17" s="505">
        <f t="shared" si="8"/>
        <v>8.2720000000000002</v>
      </c>
      <c r="P17" s="505">
        <f t="shared" si="8"/>
        <v>0</v>
      </c>
      <c r="Q17" s="505">
        <f t="shared" si="8"/>
        <v>8.2720000000000002</v>
      </c>
      <c r="R17" s="511"/>
      <c r="S17" s="505">
        <f t="shared" si="8"/>
        <v>10.272</v>
      </c>
      <c r="T17" s="505">
        <f t="shared" si="8"/>
        <v>0</v>
      </c>
      <c r="U17" s="505">
        <f t="shared" si="8"/>
        <v>10.272</v>
      </c>
      <c r="V17" s="505"/>
      <c r="W17" s="505">
        <f t="shared" si="8"/>
        <v>13.672000000000001</v>
      </c>
      <c r="X17" s="505">
        <f t="shared" si="8"/>
        <v>0</v>
      </c>
      <c r="Y17" s="505">
        <f t="shared" si="8"/>
        <v>13.672000000000001</v>
      </c>
    </row>
    <row r="18" spans="1:25" ht="3.95" customHeight="1" x14ac:dyDescent="0.2">
      <c r="A18" s="509"/>
      <c r="B18" s="512"/>
      <c r="C18" s="513"/>
      <c r="D18" s="513"/>
      <c r="E18" s="514"/>
      <c r="F18" s="512"/>
      <c r="G18" s="506"/>
      <c r="H18" s="506"/>
      <c r="I18" s="505"/>
      <c r="J18" s="515"/>
      <c r="K18" s="506"/>
      <c r="L18" s="516"/>
      <c r="M18" s="505"/>
      <c r="N18" s="515"/>
      <c r="O18" s="506"/>
      <c r="P18" s="516"/>
      <c r="Q18" s="505"/>
      <c r="R18" s="515"/>
      <c r="S18" s="506"/>
      <c r="T18" s="516"/>
      <c r="U18" s="505"/>
      <c r="V18" s="515"/>
      <c r="W18" s="506"/>
      <c r="X18" s="516"/>
      <c r="Y18" s="505"/>
    </row>
    <row r="19" spans="1:25" x14ac:dyDescent="0.2">
      <c r="A19" s="496" t="s">
        <v>22</v>
      </c>
      <c r="B19" s="517"/>
      <c r="C19" s="497"/>
      <c r="D19" s="497"/>
      <c r="E19" s="496"/>
      <c r="F19" s="517"/>
      <c r="G19" s="518"/>
      <c r="H19" s="519"/>
      <c r="I19" s="519"/>
      <c r="J19" s="520"/>
      <c r="K19" s="518"/>
      <c r="L19" s="519"/>
      <c r="M19" s="505"/>
      <c r="N19" s="520"/>
      <c r="O19" s="518"/>
      <c r="P19" s="519"/>
      <c r="Q19" s="505"/>
      <c r="R19" s="520"/>
      <c r="S19" s="518"/>
      <c r="T19" s="519"/>
      <c r="U19" s="505"/>
      <c r="V19" s="520"/>
      <c r="W19" s="518"/>
      <c r="X19" s="519"/>
      <c r="Y19" s="505"/>
    </row>
    <row r="20" spans="1:25" x14ac:dyDescent="0.2">
      <c r="A20" s="498" t="s">
        <v>68</v>
      </c>
      <c r="B20" s="521"/>
      <c r="C20" s="500">
        <v>0</v>
      </c>
      <c r="D20" s="499">
        <v>0</v>
      </c>
      <c r="E20" s="501">
        <f>SUM(B20:D20)</f>
        <v>0</v>
      </c>
      <c r="F20" s="517"/>
      <c r="G20" s="503">
        <v>0</v>
      </c>
      <c r="H20" s="504">
        <v>0</v>
      </c>
      <c r="I20" s="501">
        <f>SUM(F20:H20)</f>
        <v>0</v>
      </c>
      <c r="J20" s="520"/>
      <c r="K20" s="503">
        <v>0</v>
      </c>
      <c r="L20" s="503">
        <v>0</v>
      </c>
      <c r="M20" s="505">
        <f>SUM(K20:L20)</f>
        <v>0</v>
      </c>
      <c r="N20" s="520"/>
      <c r="O20" s="522">
        <v>0</v>
      </c>
      <c r="P20" s="523">
        <v>0</v>
      </c>
      <c r="Q20" s="505">
        <f>SUM(O20:P20)</f>
        <v>0</v>
      </c>
      <c r="R20" s="524"/>
      <c r="S20" s="522">
        <v>0</v>
      </c>
      <c r="T20" s="523">
        <v>0</v>
      </c>
      <c r="U20" s="505">
        <f>SUM(R20:T20)</f>
        <v>0</v>
      </c>
      <c r="V20" s="520"/>
      <c r="W20" s="522">
        <v>0</v>
      </c>
      <c r="X20" s="522">
        <v>0</v>
      </c>
      <c r="Y20" s="505">
        <f>SUM(V20:X20)</f>
        <v>0</v>
      </c>
    </row>
    <row r="21" spans="1:25" x14ac:dyDescent="0.2">
      <c r="A21" s="498" t="s">
        <v>13</v>
      </c>
      <c r="B21" s="521"/>
      <c r="C21" s="500">
        <v>0</v>
      </c>
      <c r="D21" s="499">
        <v>0</v>
      </c>
      <c r="E21" s="501">
        <f>SUM(B21:D21)</f>
        <v>0</v>
      </c>
      <c r="F21" s="517"/>
      <c r="G21" s="503">
        <v>0</v>
      </c>
      <c r="H21" s="504">
        <v>0</v>
      </c>
      <c r="I21" s="501">
        <f>SUM(F21:H21)</f>
        <v>0</v>
      </c>
      <c r="J21" s="520"/>
      <c r="K21" s="503">
        <v>0</v>
      </c>
      <c r="L21" s="503">
        <v>0</v>
      </c>
      <c r="M21" s="505">
        <f>SUM(K21:L21)</f>
        <v>0</v>
      </c>
      <c r="N21" s="520"/>
      <c r="O21" s="522">
        <v>0</v>
      </c>
      <c r="P21" s="523">
        <v>0</v>
      </c>
      <c r="Q21" s="505">
        <f>SUM(O21:P21)</f>
        <v>0</v>
      </c>
      <c r="R21" s="524"/>
      <c r="S21" s="522">
        <v>0</v>
      </c>
      <c r="T21" s="523">
        <v>0</v>
      </c>
      <c r="U21" s="505">
        <f>SUM(R21:T21)</f>
        <v>0</v>
      </c>
      <c r="V21" s="520"/>
      <c r="W21" s="522">
        <v>0</v>
      </c>
      <c r="X21" s="522">
        <v>0</v>
      </c>
      <c r="Y21" s="505">
        <f>SUM(V21:X21)</f>
        <v>0</v>
      </c>
    </row>
    <row r="22" spans="1:25" x14ac:dyDescent="0.2">
      <c r="A22" s="498" t="s">
        <v>25</v>
      </c>
      <c r="B22" s="521"/>
      <c r="C22" s="500">
        <v>0</v>
      </c>
      <c r="D22" s="499">
        <v>0</v>
      </c>
      <c r="E22" s="501">
        <f>SUM(B22:D22)</f>
        <v>0</v>
      </c>
      <c r="F22" s="502"/>
      <c r="G22" s="503">
        <v>0</v>
      </c>
      <c r="H22" s="504">
        <v>0</v>
      </c>
      <c r="I22" s="501">
        <f>SUM(F22:H22)</f>
        <v>0</v>
      </c>
      <c r="J22" s="506"/>
      <c r="K22" s="503">
        <v>0</v>
      </c>
      <c r="L22" s="503">
        <v>0</v>
      </c>
      <c r="M22" s="505">
        <f>SUM(K22:L22)</f>
        <v>0</v>
      </c>
      <c r="N22" s="506"/>
      <c r="O22" s="522">
        <v>0</v>
      </c>
      <c r="P22" s="523">
        <v>0</v>
      </c>
      <c r="Q22" s="505">
        <f>SUM(O22:P22)</f>
        <v>0</v>
      </c>
      <c r="R22" s="507"/>
      <c r="S22" s="522">
        <v>0</v>
      </c>
      <c r="T22" s="523">
        <v>0</v>
      </c>
      <c r="U22" s="505">
        <f>SUM(R22:T22)</f>
        <v>0</v>
      </c>
      <c r="V22" s="506"/>
      <c r="W22" s="522">
        <v>0</v>
      </c>
      <c r="X22" s="522">
        <v>0</v>
      </c>
      <c r="Y22" s="505">
        <f>SUM(V22:X22)</f>
        <v>0</v>
      </c>
    </row>
    <row r="23" spans="1:25" x14ac:dyDescent="0.2">
      <c r="A23" s="498" t="s">
        <v>182</v>
      </c>
      <c r="B23" s="521"/>
      <c r="C23" s="500">
        <v>0</v>
      </c>
      <c r="D23" s="499">
        <v>0</v>
      </c>
      <c r="E23" s="501">
        <f>SUM(B23:D23)</f>
        <v>0</v>
      </c>
      <c r="F23" s="502"/>
      <c r="G23" s="503">
        <v>0</v>
      </c>
      <c r="H23" s="504">
        <v>0</v>
      </c>
      <c r="I23" s="501">
        <f>SUM(F23:H23)</f>
        <v>0</v>
      </c>
      <c r="J23" s="506"/>
      <c r="K23" s="503">
        <v>0</v>
      </c>
      <c r="L23" s="503">
        <v>0</v>
      </c>
      <c r="M23" s="505">
        <f>SUM(K23:L23)</f>
        <v>0</v>
      </c>
      <c r="N23" s="506"/>
      <c r="O23" s="522">
        <v>0</v>
      </c>
      <c r="P23" s="523">
        <v>0</v>
      </c>
      <c r="Q23" s="505">
        <f>SUM(O23:P23)</f>
        <v>0</v>
      </c>
      <c r="R23" s="507"/>
      <c r="S23" s="522">
        <v>0</v>
      </c>
      <c r="T23" s="523">
        <v>0</v>
      </c>
      <c r="U23" s="505">
        <f>SUM(R23:T23)</f>
        <v>0</v>
      </c>
      <c r="V23" s="506"/>
      <c r="W23" s="522">
        <v>0</v>
      </c>
      <c r="X23" s="522">
        <v>0</v>
      </c>
      <c r="Y23" s="505">
        <f>SUM(V23:X23)</f>
        <v>0</v>
      </c>
    </row>
    <row r="24" spans="1:25" x14ac:dyDescent="0.2">
      <c r="A24" s="498" t="s">
        <v>183</v>
      </c>
      <c r="B24" s="521"/>
      <c r="C24" s="500">
        <v>0</v>
      </c>
      <c r="D24" s="499">
        <v>0</v>
      </c>
      <c r="E24" s="501">
        <f>SUM(B24:D24)</f>
        <v>0</v>
      </c>
      <c r="F24" s="502"/>
      <c r="G24" s="503">
        <v>0</v>
      </c>
      <c r="H24" s="504">
        <v>0</v>
      </c>
      <c r="I24" s="501">
        <f>SUM(F24:H24)</f>
        <v>0</v>
      </c>
      <c r="J24" s="506"/>
      <c r="K24" s="503">
        <v>0</v>
      </c>
      <c r="L24" s="503">
        <v>0</v>
      </c>
      <c r="M24" s="505">
        <f>SUM(K24:L24)</f>
        <v>0</v>
      </c>
      <c r="N24" s="506"/>
      <c r="O24" s="522">
        <v>0</v>
      </c>
      <c r="P24" s="523">
        <v>0</v>
      </c>
      <c r="Q24" s="505">
        <f>SUM(O24:P24)</f>
        <v>0</v>
      </c>
      <c r="R24" s="507"/>
      <c r="S24" s="522">
        <v>0</v>
      </c>
      <c r="T24" s="523">
        <v>0</v>
      </c>
      <c r="U24" s="505">
        <f>SUM(R24:T24)</f>
        <v>0</v>
      </c>
      <c r="V24" s="506"/>
      <c r="W24" s="522">
        <v>0</v>
      </c>
      <c r="X24" s="522">
        <v>0</v>
      </c>
      <c r="Y24" s="505">
        <f>SUM(V24:X24)</f>
        <v>0</v>
      </c>
    </row>
    <row r="25" spans="1:25" s="493" customFormat="1" x14ac:dyDescent="0.2">
      <c r="A25" s="509" t="s">
        <v>63</v>
      </c>
      <c r="B25" s="510"/>
      <c r="C25" s="510">
        <f>SUM(C20:C24)</f>
        <v>0</v>
      </c>
      <c r="D25" s="510">
        <f>SUM(D20:D24)</f>
        <v>0</v>
      </c>
      <c r="E25" s="510">
        <f>SUM(E20:E24)</f>
        <v>0</v>
      </c>
      <c r="F25" s="525"/>
      <c r="G25" s="510">
        <f>SUM(G20:G24)</f>
        <v>0</v>
      </c>
      <c r="H25" s="510">
        <f>SUM(H20:H24)</f>
        <v>0</v>
      </c>
      <c r="I25" s="510">
        <f>SUM(I20:I24)</f>
        <v>0</v>
      </c>
      <c r="J25" s="525"/>
      <c r="K25" s="510">
        <f>SUM(K20:K24)</f>
        <v>0</v>
      </c>
      <c r="L25" s="510">
        <f>SUM(L20:L24)</f>
        <v>0</v>
      </c>
      <c r="M25" s="510">
        <f>SUM(M20:M24)</f>
        <v>0</v>
      </c>
      <c r="N25" s="525"/>
      <c r="O25" s="510">
        <f>SUM(O20:O24)</f>
        <v>0</v>
      </c>
      <c r="P25" s="510">
        <f>SUM(P20:P24)</f>
        <v>0</v>
      </c>
      <c r="Q25" s="510">
        <f>SUM(Q20:Q24)</f>
        <v>0</v>
      </c>
      <c r="R25" s="526"/>
      <c r="S25" s="510">
        <f>SUM(S20:S24)</f>
        <v>0</v>
      </c>
      <c r="T25" s="510">
        <f>SUM(T20:T24)</f>
        <v>0</v>
      </c>
      <c r="U25" s="510">
        <f>SUM(U20:U24)</f>
        <v>0</v>
      </c>
      <c r="V25" s="525"/>
      <c r="W25" s="510">
        <f>SUM(W20:W24)</f>
        <v>0</v>
      </c>
      <c r="X25" s="510">
        <f>SUM(X20:X24)</f>
        <v>0</v>
      </c>
      <c r="Y25" s="527">
        <f>SUM(Y20:Y24)</f>
        <v>0</v>
      </c>
    </row>
    <row r="26" spans="1:25" ht="5.25" customHeight="1" x14ac:dyDescent="0.2">
      <c r="A26" s="509"/>
      <c r="B26" s="512"/>
      <c r="C26" s="513"/>
      <c r="D26" s="513"/>
      <c r="E26" s="514"/>
      <c r="F26" s="512"/>
      <c r="G26" s="506"/>
      <c r="H26" s="516"/>
      <c r="I26" s="505"/>
      <c r="J26" s="515"/>
      <c r="K26" s="506"/>
      <c r="L26" s="516"/>
      <c r="M26" s="505" t="s">
        <v>12</v>
      </c>
      <c r="N26" s="515"/>
      <c r="O26" s="506"/>
      <c r="P26" s="516"/>
      <c r="Q26" s="505" t="s">
        <v>12</v>
      </c>
      <c r="R26" s="515"/>
      <c r="S26" s="506"/>
      <c r="T26" s="516"/>
      <c r="U26" s="505" t="s">
        <v>12</v>
      </c>
      <c r="V26" s="515"/>
      <c r="W26" s="506"/>
      <c r="X26" s="516"/>
      <c r="Y26" s="505" t="s">
        <v>12</v>
      </c>
    </row>
    <row r="27" spans="1:25" s="493" customFormat="1" ht="17.25" customHeight="1" x14ac:dyDescent="0.2">
      <c r="A27" s="509" t="s">
        <v>118</v>
      </c>
      <c r="B27" s="512"/>
      <c r="C27" s="510">
        <f>C17+C25</f>
        <v>0.35</v>
      </c>
      <c r="D27" s="510">
        <f>D17+D25</f>
        <v>0</v>
      </c>
      <c r="E27" s="510">
        <f>E17+E25</f>
        <v>0.35</v>
      </c>
      <c r="F27" s="512"/>
      <c r="G27" s="505">
        <f>G17+G25</f>
        <v>1.2</v>
      </c>
      <c r="H27" s="525">
        <f>H17+H25</f>
        <v>0</v>
      </c>
      <c r="I27" s="505">
        <f>I17+I25</f>
        <v>1.2</v>
      </c>
      <c r="J27" s="515"/>
      <c r="K27" s="505">
        <f>K17+K25</f>
        <v>5.2719999999999994</v>
      </c>
      <c r="L27" s="525">
        <f>L17+L25</f>
        <v>0</v>
      </c>
      <c r="M27" s="505">
        <f>M17+M25</f>
        <v>5.2719999999999994</v>
      </c>
      <c r="N27" s="515"/>
      <c r="O27" s="505">
        <f>O17+O25</f>
        <v>8.2720000000000002</v>
      </c>
      <c r="P27" s="525">
        <f>P17+P25</f>
        <v>0</v>
      </c>
      <c r="Q27" s="505">
        <f>Q17+Q25</f>
        <v>8.2720000000000002</v>
      </c>
      <c r="R27" s="515"/>
      <c r="S27" s="505">
        <f>S17+S25</f>
        <v>10.272</v>
      </c>
      <c r="T27" s="525">
        <f>T17+T25</f>
        <v>0</v>
      </c>
      <c r="U27" s="505">
        <f>U17+U25</f>
        <v>10.272</v>
      </c>
      <c r="V27" s="515"/>
      <c r="W27" s="505">
        <f>W17+W25</f>
        <v>13.672000000000001</v>
      </c>
      <c r="X27" s="525">
        <f>X17+X25</f>
        <v>0</v>
      </c>
      <c r="Y27" s="505">
        <f>Y17+Y25</f>
        <v>13.672000000000001</v>
      </c>
    </row>
    <row r="28" spans="1:25" ht="17.25" customHeight="1" x14ac:dyDescent="0.2">
      <c r="A28" s="528"/>
      <c r="B28" s="529"/>
      <c r="C28" s="530"/>
      <c r="D28" s="530"/>
      <c r="E28" s="531"/>
      <c r="F28" s="529"/>
      <c r="G28" s="532"/>
      <c r="H28" s="533"/>
      <c r="I28" s="534"/>
      <c r="J28" s="534"/>
      <c r="K28" s="532"/>
      <c r="L28" s="533"/>
      <c r="M28" s="534"/>
      <c r="N28" s="534"/>
      <c r="O28" s="532"/>
      <c r="P28" s="533"/>
      <c r="Q28" s="534"/>
      <c r="R28" s="534"/>
      <c r="S28" s="532"/>
      <c r="T28" s="533"/>
      <c r="U28" s="534"/>
      <c r="V28" s="534"/>
      <c r="W28" s="532"/>
      <c r="X28" s="533"/>
      <c r="Y28" s="535"/>
    </row>
    <row r="29" spans="1:25" x14ac:dyDescent="0.2">
      <c r="A29" s="496" t="s">
        <v>67</v>
      </c>
      <c r="B29" s="536"/>
      <c r="C29" s="537"/>
      <c r="D29" s="537"/>
      <c r="E29" s="538"/>
      <c r="F29" s="539"/>
      <c r="G29" s="540"/>
      <c r="H29" s="540"/>
      <c r="I29" s="541"/>
      <c r="J29" s="541"/>
      <c r="K29" s="540"/>
      <c r="L29" s="540"/>
      <c r="M29" s="541"/>
      <c r="N29" s="541"/>
      <c r="O29" s="540"/>
      <c r="P29" s="540"/>
      <c r="Q29" s="541"/>
      <c r="R29" s="541"/>
      <c r="S29" s="540"/>
      <c r="T29" s="540"/>
      <c r="U29" s="541"/>
      <c r="V29" s="541"/>
      <c r="W29" s="540"/>
      <c r="X29" s="540"/>
      <c r="Y29" s="542"/>
    </row>
    <row r="30" spans="1:25" x14ac:dyDescent="0.2">
      <c r="A30" s="543" t="s">
        <v>119</v>
      </c>
      <c r="B30" s="544">
        <f>SUM(0+(330.8/1000))</f>
        <v>0.33080000000000004</v>
      </c>
      <c r="C30" s="545"/>
      <c r="D30" s="545"/>
      <c r="E30" s="546"/>
      <c r="F30" s="544">
        <f>SUM(B30+43.2/1000)</f>
        <v>0.37400000000000005</v>
      </c>
      <c r="G30" s="503"/>
      <c r="H30" s="503"/>
      <c r="I30" s="506"/>
      <c r="J30" s="544">
        <f>SUM(F30+737/1000)</f>
        <v>1.111</v>
      </c>
      <c r="K30" s="503"/>
      <c r="L30" s="503"/>
      <c r="M30" s="506"/>
      <c r="N30" s="503">
        <f>J30+5010/1000</f>
        <v>6.1209999999999996</v>
      </c>
      <c r="P30" s="503"/>
      <c r="Q30" s="506"/>
      <c r="R30" s="507">
        <f>N30+59.7105465926/1000</f>
        <v>6.1807105465925991</v>
      </c>
      <c r="S30" s="503" t="s">
        <v>12</v>
      </c>
      <c r="T30" s="503"/>
      <c r="U30" s="506"/>
      <c r="V30" s="507">
        <f>R30+135/1000</f>
        <v>6.3157105465925989</v>
      </c>
      <c r="W30" s="503"/>
      <c r="X30" s="503"/>
      <c r="Y30" s="506"/>
    </row>
    <row r="31" spans="1:25" x14ac:dyDescent="0.2">
      <c r="A31" s="502"/>
      <c r="B31" s="544"/>
      <c r="C31" s="547"/>
      <c r="D31" s="547"/>
      <c r="E31" s="548"/>
      <c r="F31" s="502"/>
      <c r="G31" s="503"/>
      <c r="H31" s="503"/>
      <c r="I31" s="506"/>
      <c r="J31" s="506"/>
      <c r="K31" s="503"/>
      <c r="L31" s="503"/>
      <c r="M31" s="506"/>
      <c r="N31" s="506"/>
      <c r="O31" s="503"/>
      <c r="P31" s="503"/>
      <c r="Q31" s="506"/>
      <c r="R31" s="506"/>
      <c r="S31" s="503"/>
      <c r="T31" s="503"/>
      <c r="U31" s="506"/>
      <c r="V31" s="506"/>
      <c r="W31" s="503"/>
      <c r="X31" s="503"/>
      <c r="Y31" s="506"/>
    </row>
    <row r="32" spans="1:25" s="493" customFormat="1" x14ac:dyDescent="0.2">
      <c r="A32" s="509" t="s">
        <v>63</v>
      </c>
      <c r="B32" s="510">
        <f>SUM(B30:B31)</f>
        <v>0.33080000000000004</v>
      </c>
      <c r="C32" s="510">
        <f>SUM(C30:C31)</f>
        <v>0</v>
      </c>
      <c r="D32" s="510">
        <f>SUM(D30:D31)</f>
        <v>0</v>
      </c>
      <c r="E32" s="510">
        <f>SUM(E30)</f>
        <v>0</v>
      </c>
      <c r="F32" s="527">
        <f>SUM(F30:F31)</f>
        <v>0.37400000000000005</v>
      </c>
      <c r="G32" s="527">
        <f>SUM(G30:G31)</f>
        <v>0</v>
      </c>
      <c r="H32" s="527">
        <f>SUM(H30:H31)</f>
        <v>0</v>
      </c>
      <c r="I32" s="510">
        <f>SUM(I30)</f>
        <v>0</v>
      </c>
      <c r="J32" s="505">
        <f>SUM(J30:J31)</f>
        <v>1.111</v>
      </c>
      <c r="K32" s="505">
        <f>SUM(K30:K31)</f>
        <v>0</v>
      </c>
      <c r="L32" s="505">
        <f>SUM(L30:L31)</f>
        <v>0</v>
      </c>
      <c r="M32" s="510">
        <f>SUM(M30)</f>
        <v>0</v>
      </c>
      <c r="N32" s="505">
        <f>SUM(N30:N31)</f>
        <v>6.1209999999999996</v>
      </c>
      <c r="O32" s="505">
        <f>SUM(O30:O31)</f>
        <v>0</v>
      </c>
      <c r="P32" s="505">
        <f>SUM(P30:P31)</f>
        <v>0</v>
      </c>
      <c r="Q32" s="510">
        <f>SUM(Q30)</f>
        <v>0</v>
      </c>
      <c r="R32" s="505">
        <f>SUM(R30:R31)</f>
        <v>6.1807105465925991</v>
      </c>
      <c r="S32" s="505">
        <f>SUM(S30:S31)</f>
        <v>0</v>
      </c>
      <c r="T32" s="505">
        <f>SUM(T30:T31)</f>
        <v>0</v>
      </c>
      <c r="U32" s="510">
        <f>SUM(U30)</f>
        <v>0</v>
      </c>
      <c r="V32" s="505">
        <f>SUM(V30:V31)</f>
        <v>6.3157105465925989</v>
      </c>
      <c r="W32" s="505">
        <f>SUM(W30:W31)</f>
        <v>0</v>
      </c>
      <c r="X32" s="505">
        <f>SUM(X30:X31)</f>
        <v>0</v>
      </c>
      <c r="Y32" s="527">
        <f>SUM(Y30)</f>
        <v>0</v>
      </c>
    </row>
    <row r="33" spans="1:25" ht="3.95" customHeight="1" x14ac:dyDescent="0.2">
      <c r="A33" s="512"/>
      <c r="B33" s="513"/>
      <c r="C33" s="513"/>
      <c r="D33" s="513"/>
      <c r="E33" s="514"/>
      <c r="F33" s="512"/>
      <c r="G33" s="506"/>
      <c r="H33" s="516"/>
      <c r="I33" s="505"/>
      <c r="J33" s="515"/>
      <c r="K33" s="506"/>
      <c r="L33" s="516"/>
      <c r="M33" s="505"/>
      <c r="N33" s="515"/>
      <c r="O33" s="506"/>
      <c r="P33" s="516"/>
      <c r="Q33" s="505"/>
      <c r="R33" s="515"/>
      <c r="S33" s="506"/>
      <c r="T33" s="516"/>
      <c r="U33" s="505"/>
      <c r="V33" s="515"/>
      <c r="W33" s="506"/>
      <c r="X33" s="516"/>
      <c r="Y33" s="505"/>
    </row>
    <row r="34" spans="1:25" s="493" customFormat="1" x14ac:dyDescent="0.2">
      <c r="A34" s="512" t="s">
        <v>120</v>
      </c>
      <c r="B34" s="549">
        <f>SUM( B32)</f>
        <v>0.33080000000000004</v>
      </c>
      <c r="C34" s="549" t="s">
        <v>31</v>
      </c>
      <c r="D34" s="549" t="s">
        <v>31</v>
      </c>
      <c r="E34" s="549" t="s">
        <v>31</v>
      </c>
      <c r="F34" s="527">
        <f>F32</f>
        <v>0.37400000000000005</v>
      </c>
      <c r="G34" s="549" t="s">
        <v>31</v>
      </c>
      <c r="H34" s="549" t="s">
        <v>31</v>
      </c>
      <c r="I34" s="549" t="s">
        <v>31</v>
      </c>
      <c r="J34" s="515">
        <f>J32</f>
        <v>1.111</v>
      </c>
      <c r="K34" s="549" t="s">
        <v>31</v>
      </c>
      <c r="L34" s="549" t="s">
        <v>31</v>
      </c>
      <c r="M34" s="549" t="s">
        <v>31</v>
      </c>
      <c r="N34" s="515">
        <f>N32</f>
        <v>6.1209999999999996</v>
      </c>
      <c r="O34" s="549" t="s">
        <v>31</v>
      </c>
      <c r="P34" s="549" t="s">
        <v>31</v>
      </c>
      <c r="Q34" s="549" t="s">
        <v>31</v>
      </c>
      <c r="R34" s="515">
        <f>R32</f>
        <v>6.1807105465925991</v>
      </c>
      <c r="S34" s="549" t="s">
        <v>31</v>
      </c>
      <c r="T34" s="549" t="s">
        <v>31</v>
      </c>
      <c r="U34" s="549" t="s">
        <v>31</v>
      </c>
      <c r="V34" s="515">
        <f>V32</f>
        <v>6.3157105465925989</v>
      </c>
      <c r="W34" s="549" t="s">
        <v>31</v>
      </c>
      <c r="X34" s="549" t="s">
        <v>31</v>
      </c>
      <c r="Y34" s="550" t="s">
        <v>31</v>
      </c>
    </row>
    <row r="35" spans="1:25" x14ac:dyDescent="0.2">
      <c r="A35" s="551"/>
      <c r="B35" s="551"/>
      <c r="C35" s="552"/>
      <c r="D35" s="552"/>
      <c r="E35" s="553"/>
      <c r="F35" s="551"/>
      <c r="G35" s="552"/>
      <c r="H35" s="553"/>
      <c r="I35" s="551"/>
      <c r="J35" s="551"/>
      <c r="K35" s="552"/>
      <c r="L35" s="553"/>
      <c r="M35" s="551"/>
      <c r="N35" s="551"/>
      <c r="O35" s="552"/>
      <c r="P35" s="553"/>
      <c r="Q35" s="551"/>
      <c r="R35" s="551"/>
      <c r="S35" s="552"/>
      <c r="T35" s="553"/>
      <c r="U35" s="551"/>
      <c r="V35" s="551"/>
      <c r="W35" s="552"/>
      <c r="X35" s="553"/>
      <c r="Y35" s="551"/>
    </row>
    <row r="37" spans="1:25" ht="24.75" customHeight="1" x14ac:dyDescent="0.2">
      <c r="A37" s="495">
        <v>2011</v>
      </c>
      <c r="B37" s="630" t="s">
        <v>6</v>
      </c>
      <c r="C37" s="630"/>
      <c r="D37" s="630"/>
      <c r="E37" s="630"/>
      <c r="F37" s="630" t="s">
        <v>7</v>
      </c>
      <c r="G37" s="630"/>
      <c r="H37" s="630"/>
      <c r="I37" s="630" t="s">
        <v>6</v>
      </c>
      <c r="J37" s="630" t="s">
        <v>8</v>
      </c>
      <c r="K37" s="630"/>
      <c r="L37" s="630"/>
      <c r="M37" s="630" t="s">
        <v>6</v>
      </c>
      <c r="N37" s="630" t="s">
        <v>9</v>
      </c>
      <c r="O37" s="630"/>
      <c r="P37" s="630"/>
      <c r="Q37" s="630" t="s">
        <v>6</v>
      </c>
      <c r="R37" s="630" t="s">
        <v>10</v>
      </c>
      <c r="S37" s="630"/>
      <c r="T37" s="630"/>
      <c r="U37" s="630" t="s">
        <v>6</v>
      </c>
      <c r="V37" s="630" t="s">
        <v>11</v>
      </c>
      <c r="W37" s="630"/>
      <c r="X37" s="630"/>
      <c r="Y37" s="630" t="s">
        <v>6</v>
      </c>
    </row>
    <row r="38" spans="1:25" ht="36" x14ac:dyDescent="0.2">
      <c r="A38" s="496" t="s">
        <v>49</v>
      </c>
      <c r="B38" s="497" t="s">
        <v>115</v>
      </c>
      <c r="C38" s="497" t="s">
        <v>116</v>
      </c>
      <c r="D38" s="497" t="s">
        <v>117</v>
      </c>
      <c r="E38" s="497" t="s">
        <v>118</v>
      </c>
      <c r="F38" s="497" t="s">
        <v>115</v>
      </c>
      <c r="G38" s="497" t="s">
        <v>116</v>
      </c>
      <c r="H38" s="497" t="s">
        <v>117</v>
      </c>
      <c r="I38" s="497" t="s">
        <v>118</v>
      </c>
      <c r="J38" s="497" t="s">
        <v>115</v>
      </c>
      <c r="K38" s="497" t="s">
        <v>116</v>
      </c>
      <c r="L38" s="497" t="s">
        <v>117</v>
      </c>
      <c r="M38" s="497" t="s">
        <v>118</v>
      </c>
      <c r="N38" s="497" t="s">
        <v>115</v>
      </c>
      <c r="O38" s="497" t="s">
        <v>116</v>
      </c>
      <c r="P38" s="497" t="s">
        <v>117</v>
      </c>
      <c r="Q38" s="497" t="s">
        <v>118</v>
      </c>
      <c r="R38" s="497" t="s">
        <v>115</v>
      </c>
      <c r="S38" s="497" t="s">
        <v>116</v>
      </c>
      <c r="T38" s="497" t="s">
        <v>117</v>
      </c>
      <c r="U38" s="497" t="s">
        <v>118</v>
      </c>
      <c r="V38" s="497" t="s">
        <v>115</v>
      </c>
      <c r="W38" s="497" t="s">
        <v>116</v>
      </c>
      <c r="X38" s="497" t="s">
        <v>117</v>
      </c>
      <c r="Y38" s="497" t="s">
        <v>118</v>
      </c>
    </row>
    <row r="39" spans="1:25" x14ac:dyDescent="0.2">
      <c r="A39" s="498" t="s">
        <v>69</v>
      </c>
      <c r="B39" s="497"/>
      <c r="C39" s="554">
        <f>SUM(W5+0)</f>
        <v>0</v>
      </c>
      <c r="D39" s="554">
        <f>SUM(X5+0)</f>
        <v>0</v>
      </c>
      <c r="E39" s="555">
        <f t="shared" ref="E39:E50" si="9">SUM(B39:D39)</f>
        <v>0</v>
      </c>
      <c r="F39" s="497"/>
      <c r="G39" s="554">
        <f>SUM(C39+0)</f>
        <v>0</v>
      </c>
      <c r="H39" s="554">
        <f>SUM(D39+0)</f>
        <v>0</v>
      </c>
      <c r="I39" s="555">
        <f>SUM(F39:H39)</f>
        <v>0</v>
      </c>
      <c r="J39" s="497"/>
      <c r="K39" s="554">
        <f>SUM(G39+0)</f>
        <v>0</v>
      </c>
      <c r="L39" s="556">
        <f>SUM(H39+0)</f>
        <v>0</v>
      </c>
      <c r="M39" s="555">
        <f t="shared" ref="M39:M45" si="10">SUM(J39:L39)</f>
        <v>0</v>
      </c>
      <c r="N39" s="497"/>
      <c r="O39" s="557">
        <f t="shared" ref="O39:O46" si="11">SUM(K39+0)</f>
        <v>0</v>
      </c>
      <c r="P39" s="557">
        <f>L39+0</f>
        <v>0</v>
      </c>
      <c r="Q39" s="558">
        <f t="shared" ref="Q39:Q45" si="12">SUM(N39:P39)</f>
        <v>0</v>
      </c>
      <c r="R39" s="559"/>
      <c r="S39" s="557">
        <f>SUM(O39+0)</f>
        <v>0</v>
      </c>
      <c r="T39" s="557">
        <f>SUM(P39+0)</f>
        <v>0</v>
      </c>
      <c r="U39" s="558">
        <f t="shared" ref="U39:U45" si="13">SUM(R39:T39)</f>
        <v>0</v>
      </c>
      <c r="V39" s="497"/>
      <c r="W39" s="503">
        <f>S39+0</f>
        <v>0</v>
      </c>
      <c r="X39" s="503">
        <f>SUM(T39+0)</f>
        <v>0</v>
      </c>
      <c r="Y39" s="555">
        <f t="shared" ref="Y39:Y45" si="14">SUM(V39:X39)</f>
        <v>0</v>
      </c>
    </row>
    <row r="40" spans="1:25" x14ac:dyDescent="0.2">
      <c r="A40" s="498" t="s">
        <v>70</v>
      </c>
      <c r="B40" s="497"/>
      <c r="C40" s="554">
        <f t="shared" ref="C40:C49" si="15">SUM(W6+0)</f>
        <v>0</v>
      </c>
      <c r="D40" s="554">
        <f t="shared" ref="D40:D49" si="16">SUM(X6+0)</f>
        <v>0</v>
      </c>
      <c r="E40" s="555">
        <f t="shared" si="9"/>
        <v>0</v>
      </c>
      <c r="F40" s="497"/>
      <c r="G40" s="554">
        <f>SUM(C40+0)</f>
        <v>0</v>
      </c>
      <c r="H40" s="554">
        <f t="shared" ref="H40:H50" si="17">SUM(D40+0)</f>
        <v>0</v>
      </c>
      <c r="I40" s="555">
        <f t="shared" ref="I40:I50" si="18">SUM(F40:H40)</f>
        <v>0</v>
      </c>
      <c r="J40" s="497"/>
      <c r="K40" s="554">
        <f t="shared" ref="K40:K50" si="19">SUM(G40+0)</f>
        <v>0</v>
      </c>
      <c r="L40" s="556">
        <f t="shared" ref="L40:L50" si="20">SUM(H40+0)</f>
        <v>0</v>
      </c>
      <c r="M40" s="555">
        <f t="shared" si="10"/>
        <v>0</v>
      </c>
      <c r="N40" s="497"/>
      <c r="O40" s="557">
        <f t="shared" si="11"/>
        <v>0</v>
      </c>
      <c r="P40" s="557">
        <f>L40+0</f>
        <v>0</v>
      </c>
      <c r="Q40" s="558">
        <f t="shared" si="12"/>
        <v>0</v>
      </c>
      <c r="R40" s="559"/>
      <c r="S40" s="557">
        <f>SUM(O40+0)</f>
        <v>0</v>
      </c>
      <c r="T40" s="557">
        <f>SUM(P40+0)</f>
        <v>0</v>
      </c>
      <c r="U40" s="558">
        <f t="shared" si="13"/>
        <v>0</v>
      </c>
      <c r="V40" s="497"/>
      <c r="W40" s="503">
        <f>S40+0</f>
        <v>0</v>
      </c>
      <c r="X40" s="503">
        <f t="shared" ref="X40:X50" si="21">SUM(T40+0)</f>
        <v>0</v>
      </c>
      <c r="Y40" s="555">
        <f t="shared" si="14"/>
        <v>0</v>
      </c>
    </row>
    <row r="41" spans="1:25" x14ac:dyDescent="0.2">
      <c r="A41" s="498" t="s">
        <v>122</v>
      </c>
      <c r="B41" s="497"/>
      <c r="C41" s="560">
        <f t="shared" si="15"/>
        <v>6.2610000000000001</v>
      </c>
      <c r="D41" s="554">
        <f t="shared" si="16"/>
        <v>0</v>
      </c>
      <c r="E41" s="555">
        <f t="shared" si="9"/>
        <v>6.2610000000000001</v>
      </c>
      <c r="F41" s="497"/>
      <c r="G41" s="560">
        <f>SUM(C41+0)</f>
        <v>6.2610000000000001</v>
      </c>
      <c r="H41" s="554">
        <f t="shared" si="17"/>
        <v>0</v>
      </c>
      <c r="I41" s="555">
        <f t="shared" si="18"/>
        <v>6.2610000000000001</v>
      </c>
      <c r="J41" s="497"/>
      <c r="K41" s="560">
        <f t="shared" si="19"/>
        <v>6.2610000000000001</v>
      </c>
      <c r="L41" s="556">
        <f t="shared" si="20"/>
        <v>0</v>
      </c>
      <c r="M41" s="555">
        <f t="shared" si="10"/>
        <v>6.2610000000000001</v>
      </c>
      <c r="N41" s="497"/>
      <c r="O41" s="561">
        <f t="shared" si="11"/>
        <v>6.2610000000000001</v>
      </c>
      <c r="P41" s="561">
        <f>L41+0.4</f>
        <v>0.4</v>
      </c>
      <c r="Q41" s="558">
        <f t="shared" si="12"/>
        <v>6.6610000000000005</v>
      </c>
      <c r="R41" s="559"/>
      <c r="S41" s="561">
        <f>SUM(K41+2354/1000/2)</f>
        <v>7.4380000000000006</v>
      </c>
      <c r="T41" s="561">
        <f t="shared" ref="T41:T50" si="22">SUM(P41+0)</f>
        <v>0.4</v>
      </c>
      <c r="U41" s="558">
        <f t="shared" si="13"/>
        <v>7.838000000000001</v>
      </c>
      <c r="V41" s="497"/>
      <c r="W41" s="503">
        <f>S41+0</f>
        <v>7.4380000000000006</v>
      </c>
      <c r="X41" s="562">
        <f>SUM(T41+755/1000)</f>
        <v>1.155</v>
      </c>
      <c r="Y41" s="555">
        <f t="shared" si="14"/>
        <v>8.593</v>
      </c>
    </row>
    <row r="42" spans="1:25" x14ac:dyDescent="0.2">
      <c r="A42" s="498" t="s">
        <v>123</v>
      </c>
      <c r="B42" s="497"/>
      <c r="C42" s="560">
        <f t="shared" si="15"/>
        <v>6.2610000000000001</v>
      </c>
      <c r="D42" s="554">
        <f t="shared" si="16"/>
        <v>0</v>
      </c>
      <c r="E42" s="555">
        <f t="shared" si="9"/>
        <v>6.2610000000000001</v>
      </c>
      <c r="F42" s="497"/>
      <c r="G42" s="560">
        <f>SUM(C42+0)</f>
        <v>6.2610000000000001</v>
      </c>
      <c r="H42" s="554">
        <f t="shared" si="17"/>
        <v>0</v>
      </c>
      <c r="I42" s="555">
        <f t="shared" si="18"/>
        <v>6.2610000000000001</v>
      </c>
      <c r="J42" s="497"/>
      <c r="K42" s="560">
        <f t="shared" si="19"/>
        <v>6.2610000000000001</v>
      </c>
      <c r="L42" s="556">
        <f t="shared" si="20"/>
        <v>0</v>
      </c>
      <c r="M42" s="555">
        <f t="shared" si="10"/>
        <v>6.2610000000000001</v>
      </c>
      <c r="N42" s="497"/>
      <c r="O42" s="561">
        <f t="shared" si="11"/>
        <v>6.2610000000000001</v>
      </c>
      <c r="P42" s="561">
        <f>L42+0.4</f>
        <v>0.4</v>
      </c>
      <c r="Q42" s="558">
        <f t="shared" si="12"/>
        <v>6.6610000000000005</v>
      </c>
      <c r="R42" s="559"/>
      <c r="S42" s="561">
        <f>SUM(O42+2354/1000/2)</f>
        <v>7.4380000000000006</v>
      </c>
      <c r="T42" s="561">
        <f t="shared" si="22"/>
        <v>0.4</v>
      </c>
      <c r="U42" s="558">
        <f t="shared" si="13"/>
        <v>7.838000000000001</v>
      </c>
      <c r="V42" s="497"/>
      <c r="W42" s="503">
        <f>S42+0</f>
        <v>7.4380000000000006</v>
      </c>
      <c r="X42" s="503">
        <f t="shared" si="21"/>
        <v>0.4</v>
      </c>
      <c r="Y42" s="555">
        <f t="shared" si="14"/>
        <v>7.838000000000001</v>
      </c>
    </row>
    <row r="43" spans="1:25" x14ac:dyDescent="0.2">
      <c r="A43" s="498" t="s">
        <v>14</v>
      </c>
      <c r="B43" s="497"/>
      <c r="C43" s="560">
        <f t="shared" si="15"/>
        <v>0.8</v>
      </c>
      <c r="D43" s="554">
        <f t="shared" si="16"/>
        <v>0</v>
      </c>
      <c r="E43" s="555">
        <f t="shared" si="9"/>
        <v>0.8</v>
      </c>
      <c r="F43" s="497"/>
      <c r="G43" s="560">
        <f>SUM(C43+0.225)</f>
        <v>1.0250000000000001</v>
      </c>
      <c r="H43" s="554">
        <f t="shared" si="17"/>
        <v>0</v>
      </c>
      <c r="I43" s="555">
        <f t="shared" si="18"/>
        <v>1.0250000000000001</v>
      </c>
      <c r="J43" s="497"/>
      <c r="K43" s="560">
        <f t="shared" si="19"/>
        <v>1.0250000000000001</v>
      </c>
      <c r="L43" s="556">
        <f t="shared" si="20"/>
        <v>0</v>
      </c>
      <c r="M43" s="555">
        <f t="shared" si="10"/>
        <v>1.0250000000000001</v>
      </c>
      <c r="N43" s="563"/>
      <c r="O43" s="561">
        <f t="shared" si="11"/>
        <v>1.0250000000000001</v>
      </c>
      <c r="P43" s="557">
        <f>L43+0</f>
        <v>0</v>
      </c>
      <c r="Q43" s="558">
        <f t="shared" si="12"/>
        <v>1.0250000000000001</v>
      </c>
      <c r="R43" s="559"/>
      <c r="S43" s="561">
        <f t="shared" ref="S43:S50" si="23">SUM(O43+0)</f>
        <v>1.0250000000000001</v>
      </c>
      <c r="T43" s="557">
        <f t="shared" si="22"/>
        <v>0</v>
      </c>
      <c r="U43" s="558">
        <f t="shared" si="13"/>
        <v>1.0250000000000001</v>
      </c>
      <c r="V43" s="497"/>
      <c r="W43" s="562">
        <f>SUM(U43+0.89)</f>
        <v>1.915</v>
      </c>
      <c r="X43" s="503">
        <f t="shared" si="21"/>
        <v>0</v>
      </c>
      <c r="Y43" s="555">
        <f t="shared" si="14"/>
        <v>1.915</v>
      </c>
    </row>
    <row r="44" spans="1:25" x14ac:dyDescent="0.2">
      <c r="A44" s="498" t="s">
        <v>174</v>
      </c>
      <c r="B44" s="497"/>
      <c r="C44" s="560">
        <f t="shared" si="15"/>
        <v>0.35</v>
      </c>
      <c r="D44" s="554">
        <f t="shared" si="16"/>
        <v>0</v>
      </c>
      <c r="E44" s="555">
        <f t="shared" si="9"/>
        <v>0.35</v>
      </c>
      <c r="F44" s="497"/>
      <c r="G44" s="560">
        <f t="shared" ref="G44:G50" si="24">SUM(C44+0)</f>
        <v>0.35</v>
      </c>
      <c r="H44" s="554">
        <f t="shared" si="17"/>
        <v>0</v>
      </c>
      <c r="I44" s="555">
        <f t="shared" si="18"/>
        <v>0.35</v>
      </c>
      <c r="J44" s="497"/>
      <c r="K44" s="560">
        <f t="shared" si="19"/>
        <v>0.35</v>
      </c>
      <c r="L44" s="556">
        <f t="shared" si="20"/>
        <v>0</v>
      </c>
      <c r="M44" s="555">
        <f t="shared" si="10"/>
        <v>0.35</v>
      </c>
      <c r="N44" s="497"/>
      <c r="O44" s="561">
        <f t="shared" si="11"/>
        <v>0.35</v>
      </c>
      <c r="P44" s="557">
        <f t="shared" ref="P44:P50" si="25">L44+0</f>
        <v>0</v>
      </c>
      <c r="Q44" s="558">
        <f t="shared" si="12"/>
        <v>0.35</v>
      </c>
      <c r="R44" s="559"/>
      <c r="S44" s="561">
        <f t="shared" si="23"/>
        <v>0.35</v>
      </c>
      <c r="T44" s="557">
        <f t="shared" si="22"/>
        <v>0</v>
      </c>
      <c r="U44" s="558">
        <f t="shared" si="13"/>
        <v>0.35</v>
      </c>
      <c r="V44" s="497"/>
      <c r="W44" s="503">
        <f>SUM(S44+0)</f>
        <v>0.35</v>
      </c>
      <c r="X44" s="503">
        <f t="shared" si="21"/>
        <v>0</v>
      </c>
      <c r="Y44" s="555">
        <f t="shared" si="14"/>
        <v>0.35</v>
      </c>
    </row>
    <row r="45" spans="1:25" x14ac:dyDescent="0.2">
      <c r="A45" s="498" t="s">
        <v>126</v>
      </c>
      <c r="B45" s="497"/>
      <c r="C45" s="554">
        <f t="shared" si="15"/>
        <v>0</v>
      </c>
      <c r="D45" s="554">
        <f t="shared" si="16"/>
        <v>0</v>
      </c>
      <c r="E45" s="555">
        <f t="shared" si="9"/>
        <v>0</v>
      </c>
      <c r="F45" s="497"/>
      <c r="G45" s="554">
        <f t="shared" si="24"/>
        <v>0</v>
      </c>
      <c r="H45" s="554">
        <f t="shared" si="17"/>
        <v>0</v>
      </c>
      <c r="I45" s="555">
        <f t="shared" si="18"/>
        <v>0</v>
      </c>
      <c r="J45" s="497"/>
      <c r="K45" s="554">
        <f t="shared" si="19"/>
        <v>0</v>
      </c>
      <c r="L45" s="556">
        <f t="shared" si="20"/>
        <v>0</v>
      </c>
      <c r="M45" s="555">
        <f t="shared" si="10"/>
        <v>0</v>
      </c>
      <c r="N45" s="497"/>
      <c r="O45" s="557">
        <f t="shared" si="11"/>
        <v>0</v>
      </c>
      <c r="P45" s="557">
        <f t="shared" si="25"/>
        <v>0</v>
      </c>
      <c r="Q45" s="558">
        <f t="shared" si="12"/>
        <v>0</v>
      </c>
      <c r="R45" s="559"/>
      <c r="S45" s="557">
        <f t="shared" si="23"/>
        <v>0</v>
      </c>
      <c r="T45" s="557">
        <f t="shared" si="22"/>
        <v>0</v>
      </c>
      <c r="U45" s="558">
        <f t="shared" si="13"/>
        <v>0</v>
      </c>
      <c r="V45" s="497"/>
      <c r="W45" s="503">
        <f t="shared" ref="W45:W50" si="26">SUM(S45+0)</f>
        <v>0</v>
      </c>
      <c r="X45" s="503">
        <f t="shared" si="21"/>
        <v>0</v>
      </c>
      <c r="Y45" s="555">
        <f t="shared" si="14"/>
        <v>0</v>
      </c>
    </row>
    <row r="46" spans="1:25" x14ac:dyDescent="0.2">
      <c r="A46" s="498" t="s">
        <v>127</v>
      </c>
      <c r="B46" s="564"/>
      <c r="C46" s="554">
        <f t="shared" si="15"/>
        <v>0</v>
      </c>
      <c r="D46" s="554">
        <f t="shared" si="16"/>
        <v>0</v>
      </c>
      <c r="E46" s="555">
        <f t="shared" si="9"/>
        <v>0</v>
      </c>
      <c r="F46" s="506"/>
      <c r="G46" s="554">
        <f t="shared" si="24"/>
        <v>0</v>
      </c>
      <c r="H46" s="554">
        <f t="shared" si="17"/>
        <v>0</v>
      </c>
      <c r="I46" s="555">
        <f t="shared" si="18"/>
        <v>0</v>
      </c>
      <c r="J46" s="506"/>
      <c r="K46" s="554">
        <f t="shared" si="19"/>
        <v>0</v>
      </c>
      <c r="L46" s="556">
        <f t="shared" si="20"/>
        <v>0</v>
      </c>
      <c r="M46" s="505">
        <f>SUM(K46:L46)</f>
        <v>0</v>
      </c>
      <c r="N46" s="506"/>
      <c r="O46" s="557">
        <f t="shared" si="11"/>
        <v>0</v>
      </c>
      <c r="P46" s="557">
        <f t="shared" si="25"/>
        <v>0</v>
      </c>
      <c r="Q46" s="565">
        <f>SUM(O46:P46)</f>
        <v>0</v>
      </c>
      <c r="R46" s="566"/>
      <c r="S46" s="557">
        <f t="shared" si="23"/>
        <v>0</v>
      </c>
      <c r="T46" s="557">
        <f t="shared" si="22"/>
        <v>0</v>
      </c>
      <c r="U46" s="565">
        <f>SUM(S46:T46)</f>
        <v>0</v>
      </c>
      <c r="V46" s="506"/>
      <c r="W46" s="503">
        <f t="shared" si="26"/>
        <v>0</v>
      </c>
      <c r="X46" s="503">
        <f t="shared" si="21"/>
        <v>0</v>
      </c>
      <c r="Y46" s="505">
        <f>SUM(W46:X46)</f>
        <v>0</v>
      </c>
    </row>
    <row r="47" spans="1:25" x14ac:dyDescent="0.2">
      <c r="A47" s="498" t="s">
        <v>128</v>
      </c>
      <c r="B47" s="564"/>
      <c r="C47" s="554">
        <f t="shared" si="15"/>
        <v>0</v>
      </c>
      <c r="D47" s="554">
        <f t="shared" si="16"/>
        <v>0</v>
      </c>
      <c r="E47" s="555">
        <f t="shared" si="9"/>
        <v>0</v>
      </c>
      <c r="F47" s="506"/>
      <c r="G47" s="554">
        <f t="shared" si="24"/>
        <v>0</v>
      </c>
      <c r="H47" s="554">
        <f t="shared" si="17"/>
        <v>0</v>
      </c>
      <c r="I47" s="555">
        <f t="shared" si="18"/>
        <v>0</v>
      </c>
      <c r="J47" s="506"/>
      <c r="K47" s="554">
        <f t="shared" si="19"/>
        <v>0</v>
      </c>
      <c r="L47" s="567">
        <f>SUM(H47+0.072)</f>
        <v>7.1999999999999995E-2</v>
      </c>
      <c r="M47" s="505">
        <f>SUM(K47:L47)</f>
        <v>7.1999999999999995E-2</v>
      </c>
      <c r="N47" s="506"/>
      <c r="O47" s="557">
        <f>SUM(K47+0)</f>
        <v>0</v>
      </c>
      <c r="P47" s="561">
        <f t="shared" si="25"/>
        <v>7.1999999999999995E-2</v>
      </c>
      <c r="Q47" s="565">
        <f>SUM(O47:P47)</f>
        <v>7.1999999999999995E-2</v>
      </c>
      <c r="R47" s="566"/>
      <c r="S47" s="561">
        <f t="shared" si="23"/>
        <v>0</v>
      </c>
      <c r="T47" s="561">
        <f t="shared" si="22"/>
        <v>7.1999999999999995E-2</v>
      </c>
      <c r="U47" s="565">
        <f>SUM(S47:T47)</f>
        <v>7.1999999999999995E-2</v>
      </c>
      <c r="V47" s="506"/>
      <c r="W47" s="503">
        <f t="shared" si="26"/>
        <v>0</v>
      </c>
      <c r="X47" s="503">
        <f t="shared" si="21"/>
        <v>7.1999999999999995E-2</v>
      </c>
      <c r="Y47" s="505">
        <f>SUM(W47:X47)</f>
        <v>7.1999999999999995E-2</v>
      </c>
    </row>
    <row r="48" spans="1:25" x14ac:dyDescent="0.2">
      <c r="A48" s="498" t="s">
        <v>129</v>
      </c>
      <c r="B48" s="564"/>
      <c r="C48" s="554">
        <f t="shared" si="15"/>
        <v>0</v>
      </c>
      <c r="D48" s="554">
        <f t="shared" si="16"/>
        <v>0</v>
      </c>
      <c r="E48" s="555">
        <f t="shared" si="9"/>
        <v>0</v>
      </c>
      <c r="F48" s="506"/>
      <c r="G48" s="554">
        <f t="shared" si="24"/>
        <v>0</v>
      </c>
      <c r="H48" s="554">
        <f t="shared" si="17"/>
        <v>0</v>
      </c>
      <c r="I48" s="555">
        <f t="shared" si="18"/>
        <v>0</v>
      </c>
      <c r="J48" s="506"/>
      <c r="K48" s="554">
        <f t="shared" si="19"/>
        <v>0</v>
      </c>
      <c r="L48" s="556">
        <f t="shared" si="20"/>
        <v>0</v>
      </c>
      <c r="M48" s="505">
        <f>SUM(K48:L48)</f>
        <v>0</v>
      </c>
      <c r="N48" s="506"/>
      <c r="O48" s="557">
        <f>SUM(K48+0)</f>
        <v>0</v>
      </c>
      <c r="P48" s="557">
        <f t="shared" si="25"/>
        <v>0</v>
      </c>
      <c r="Q48" s="565">
        <f>SUM(O48:P48)</f>
        <v>0</v>
      </c>
      <c r="R48" s="566"/>
      <c r="S48" s="557">
        <f t="shared" si="23"/>
        <v>0</v>
      </c>
      <c r="T48" s="557">
        <f t="shared" si="22"/>
        <v>0</v>
      </c>
      <c r="U48" s="565">
        <f>SUM(S48:T48)</f>
        <v>0</v>
      </c>
      <c r="V48" s="506"/>
      <c r="W48" s="503">
        <f t="shared" si="26"/>
        <v>0</v>
      </c>
      <c r="X48" s="503">
        <f t="shared" si="21"/>
        <v>0</v>
      </c>
      <c r="Y48" s="505">
        <f>SUM(W48:X48)</f>
        <v>0</v>
      </c>
    </row>
    <row r="49" spans="1:25" x14ac:dyDescent="0.2">
      <c r="A49" s="498" t="s">
        <v>181</v>
      </c>
      <c r="B49" s="564"/>
      <c r="C49" s="554">
        <f t="shared" si="15"/>
        <v>0</v>
      </c>
      <c r="D49" s="554">
        <f t="shared" si="16"/>
        <v>0</v>
      </c>
      <c r="E49" s="555">
        <f t="shared" si="9"/>
        <v>0</v>
      </c>
      <c r="F49" s="506"/>
      <c r="G49" s="554">
        <f t="shared" si="24"/>
        <v>0</v>
      </c>
      <c r="H49" s="554">
        <f t="shared" si="17"/>
        <v>0</v>
      </c>
      <c r="I49" s="555">
        <f t="shared" si="18"/>
        <v>0</v>
      </c>
      <c r="J49" s="506"/>
      <c r="K49" s="554">
        <f t="shared" si="19"/>
        <v>0</v>
      </c>
      <c r="L49" s="556">
        <f t="shared" si="20"/>
        <v>0</v>
      </c>
      <c r="M49" s="505">
        <f>SUM(K49:L49)</f>
        <v>0</v>
      </c>
      <c r="N49" s="506"/>
      <c r="O49" s="557">
        <f>SUM(K49+0)</f>
        <v>0</v>
      </c>
      <c r="P49" s="557">
        <f t="shared" si="25"/>
        <v>0</v>
      </c>
      <c r="Q49" s="565">
        <f>SUM(O49:P49)</f>
        <v>0</v>
      </c>
      <c r="R49" s="566"/>
      <c r="S49" s="557">
        <f t="shared" si="23"/>
        <v>0</v>
      </c>
      <c r="T49" s="557">
        <f t="shared" si="22"/>
        <v>0</v>
      </c>
      <c r="U49" s="565">
        <f>SUM(S49:T49)</f>
        <v>0</v>
      </c>
      <c r="V49" s="506"/>
      <c r="W49" s="503">
        <f t="shared" si="26"/>
        <v>0</v>
      </c>
      <c r="X49" s="503">
        <f t="shared" si="21"/>
        <v>0</v>
      </c>
      <c r="Y49" s="505">
        <f>SUM(W49:X49)</f>
        <v>0</v>
      </c>
    </row>
    <row r="50" spans="1:25" x14ac:dyDescent="0.2">
      <c r="A50" s="498" t="s">
        <v>184</v>
      </c>
      <c r="B50" s="564"/>
      <c r="C50" s="554">
        <f>SUM(W16+0)</f>
        <v>0</v>
      </c>
      <c r="D50" s="554">
        <f>SUM(X16+0)</f>
        <v>0</v>
      </c>
      <c r="E50" s="555">
        <f t="shared" si="9"/>
        <v>0</v>
      </c>
      <c r="F50" s="506"/>
      <c r="G50" s="554">
        <f t="shared" si="24"/>
        <v>0</v>
      </c>
      <c r="H50" s="554">
        <f t="shared" si="17"/>
        <v>0</v>
      </c>
      <c r="I50" s="555">
        <f t="shared" si="18"/>
        <v>0</v>
      </c>
      <c r="J50" s="506"/>
      <c r="K50" s="554">
        <f t="shared" si="19"/>
        <v>0</v>
      </c>
      <c r="L50" s="556">
        <f t="shared" si="20"/>
        <v>0</v>
      </c>
      <c r="M50" s="505">
        <f>SUM(K50:L50)</f>
        <v>0</v>
      </c>
      <c r="N50" s="506"/>
      <c r="O50" s="557">
        <f>SUM(K50+0)</f>
        <v>0</v>
      </c>
      <c r="P50" s="557">
        <f t="shared" si="25"/>
        <v>0</v>
      </c>
      <c r="Q50" s="565">
        <f>SUM(O50:P50)</f>
        <v>0</v>
      </c>
      <c r="R50" s="566"/>
      <c r="S50" s="557">
        <f t="shared" si="23"/>
        <v>0</v>
      </c>
      <c r="T50" s="557">
        <f t="shared" si="22"/>
        <v>0</v>
      </c>
      <c r="U50" s="565">
        <f>SUM(S50:T50)</f>
        <v>0</v>
      </c>
      <c r="V50" s="506"/>
      <c r="W50" s="503">
        <f t="shared" si="26"/>
        <v>0</v>
      </c>
      <c r="X50" s="503">
        <f t="shared" si="21"/>
        <v>0</v>
      </c>
      <c r="Y50" s="505">
        <f>SUM(W50:X50)</f>
        <v>0</v>
      </c>
    </row>
    <row r="51" spans="1:25" s="493" customFormat="1" x14ac:dyDescent="0.2">
      <c r="A51" s="512" t="s">
        <v>63</v>
      </c>
      <c r="B51" s="515" t="s">
        <v>12</v>
      </c>
      <c r="C51" s="515">
        <f>SUM(C39:C50)</f>
        <v>13.672000000000001</v>
      </c>
      <c r="D51" s="515">
        <f>SUM(D39:D50)</f>
        <v>0</v>
      </c>
      <c r="E51" s="515">
        <f>SUM(E39:E50)</f>
        <v>13.672000000000001</v>
      </c>
      <c r="F51" s="505"/>
      <c r="G51" s="515">
        <f>SUM(G39:G50)</f>
        <v>13.897</v>
      </c>
      <c r="H51" s="515">
        <f>SUM(H39:H50)</f>
        <v>0</v>
      </c>
      <c r="I51" s="515">
        <f>SUM(I39:I50)</f>
        <v>13.897</v>
      </c>
      <c r="J51" s="505"/>
      <c r="K51" s="515">
        <f>SUM(K39:K50)</f>
        <v>13.897</v>
      </c>
      <c r="L51" s="515">
        <f>SUM(L39:L50)</f>
        <v>7.1999999999999995E-2</v>
      </c>
      <c r="M51" s="515">
        <f>SUM(M39:M50)</f>
        <v>13.968999999999999</v>
      </c>
      <c r="N51" s="505"/>
      <c r="O51" s="568">
        <f>SUM(O39:O50)</f>
        <v>13.897</v>
      </c>
      <c r="P51" s="568">
        <f>SUM(P39:P50)</f>
        <v>0.872</v>
      </c>
      <c r="Q51" s="568">
        <f>SUM(Q39:Q50)</f>
        <v>14.769</v>
      </c>
      <c r="R51" s="565"/>
      <c r="S51" s="568">
        <f>SUM(S39:S50)</f>
        <v>16.251000000000001</v>
      </c>
      <c r="T51" s="568">
        <f>SUM(T39:T50)</f>
        <v>0.872</v>
      </c>
      <c r="U51" s="568">
        <f>SUM(U39:U50)</f>
        <v>17.123000000000001</v>
      </c>
      <c r="V51" s="505"/>
      <c r="W51" s="515">
        <f>SUM(W39:W50)</f>
        <v>17.141000000000002</v>
      </c>
      <c r="X51" s="515">
        <f>SUM(X39:X50)</f>
        <v>1.6270000000000002</v>
      </c>
      <c r="Y51" s="505">
        <f>SUM(Y39:Y50)</f>
        <v>18.768000000000001</v>
      </c>
    </row>
    <row r="52" spans="1:25" ht="3.95" customHeight="1" x14ac:dyDescent="0.2">
      <c r="A52" s="512"/>
      <c r="B52" s="515"/>
      <c r="C52" s="506"/>
      <c r="D52" s="506"/>
      <c r="E52" s="525"/>
      <c r="F52" s="515"/>
      <c r="G52" s="506"/>
      <c r="H52" s="516"/>
      <c r="I52" s="505"/>
      <c r="J52" s="515"/>
      <c r="K52" s="506"/>
      <c r="L52" s="516"/>
      <c r="M52" s="505"/>
      <c r="N52" s="515"/>
      <c r="O52" s="568"/>
      <c r="P52" s="568"/>
      <c r="Q52" s="568"/>
      <c r="R52" s="568"/>
      <c r="S52" s="507"/>
      <c r="T52" s="569"/>
      <c r="U52" s="565"/>
      <c r="V52" s="515"/>
      <c r="W52" s="506"/>
      <c r="X52" s="516"/>
      <c r="Y52" s="505"/>
    </row>
    <row r="53" spans="1:25" x14ac:dyDescent="0.2">
      <c r="A53" s="517" t="s">
        <v>22</v>
      </c>
      <c r="B53" s="520"/>
      <c r="C53" s="518"/>
      <c r="D53" s="518"/>
      <c r="E53" s="519"/>
      <c r="F53" s="520"/>
      <c r="G53" s="518"/>
      <c r="H53" s="519"/>
      <c r="I53" s="505"/>
      <c r="J53" s="520"/>
      <c r="K53" s="518"/>
      <c r="L53" s="519"/>
      <c r="M53" s="505"/>
      <c r="N53" s="520"/>
      <c r="O53" s="570"/>
      <c r="P53" s="571"/>
      <c r="Q53" s="565"/>
      <c r="R53" s="524"/>
      <c r="S53" s="570"/>
      <c r="T53" s="571"/>
      <c r="U53" s="565"/>
      <c r="V53" s="520"/>
      <c r="W53" s="518"/>
      <c r="X53" s="519"/>
      <c r="Y53" s="505"/>
    </row>
    <row r="54" spans="1:25" x14ac:dyDescent="0.2">
      <c r="A54" s="498" t="s">
        <v>68</v>
      </c>
      <c r="B54" s="520"/>
      <c r="C54" s="522">
        <v>0</v>
      </c>
      <c r="D54" s="522">
        <v>0</v>
      </c>
      <c r="E54" s="555">
        <f>SUM(B54:D54)</f>
        <v>0</v>
      </c>
      <c r="F54" s="520"/>
      <c r="G54" s="522">
        <f t="shared" ref="G54:H58" si="27">SUM(C54+0)</f>
        <v>0</v>
      </c>
      <c r="H54" s="523">
        <f t="shared" si="27"/>
        <v>0</v>
      </c>
      <c r="I54" s="555">
        <f>SUM(F54:H54)</f>
        <v>0</v>
      </c>
      <c r="J54" s="520"/>
      <c r="K54" s="522">
        <f t="shared" ref="K54:L58" si="28">SUM(G54+0)</f>
        <v>0</v>
      </c>
      <c r="L54" s="523">
        <f t="shared" si="28"/>
        <v>0</v>
      </c>
      <c r="M54" s="555">
        <f>SUM(J54:L54)</f>
        <v>0</v>
      </c>
      <c r="N54" s="520"/>
      <c r="O54" s="572">
        <f>SUM(L54+0)</f>
        <v>0</v>
      </c>
      <c r="P54" s="557">
        <f>L54+0</f>
        <v>0</v>
      </c>
      <c r="Q54" s="558">
        <f>SUM(N54:P54)</f>
        <v>0</v>
      </c>
      <c r="R54" s="524"/>
      <c r="S54" s="572">
        <f t="shared" ref="S54:T58" si="29">SUM(O54+0)</f>
        <v>0</v>
      </c>
      <c r="T54" s="573">
        <f t="shared" si="29"/>
        <v>0</v>
      </c>
      <c r="U54" s="558">
        <f>SUM(R54:T54)</f>
        <v>0</v>
      </c>
      <c r="V54" s="520"/>
      <c r="W54" s="506">
        <f t="shared" ref="W54:X58" si="30">SUM(S54+0)</f>
        <v>0</v>
      </c>
      <c r="X54" s="506">
        <f t="shared" si="30"/>
        <v>0</v>
      </c>
      <c r="Y54" s="555">
        <f>SUM(V54:X54)</f>
        <v>0</v>
      </c>
    </row>
    <row r="55" spans="1:25" x14ac:dyDescent="0.2">
      <c r="A55" s="498" t="s">
        <v>13</v>
      </c>
      <c r="B55" s="520"/>
      <c r="C55" s="522">
        <v>0</v>
      </c>
      <c r="D55" s="522">
        <v>0</v>
      </c>
      <c r="E55" s="555">
        <f>SUM(B55:D55)</f>
        <v>0</v>
      </c>
      <c r="F55" s="520"/>
      <c r="G55" s="522">
        <f t="shared" si="27"/>
        <v>0</v>
      </c>
      <c r="H55" s="523">
        <f t="shared" si="27"/>
        <v>0</v>
      </c>
      <c r="I55" s="555">
        <f>SUM(F55:H55)</f>
        <v>0</v>
      </c>
      <c r="J55" s="520"/>
      <c r="K55" s="522">
        <f t="shared" si="28"/>
        <v>0</v>
      </c>
      <c r="L55" s="523">
        <f t="shared" si="28"/>
        <v>0</v>
      </c>
      <c r="M55" s="555">
        <f>SUM(J55:L55)</f>
        <v>0</v>
      </c>
      <c r="N55" s="520"/>
      <c r="O55" s="572">
        <f>SUM(L55+0)</f>
        <v>0</v>
      </c>
      <c r="P55" s="557">
        <f>L55+0</f>
        <v>0</v>
      </c>
      <c r="Q55" s="558">
        <f>SUM(N55:P55)</f>
        <v>0</v>
      </c>
      <c r="R55" s="524"/>
      <c r="S55" s="572">
        <f t="shared" si="29"/>
        <v>0</v>
      </c>
      <c r="T55" s="573">
        <f t="shared" si="29"/>
        <v>0</v>
      </c>
      <c r="U55" s="558">
        <f>SUM(R55:T55)</f>
        <v>0</v>
      </c>
      <c r="V55" s="520"/>
      <c r="W55" s="506">
        <f t="shared" si="30"/>
        <v>0</v>
      </c>
      <c r="X55" s="506">
        <f t="shared" si="30"/>
        <v>0</v>
      </c>
      <c r="Y55" s="555">
        <f>SUM(V55:X55)</f>
        <v>0</v>
      </c>
    </row>
    <row r="56" spans="1:25" x14ac:dyDescent="0.2">
      <c r="A56" s="498" t="s">
        <v>25</v>
      </c>
      <c r="B56" s="520"/>
      <c r="C56" s="522">
        <v>0</v>
      </c>
      <c r="D56" s="522">
        <v>0</v>
      </c>
      <c r="E56" s="555">
        <f>SUM(B56:D56)</f>
        <v>0</v>
      </c>
      <c r="F56" s="520"/>
      <c r="G56" s="522">
        <f t="shared" si="27"/>
        <v>0</v>
      </c>
      <c r="H56" s="523">
        <f t="shared" si="27"/>
        <v>0</v>
      </c>
      <c r="I56" s="555">
        <f>SUM(F56:H56)</f>
        <v>0</v>
      </c>
      <c r="J56" s="520"/>
      <c r="K56" s="522">
        <f t="shared" si="28"/>
        <v>0</v>
      </c>
      <c r="L56" s="523">
        <f t="shared" si="28"/>
        <v>0</v>
      </c>
      <c r="M56" s="555">
        <f>SUM(J56:L56)</f>
        <v>0</v>
      </c>
      <c r="N56" s="520"/>
      <c r="O56" s="572">
        <f>SUM(L56+0)</f>
        <v>0</v>
      </c>
      <c r="P56" s="557">
        <f>L56+0</f>
        <v>0</v>
      </c>
      <c r="Q56" s="558">
        <f>SUM(N56:P56)</f>
        <v>0</v>
      </c>
      <c r="R56" s="524"/>
      <c r="S56" s="572">
        <f t="shared" si="29"/>
        <v>0</v>
      </c>
      <c r="T56" s="573">
        <f t="shared" si="29"/>
        <v>0</v>
      </c>
      <c r="U56" s="558">
        <f>SUM(R56:T56)</f>
        <v>0</v>
      </c>
      <c r="V56" s="520"/>
      <c r="W56" s="506">
        <f t="shared" si="30"/>
        <v>0</v>
      </c>
      <c r="X56" s="506">
        <f t="shared" si="30"/>
        <v>0</v>
      </c>
      <c r="Y56" s="555">
        <f>SUM(V56:X56)</f>
        <v>0</v>
      </c>
    </row>
    <row r="57" spans="1:25" x14ac:dyDescent="0.2">
      <c r="A57" s="498" t="s">
        <v>182</v>
      </c>
      <c r="B57" s="564"/>
      <c r="C57" s="522">
        <v>0</v>
      </c>
      <c r="D57" s="522">
        <v>0</v>
      </c>
      <c r="E57" s="555">
        <f>SUM(B57:D57)</f>
        <v>0</v>
      </c>
      <c r="F57" s="506"/>
      <c r="G57" s="522">
        <f t="shared" si="27"/>
        <v>0</v>
      </c>
      <c r="H57" s="523">
        <f t="shared" si="27"/>
        <v>0</v>
      </c>
      <c r="I57" s="505">
        <f>SUM(G57:H57)</f>
        <v>0</v>
      </c>
      <c r="J57" s="506"/>
      <c r="K57" s="522">
        <f t="shared" si="28"/>
        <v>0</v>
      </c>
      <c r="L57" s="523">
        <f t="shared" si="28"/>
        <v>0</v>
      </c>
      <c r="M57" s="505">
        <f>SUM(K57:L57)</f>
        <v>0</v>
      </c>
      <c r="N57" s="506"/>
      <c r="O57" s="572">
        <f>SUM(L57+0)</f>
        <v>0</v>
      </c>
      <c r="P57" s="557">
        <f>L57+0</f>
        <v>0</v>
      </c>
      <c r="Q57" s="565">
        <f>SUM(O57:P57)</f>
        <v>0</v>
      </c>
      <c r="R57" s="507"/>
      <c r="S57" s="572">
        <f t="shared" si="29"/>
        <v>0</v>
      </c>
      <c r="T57" s="573">
        <f t="shared" si="29"/>
        <v>0</v>
      </c>
      <c r="U57" s="565">
        <f>SUM(S57:T57)</f>
        <v>0</v>
      </c>
      <c r="V57" s="506"/>
      <c r="W57" s="506">
        <f t="shared" si="30"/>
        <v>0</v>
      </c>
      <c r="X57" s="506">
        <f t="shared" si="30"/>
        <v>0</v>
      </c>
      <c r="Y57" s="505">
        <f>SUM(W57:X57)</f>
        <v>0</v>
      </c>
    </row>
    <row r="58" spans="1:25" x14ac:dyDescent="0.2">
      <c r="A58" s="498" t="s">
        <v>183</v>
      </c>
      <c r="B58" s="564"/>
      <c r="C58" s="522">
        <v>0</v>
      </c>
      <c r="D58" s="522">
        <v>0</v>
      </c>
      <c r="E58" s="555">
        <f>SUM(B58:D58)</f>
        <v>0</v>
      </c>
      <c r="F58" s="506"/>
      <c r="G58" s="522">
        <f t="shared" si="27"/>
        <v>0</v>
      </c>
      <c r="H58" s="523">
        <f t="shared" si="27"/>
        <v>0</v>
      </c>
      <c r="I58" s="505">
        <f>SUM(G58:H58)</f>
        <v>0</v>
      </c>
      <c r="J58" s="506"/>
      <c r="K58" s="522">
        <f t="shared" si="28"/>
        <v>0</v>
      </c>
      <c r="L58" s="523">
        <f t="shared" si="28"/>
        <v>0</v>
      </c>
      <c r="M58" s="505">
        <f>SUM(K58:L58)</f>
        <v>0</v>
      </c>
      <c r="N58" s="506"/>
      <c r="O58" s="572">
        <f>SUM(L58+0)</f>
        <v>0</v>
      </c>
      <c r="P58" s="557">
        <f>L58+0</f>
        <v>0</v>
      </c>
      <c r="Q58" s="565">
        <f>SUM(O58:P58)</f>
        <v>0</v>
      </c>
      <c r="R58" s="507"/>
      <c r="S58" s="572">
        <f t="shared" si="29"/>
        <v>0</v>
      </c>
      <c r="T58" s="573">
        <f t="shared" si="29"/>
        <v>0</v>
      </c>
      <c r="U58" s="565">
        <f>SUM(S58:T58)</f>
        <v>0</v>
      </c>
      <c r="V58" s="506"/>
      <c r="W58" s="506">
        <f t="shared" si="30"/>
        <v>0</v>
      </c>
      <c r="X58" s="506">
        <f t="shared" si="30"/>
        <v>0</v>
      </c>
      <c r="Y58" s="505">
        <f>SUM(W58:X58)</f>
        <v>0</v>
      </c>
    </row>
    <row r="59" spans="1:25" s="493" customFormat="1" x14ac:dyDescent="0.2">
      <c r="A59" s="512" t="s">
        <v>63</v>
      </c>
      <c r="B59" s="515"/>
      <c r="C59" s="515">
        <f>SUM(C54:C58)</f>
        <v>0</v>
      </c>
      <c r="D59" s="515">
        <f>SUM(D54:D58)</f>
        <v>0</v>
      </c>
      <c r="E59" s="515">
        <f>SUM(E54:E58)</f>
        <v>0</v>
      </c>
      <c r="F59" s="525"/>
      <c r="G59" s="515">
        <f>SUM(G54:G58)</f>
        <v>0</v>
      </c>
      <c r="H59" s="515">
        <f>SUM(H54:H58)</f>
        <v>0</v>
      </c>
      <c r="I59" s="515">
        <f>SUM(I54:I58)</f>
        <v>0</v>
      </c>
      <c r="J59" s="525"/>
      <c r="K59" s="515">
        <f>SUM(K54:K58)</f>
        <v>0</v>
      </c>
      <c r="L59" s="515">
        <f>SUM(L54:L58)</f>
        <v>0</v>
      </c>
      <c r="M59" s="515">
        <f>SUM(M54:M58)</f>
        <v>0</v>
      </c>
      <c r="N59" s="525"/>
      <c r="O59" s="568">
        <f>SUM(O54:O58)</f>
        <v>0</v>
      </c>
      <c r="P59" s="568">
        <f>SUM(P54:P58)</f>
        <v>0</v>
      </c>
      <c r="Q59" s="568">
        <f>SUM(Q54:Q58)</f>
        <v>0</v>
      </c>
      <c r="R59" s="526"/>
      <c r="S59" s="568">
        <f>SUM(S54:S58)</f>
        <v>0</v>
      </c>
      <c r="T59" s="568">
        <f>SUM(T54:T58)</f>
        <v>0</v>
      </c>
      <c r="U59" s="568">
        <f>SUM(U54:U58)</f>
        <v>0</v>
      </c>
      <c r="V59" s="525"/>
      <c r="W59" s="515">
        <f>SUM(W54:W58)</f>
        <v>0</v>
      </c>
      <c r="X59" s="515">
        <f>SUM(X54:X58)</f>
        <v>0</v>
      </c>
      <c r="Y59" s="505">
        <f>SUM(Y54:Y58)</f>
        <v>0</v>
      </c>
    </row>
    <row r="60" spans="1:25" ht="3.95" customHeight="1" x14ac:dyDescent="0.2">
      <c r="A60" s="512"/>
      <c r="B60" s="515"/>
      <c r="C60" s="506"/>
      <c r="D60" s="506"/>
      <c r="E60" s="525"/>
      <c r="F60" s="515"/>
      <c r="G60" s="506"/>
      <c r="H60" s="516"/>
      <c r="I60" s="505" t="s">
        <v>12</v>
      </c>
      <c r="J60" s="515"/>
      <c r="K60" s="506"/>
      <c r="L60" s="516"/>
      <c r="M60" s="505" t="s">
        <v>12</v>
      </c>
      <c r="N60" s="515"/>
      <c r="O60" s="507"/>
      <c r="P60" s="569"/>
      <c r="Q60" s="565" t="s">
        <v>12</v>
      </c>
      <c r="R60" s="568"/>
      <c r="S60" s="507"/>
      <c r="T60" s="569"/>
      <c r="U60" s="565" t="s">
        <v>12</v>
      </c>
      <c r="V60" s="515"/>
      <c r="W60" s="506"/>
      <c r="X60" s="516"/>
      <c r="Y60" s="505"/>
    </row>
    <row r="61" spans="1:25" ht="17.25" customHeight="1" x14ac:dyDescent="0.2">
      <c r="A61" s="512" t="s">
        <v>118</v>
      </c>
      <c r="B61" s="515"/>
      <c r="C61" s="515">
        <f>C51+C59</f>
        <v>13.672000000000001</v>
      </c>
      <c r="D61" s="515">
        <f>D51+D59</f>
        <v>0</v>
      </c>
      <c r="E61" s="515">
        <f>E51+E59</f>
        <v>13.672000000000001</v>
      </c>
      <c r="F61" s="515"/>
      <c r="G61" s="505">
        <f>G51+G59</f>
        <v>13.897</v>
      </c>
      <c r="H61" s="525">
        <f>H51+H59</f>
        <v>0</v>
      </c>
      <c r="I61" s="505">
        <f>I51+I59</f>
        <v>13.897</v>
      </c>
      <c r="J61" s="515"/>
      <c r="K61" s="505">
        <f>K51+K59</f>
        <v>13.897</v>
      </c>
      <c r="L61" s="525">
        <f>L51+L59</f>
        <v>7.1999999999999995E-2</v>
      </c>
      <c r="M61" s="505">
        <f>M51+M59</f>
        <v>13.968999999999999</v>
      </c>
      <c r="N61" s="515"/>
      <c r="O61" s="565">
        <f>O51+O59</f>
        <v>13.897</v>
      </c>
      <c r="P61" s="526">
        <f>P51+P59</f>
        <v>0.872</v>
      </c>
      <c r="Q61" s="565">
        <f>Q51+Q59</f>
        <v>14.769</v>
      </c>
      <c r="R61" s="568"/>
      <c r="S61" s="565">
        <f>S51+S59</f>
        <v>16.251000000000001</v>
      </c>
      <c r="T61" s="526">
        <f>T51+T59</f>
        <v>0.872</v>
      </c>
      <c r="U61" s="565">
        <f>U51+U59</f>
        <v>17.123000000000001</v>
      </c>
      <c r="V61" s="515"/>
      <c r="W61" s="505">
        <f>W51+W59</f>
        <v>17.141000000000002</v>
      </c>
      <c r="X61" s="525">
        <f>X51+X59</f>
        <v>1.6270000000000002</v>
      </c>
      <c r="Y61" s="505">
        <f>Y51+Y59</f>
        <v>18.768000000000001</v>
      </c>
    </row>
    <row r="62" spans="1:25" ht="17.25" customHeight="1" x14ac:dyDescent="0.2">
      <c r="A62" s="528"/>
      <c r="B62" s="534"/>
      <c r="C62" s="532"/>
      <c r="D62" s="532"/>
      <c r="E62" s="574"/>
      <c r="F62" s="534"/>
      <c r="G62" s="532"/>
      <c r="H62" s="533"/>
      <c r="I62" s="534"/>
      <c r="J62" s="534"/>
      <c r="K62" s="532"/>
      <c r="L62" s="533"/>
      <c r="M62" s="534"/>
      <c r="N62" s="534"/>
      <c r="O62" s="575"/>
      <c r="P62" s="576"/>
      <c r="Q62" s="577"/>
      <c r="R62" s="577"/>
      <c r="S62" s="575"/>
      <c r="T62" s="576"/>
      <c r="U62" s="577"/>
      <c r="V62" s="534"/>
      <c r="W62" s="532"/>
      <c r="X62" s="533"/>
      <c r="Y62" s="535"/>
    </row>
    <row r="63" spans="1:25" x14ac:dyDescent="0.2">
      <c r="A63" s="496" t="s">
        <v>67</v>
      </c>
      <c r="B63" s="578"/>
      <c r="C63" s="540"/>
      <c r="D63" s="540"/>
      <c r="E63" s="579"/>
      <c r="F63" s="541"/>
      <c r="G63" s="540"/>
      <c r="H63" s="540"/>
      <c r="I63" s="541"/>
      <c r="J63" s="541"/>
      <c r="K63" s="540"/>
      <c r="L63" s="540"/>
      <c r="M63" s="541"/>
      <c r="N63" s="541"/>
      <c r="O63" s="580"/>
      <c r="P63" s="580"/>
      <c r="Q63" s="581"/>
      <c r="R63" s="581"/>
      <c r="S63" s="580"/>
      <c r="T63" s="580"/>
      <c r="U63" s="581"/>
      <c r="V63" s="541"/>
      <c r="W63" s="540"/>
      <c r="X63" s="540"/>
      <c r="Y63" s="542"/>
    </row>
    <row r="64" spans="1:25" x14ac:dyDescent="0.2">
      <c r="A64" s="543" t="s">
        <v>119</v>
      </c>
      <c r="B64" s="506">
        <f>V30+282/1000</f>
        <v>6.5977105465925989</v>
      </c>
      <c r="C64" s="564"/>
      <c r="D64" s="564"/>
      <c r="E64" s="562"/>
      <c r="F64" s="541">
        <f>B64+92/1000</f>
        <v>6.6897105465925986</v>
      </c>
      <c r="G64" s="564"/>
      <c r="H64" s="564"/>
      <c r="I64" s="562"/>
      <c r="J64" s="506">
        <f>(F64+0/1000)</f>
        <v>6.6897105465925986</v>
      </c>
      <c r="K64" s="564"/>
      <c r="L64" s="564"/>
      <c r="M64" s="562"/>
      <c r="N64" s="507">
        <f>SUM(J64+1482.1/1000)</f>
        <v>8.1718105465925994</v>
      </c>
      <c r="O64" s="582"/>
      <c r="P64" s="582"/>
      <c r="Q64" s="583"/>
      <c r="R64" s="507">
        <f>SUM(N64+224/1000)</f>
        <v>8.3958105465925996</v>
      </c>
      <c r="S64" s="582"/>
      <c r="T64" s="582"/>
      <c r="U64" s="583"/>
      <c r="V64" s="505">
        <f>SUM(R64+524/1000)</f>
        <v>8.9198105465926005</v>
      </c>
      <c r="W64" s="523" t="s">
        <v>12</v>
      </c>
      <c r="X64" s="584"/>
      <c r="Y64" s="505"/>
    </row>
    <row r="65" spans="1:25" x14ac:dyDescent="0.2">
      <c r="A65" s="502"/>
      <c r="B65" s="506"/>
      <c r="C65" s="503"/>
      <c r="D65" s="503"/>
      <c r="E65" s="562"/>
      <c r="F65" s="506"/>
      <c r="G65" s="503"/>
      <c r="H65" s="503"/>
      <c r="I65" s="562"/>
      <c r="J65" s="506"/>
      <c r="K65" s="503"/>
      <c r="L65" s="503"/>
      <c r="M65" s="562"/>
      <c r="N65" s="506"/>
      <c r="O65" s="508"/>
      <c r="P65" s="508"/>
      <c r="Q65" s="583"/>
      <c r="R65" s="507"/>
      <c r="S65" s="508"/>
      <c r="T65" s="508"/>
      <c r="U65" s="583"/>
      <c r="V65" s="506"/>
      <c r="W65" s="503"/>
      <c r="X65" s="503"/>
      <c r="Y65" s="562"/>
    </row>
    <row r="66" spans="1:25" s="493" customFormat="1" x14ac:dyDescent="0.2">
      <c r="A66" s="509" t="s">
        <v>63</v>
      </c>
      <c r="B66" s="515">
        <f>SUM(B64:B65)</f>
        <v>6.5977105465925989</v>
      </c>
      <c r="C66" s="515">
        <f>SUM(C64:C65)</f>
        <v>0</v>
      </c>
      <c r="D66" s="515">
        <f>SUM(D64:D65)</f>
        <v>0</v>
      </c>
      <c r="E66" s="515">
        <f>SUM(E64)</f>
        <v>0</v>
      </c>
      <c r="F66" s="515">
        <f>SUM(F64:F65)</f>
        <v>6.6897105465925986</v>
      </c>
      <c r="G66" s="515">
        <f>SUM(G64:G65)</f>
        <v>0</v>
      </c>
      <c r="H66" s="515">
        <f>SUM(H64:H65)</f>
        <v>0</v>
      </c>
      <c r="I66" s="515">
        <f>SUM(I64)</f>
        <v>0</v>
      </c>
      <c r="J66" s="515">
        <f>SUM(J64:J65)</f>
        <v>6.6897105465925986</v>
      </c>
      <c r="K66" s="515">
        <f>SUM(K64:K65)</f>
        <v>0</v>
      </c>
      <c r="L66" s="515">
        <f>SUM(L64:L65)</f>
        <v>0</v>
      </c>
      <c r="M66" s="515">
        <f>SUM(M64)</f>
        <v>0</v>
      </c>
      <c r="N66" s="515">
        <f>SUM(N64:N65)</f>
        <v>8.1718105465925994</v>
      </c>
      <c r="O66" s="568">
        <f>SUM(O64:O65)</f>
        <v>0</v>
      </c>
      <c r="P66" s="568">
        <f>SUM(P64:P65)</f>
        <v>0</v>
      </c>
      <c r="Q66" s="568">
        <f>SUM(Q64)</f>
        <v>0</v>
      </c>
      <c r="R66" s="568">
        <f>SUM(R64:R65)</f>
        <v>8.3958105465925996</v>
      </c>
      <c r="S66" s="568">
        <f>SUM(S64:S65)</f>
        <v>0</v>
      </c>
      <c r="T66" s="568">
        <f>SUM(T64:T65)</f>
        <v>0</v>
      </c>
      <c r="U66" s="568">
        <f>SUM(U64)</f>
        <v>0</v>
      </c>
      <c r="V66" s="515">
        <f>SUM(V64:V65)</f>
        <v>8.9198105465926005</v>
      </c>
      <c r="W66" s="515">
        <f>SUM(W64:W65)</f>
        <v>0</v>
      </c>
      <c r="X66" s="515">
        <f>SUM(X64:X65)</f>
        <v>0</v>
      </c>
      <c r="Y66" s="505">
        <f>SUM(Y64)</f>
        <v>0</v>
      </c>
    </row>
    <row r="67" spans="1:25" ht="3.95" customHeight="1" x14ac:dyDescent="0.2">
      <c r="A67" s="512"/>
      <c r="B67" s="506"/>
      <c r="C67" s="506"/>
      <c r="D67" s="506"/>
      <c r="E67" s="525"/>
      <c r="F67" s="506"/>
      <c r="G67" s="506"/>
      <c r="H67" s="506"/>
      <c r="I67" s="525"/>
      <c r="J67" s="506"/>
      <c r="K67" s="506"/>
      <c r="L67" s="506"/>
      <c r="M67" s="525"/>
      <c r="N67" s="506"/>
      <c r="O67" s="507"/>
      <c r="P67" s="507"/>
      <c r="Q67" s="526"/>
      <c r="R67" s="507"/>
      <c r="S67" s="507"/>
      <c r="T67" s="507"/>
      <c r="U67" s="526"/>
      <c r="V67" s="506"/>
      <c r="W67" s="506"/>
      <c r="X67" s="506"/>
      <c r="Y67" s="525"/>
    </row>
    <row r="68" spans="1:25" s="588" customFormat="1" x14ac:dyDescent="0.2">
      <c r="A68" s="512" t="s">
        <v>120</v>
      </c>
      <c r="B68" s="585">
        <f>B66</f>
        <v>6.5977105465925989</v>
      </c>
      <c r="C68" s="585" t="s">
        <v>31</v>
      </c>
      <c r="D68" s="585" t="s">
        <v>31</v>
      </c>
      <c r="E68" s="585" t="s">
        <v>31</v>
      </c>
      <c r="F68" s="585">
        <f>F66</f>
        <v>6.6897105465925986</v>
      </c>
      <c r="G68" s="585" t="s">
        <v>31</v>
      </c>
      <c r="H68" s="585" t="s">
        <v>31</v>
      </c>
      <c r="I68" s="585" t="s">
        <v>31</v>
      </c>
      <c r="J68" s="585">
        <f>J66</f>
        <v>6.6897105465925986</v>
      </c>
      <c r="K68" s="585" t="s">
        <v>31</v>
      </c>
      <c r="L68" s="585" t="s">
        <v>31</v>
      </c>
      <c r="M68" s="585" t="s">
        <v>31</v>
      </c>
      <c r="N68" s="585">
        <f>N66</f>
        <v>8.1718105465925994</v>
      </c>
      <c r="O68" s="586" t="s">
        <v>31</v>
      </c>
      <c r="P68" s="586" t="s">
        <v>31</v>
      </c>
      <c r="Q68" s="586" t="s">
        <v>31</v>
      </c>
      <c r="R68" s="586">
        <f>R66</f>
        <v>8.3958105465925996</v>
      </c>
      <c r="S68" s="586" t="s">
        <v>31</v>
      </c>
      <c r="T68" s="586" t="s">
        <v>31</v>
      </c>
      <c r="U68" s="586" t="s">
        <v>31</v>
      </c>
      <c r="V68" s="585">
        <f>V66</f>
        <v>8.9198105465926005</v>
      </c>
      <c r="W68" s="585" t="s">
        <v>31</v>
      </c>
      <c r="X68" s="585" t="s">
        <v>31</v>
      </c>
      <c r="Y68" s="587" t="s">
        <v>31</v>
      </c>
    </row>
    <row r="69" spans="1:25" s="595" customFormat="1" x14ac:dyDescent="0.2">
      <c r="A69" s="589"/>
      <c r="B69" s="590"/>
      <c r="C69" s="590"/>
      <c r="D69" s="590"/>
      <c r="E69" s="591"/>
      <c r="F69" s="592"/>
      <c r="G69" s="593"/>
      <c r="H69" s="594"/>
      <c r="I69" s="592"/>
      <c r="J69" s="592"/>
      <c r="K69" s="593"/>
      <c r="L69" s="594"/>
      <c r="M69" s="592"/>
      <c r="N69" s="592"/>
      <c r="O69" s="593"/>
      <c r="P69" s="594"/>
      <c r="Q69" s="592"/>
      <c r="R69" s="592"/>
      <c r="S69" s="593"/>
      <c r="T69" s="594"/>
      <c r="U69" s="592"/>
      <c r="V69" s="592"/>
      <c r="W69" s="593"/>
      <c r="X69" s="594"/>
      <c r="Y69" s="592"/>
    </row>
    <row r="70" spans="1:25" x14ac:dyDescent="0.2">
      <c r="A70" s="551"/>
      <c r="B70" s="551"/>
      <c r="C70" s="553"/>
      <c r="D70" s="553"/>
      <c r="E70" s="553"/>
      <c r="F70" s="551"/>
      <c r="G70" s="553"/>
      <c r="H70" s="553"/>
      <c r="I70" s="551"/>
      <c r="J70" s="551"/>
      <c r="K70" s="553"/>
      <c r="L70" s="553"/>
      <c r="M70" s="551"/>
      <c r="N70" s="551"/>
      <c r="O70" s="553"/>
      <c r="P70" s="553"/>
      <c r="Q70" s="551"/>
      <c r="R70" s="551"/>
      <c r="S70" s="553"/>
      <c r="T70" s="553"/>
      <c r="U70" s="551"/>
      <c r="V70" s="551"/>
      <c r="W70" s="553"/>
      <c r="X70" s="553"/>
      <c r="Y70" s="551"/>
    </row>
    <row r="71" spans="1:25" x14ac:dyDescent="0.2">
      <c r="A71" s="551"/>
      <c r="B71" s="551"/>
      <c r="C71" s="553"/>
      <c r="D71" s="553"/>
      <c r="E71" s="553"/>
      <c r="F71" s="551"/>
      <c r="G71" s="553"/>
      <c r="H71" s="553"/>
      <c r="I71" s="551"/>
      <c r="J71" s="551"/>
      <c r="K71" s="553"/>
      <c r="L71" s="553"/>
      <c r="M71" s="551"/>
      <c r="N71" s="551"/>
      <c r="O71" s="553"/>
      <c r="P71" s="553"/>
      <c r="Q71" s="551"/>
      <c r="R71" s="551"/>
      <c r="S71" s="553"/>
      <c r="T71" s="553"/>
      <c r="U71" s="551"/>
      <c r="V71" s="551"/>
      <c r="W71" s="553"/>
      <c r="X71" s="553"/>
      <c r="Y71" s="551"/>
    </row>
    <row r="72" spans="1:25" x14ac:dyDescent="0.2">
      <c r="A72" s="551"/>
      <c r="B72" s="551"/>
      <c r="C72" s="553"/>
      <c r="D72" s="553"/>
      <c r="E72" s="553"/>
      <c r="F72" s="551"/>
      <c r="G72" s="553"/>
      <c r="H72" s="553"/>
      <c r="I72" s="551"/>
      <c r="J72" s="551"/>
      <c r="K72" s="553"/>
      <c r="L72" s="553"/>
      <c r="M72" s="551"/>
      <c r="N72" s="551"/>
      <c r="O72" s="553"/>
      <c r="P72" s="553"/>
      <c r="Q72" s="551"/>
      <c r="R72" s="551"/>
      <c r="S72" s="553"/>
      <c r="T72" s="553"/>
      <c r="U72" s="551"/>
      <c r="V72" s="551"/>
      <c r="W72" s="553"/>
      <c r="X72" s="553"/>
      <c r="Y72" s="551"/>
    </row>
    <row r="73" spans="1:25" x14ac:dyDescent="0.2">
      <c r="A73" s="551"/>
      <c r="B73" s="551"/>
      <c r="D73" s="553"/>
      <c r="G73" s="553"/>
      <c r="I73" s="551"/>
      <c r="K73" s="553"/>
      <c r="M73" s="551"/>
      <c r="N73" s="596"/>
      <c r="O73" s="553"/>
      <c r="P73" s="553"/>
      <c r="Q73" s="596"/>
      <c r="R73" s="596"/>
      <c r="S73" s="553"/>
      <c r="T73" s="553"/>
      <c r="U73" s="596"/>
      <c r="V73" s="596"/>
      <c r="W73" s="553"/>
      <c r="X73" s="553"/>
      <c r="Y73" s="596"/>
    </row>
    <row r="74" spans="1:25" x14ac:dyDescent="0.2">
      <c r="B74" s="34"/>
    </row>
    <row r="75" spans="1:25" x14ac:dyDescent="0.2">
      <c r="A75" s="551"/>
      <c r="B75" s="551"/>
      <c r="D75" s="553"/>
      <c r="G75" s="553"/>
      <c r="I75" s="551"/>
      <c r="K75" s="553"/>
      <c r="M75" s="551"/>
      <c r="N75" s="596"/>
      <c r="O75" s="553"/>
      <c r="P75" s="553"/>
      <c r="Q75" s="596"/>
      <c r="R75" s="596"/>
      <c r="S75" s="553"/>
      <c r="T75" s="553"/>
      <c r="U75" s="596"/>
      <c r="V75" s="596"/>
      <c r="W75" s="553"/>
      <c r="X75" s="553"/>
      <c r="Y75" s="596"/>
    </row>
    <row r="76" spans="1:25" x14ac:dyDescent="0.2">
      <c r="A76" s="551"/>
      <c r="B76" s="551"/>
      <c r="D76" s="553"/>
      <c r="G76" s="553"/>
      <c r="I76" s="551"/>
      <c r="K76" s="553"/>
      <c r="M76" s="551"/>
    </row>
    <row r="77" spans="1:25" x14ac:dyDescent="0.2">
      <c r="A77" s="551"/>
      <c r="B77" s="551"/>
      <c r="D77" s="553"/>
      <c r="F77" s="597"/>
      <c r="I77" s="597"/>
      <c r="J77" s="597"/>
      <c r="M77" s="597"/>
      <c r="N77" s="597"/>
      <c r="Q77" s="597"/>
      <c r="R77" s="597"/>
      <c r="U77" s="597"/>
      <c r="V77" s="597"/>
      <c r="Y77" s="597"/>
    </row>
    <row r="78" spans="1:25" x14ac:dyDescent="0.2">
      <c r="A78" s="551"/>
      <c r="B78" s="551"/>
      <c r="D78" s="553"/>
      <c r="G78" s="553"/>
      <c r="I78" s="551"/>
      <c r="K78" s="553"/>
      <c r="M78" s="551"/>
      <c r="N78" s="596"/>
      <c r="O78" s="553"/>
      <c r="P78" s="553"/>
      <c r="Q78" s="596"/>
      <c r="R78" s="596"/>
      <c r="S78" s="553"/>
      <c r="T78" s="553"/>
      <c r="U78" s="596"/>
      <c r="V78" s="596"/>
      <c r="W78" s="553"/>
      <c r="X78" s="553"/>
      <c r="Y78" s="596"/>
    </row>
    <row r="79" spans="1:25" x14ac:dyDescent="0.2">
      <c r="A79" s="597"/>
      <c r="B79" s="597"/>
      <c r="F79" s="597"/>
      <c r="I79" s="597"/>
      <c r="J79" s="597"/>
      <c r="M79" s="597"/>
      <c r="N79" s="597"/>
      <c r="Q79" s="597"/>
      <c r="R79" s="597"/>
      <c r="U79" s="597"/>
      <c r="V79" s="597"/>
      <c r="Y79" s="597"/>
    </row>
    <row r="80" spans="1:25" x14ac:dyDescent="0.2">
      <c r="A80" s="597"/>
      <c r="B80" s="597"/>
      <c r="F80" s="597"/>
      <c r="I80" s="597"/>
      <c r="J80" s="597"/>
      <c r="M80" s="597"/>
      <c r="N80" s="597"/>
      <c r="Q80" s="597"/>
      <c r="R80" s="597"/>
      <c r="U80" s="597"/>
      <c r="V80" s="597"/>
      <c r="Y80" s="597"/>
    </row>
    <row r="81" spans="1:25" x14ac:dyDescent="0.2">
      <c r="A81" s="597"/>
      <c r="B81" s="597"/>
      <c r="F81" s="597"/>
      <c r="I81" s="597"/>
      <c r="J81" s="597"/>
      <c r="M81" s="597"/>
      <c r="N81" s="597"/>
      <c r="Q81" s="597"/>
      <c r="R81" s="597"/>
      <c r="U81" s="597"/>
      <c r="V81" s="597"/>
      <c r="Y81" s="597"/>
    </row>
    <row r="82" spans="1:25" x14ac:dyDescent="0.2">
      <c r="A82" s="597"/>
      <c r="B82" s="597"/>
      <c r="F82" s="597"/>
      <c r="I82" s="597"/>
      <c r="J82" s="597"/>
      <c r="M82" s="597"/>
      <c r="N82" s="597"/>
      <c r="Q82" s="597"/>
      <c r="R82" s="597"/>
      <c r="U82" s="597"/>
      <c r="V82" s="597"/>
      <c r="Y82" s="597"/>
    </row>
  </sheetData>
  <sheetProtection password="C511" sheet="1" objects="1" scenarios="1"/>
  <mergeCells count="12">
    <mergeCell ref="N37:Q37"/>
    <mergeCell ref="R3:U3"/>
    <mergeCell ref="V3:Y3"/>
    <mergeCell ref="R37:U37"/>
    <mergeCell ref="V37:Y37"/>
    <mergeCell ref="N3:Q3"/>
    <mergeCell ref="J37:M37"/>
    <mergeCell ref="J3:M3"/>
    <mergeCell ref="B3:E3"/>
    <mergeCell ref="F3:I3"/>
    <mergeCell ref="B37:E37"/>
    <mergeCell ref="F37:I37"/>
  </mergeCells>
  <phoneticPr fontId="0" type="noConversion"/>
  <printOptions horizontalCentered="1"/>
  <pageMargins left="0" right="0" top="0.93854166666666705" bottom="0.25" header="0.13" footer="0.1"/>
  <pageSetup scale="50" orientation="landscape" cellComments="atEnd" r:id="rId1"/>
  <headerFooter alignWithMargins="0">
    <oddHeader>&amp;C&amp;"Arial,Bold"Table I-2
Pacific Gas and Electric Company 
Program Subscription Statistics
December 2011</oddHeader>
    <oddFooter>&amp;L&amp;F&amp;CPage 6 of 11&amp;R&amp;A</oddFooter>
  </headerFooter>
  <ignoredErrors>
    <ignoredError sqref="I6:I8 E5 I5 E6:E8 M5:M8 Q5:Q8 Q10:Q16 M10:M16 E10:E16 I10:I16 T25 I9 E9 M9 Q9 U10:U16 U9 Y5:Y9 Y10:Y16 E20:E24 C59:D59 Y20:Y24 W59:X59 V32:Y32 I20:I24 E39:E50 Q39:Q50 M39:M50 I39:I50 U39:U50 Y39:Y50 G51:T51 E54:E58 B66:D66 I54:I58 M54:M58 Q54:Q58 U54:U58 Y54:Y58 G59:H59 K59:L59 O59:P59 S59:T59 B32:D32 C17:L17 C25:L25 M20:M24 M25 O17:Q19 O25:Q25 U20:U24 Q20:Q24 U8 U17:U19 U25 C51:D51 S25 S17:S19 T17:T19 U5:U6 X25 X17:X19 V17:V25 W17:W19 W25 V51:Y51" emptyCellReference="1"/>
    <ignoredError sqref="E32:U32 E66:Y66 U7" formula="1" emptyCellReference="1"/>
    <ignoredError sqref="G43 L47 X4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81"/>
  <sheetViews>
    <sheetView showGridLines="0" view="pageLayout" topLeftCell="A59" zoomScaleNormal="75" zoomScaleSheetLayoutView="90" workbookViewId="0">
      <selection activeCell="K30" sqref="K30"/>
    </sheetView>
  </sheetViews>
  <sheetFormatPr defaultRowHeight="12.75" x14ac:dyDescent="0.2"/>
  <cols>
    <col min="1" max="1" width="52" style="34" customWidth="1"/>
    <col min="2" max="2" width="17.7109375" style="124" customWidth="1"/>
    <col min="3" max="4" width="10.5703125" style="49" customWidth="1"/>
    <col min="5" max="5" width="10.5703125" style="34" customWidth="1"/>
    <col min="6" max="6" width="11.85546875" style="34" customWidth="1"/>
    <col min="7" max="14" width="10.5703125" style="34" customWidth="1"/>
    <col min="15" max="16" width="14.28515625" style="34" customWidth="1"/>
    <col min="17" max="17" width="13.140625" style="34" customWidth="1"/>
    <col min="18" max="18" width="14.42578125" style="34" customWidth="1"/>
    <col min="19" max="19" width="9.7109375" style="34" customWidth="1"/>
    <col min="20" max="16384" width="9.140625" style="34"/>
  </cols>
  <sheetData>
    <row r="1" spans="1:19" s="179" customFormat="1" ht="10.5" customHeight="1" x14ac:dyDescent="0.2">
      <c r="A1" s="178" t="s">
        <v>230</v>
      </c>
      <c r="B1" s="265"/>
    </row>
    <row r="2" spans="1:19" s="49" customFormat="1" ht="5.25" customHeight="1" thickBot="1" x14ac:dyDescent="0.25">
      <c r="B2" s="266"/>
    </row>
    <row r="3" spans="1:19" ht="4.5" hidden="1" customHeight="1" x14ac:dyDescent="0.2">
      <c r="A3" s="35"/>
      <c r="B3" s="267"/>
      <c r="C3" s="36"/>
      <c r="D3" s="36"/>
      <c r="E3" s="36"/>
      <c r="F3" s="36"/>
      <c r="G3" s="36"/>
      <c r="H3" s="36"/>
      <c r="I3" s="36"/>
      <c r="J3" s="36"/>
      <c r="K3" s="36"/>
      <c r="L3" s="36"/>
      <c r="M3" s="36"/>
      <c r="N3" s="49"/>
      <c r="O3" s="49"/>
      <c r="P3" s="49"/>
      <c r="Q3" s="88"/>
      <c r="R3" s="88"/>
      <c r="S3" s="157"/>
    </row>
    <row r="4" spans="1:19" s="36" customFormat="1" ht="4.5" hidden="1" customHeight="1" x14ac:dyDescent="0.2">
      <c r="A4" s="97"/>
      <c r="B4" s="268"/>
      <c r="C4" s="155"/>
      <c r="D4" s="155"/>
      <c r="E4" s="49"/>
      <c r="F4" s="49"/>
      <c r="G4" s="49"/>
      <c r="H4" s="49"/>
      <c r="I4" s="49"/>
      <c r="J4" s="49"/>
      <c r="K4" s="49"/>
      <c r="L4" s="49"/>
      <c r="M4" s="49"/>
      <c r="N4" s="155"/>
      <c r="O4" s="155"/>
      <c r="P4" s="155"/>
      <c r="Q4" s="92"/>
      <c r="R4" s="92"/>
      <c r="S4" s="180"/>
    </row>
    <row r="5" spans="1:19" ht="50.25" customHeight="1" x14ac:dyDescent="0.2">
      <c r="A5" s="181" t="s">
        <v>18</v>
      </c>
      <c r="B5" s="269" t="s">
        <v>160</v>
      </c>
      <c r="C5" s="182" t="s">
        <v>0</v>
      </c>
      <c r="D5" s="182" t="s">
        <v>1</v>
      </c>
      <c r="E5" s="182" t="s">
        <v>2</v>
      </c>
      <c r="F5" s="182" t="s">
        <v>3</v>
      </c>
      <c r="G5" s="182" t="s">
        <v>4</v>
      </c>
      <c r="H5" s="182" t="s">
        <v>5</v>
      </c>
      <c r="I5" s="182" t="s">
        <v>6</v>
      </c>
      <c r="J5" s="182" t="s">
        <v>7</v>
      </c>
      <c r="K5" s="182" t="s">
        <v>8</v>
      </c>
      <c r="L5" s="182" t="s">
        <v>9</v>
      </c>
      <c r="M5" s="182" t="s">
        <v>10</v>
      </c>
      <c r="N5" s="182" t="s">
        <v>11</v>
      </c>
      <c r="O5" s="183" t="s">
        <v>150</v>
      </c>
      <c r="P5" s="183" t="s">
        <v>159</v>
      </c>
      <c r="Q5" s="183" t="s">
        <v>205</v>
      </c>
      <c r="R5" s="183" t="s">
        <v>206</v>
      </c>
      <c r="S5" s="184" t="s">
        <v>54</v>
      </c>
    </row>
    <row r="6" spans="1:19" ht="12" x14ac:dyDescent="0.2">
      <c r="A6" s="319" t="s">
        <v>32</v>
      </c>
      <c r="B6" s="38"/>
      <c r="C6" s="37"/>
      <c r="D6" s="37"/>
      <c r="E6" s="37"/>
      <c r="F6" s="37"/>
      <c r="G6" s="37"/>
      <c r="H6" s="37"/>
      <c r="I6" s="37"/>
      <c r="J6" s="37"/>
      <c r="K6" s="37"/>
      <c r="L6" s="37"/>
      <c r="M6" s="37"/>
      <c r="N6" s="454"/>
      <c r="O6" s="452"/>
      <c r="P6" s="453" t="s">
        <v>12</v>
      </c>
      <c r="Q6" s="39"/>
      <c r="R6" s="39"/>
      <c r="S6" s="158"/>
    </row>
    <row r="7" spans="1:19" ht="12" x14ac:dyDescent="0.2">
      <c r="A7" s="93" t="s">
        <v>74</v>
      </c>
      <c r="B7" s="38">
        <v>457892.44467834895</v>
      </c>
      <c r="C7" s="37">
        <v>17063.816962388744</v>
      </c>
      <c r="D7" s="37">
        <v>11484.692018032994</v>
      </c>
      <c r="E7" s="37">
        <v>9789.43</v>
      </c>
      <c r="F7" s="37">
        <v>-8181.07</v>
      </c>
      <c r="G7" s="37">
        <v>12120.01</v>
      </c>
      <c r="H7" s="37">
        <v>34753.1</v>
      </c>
      <c r="I7" s="37">
        <v>13212.01</v>
      </c>
      <c r="J7" s="37">
        <v>9330.5</v>
      </c>
      <c r="K7" s="37">
        <v>9815.93</v>
      </c>
      <c r="L7" s="37">
        <v>9398.4699999999993</v>
      </c>
      <c r="M7" s="37">
        <v>9325.83</v>
      </c>
      <c r="N7" s="38">
        <v>9873.0400000000009</v>
      </c>
      <c r="O7" s="38">
        <f>SUM(C7:N7)</f>
        <v>137985.75898042173</v>
      </c>
      <c r="P7" s="39">
        <f>+B7+O7</f>
        <v>595878.20365877065</v>
      </c>
      <c r="Q7" s="40">
        <v>800000</v>
      </c>
      <c r="R7" s="40"/>
      <c r="S7" s="159">
        <f>+P7/Q7</f>
        <v>0.74484775457346331</v>
      </c>
    </row>
    <row r="8" spans="1:19" ht="24" x14ac:dyDescent="0.2">
      <c r="A8" s="94" t="s">
        <v>75</v>
      </c>
      <c r="B8" s="330">
        <v>31276.722406267796</v>
      </c>
      <c r="C8" s="329">
        <v>3957.6077488943106</v>
      </c>
      <c r="D8" s="329">
        <v>3152.2934433538908</v>
      </c>
      <c r="E8" s="466">
        <v>3490</v>
      </c>
      <c r="F8" s="466">
        <v>-1646.71</v>
      </c>
      <c r="G8" s="466">
        <v>2487.19</v>
      </c>
      <c r="H8" s="466">
        <v>3100.83</v>
      </c>
      <c r="I8" s="466">
        <v>3169.12</v>
      </c>
      <c r="J8" s="466">
        <v>3092.25</v>
      </c>
      <c r="K8" s="466">
        <v>2841.9</v>
      </c>
      <c r="L8" s="466">
        <v>2297.9699999999998</v>
      </c>
      <c r="M8" s="466">
        <v>2369.1799999999998</v>
      </c>
      <c r="N8" s="38">
        <v>2502.09</v>
      </c>
      <c r="O8" s="330">
        <f>SUM(C8:N8)</f>
        <v>30813.721192248206</v>
      </c>
      <c r="P8" s="331">
        <f>+B8+O8</f>
        <v>62090.443598516002</v>
      </c>
      <c r="Q8" s="40">
        <v>138000</v>
      </c>
      <c r="R8" s="115"/>
      <c r="S8" s="160">
        <f>+P8/Q8</f>
        <v>0.44993075071388405</v>
      </c>
    </row>
    <row r="9" spans="1:19" ht="12" x14ac:dyDescent="0.2">
      <c r="A9" s="96" t="s">
        <v>26</v>
      </c>
      <c r="B9" s="90">
        <f>SUM(B7:B8)</f>
        <v>489169.16708461673</v>
      </c>
      <c r="C9" s="87">
        <f t="shared" ref="C9:Q9" si="0">SUM(C7:C8)</f>
        <v>21021.424711283056</v>
      </c>
      <c r="D9" s="87">
        <f t="shared" si="0"/>
        <v>14636.985461386885</v>
      </c>
      <c r="E9" s="44">
        <f t="shared" si="0"/>
        <v>13279.43</v>
      </c>
      <c r="F9" s="44">
        <f t="shared" si="0"/>
        <v>-9827.7799999999988</v>
      </c>
      <c r="G9" s="44">
        <f t="shared" si="0"/>
        <v>14607.2</v>
      </c>
      <c r="H9" s="44">
        <f t="shared" si="0"/>
        <v>37853.93</v>
      </c>
      <c r="I9" s="44">
        <f t="shared" si="0"/>
        <v>16381.130000000001</v>
      </c>
      <c r="J9" s="44">
        <f t="shared" si="0"/>
        <v>12422.75</v>
      </c>
      <c r="K9" s="44">
        <f t="shared" si="0"/>
        <v>12657.83</v>
      </c>
      <c r="L9" s="44">
        <f t="shared" si="0"/>
        <v>11696.439999999999</v>
      </c>
      <c r="M9" s="44">
        <f t="shared" si="0"/>
        <v>11695.01</v>
      </c>
      <c r="N9" s="44">
        <f t="shared" si="0"/>
        <v>12375.13</v>
      </c>
      <c r="O9" s="90">
        <f t="shared" si="0"/>
        <v>168799.48017266992</v>
      </c>
      <c r="P9" s="90">
        <f t="shared" si="0"/>
        <v>657968.64725728671</v>
      </c>
      <c r="Q9" s="90">
        <f t="shared" si="0"/>
        <v>938000</v>
      </c>
      <c r="R9" s="90"/>
      <c r="S9" s="161">
        <f>+P9/Q9</f>
        <v>0.70145911221459134</v>
      </c>
    </row>
    <row r="10" spans="1:19" s="49" customFormat="1" ht="3.75" customHeight="1" x14ac:dyDescent="0.2">
      <c r="A10" s="162"/>
      <c r="B10" s="38"/>
      <c r="C10" s="37"/>
      <c r="D10" s="37"/>
      <c r="E10" s="37"/>
      <c r="F10" s="37"/>
      <c r="G10" s="37"/>
      <c r="H10" s="37"/>
      <c r="I10" s="37"/>
      <c r="J10" s="37"/>
      <c r="K10" s="37"/>
      <c r="L10" s="37"/>
      <c r="M10" s="37"/>
      <c r="N10" s="454"/>
      <c r="O10" s="454"/>
      <c r="P10" s="117"/>
      <c r="Q10" s="117"/>
      <c r="R10" s="117"/>
      <c r="S10" s="163"/>
    </row>
    <row r="11" spans="1:19" s="49" customFormat="1" ht="12" x14ac:dyDescent="0.2">
      <c r="A11" s="319" t="s">
        <v>33</v>
      </c>
      <c r="B11" s="38"/>
      <c r="C11" s="37"/>
      <c r="D11" s="37"/>
      <c r="E11" s="37"/>
      <c r="F11" s="37"/>
      <c r="G11" s="37"/>
      <c r="H11" s="37"/>
      <c r="I11" s="37"/>
      <c r="J11" s="37"/>
      <c r="K11" s="37"/>
      <c r="L11" s="37"/>
      <c r="M11" s="37"/>
      <c r="N11" s="38"/>
      <c r="O11" s="38"/>
      <c r="P11" s="39"/>
      <c r="Q11" s="39"/>
      <c r="R11" s="39"/>
      <c r="S11" s="158"/>
    </row>
    <row r="12" spans="1:19" ht="12" x14ac:dyDescent="0.2">
      <c r="A12" s="93" t="s">
        <v>217</v>
      </c>
      <c r="B12" s="38">
        <v>727935.19531496218</v>
      </c>
      <c r="C12" s="37">
        <v>2010.54</v>
      </c>
      <c r="D12" s="37">
        <v>2033.45</v>
      </c>
      <c r="E12" s="37">
        <v>2018</v>
      </c>
      <c r="F12" s="37">
        <v>1929.44</v>
      </c>
      <c r="G12" s="37">
        <v>1842.75</v>
      </c>
      <c r="H12" s="37">
        <v>2030.12</v>
      </c>
      <c r="I12" s="37">
        <v>1846.3</v>
      </c>
      <c r="J12" s="37">
        <v>1838.92</v>
      </c>
      <c r="K12" s="37">
        <v>1853.75</v>
      </c>
      <c r="L12" s="37">
        <v>1908.8</v>
      </c>
      <c r="M12" s="37">
        <v>1833.94</v>
      </c>
      <c r="N12" s="38">
        <v>1938.25</v>
      </c>
      <c r="O12" s="38">
        <f>SUM(C12:N12)</f>
        <v>23084.259999999995</v>
      </c>
      <c r="P12" s="39">
        <f>B12+O12</f>
        <v>751019.45531496219</v>
      </c>
      <c r="Q12" s="39">
        <v>1758000</v>
      </c>
      <c r="R12" s="38">
        <v>-1756000</v>
      </c>
      <c r="S12" s="164">
        <f>+P12/Q12</f>
        <v>0.42720105535549613</v>
      </c>
    </row>
    <row r="13" spans="1:19" ht="12" x14ac:dyDescent="0.2">
      <c r="A13" s="150" t="s">
        <v>191</v>
      </c>
      <c r="B13" s="38">
        <v>1084158.3972458104</v>
      </c>
      <c r="C13" s="37">
        <v>46816.74291626273</v>
      </c>
      <c r="D13" s="37">
        <v>47030.131679105012</v>
      </c>
      <c r="E13" s="37">
        <v>38240</v>
      </c>
      <c r="F13" s="37">
        <v>89</v>
      </c>
      <c r="G13" s="37">
        <v>30846.32</v>
      </c>
      <c r="H13" s="37">
        <v>86459.53</v>
      </c>
      <c r="I13" s="37">
        <v>34827.11</v>
      </c>
      <c r="J13" s="37">
        <v>31376.3</v>
      </c>
      <c r="K13" s="37">
        <v>32614.66</v>
      </c>
      <c r="L13" s="37">
        <v>29748.23</v>
      </c>
      <c r="M13" s="37">
        <v>32148.85</v>
      </c>
      <c r="N13" s="38">
        <v>36070.85</v>
      </c>
      <c r="O13" s="38">
        <f>SUM(C13:N13)</f>
        <v>446267.72459536791</v>
      </c>
      <c r="P13" s="39">
        <f>B13+O13</f>
        <v>1530426.1218411783</v>
      </c>
      <c r="Q13" s="39">
        <v>3216000</v>
      </c>
      <c r="R13" s="39"/>
      <c r="S13" s="159">
        <f>+P13/Q13</f>
        <v>0.47587876922922212</v>
      </c>
    </row>
    <row r="14" spans="1:19" ht="12" x14ac:dyDescent="0.2">
      <c r="A14" s="93" t="s">
        <v>200</v>
      </c>
      <c r="B14" s="38">
        <v>1364859.5544659228</v>
      </c>
      <c r="C14" s="87">
        <v>66790.285202250423</v>
      </c>
      <c r="D14" s="87">
        <v>68611.299411171116</v>
      </c>
      <c r="E14" s="37">
        <v>37797</v>
      </c>
      <c r="F14" s="37">
        <v>-16608.79</v>
      </c>
      <c r="G14" s="37">
        <v>37171.43</v>
      </c>
      <c r="H14" s="37">
        <v>82664.460000000006</v>
      </c>
      <c r="I14" s="37">
        <v>148104.81</v>
      </c>
      <c r="J14" s="37">
        <v>119362.48</v>
      </c>
      <c r="K14" s="37">
        <v>230974.12</v>
      </c>
      <c r="L14" s="37">
        <v>185494.47</v>
      </c>
      <c r="M14" s="37">
        <v>148577.51</v>
      </c>
      <c r="N14" s="89">
        <v>202116.43</v>
      </c>
      <c r="O14" s="38">
        <f>SUM(C14:N14)</f>
        <v>1311055.5046134214</v>
      </c>
      <c r="P14" s="39">
        <f>B14+O14</f>
        <v>2675915.0590793444</v>
      </c>
      <c r="Q14" s="39">
        <v>9000000</v>
      </c>
      <c r="R14" s="39"/>
      <c r="S14" s="165">
        <f>+P14/Q14</f>
        <v>0.29732389545326049</v>
      </c>
    </row>
    <row r="15" spans="1:19" ht="12" x14ac:dyDescent="0.2">
      <c r="A15" s="96" t="s">
        <v>27</v>
      </c>
      <c r="B15" s="90">
        <f>SUM(B12:B14)</f>
        <v>3176953.1470266953</v>
      </c>
      <c r="C15" s="87">
        <f t="shared" ref="C15:N15" si="1">SUM(C12:C14)</f>
        <v>115617.56811851315</v>
      </c>
      <c r="D15" s="87">
        <f t="shared" si="1"/>
        <v>117674.88109027612</v>
      </c>
      <c r="E15" s="44">
        <f t="shared" si="1"/>
        <v>78055</v>
      </c>
      <c r="F15" s="44">
        <f t="shared" si="1"/>
        <v>-14590.35</v>
      </c>
      <c r="G15" s="44">
        <f t="shared" si="1"/>
        <v>69860.5</v>
      </c>
      <c r="H15" s="44">
        <f t="shared" si="1"/>
        <v>171154.11</v>
      </c>
      <c r="I15" s="44">
        <f t="shared" si="1"/>
        <v>184778.22</v>
      </c>
      <c r="J15" s="44">
        <f t="shared" si="1"/>
        <v>152577.70000000001</v>
      </c>
      <c r="K15" s="44">
        <f t="shared" si="1"/>
        <v>265442.53000000003</v>
      </c>
      <c r="L15" s="44">
        <f t="shared" si="1"/>
        <v>217151.49999999974</v>
      </c>
      <c r="M15" s="44">
        <f t="shared" si="1"/>
        <v>182560.30000000008</v>
      </c>
      <c r="N15" s="44">
        <f t="shared" si="1"/>
        <v>240125.53000000006</v>
      </c>
      <c r="O15" s="90">
        <f>SUM(O12:O14)</f>
        <v>1780407.4892087893</v>
      </c>
      <c r="P15" s="90">
        <f>SUM(P12:P14)</f>
        <v>4957360.6362354849</v>
      </c>
      <c r="Q15" s="90">
        <f>SUM(Q12:Q14)</f>
        <v>13974000</v>
      </c>
      <c r="R15" s="45"/>
      <c r="S15" s="165">
        <f>+P15/Q15</f>
        <v>0.35475602091280128</v>
      </c>
    </row>
    <row r="16" spans="1:19" ht="4.5" customHeight="1" x14ac:dyDescent="0.2">
      <c r="A16" s="97"/>
      <c r="B16" s="38"/>
      <c r="C16" s="37"/>
      <c r="D16" s="37"/>
      <c r="E16" s="37"/>
      <c r="F16" s="37"/>
      <c r="G16" s="37"/>
      <c r="H16" s="37"/>
      <c r="I16" s="37"/>
      <c r="J16" s="37"/>
      <c r="K16" s="37"/>
      <c r="L16" s="37"/>
      <c r="M16" s="37"/>
      <c r="N16" s="454"/>
      <c r="O16" s="38"/>
      <c r="P16" s="39"/>
      <c r="Q16" s="39"/>
      <c r="R16" s="39"/>
      <c r="S16" s="166"/>
    </row>
    <row r="17" spans="1:19" ht="12" x14ac:dyDescent="0.2">
      <c r="A17" s="319" t="s">
        <v>34</v>
      </c>
      <c r="B17" s="38"/>
      <c r="C17" s="37"/>
      <c r="D17" s="37"/>
      <c r="E17" s="37"/>
      <c r="F17" s="37"/>
      <c r="G17" s="37"/>
      <c r="H17" s="37"/>
      <c r="I17" s="37"/>
      <c r="J17" s="37"/>
      <c r="K17" s="37"/>
      <c r="L17" s="37"/>
      <c r="M17" s="37"/>
      <c r="N17" s="38"/>
      <c r="O17" s="38"/>
      <c r="P17" s="39"/>
      <c r="Q17" s="39"/>
      <c r="R17" s="467"/>
      <c r="S17" s="166"/>
    </row>
    <row r="18" spans="1:19" ht="12" x14ac:dyDescent="0.2">
      <c r="A18" s="93" t="s">
        <v>219</v>
      </c>
      <c r="B18" s="38">
        <v>1953211.1424222686</v>
      </c>
      <c r="C18" s="37">
        <v>82802.785848508618</v>
      </c>
      <c r="D18" s="37">
        <v>58912.551309194314</v>
      </c>
      <c r="E18" s="37">
        <v>69901</v>
      </c>
      <c r="F18" s="468">
        <v>69744</v>
      </c>
      <c r="G18" s="37">
        <v>73518</v>
      </c>
      <c r="H18" s="37">
        <v>74164.240000000005</v>
      </c>
      <c r="I18" s="37">
        <v>72199.259999999995</v>
      </c>
      <c r="J18" s="37">
        <v>69675</v>
      </c>
      <c r="K18" s="37">
        <v>72974.91</v>
      </c>
      <c r="L18" s="37">
        <v>83789.34</v>
      </c>
      <c r="M18" s="37">
        <v>79840.240000000005</v>
      </c>
      <c r="N18" s="38">
        <v>82011.62</v>
      </c>
      <c r="O18" s="38">
        <f>SUM(C18:N18)</f>
        <v>889532.94715770299</v>
      </c>
      <c r="P18" s="39">
        <f>B18+O18</f>
        <v>2842744.0895799715</v>
      </c>
      <c r="Q18" s="38">
        <v>5371076</v>
      </c>
      <c r="R18" s="39">
        <v>1756000</v>
      </c>
      <c r="S18" s="164">
        <f>+P18/Q18</f>
        <v>0.5292690123133561</v>
      </c>
    </row>
    <row r="19" spans="1:19" ht="12" x14ac:dyDescent="0.2">
      <c r="A19" s="93" t="s">
        <v>79</v>
      </c>
      <c r="B19" s="38">
        <v>1440691.7493454064</v>
      </c>
      <c r="C19" s="37">
        <v>102936.61796045222</v>
      </c>
      <c r="D19" s="37">
        <v>173063.89683464754</v>
      </c>
      <c r="E19" s="37">
        <v>196429</v>
      </c>
      <c r="F19" s="37">
        <v>222568.93</v>
      </c>
      <c r="G19" s="37">
        <v>158603.03</v>
      </c>
      <c r="H19" s="37">
        <v>133207.6</v>
      </c>
      <c r="I19" s="37">
        <v>77690.25</v>
      </c>
      <c r="J19" s="37">
        <v>72661.31</v>
      </c>
      <c r="K19" s="37">
        <v>82903.72</v>
      </c>
      <c r="L19" s="37">
        <v>89239.18</v>
      </c>
      <c r="M19" s="37">
        <v>85090.64</v>
      </c>
      <c r="N19" s="38">
        <v>87390.64</v>
      </c>
      <c r="O19" s="38">
        <f>SUM(C19:N19)</f>
        <v>1481784.8147950997</v>
      </c>
      <c r="P19" s="39">
        <f>B19+O19</f>
        <v>2922476.5641405061</v>
      </c>
      <c r="Q19" s="116">
        <v>5083998</v>
      </c>
      <c r="R19" s="469">
        <v>2311998</v>
      </c>
      <c r="S19" s="159">
        <f>+P19/Q19</f>
        <v>0.5748382599954811</v>
      </c>
    </row>
    <row r="20" spans="1:19" ht="12" x14ac:dyDescent="0.2">
      <c r="A20" s="95" t="s">
        <v>93</v>
      </c>
      <c r="B20" s="46">
        <v>929980.03</v>
      </c>
      <c r="C20" s="87">
        <v>0</v>
      </c>
      <c r="D20" s="87">
        <v>0</v>
      </c>
      <c r="E20" s="87">
        <v>0</v>
      </c>
      <c r="F20" s="87">
        <v>0</v>
      </c>
      <c r="G20" s="87">
        <v>0</v>
      </c>
      <c r="H20" s="87">
        <v>0</v>
      </c>
      <c r="I20" s="87">
        <v>0</v>
      </c>
      <c r="J20" s="87">
        <v>0</v>
      </c>
      <c r="K20" s="87">
        <v>0</v>
      </c>
      <c r="L20" s="87">
        <v>0</v>
      </c>
      <c r="M20" s="87">
        <v>0</v>
      </c>
      <c r="N20" s="89">
        <v>0</v>
      </c>
      <c r="O20" s="89">
        <f>SUM(C20:N20)</f>
        <v>0</v>
      </c>
      <c r="P20" s="46">
        <f>B20+O20</f>
        <v>929980.03</v>
      </c>
      <c r="Q20" s="46">
        <v>2311998</v>
      </c>
      <c r="R20" s="87">
        <v>-2311998</v>
      </c>
      <c r="S20" s="165">
        <f>+P20/Q20</f>
        <v>0.40224084536405308</v>
      </c>
    </row>
    <row r="21" spans="1:19" ht="12" x14ac:dyDescent="0.2">
      <c r="A21" s="96" t="s">
        <v>35</v>
      </c>
      <c r="B21" s="45">
        <f>SUM(B18:B20)</f>
        <v>4323882.9217676753</v>
      </c>
      <c r="C21" s="87">
        <f t="shared" ref="C21:H21" si="2">SUM(C18:C20)</f>
        <v>185739.40380896084</v>
      </c>
      <c r="D21" s="87">
        <f>SUM(D18:D20)</f>
        <v>231976.44814384187</v>
      </c>
      <c r="E21" s="87">
        <f t="shared" si="2"/>
        <v>266330</v>
      </c>
      <c r="F21" s="87">
        <f t="shared" si="2"/>
        <v>292312.93</v>
      </c>
      <c r="G21" s="87">
        <f t="shared" si="2"/>
        <v>232121.03</v>
      </c>
      <c r="H21" s="87">
        <f t="shared" si="2"/>
        <v>207371.84000000003</v>
      </c>
      <c r="I21" s="87">
        <f t="shared" ref="I21:N21" si="3">SUM(I18:I20)</f>
        <v>149889.51</v>
      </c>
      <c r="J21" s="87">
        <f t="shared" si="3"/>
        <v>142336.31</v>
      </c>
      <c r="K21" s="87">
        <f t="shared" si="3"/>
        <v>155878.63</v>
      </c>
      <c r="L21" s="87">
        <f t="shared" si="3"/>
        <v>173028.52</v>
      </c>
      <c r="M21" s="87">
        <f t="shared" si="3"/>
        <v>164930.87999999998</v>
      </c>
      <c r="N21" s="87">
        <f t="shared" si="3"/>
        <v>169402.25999999998</v>
      </c>
      <c r="O21" s="90">
        <f>SUM(O18:O20)</f>
        <v>2371317.7619528025</v>
      </c>
      <c r="P21" s="45">
        <f>SUM(P18:P20)</f>
        <v>6695200.6837204779</v>
      </c>
      <c r="Q21" s="45">
        <f>SUM(Q18:Q20)</f>
        <v>12767072</v>
      </c>
      <c r="R21" s="45"/>
      <c r="S21" s="167">
        <f>+P21/Q21</f>
        <v>0.52441160226248262</v>
      </c>
    </row>
    <row r="22" spans="1:19" ht="3" customHeight="1" x14ac:dyDescent="0.2">
      <c r="A22" s="93"/>
      <c r="B22" s="38"/>
      <c r="C22" s="37"/>
      <c r="D22" s="37"/>
      <c r="E22" s="37"/>
      <c r="F22" s="37"/>
      <c r="G22" s="37"/>
      <c r="H22" s="37"/>
      <c r="I22" s="37"/>
      <c r="J22" s="37"/>
      <c r="K22" s="37"/>
      <c r="L22" s="37"/>
      <c r="M22" s="37"/>
      <c r="N22" s="38"/>
      <c r="O22" s="38"/>
      <c r="P22" s="39"/>
      <c r="Q22" s="40"/>
      <c r="R22" s="40"/>
      <c r="S22" s="168"/>
    </row>
    <row r="23" spans="1:19" ht="12" x14ac:dyDescent="0.2">
      <c r="A23" s="319" t="s">
        <v>36</v>
      </c>
      <c r="B23" s="38"/>
      <c r="C23" s="37"/>
      <c r="D23" s="37"/>
      <c r="E23" s="37"/>
      <c r="F23" s="37"/>
      <c r="G23" s="37"/>
      <c r="H23" s="37"/>
      <c r="I23" s="37"/>
      <c r="J23" s="37"/>
      <c r="K23" s="37"/>
      <c r="L23" s="37"/>
      <c r="M23" s="37"/>
      <c r="N23" s="38"/>
      <c r="O23" s="38"/>
      <c r="P23" s="39"/>
      <c r="Q23" s="39"/>
      <c r="R23" s="39"/>
      <c r="S23" s="158"/>
    </row>
    <row r="24" spans="1:19" ht="12" x14ac:dyDescent="0.2">
      <c r="A24" s="93" t="s">
        <v>201</v>
      </c>
      <c r="B24" s="38">
        <v>3125536.2337320745</v>
      </c>
      <c r="C24" s="47">
        <v>76310.667068075971</v>
      </c>
      <c r="D24" s="47">
        <v>269946.21591903514</v>
      </c>
      <c r="E24" s="47">
        <v>124923</v>
      </c>
      <c r="F24" s="468">
        <v>127197</v>
      </c>
      <c r="G24" s="37">
        <v>79014.39</v>
      </c>
      <c r="H24" s="37">
        <v>127958.62</v>
      </c>
      <c r="I24" s="37">
        <v>185514.23</v>
      </c>
      <c r="J24" s="37">
        <v>366066.21</v>
      </c>
      <c r="K24" s="37">
        <v>124099.05</v>
      </c>
      <c r="L24" s="37">
        <v>158454.18</v>
      </c>
      <c r="M24" s="37">
        <v>139304.54999999999</v>
      </c>
      <c r="N24" s="38">
        <v>660991.13</v>
      </c>
      <c r="O24" s="38">
        <f>SUM(C24:N24)</f>
        <v>2439779.2429871112</v>
      </c>
      <c r="P24" s="39">
        <f>B24+O24</f>
        <v>5565315.4767191857</v>
      </c>
      <c r="Q24" s="39">
        <v>19117000</v>
      </c>
      <c r="R24" s="39">
        <v>3000000</v>
      </c>
      <c r="S24" s="159">
        <f>P24/Q24</f>
        <v>0.29111866279851367</v>
      </c>
    </row>
    <row r="25" spans="1:19" ht="12" x14ac:dyDescent="0.2">
      <c r="A25" s="93" t="s">
        <v>82</v>
      </c>
      <c r="B25" s="38">
        <v>535364.35594727704</v>
      </c>
      <c r="C25" s="37">
        <v>31502.206180669051</v>
      </c>
      <c r="D25" s="37">
        <v>69105.701680771745</v>
      </c>
      <c r="E25" s="37">
        <v>83661</v>
      </c>
      <c r="F25" s="37">
        <v>-45513.31</v>
      </c>
      <c r="G25" s="37">
        <v>23038.09</v>
      </c>
      <c r="H25" s="37">
        <v>42535.92</v>
      </c>
      <c r="I25" s="37">
        <v>48581.18</v>
      </c>
      <c r="J25" s="37">
        <v>18889.57</v>
      </c>
      <c r="K25" s="37">
        <v>23313.73</v>
      </c>
      <c r="L25" s="37">
        <v>12805.68</v>
      </c>
      <c r="M25" s="37">
        <v>34712.18</v>
      </c>
      <c r="N25" s="38">
        <v>598254.22</v>
      </c>
      <c r="O25" s="38">
        <f>SUM(C25:N25)</f>
        <v>940886.16786144092</v>
      </c>
      <c r="P25" s="39">
        <f>B25+O25</f>
        <v>1476250.523808718</v>
      </c>
      <c r="Q25" s="116">
        <v>2421000</v>
      </c>
      <c r="R25" s="116"/>
      <c r="S25" s="159">
        <f>P25/Q25</f>
        <v>0.60976890698418751</v>
      </c>
    </row>
    <row r="26" spans="1:19" ht="12" x14ac:dyDescent="0.2">
      <c r="A26" s="95" t="s">
        <v>80</v>
      </c>
      <c r="B26" s="38">
        <v>508404.5913393434</v>
      </c>
      <c r="C26" s="37">
        <v>32707.558333502348</v>
      </c>
      <c r="D26" s="37">
        <v>44274.311069505129</v>
      </c>
      <c r="E26" s="37">
        <v>44502</v>
      </c>
      <c r="F26" s="37">
        <v>31275.82</v>
      </c>
      <c r="G26" s="37">
        <v>29706.82</v>
      </c>
      <c r="H26" s="37">
        <v>36772.58</v>
      </c>
      <c r="I26" s="37">
        <v>46447.17</v>
      </c>
      <c r="J26" s="37">
        <v>382273.36</v>
      </c>
      <c r="K26" s="37">
        <v>-299905.57</v>
      </c>
      <c r="L26" s="37">
        <v>119096.05</v>
      </c>
      <c r="M26" s="37">
        <v>119834.12</v>
      </c>
      <c r="N26" s="38">
        <v>499116.71</v>
      </c>
      <c r="O26" s="38">
        <f>SUM(C26:N26)</f>
        <v>1086100.9294030075</v>
      </c>
      <c r="P26" s="39">
        <f>B26+O26</f>
        <v>1594505.520742351</v>
      </c>
      <c r="Q26" s="39">
        <v>2942000</v>
      </c>
      <c r="R26" s="39"/>
      <c r="S26" s="159">
        <f>P26/Q26</f>
        <v>0.54198012261806627</v>
      </c>
    </row>
    <row r="27" spans="1:19" ht="12" x14ac:dyDescent="0.2">
      <c r="A27" s="93" t="s">
        <v>202</v>
      </c>
      <c r="B27" s="38">
        <v>114134.7113284173</v>
      </c>
      <c r="C27" s="37">
        <v>11.116729458605732</v>
      </c>
      <c r="D27" s="37">
        <v>69.758315850000102</v>
      </c>
      <c r="E27" s="37">
        <v>2</v>
      </c>
      <c r="F27" s="37">
        <v>0</v>
      </c>
      <c r="G27" s="37">
        <v>0</v>
      </c>
      <c r="H27" s="37">
        <v>0</v>
      </c>
      <c r="I27" s="37">
        <v>0</v>
      </c>
      <c r="J27" s="37">
        <v>0</v>
      </c>
      <c r="K27" s="37">
        <v>0</v>
      </c>
      <c r="L27" s="37">
        <v>0</v>
      </c>
      <c r="M27" s="37">
        <v>6047.42</v>
      </c>
      <c r="N27" s="38">
        <v>7284.14</v>
      </c>
      <c r="O27" s="38">
        <f>SUM(C27:N27)</f>
        <v>13414.435045308603</v>
      </c>
      <c r="P27" s="39">
        <f>B27+O27</f>
        <v>127549.1463737259</v>
      </c>
      <c r="Q27" s="116">
        <v>138000</v>
      </c>
      <c r="R27" s="116"/>
      <c r="S27" s="159">
        <f>P27/Q27</f>
        <v>0.92426917662120223</v>
      </c>
    </row>
    <row r="28" spans="1:19" ht="12" x14ac:dyDescent="0.2">
      <c r="A28" s="95" t="s">
        <v>203</v>
      </c>
      <c r="B28" s="46">
        <v>757773.87769116322</v>
      </c>
      <c r="C28" s="87">
        <v>-213182.94157410334</v>
      </c>
      <c r="D28" s="87">
        <v>80481.766005180369</v>
      </c>
      <c r="E28" s="37">
        <v>30869</v>
      </c>
      <c r="F28" s="37">
        <v>-105985</v>
      </c>
      <c r="G28" s="37">
        <v>28777.48</v>
      </c>
      <c r="H28" s="37">
        <v>32243.72</v>
      </c>
      <c r="I28" s="37">
        <v>38428.050000000003</v>
      </c>
      <c r="J28" s="37">
        <v>31075.13</v>
      </c>
      <c r="K28" s="37">
        <v>30661.53</v>
      </c>
      <c r="L28" s="37">
        <v>29324.28</v>
      </c>
      <c r="M28" s="37">
        <v>36939</v>
      </c>
      <c r="N28" s="38">
        <v>33745.480000000003</v>
      </c>
      <c r="O28" s="38">
        <f>SUM(C28:N28)</f>
        <v>53377.494431077037</v>
      </c>
      <c r="P28" s="39">
        <f>B28+O28</f>
        <v>811151.37212224025</v>
      </c>
      <c r="Q28" s="39">
        <v>7310000</v>
      </c>
      <c r="R28" s="39">
        <v>-3000000</v>
      </c>
      <c r="S28" s="165">
        <f>P28/Q28</f>
        <v>0.11096461998936255</v>
      </c>
    </row>
    <row r="29" spans="1:19" ht="12" x14ac:dyDescent="0.2">
      <c r="A29" s="96" t="s">
        <v>37</v>
      </c>
      <c r="B29" s="45">
        <f>SUM(B24:B28)</f>
        <v>5041213.770038275</v>
      </c>
      <c r="C29" s="87">
        <f>SUM(C24:C28)</f>
        <v>-72651.393262397352</v>
      </c>
      <c r="D29" s="87">
        <f>SUM(D24:D28)</f>
        <v>463877.75299034239</v>
      </c>
      <c r="E29" s="44">
        <f t="shared" ref="E29:N29" si="4">SUM(E24:E28)</f>
        <v>283957</v>
      </c>
      <c r="F29" s="44">
        <f t="shared" si="4"/>
        <v>6974.5100000000093</v>
      </c>
      <c r="G29" s="44">
        <f t="shared" si="4"/>
        <v>160536.78</v>
      </c>
      <c r="H29" s="44">
        <f t="shared" si="4"/>
        <v>239510.84</v>
      </c>
      <c r="I29" s="44">
        <f t="shared" si="4"/>
        <v>318970.63</v>
      </c>
      <c r="J29" s="44">
        <f t="shared" si="4"/>
        <v>798304.27</v>
      </c>
      <c r="K29" s="44">
        <f t="shared" si="4"/>
        <v>-121831.26000000001</v>
      </c>
      <c r="L29" s="44">
        <f t="shared" si="4"/>
        <v>319680.18999999994</v>
      </c>
      <c r="M29" s="44">
        <f t="shared" si="4"/>
        <v>336837.26999999996</v>
      </c>
      <c r="N29" s="44">
        <f t="shared" si="4"/>
        <v>1799391.68</v>
      </c>
      <c r="O29" s="90">
        <f>SUM(O24:O28)</f>
        <v>4533558.2697279453</v>
      </c>
      <c r="P29" s="45">
        <f>SUM(P24:P28)</f>
        <v>9574772.0397662222</v>
      </c>
      <c r="Q29" s="45">
        <f>SUM(Q24:Q28)</f>
        <v>31928000</v>
      </c>
      <c r="R29" s="45"/>
      <c r="S29" s="165">
        <f>+P29/Q29</f>
        <v>0.29988637057649153</v>
      </c>
    </row>
    <row r="30" spans="1:19" ht="3" customHeight="1" x14ac:dyDescent="0.2">
      <c r="A30" s="93"/>
      <c r="B30" s="38"/>
      <c r="C30" s="37"/>
      <c r="D30" s="37"/>
      <c r="E30" s="37"/>
      <c r="F30" s="37"/>
      <c r="G30" s="37"/>
      <c r="H30" s="37"/>
      <c r="I30" s="37"/>
      <c r="J30" s="37"/>
      <c r="K30" s="37"/>
      <c r="L30" s="37"/>
      <c r="M30" s="37"/>
      <c r="N30" s="38"/>
      <c r="O30" s="38"/>
      <c r="P30" s="39"/>
      <c r="Q30" s="39"/>
      <c r="R30" s="39"/>
      <c r="S30" s="166"/>
    </row>
    <row r="31" spans="1:19" ht="12" x14ac:dyDescent="0.2">
      <c r="A31" s="319" t="s">
        <v>38</v>
      </c>
      <c r="B31" s="38"/>
      <c r="C31" s="37"/>
      <c r="D31" s="37"/>
      <c r="E31" s="37"/>
      <c r="F31" s="37"/>
      <c r="G31" s="37"/>
      <c r="H31" s="37"/>
      <c r="I31" s="37"/>
      <c r="J31" s="37"/>
      <c r="K31" s="37"/>
      <c r="L31" s="37"/>
      <c r="M31" s="37"/>
      <c r="N31" s="38"/>
      <c r="O31" s="38"/>
      <c r="P31" s="39"/>
      <c r="Q31" s="39"/>
      <c r="R31" s="39"/>
      <c r="S31" s="166"/>
    </row>
    <row r="32" spans="1:19" ht="12" x14ac:dyDescent="0.2">
      <c r="A32" s="94" t="s">
        <v>213</v>
      </c>
      <c r="B32" s="38">
        <v>1279289.7060573208</v>
      </c>
      <c r="C32" s="41">
        <v>9131.8575531418319</v>
      </c>
      <c r="D32" s="41">
        <v>12042.408137595346</v>
      </c>
      <c r="E32" s="41">
        <v>3087</v>
      </c>
      <c r="F32" s="37">
        <v>-1954.27</v>
      </c>
      <c r="G32" s="37">
        <v>4161.8999999999996</v>
      </c>
      <c r="H32" s="37">
        <v>4748.49</v>
      </c>
      <c r="I32" s="37">
        <v>4303.12</v>
      </c>
      <c r="J32" s="37">
        <v>1294.3699999999999</v>
      </c>
      <c r="K32" s="37">
        <v>0</v>
      </c>
      <c r="L32" s="37">
        <v>0</v>
      </c>
      <c r="M32" s="37">
        <v>2695</v>
      </c>
      <c r="N32" s="38">
        <v>5072</v>
      </c>
      <c r="O32" s="42">
        <f>SUM(C32:N32)</f>
        <v>44581.875690737179</v>
      </c>
      <c r="P32" s="43">
        <f>B32+O32</f>
        <v>1323871.5817480581</v>
      </c>
      <c r="Q32" s="43">
        <f>2000000+R32</f>
        <v>1995000</v>
      </c>
      <c r="R32" s="43">
        <v>-5000</v>
      </c>
      <c r="S32" s="169">
        <f t="shared" ref="S32:S37" si="5">P32/Q32</f>
        <v>0.66359477781857545</v>
      </c>
    </row>
    <row r="33" spans="1:19" ht="12" x14ac:dyDescent="0.2">
      <c r="A33" s="93" t="s">
        <v>92</v>
      </c>
      <c r="B33" s="38">
        <v>184874.05866965133</v>
      </c>
      <c r="C33" s="37">
        <v>18351.935682103645</v>
      </c>
      <c r="D33" s="37">
        <v>72135.657605772343</v>
      </c>
      <c r="E33" s="37">
        <v>29530</v>
      </c>
      <c r="F33" s="37">
        <v>31713.22</v>
      </c>
      <c r="G33" s="37">
        <v>53882.36</v>
      </c>
      <c r="H33" s="37">
        <v>126076.11</v>
      </c>
      <c r="I33" s="37">
        <v>102619</v>
      </c>
      <c r="J33" s="37">
        <v>149278.85</v>
      </c>
      <c r="K33" s="37">
        <v>23136.52</v>
      </c>
      <c r="L33" s="37">
        <v>44415.11</v>
      </c>
      <c r="M33" s="37">
        <v>156408.71</v>
      </c>
      <c r="N33" s="38">
        <v>184779.87</v>
      </c>
      <c r="O33" s="42">
        <f>SUM(C33:N33)</f>
        <v>992327.34328787599</v>
      </c>
      <c r="P33" s="43">
        <f>B33+O33</f>
        <v>1177201.4019575273</v>
      </c>
      <c r="Q33" s="39">
        <v>1764000</v>
      </c>
      <c r="R33" s="39"/>
      <c r="S33" s="169">
        <f t="shared" si="5"/>
        <v>0.66734773353601318</v>
      </c>
    </row>
    <row r="34" spans="1:19" ht="12" x14ac:dyDescent="0.2">
      <c r="A34" s="93" t="s">
        <v>83</v>
      </c>
      <c r="B34" s="38">
        <v>219149.1382955123</v>
      </c>
      <c r="C34" s="37">
        <v>119427.8927387733</v>
      </c>
      <c r="D34" s="37">
        <v>38994.519003780646</v>
      </c>
      <c r="E34" s="37">
        <v>45244</v>
      </c>
      <c r="F34" s="37">
        <v>51511.57</v>
      </c>
      <c r="G34" s="37">
        <v>-22086.720000000001</v>
      </c>
      <c r="H34" s="37">
        <v>146027.51</v>
      </c>
      <c r="I34" s="37">
        <v>46306.36</v>
      </c>
      <c r="J34" s="37">
        <v>53581.94</v>
      </c>
      <c r="K34" s="37">
        <v>35346.410000000003</v>
      </c>
      <c r="L34" s="37">
        <v>49337.43</v>
      </c>
      <c r="M34" s="37">
        <v>28445.91</v>
      </c>
      <c r="N34" s="38">
        <v>-5240.59</v>
      </c>
      <c r="O34" s="42">
        <f>SUM(C34:N34)</f>
        <v>586896.23174255399</v>
      </c>
      <c r="P34" s="43">
        <f>B34+O34</f>
        <v>806045.37003806629</v>
      </c>
      <c r="Q34" s="39">
        <v>1010000</v>
      </c>
      <c r="R34" s="39"/>
      <c r="S34" s="169">
        <f t="shared" si="5"/>
        <v>0.79806472280996665</v>
      </c>
    </row>
    <row r="35" spans="1:19" ht="12" x14ac:dyDescent="0.2">
      <c r="A35" s="93" t="s">
        <v>84</v>
      </c>
      <c r="B35" s="38">
        <v>113687.17</v>
      </c>
      <c r="C35" s="37">
        <v>0</v>
      </c>
      <c r="D35" s="37">
        <v>0</v>
      </c>
      <c r="E35" s="37">
        <v>2</v>
      </c>
      <c r="F35" s="37">
        <v>0</v>
      </c>
      <c r="G35" s="37">
        <v>65000</v>
      </c>
      <c r="H35" s="37">
        <v>-65000</v>
      </c>
      <c r="I35" s="37">
        <v>0</v>
      </c>
      <c r="J35" s="37">
        <v>0</v>
      </c>
      <c r="K35" s="37">
        <v>0</v>
      </c>
      <c r="L35" s="37">
        <v>0</v>
      </c>
      <c r="M35" s="37">
        <v>0</v>
      </c>
      <c r="N35" s="38">
        <v>0</v>
      </c>
      <c r="O35" s="38">
        <f>SUM(C35:N35)</f>
        <v>2</v>
      </c>
      <c r="P35" s="39">
        <f>B35+O35</f>
        <v>113689.17</v>
      </c>
      <c r="Q35" s="39">
        <f>109000+R35</f>
        <v>114000</v>
      </c>
      <c r="R35" s="39">
        <v>5000</v>
      </c>
      <c r="S35" s="170">
        <f t="shared" si="5"/>
        <v>0.99727342105263161</v>
      </c>
    </row>
    <row r="36" spans="1:19" ht="12" x14ac:dyDescent="0.2">
      <c r="A36" s="93" t="s">
        <v>185</v>
      </c>
      <c r="B36" s="46">
        <v>1428508.7675345517</v>
      </c>
      <c r="C36" s="87">
        <v>8878.1933141735099</v>
      </c>
      <c r="D36" s="87">
        <v>11636.624211345345</v>
      </c>
      <c r="E36" s="37">
        <v>3139</v>
      </c>
      <c r="F36" s="37">
        <v>-1954.26</v>
      </c>
      <c r="G36" s="37">
        <v>4161.8900000000003</v>
      </c>
      <c r="H36" s="37">
        <v>4748.57</v>
      </c>
      <c r="I36" s="37">
        <v>5492.51</v>
      </c>
      <c r="J36" s="37">
        <v>2968.7</v>
      </c>
      <c r="K36" s="37">
        <v>0</v>
      </c>
      <c r="L36" s="37">
        <v>0</v>
      </c>
      <c r="M36" s="37">
        <v>0</v>
      </c>
      <c r="N36" s="38">
        <v>0</v>
      </c>
      <c r="O36" s="42">
        <f>SUM(C36:N36)</f>
        <v>39071.227525518851</v>
      </c>
      <c r="P36" s="39">
        <f>B36+O36</f>
        <v>1467579.9950600704</v>
      </c>
      <c r="Q36" s="39">
        <v>1494000</v>
      </c>
      <c r="R36" s="39"/>
      <c r="S36" s="171">
        <f t="shared" si="5"/>
        <v>0.98231592708170712</v>
      </c>
    </row>
    <row r="37" spans="1:19" ht="12" x14ac:dyDescent="0.2">
      <c r="A37" s="96" t="s">
        <v>39</v>
      </c>
      <c r="B37" s="46">
        <f>SUM(B32:B36)</f>
        <v>3225508.840557036</v>
      </c>
      <c r="C37" s="87">
        <f t="shared" ref="C37:P37" si="6">SUM(C32:C36)</f>
        <v>155789.87928819229</v>
      </c>
      <c r="D37" s="87">
        <f t="shared" si="6"/>
        <v>134809.20895849366</v>
      </c>
      <c r="E37" s="44">
        <f t="shared" si="6"/>
        <v>81002</v>
      </c>
      <c r="F37" s="44">
        <f t="shared" si="6"/>
        <v>79316.260000000009</v>
      </c>
      <c r="G37" s="44">
        <f t="shared" si="6"/>
        <v>105119.43000000001</v>
      </c>
      <c r="H37" s="44">
        <f t="shared" si="6"/>
        <v>216600.68</v>
      </c>
      <c r="I37" s="44">
        <f t="shared" si="6"/>
        <v>158720.99</v>
      </c>
      <c r="J37" s="44">
        <f t="shared" si="6"/>
        <v>207123.86000000002</v>
      </c>
      <c r="K37" s="44">
        <f t="shared" si="6"/>
        <v>58482.930000000008</v>
      </c>
      <c r="L37" s="44">
        <f t="shared" si="6"/>
        <v>93752.540000000008</v>
      </c>
      <c r="M37" s="44">
        <f t="shared" si="6"/>
        <v>187549.62000000002</v>
      </c>
      <c r="N37" s="44">
        <f t="shared" si="6"/>
        <v>184611.28000000003</v>
      </c>
      <c r="O37" s="90">
        <f t="shared" si="6"/>
        <v>1662878.6782466858</v>
      </c>
      <c r="P37" s="45">
        <f t="shared" si="6"/>
        <v>4888387.5188037222</v>
      </c>
      <c r="Q37" s="45">
        <f>SUM(Q32:Q36)</f>
        <v>6377000</v>
      </c>
      <c r="R37" s="45"/>
      <c r="S37" s="172">
        <f t="shared" si="5"/>
        <v>0.76656539419848235</v>
      </c>
    </row>
    <row r="38" spans="1:19" ht="3" customHeight="1" x14ac:dyDescent="0.2">
      <c r="A38" s="93"/>
      <c r="B38" s="38"/>
      <c r="C38" s="37"/>
      <c r="D38" s="37"/>
      <c r="E38" s="37"/>
      <c r="F38" s="37"/>
      <c r="G38" s="37"/>
      <c r="H38" s="37"/>
      <c r="I38" s="37"/>
      <c r="J38" s="37"/>
      <c r="K38" s="37"/>
      <c r="L38" s="37"/>
      <c r="M38" s="37"/>
      <c r="N38" s="38"/>
      <c r="O38" s="38"/>
      <c r="P38" s="39"/>
      <c r="Q38" s="39"/>
      <c r="R38" s="39"/>
      <c r="S38" s="166"/>
    </row>
    <row r="39" spans="1:19" ht="13.5" customHeight="1" x14ac:dyDescent="0.2">
      <c r="A39" s="319" t="s">
        <v>40</v>
      </c>
      <c r="B39" s="38"/>
      <c r="C39" s="37"/>
      <c r="D39" s="37"/>
      <c r="E39" s="37"/>
      <c r="F39" s="37"/>
      <c r="G39" s="37"/>
      <c r="H39" s="37"/>
      <c r="I39" s="37"/>
      <c r="J39" s="37"/>
      <c r="K39" s="37"/>
      <c r="L39" s="37"/>
      <c r="M39" s="37"/>
      <c r="N39" s="38"/>
      <c r="O39" s="38"/>
      <c r="P39" s="39"/>
      <c r="Q39" s="39"/>
      <c r="R39" s="39"/>
      <c r="S39" s="166"/>
    </row>
    <row r="40" spans="1:19" ht="12" x14ac:dyDescent="0.2">
      <c r="A40" s="93" t="s">
        <v>214</v>
      </c>
      <c r="B40" s="46">
        <v>448026.56</v>
      </c>
      <c r="C40" s="91">
        <v>0</v>
      </c>
      <c r="D40" s="91">
        <v>0</v>
      </c>
      <c r="E40" s="47">
        <v>-78212</v>
      </c>
      <c r="F40" s="37">
        <v>80692.399999999994</v>
      </c>
      <c r="G40" s="37">
        <v>507800</v>
      </c>
      <c r="H40" s="37">
        <v>0</v>
      </c>
      <c r="I40" s="37">
        <v>1167940</v>
      </c>
      <c r="J40" s="37">
        <v>738351.6</v>
      </c>
      <c r="K40" s="37">
        <v>0</v>
      </c>
      <c r="L40" s="37">
        <v>0</v>
      </c>
      <c r="M40" s="37">
        <v>-812480</v>
      </c>
      <c r="N40" s="38">
        <v>344749.23</v>
      </c>
      <c r="O40" s="38">
        <f>SUM(C40:N40)</f>
        <v>1948841.23</v>
      </c>
      <c r="P40" s="39">
        <f>B40+O40</f>
        <v>2396867.79</v>
      </c>
      <c r="Q40" s="39">
        <v>6405000</v>
      </c>
      <c r="R40" s="39"/>
      <c r="S40" s="171">
        <f>P40/Q40</f>
        <v>0.37421823419203748</v>
      </c>
    </row>
    <row r="41" spans="1:19" ht="12" x14ac:dyDescent="0.2">
      <c r="A41" s="96" t="s">
        <v>41</v>
      </c>
      <c r="B41" s="46">
        <f>SUM(B40)</f>
        <v>448026.56</v>
      </c>
      <c r="C41" s="87">
        <f t="shared" ref="C41:O41" si="7">SUM(C40)</f>
        <v>0</v>
      </c>
      <c r="D41" s="87">
        <f t="shared" si="7"/>
        <v>0</v>
      </c>
      <c r="E41" s="44">
        <f t="shared" si="7"/>
        <v>-78212</v>
      </c>
      <c r="F41" s="44">
        <f t="shared" si="7"/>
        <v>80692.399999999994</v>
      </c>
      <c r="G41" s="44">
        <f t="shared" si="7"/>
        <v>507800</v>
      </c>
      <c r="H41" s="44">
        <f t="shared" si="7"/>
        <v>0</v>
      </c>
      <c r="I41" s="44">
        <f t="shared" si="7"/>
        <v>1167940</v>
      </c>
      <c r="J41" s="44">
        <f t="shared" si="7"/>
        <v>738351.6</v>
      </c>
      <c r="K41" s="44">
        <f t="shared" si="7"/>
        <v>0</v>
      </c>
      <c r="L41" s="44">
        <f t="shared" si="7"/>
        <v>0</v>
      </c>
      <c r="M41" s="44">
        <f t="shared" si="7"/>
        <v>-812480</v>
      </c>
      <c r="N41" s="44">
        <f t="shared" si="7"/>
        <v>344749.23</v>
      </c>
      <c r="O41" s="90">
        <f t="shared" si="7"/>
        <v>1948841.23</v>
      </c>
      <c r="P41" s="45">
        <f>SUM(P40)</f>
        <v>2396867.79</v>
      </c>
      <c r="Q41" s="45">
        <f>SUM(Q40)</f>
        <v>6405000</v>
      </c>
      <c r="R41" s="45"/>
      <c r="S41" s="172">
        <f>P41/Q41</f>
        <v>0.37421823419203748</v>
      </c>
    </row>
    <row r="42" spans="1:19" ht="3" customHeight="1" x14ac:dyDescent="0.2">
      <c r="A42" s="93"/>
      <c r="B42" s="38"/>
      <c r="C42" s="37"/>
      <c r="D42" s="37"/>
      <c r="E42" s="37"/>
      <c r="F42" s="37"/>
      <c r="G42" s="37"/>
      <c r="H42" s="37"/>
      <c r="I42" s="37"/>
      <c r="J42" s="37"/>
      <c r="K42" s="37"/>
      <c r="L42" s="37"/>
      <c r="M42" s="37"/>
      <c r="N42" s="38"/>
      <c r="O42" s="38"/>
      <c r="P42" s="39"/>
      <c r="Q42" s="40"/>
      <c r="R42" s="40"/>
      <c r="S42" s="173"/>
    </row>
    <row r="43" spans="1:19" ht="11.25" customHeight="1" x14ac:dyDescent="0.2">
      <c r="A43" s="319" t="s">
        <v>135</v>
      </c>
      <c r="B43" s="38"/>
      <c r="C43" s="37"/>
      <c r="D43" s="37"/>
      <c r="E43" s="37"/>
      <c r="F43" s="37"/>
      <c r="G43" s="37"/>
      <c r="H43" s="37"/>
      <c r="I43" s="37"/>
      <c r="J43" s="37"/>
      <c r="K43" s="37"/>
      <c r="L43" s="37"/>
      <c r="M43" s="37"/>
      <c r="N43" s="38"/>
      <c r="O43" s="38"/>
      <c r="P43" s="39"/>
      <c r="Q43" s="39"/>
      <c r="R43" s="39"/>
      <c r="S43" s="166"/>
    </row>
    <row r="44" spans="1:19" ht="12" x14ac:dyDescent="0.2">
      <c r="A44" s="93" t="s">
        <v>85</v>
      </c>
      <c r="B44" s="46">
        <v>1837518</v>
      </c>
      <c r="C44" s="91">
        <v>68427.58</v>
      </c>
      <c r="D44" s="91">
        <v>204168.14</v>
      </c>
      <c r="E44" s="47">
        <v>280109</v>
      </c>
      <c r="F44" s="37">
        <v>41728.36</v>
      </c>
      <c r="G44" s="37">
        <v>138986.22</v>
      </c>
      <c r="H44" s="37">
        <v>53478.98</v>
      </c>
      <c r="I44" s="37">
        <v>24072.26</v>
      </c>
      <c r="J44" s="37">
        <v>31997.75</v>
      </c>
      <c r="K44" s="37">
        <v>69338.63</v>
      </c>
      <c r="L44" s="37">
        <v>47019.47</v>
      </c>
      <c r="M44" s="37">
        <v>119494.28</v>
      </c>
      <c r="N44" s="38">
        <v>83557.25</v>
      </c>
      <c r="O44" s="38">
        <f>SUM(C44:N44)</f>
        <v>1162377.92</v>
      </c>
      <c r="P44" s="39">
        <f>B44+O44</f>
        <v>2999895.92</v>
      </c>
      <c r="Q44" s="39">
        <v>9062000</v>
      </c>
      <c r="R44" s="39"/>
      <c r="S44" s="170">
        <f>P44/Q44</f>
        <v>0.33104126241447801</v>
      </c>
    </row>
    <row r="45" spans="1:19" ht="12" x14ac:dyDescent="0.2">
      <c r="A45" s="96" t="s">
        <v>42</v>
      </c>
      <c r="B45" s="46">
        <f>SUM(B44)</f>
        <v>1837518</v>
      </c>
      <c r="C45" s="87">
        <f>SUM(C44)</f>
        <v>68427.58</v>
      </c>
      <c r="D45" s="87">
        <f t="shared" ref="D45:N45" si="8">SUM(D44)</f>
        <v>204168.14</v>
      </c>
      <c r="E45" s="44">
        <f t="shared" si="8"/>
        <v>280109</v>
      </c>
      <c r="F45" s="44">
        <f t="shared" si="8"/>
        <v>41728.36</v>
      </c>
      <c r="G45" s="44">
        <f t="shared" si="8"/>
        <v>138986.22</v>
      </c>
      <c r="H45" s="44">
        <f t="shared" si="8"/>
        <v>53478.98</v>
      </c>
      <c r="I45" s="44">
        <f t="shared" si="8"/>
        <v>24072.26</v>
      </c>
      <c r="J45" s="44">
        <f t="shared" si="8"/>
        <v>31997.75</v>
      </c>
      <c r="K45" s="44">
        <f t="shared" si="8"/>
        <v>69338.63</v>
      </c>
      <c r="L45" s="44">
        <f t="shared" si="8"/>
        <v>47019.47</v>
      </c>
      <c r="M45" s="44">
        <f t="shared" si="8"/>
        <v>119494.28000000003</v>
      </c>
      <c r="N45" s="44">
        <f t="shared" si="8"/>
        <v>83557.25</v>
      </c>
      <c r="O45" s="90">
        <f>SUM(O44)</f>
        <v>1162377.92</v>
      </c>
      <c r="P45" s="45">
        <f>SUM(P44)</f>
        <v>2999895.92</v>
      </c>
      <c r="Q45" s="45">
        <f>SUM(Q44)</f>
        <v>9062000</v>
      </c>
      <c r="R45" s="45"/>
      <c r="S45" s="174">
        <f>P45/Q45</f>
        <v>0.33104126241447801</v>
      </c>
    </row>
    <row r="46" spans="1:19" ht="5.25" customHeight="1" x14ac:dyDescent="0.2">
      <c r="A46" s="93"/>
      <c r="B46" s="38"/>
      <c r="C46" s="47"/>
      <c r="D46" s="47"/>
      <c r="E46" s="47"/>
      <c r="F46" s="47"/>
      <c r="G46" s="47"/>
      <c r="H46" s="47"/>
      <c r="I46" s="47"/>
      <c r="J46" s="47"/>
      <c r="K46" s="47"/>
      <c r="L46" s="47"/>
      <c r="M46" s="47"/>
      <c r="N46" s="470"/>
      <c r="O46" s="38"/>
      <c r="P46" s="39"/>
      <c r="Q46" s="39"/>
      <c r="R46" s="39"/>
      <c r="S46" s="170"/>
    </row>
    <row r="47" spans="1:19" ht="12" x14ac:dyDescent="0.2">
      <c r="A47" s="319" t="s">
        <v>43</v>
      </c>
      <c r="B47" s="38"/>
      <c r="C47" s="37"/>
      <c r="D47" s="37"/>
      <c r="E47" s="37"/>
      <c r="F47" s="37"/>
      <c r="G47" s="37"/>
      <c r="H47" s="37"/>
      <c r="I47" s="37"/>
      <c r="J47" s="37"/>
      <c r="K47" s="37"/>
      <c r="L47" s="37"/>
      <c r="M47" s="37"/>
      <c r="N47" s="38"/>
      <c r="O47" s="38"/>
      <c r="P47" s="39"/>
      <c r="Q47" s="39"/>
      <c r="R47" s="39"/>
      <c r="S47" s="170"/>
    </row>
    <row r="48" spans="1:19" ht="12" x14ac:dyDescent="0.2">
      <c r="A48" s="93" t="s">
        <v>87</v>
      </c>
      <c r="B48" s="38">
        <v>2672311.0611795071</v>
      </c>
      <c r="C48" s="47">
        <v>70672.68739852788</v>
      </c>
      <c r="D48" s="47">
        <v>93452.28852952797</v>
      </c>
      <c r="E48" s="47">
        <v>84313</v>
      </c>
      <c r="F48" s="37">
        <v>94748.719999999899</v>
      </c>
      <c r="G48" s="37">
        <v>114532.79</v>
      </c>
      <c r="H48" s="37">
        <v>168490.11</v>
      </c>
      <c r="I48" s="37">
        <v>156211.95000000001</v>
      </c>
      <c r="J48" s="37">
        <v>129326.39999999999</v>
      </c>
      <c r="K48" s="37">
        <v>104344.42</v>
      </c>
      <c r="L48" s="37">
        <v>94915.21</v>
      </c>
      <c r="M48" s="37">
        <v>71751.72</v>
      </c>
      <c r="N48" s="38">
        <v>70168.399999999994</v>
      </c>
      <c r="O48" s="38">
        <f>SUM(C48:N48)</f>
        <v>1252927.6959280556</v>
      </c>
      <c r="P48" s="39">
        <f>B48+O48</f>
        <v>3925238.7571075624</v>
      </c>
      <c r="Q48" s="39">
        <v>6489000</v>
      </c>
      <c r="R48" s="39"/>
      <c r="S48" s="170">
        <f>P48/Q48</f>
        <v>0.60490657375675183</v>
      </c>
    </row>
    <row r="49" spans="1:19" ht="12" x14ac:dyDescent="0.2">
      <c r="A49" s="93" t="s">
        <v>86</v>
      </c>
      <c r="B49" s="46">
        <v>5049576.6195830461</v>
      </c>
      <c r="C49" s="91">
        <v>106148.06287536526</v>
      </c>
      <c r="D49" s="91">
        <v>847599.95437779382</v>
      </c>
      <c r="E49" s="47">
        <v>280075</v>
      </c>
      <c r="F49" s="37">
        <v>163691.26</v>
      </c>
      <c r="G49" s="37">
        <v>173280.81</v>
      </c>
      <c r="H49" s="37">
        <v>152186.20000000001</v>
      </c>
      <c r="I49" s="37">
        <v>223764.79</v>
      </c>
      <c r="J49" s="37">
        <v>387465.72</v>
      </c>
      <c r="K49" s="37">
        <v>158109.01999999999</v>
      </c>
      <c r="L49" s="37">
        <v>203355.66</v>
      </c>
      <c r="M49" s="37">
        <v>152286.59</v>
      </c>
      <c r="N49" s="38">
        <v>209477.74</v>
      </c>
      <c r="O49" s="38">
        <f>SUM(C49:N49)</f>
        <v>3057440.8072531596</v>
      </c>
      <c r="P49" s="39">
        <f>B49+O49</f>
        <v>8107017.4268362056</v>
      </c>
      <c r="Q49" s="39">
        <v>10413000</v>
      </c>
      <c r="R49" s="39"/>
      <c r="S49" s="170">
        <f>P49/Q49</f>
        <v>0.77854772177434028</v>
      </c>
    </row>
    <row r="50" spans="1:19" ht="12" x14ac:dyDescent="0.2">
      <c r="A50" s="96" t="s">
        <v>44</v>
      </c>
      <c r="B50" s="46">
        <f>SUM(B48:B49)</f>
        <v>7721887.6807625536</v>
      </c>
      <c r="C50" s="87">
        <f>SUM(C48:C49)</f>
        <v>176820.75027389312</v>
      </c>
      <c r="D50" s="87">
        <f t="shared" ref="D50:Q50" si="9">SUM(D48:D49)</f>
        <v>941052.24290732178</v>
      </c>
      <c r="E50" s="44">
        <f t="shared" si="9"/>
        <v>364388</v>
      </c>
      <c r="F50" s="44">
        <f t="shared" si="9"/>
        <v>258439.97999999992</v>
      </c>
      <c r="G50" s="44">
        <f t="shared" si="9"/>
        <v>287813.59999999998</v>
      </c>
      <c r="H50" s="44">
        <f t="shared" si="9"/>
        <v>320676.31</v>
      </c>
      <c r="I50" s="44">
        <f t="shared" si="9"/>
        <v>379976.74</v>
      </c>
      <c r="J50" s="44">
        <f t="shared" si="9"/>
        <v>516792.12</v>
      </c>
      <c r="K50" s="44">
        <f t="shared" si="9"/>
        <v>262453.44</v>
      </c>
      <c r="L50" s="44">
        <f t="shared" si="9"/>
        <v>298270.87</v>
      </c>
      <c r="M50" s="44">
        <f t="shared" si="9"/>
        <v>224038.31000000011</v>
      </c>
      <c r="N50" s="44">
        <f t="shared" si="9"/>
        <v>279646.14000000013</v>
      </c>
      <c r="O50" s="90">
        <f t="shared" si="9"/>
        <v>4310368.5031812154</v>
      </c>
      <c r="P50" s="45">
        <f t="shared" si="9"/>
        <v>12032256.183943767</v>
      </c>
      <c r="Q50" s="45">
        <f t="shared" si="9"/>
        <v>16902000</v>
      </c>
      <c r="R50" s="45"/>
      <c r="S50" s="174">
        <f>P50/Q50</f>
        <v>0.71188357495821597</v>
      </c>
    </row>
    <row r="51" spans="1:19" ht="5.25" customHeight="1" x14ac:dyDescent="0.2">
      <c r="A51" s="93"/>
      <c r="B51" s="38"/>
      <c r="C51" s="47"/>
      <c r="D51" s="47"/>
      <c r="E51" s="47"/>
      <c r="F51" s="47"/>
      <c r="G51" s="47"/>
      <c r="H51" s="47"/>
      <c r="I51" s="47"/>
      <c r="J51" s="47"/>
      <c r="K51" s="47"/>
      <c r="L51" s="47"/>
      <c r="M51" s="47"/>
      <c r="N51" s="470"/>
      <c r="O51" s="38"/>
      <c r="P51" s="39"/>
      <c r="Q51" s="39"/>
      <c r="R51" s="39"/>
      <c r="S51" s="170"/>
    </row>
    <row r="52" spans="1:19" ht="12.75" customHeight="1" x14ac:dyDescent="0.2">
      <c r="A52" s="318" t="s">
        <v>45</v>
      </c>
      <c r="B52" s="38"/>
      <c r="C52" s="37"/>
      <c r="D52" s="37"/>
      <c r="E52" s="471"/>
      <c r="F52" s="37"/>
      <c r="G52" s="37"/>
      <c r="H52" s="37"/>
      <c r="I52" s="37"/>
      <c r="J52" s="37"/>
      <c r="K52" s="37"/>
      <c r="L52" s="37"/>
      <c r="M52" s="37"/>
      <c r="N52" s="38"/>
      <c r="O52" s="38"/>
      <c r="P52" s="39"/>
      <c r="Q52" s="39"/>
      <c r="R52" s="39"/>
      <c r="S52" s="170"/>
    </row>
    <row r="53" spans="1:19" ht="12" x14ac:dyDescent="0.2">
      <c r="A53" s="93" t="s">
        <v>88</v>
      </c>
      <c r="B53" s="38">
        <v>267737.86244983459</v>
      </c>
      <c r="C53" s="37">
        <v>12428.94268111237</v>
      </c>
      <c r="D53" s="37">
        <v>9959.1843655687553</v>
      </c>
      <c r="E53" s="37">
        <v>13706.41</v>
      </c>
      <c r="F53" s="37">
        <v>-9228.3700000000008</v>
      </c>
      <c r="G53" s="37">
        <v>10459.01</v>
      </c>
      <c r="H53" s="37">
        <v>6710.33</v>
      </c>
      <c r="I53" s="37">
        <v>8579.7000000000007</v>
      </c>
      <c r="J53" s="37">
        <v>11064.11</v>
      </c>
      <c r="K53" s="37">
        <v>6135</v>
      </c>
      <c r="L53" s="37">
        <v>4265.6899999999996</v>
      </c>
      <c r="M53" s="37">
        <v>6773.78</v>
      </c>
      <c r="N53" s="38">
        <v>5011.03</v>
      </c>
      <c r="O53" s="38">
        <f>SUM(C53:N53)</f>
        <v>85864.817046681128</v>
      </c>
      <c r="P53" s="39">
        <f>B53+O53</f>
        <v>353602.67949651572</v>
      </c>
      <c r="Q53" s="39">
        <v>1368000</v>
      </c>
      <c r="R53" s="39"/>
      <c r="S53" s="170">
        <f>P53/Q53</f>
        <v>0.25848149086002609</v>
      </c>
    </row>
    <row r="54" spans="1:19" ht="12" x14ac:dyDescent="0.2">
      <c r="A54" s="93" t="s">
        <v>198</v>
      </c>
      <c r="B54" s="46">
        <v>3757410.343000581</v>
      </c>
      <c r="C54" s="87">
        <v>73810.638660447614</v>
      </c>
      <c r="D54" s="87">
        <v>120415.83741578143</v>
      </c>
      <c r="E54" s="87">
        <v>198850.6</v>
      </c>
      <c r="F54" s="37">
        <v>94564.76</v>
      </c>
      <c r="G54" s="37">
        <v>185510.24</v>
      </c>
      <c r="H54" s="37">
        <v>129585.08</v>
      </c>
      <c r="I54" s="37">
        <v>132420.10999999999</v>
      </c>
      <c r="J54" s="37">
        <v>209121.61</v>
      </c>
      <c r="K54" s="37">
        <v>295818.61</v>
      </c>
      <c r="L54" s="37">
        <v>78234.199999999881</v>
      </c>
      <c r="M54" s="37">
        <v>66754.34</v>
      </c>
      <c r="N54" s="38">
        <v>288612.98</v>
      </c>
      <c r="O54" s="38">
        <f>SUM(C54:N54)</f>
        <v>1873699.0060762288</v>
      </c>
      <c r="P54" s="39">
        <f>B54+O54</f>
        <v>5631109.3490768094</v>
      </c>
      <c r="Q54" s="39">
        <v>9339000</v>
      </c>
      <c r="R54" s="39"/>
      <c r="S54" s="170">
        <f>P54/Q54</f>
        <v>0.60296705740194978</v>
      </c>
    </row>
    <row r="55" spans="1:19" ht="12" x14ac:dyDescent="0.2">
      <c r="A55" s="96" t="s">
        <v>47</v>
      </c>
      <c r="B55" s="46">
        <f>SUM(B53:B54)</f>
        <v>4025148.2054504156</v>
      </c>
      <c r="C55" s="87">
        <f>SUM(C53:C54)</f>
        <v>86239.581341559984</v>
      </c>
      <c r="D55" s="87">
        <f>SUM(D53:D54)</f>
        <v>130375.02178135018</v>
      </c>
      <c r="E55" s="87">
        <f>SUM(E53:E54)</f>
        <v>212557.01</v>
      </c>
      <c r="F55" s="44">
        <f t="shared" ref="F55:Q55" si="10">SUM(F53:F54)</f>
        <v>85336.39</v>
      </c>
      <c r="G55" s="44">
        <f t="shared" si="10"/>
        <v>195969.25</v>
      </c>
      <c r="H55" s="44">
        <f t="shared" si="10"/>
        <v>136295.41</v>
      </c>
      <c r="I55" s="44">
        <f t="shared" si="10"/>
        <v>140999.81</v>
      </c>
      <c r="J55" s="44">
        <f t="shared" si="10"/>
        <v>220185.71999999997</v>
      </c>
      <c r="K55" s="44">
        <f t="shared" si="10"/>
        <v>301953.61</v>
      </c>
      <c r="L55" s="44">
        <f t="shared" si="10"/>
        <v>82499.889999999883</v>
      </c>
      <c r="M55" s="44">
        <f t="shared" si="10"/>
        <v>73528.119999999981</v>
      </c>
      <c r="N55" s="44">
        <f t="shared" si="10"/>
        <v>293624.01000000007</v>
      </c>
      <c r="O55" s="90">
        <f t="shared" si="10"/>
        <v>1959563.82312291</v>
      </c>
      <c r="P55" s="45">
        <f t="shared" si="10"/>
        <v>5984712.0285733249</v>
      </c>
      <c r="Q55" s="45">
        <f t="shared" si="10"/>
        <v>10707000</v>
      </c>
      <c r="R55" s="45"/>
      <c r="S55" s="174">
        <f>P55/Q55</f>
        <v>0.55895321085022176</v>
      </c>
    </row>
    <row r="56" spans="1:19" ht="3.75" customHeight="1" x14ac:dyDescent="0.2">
      <c r="A56" s="98"/>
      <c r="B56" s="38"/>
      <c r="C56" s="37"/>
      <c r="D56" s="37"/>
      <c r="E56" s="37"/>
      <c r="F56" s="37"/>
      <c r="G56" s="37"/>
      <c r="H56" s="37"/>
      <c r="I56" s="37"/>
      <c r="J56" s="37"/>
      <c r="K56" s="37"/>
      <c r="L56" s="37"/>
      <c r="M56" s="37"/>
      <c r="N56" s="38"/>
      <c r="O56" s="38"/>
      <c r="P56" s="39"/>
      <c r="Q56" s="39"/>
      <c r="R56" s="39"/>
      <c r="S56" s="170"/>
    </row>
    <row r="57" spans="1:19" ht="12" x14ac:dyDescent="0.2">
      <c r="A57" s="319" t="s">
        <v>46</v>
      </c>
      <c r="B57" s="38"/>
      <c r="C57" s="37"/>
      <c r="D57" s="37"/>
      <c r="E57" s="37"/>
      <c r="F57" s="37"/>
      <c r="G57" s="37"/>
      <c r="H57" s="37"/>
      <c r="I57" s="37"/>
      <c r="J57" s="37"/>
      <c r="K57" s="37"/>
      <c r="L57" s="37"/>
      <c r="M57" s="37"/>
      <c r="N57" s="38"/>
      <c r="O57" s="38"/>
      <c r="P57" s="39"/>
      <c r="Q57" s="39"/>
      <c r="R57" s="39"/>
      <c r="S57" s="170"/>
    </row>
    <row r="58" spans="1:19" ht="12" x14ac:dyDescent="0.2">
      <c r="A58" s="93" t="s">
        <v>215</v>
      </c>
      <c r="B58" s="38">
        <v>103920.70387900462</v>
      </c>
      <c r="C58" s="47">
        <v>2523.2402577895973</v>
      </c>
      <c r="D58" s="47">
        <v>2182.8091740568352</v>
      </c>
      <c r="E58" s="47">
        <v>11174</v>
      </c>
      <c r="F58" s="37">
        <v>2312.0100000000002</v>
      </c>
      <c r="G58" s="37">
        <v>14609.39</v>
      </c>
      <c r="H58" s="37">
        <v>2675.09</v>
      </c>
      <c r="I58" s="37">
        <v>6159.91</v>
      </c>
      <c r="J58" s="37">
        <v>-4184.92</v>
      </c>
      <c r="K58" s="37">
        <v>7546.17</v>
      </c>
      <c r="L58" s="37">
        <v>19835.68</v>
      </c>
      <c r="M58" s="37">
        <v>5706.83</v>
      </c>
      <c r="N58" s="38">
        <v>11524.01</v>
      </c>
      <c r="O58" s="38">
        <f>SUM(C58:N58)</f>
        <v>82064.219431846432</v>
      </c>
      <c r="P58" s="39">
        <f>B58+O58</f>
        <v>185984.92331085104</v>
      </c>
      <c r="Q58" s="39">
        <v>200000</v>
      </c>
      <c r="R58" s="39"/>
      <c r="S58" s="170">
        <f t="shared" ref="S58:S63" si="11">P58/Q58</f>
        <v>0.92992461655425518</v>
      </c>
    </row>
    <row r="59" spans="1:19" ht="12" x14ac:dyDescent="0.2">
      <c r="A59" s="93" t="s">
        <v>216</v>
      </c>
      <c r="B59" s="38">
        <v>226864.04919007199</v>
      </c>
      <c r="C59" s="47">
        <v>8579.8830470061876</v>
      </c>
      <c r="D59" s="47">
        <v>8626.6425124341768</v>
      </c>
      <c r="E59" s="47">
        <v>12995</v>
      </c>
      <c r="F59" s="37">
        <v>-6220.07</v>
      </c>
      <c r="G59" s="37">
        <v>26753.06</v>
      </c>
      <c r="H59" s="37">
        <v>11274.62</v>
      </c>
      <c r="I59" s="37">
        <v>20674.22</v>
      </c>
      <c r="J59" s="37">
        <v>357789.77</v>
      </c>
      <c r="K59" s="37">
        <v>21418.37</v>
      </c>
      <c r="L59" s="37">
        <v>196023.49</v>
      </c>
      <c r="M59" s="37">
        <v>133618.75</v>
      </c>
      <c r="N59" s="38">
        <v>264824.39</v>
      </c>
      <c r="O59" s="38">
        <f>SUM(C59:N59)</f>
        <v>1056358.1255594403</v>
      </c>
      <c r="P59" s="39">
        <f>B59+O59</f>
        <v>1283222.1747495122</v>
      </c>
      <c r="Q59" s="39">
        <f>1000000+R59</f>
        <v>1285000</v>
      </c>
      <c r="R59" s="39">
        <v>285000</v>
      </c>
      <c r="S59" s="170">
        <f>P59/Q59</f>
        <v>0.99861647840428969</v>
      </c>
    </row>
    <row r="60" spans="1:19" ht="12" x14ac:dyDescent="0.2">
      <c r="A60" s="93" t="s">
        <v>90</v>
      </c>
      <c r="B60" s="38">
        <v>43102.925280870935</v>
      </c>
      <c r="C60" s="47">
        <v>2231.2251128059256</v>
      </c>
      <c r="D60" s="47">
        <v>2199.299446696044</v>
      </c>
      <c r="E60" s="47">
        <v>3142</v>
      </c>
      <c r="F60" s="37">
        <v>-1748.36</v>
      </c>
      <c r="G60" s="37">
        <v>7192.96</v>
      </c>
      <c r="H60" s="37">
        <v>930.73</v>
      </c>
      <c r="I60" s="37">
        <v>2292.33</v>
      </c>
      <c r="J60" s="37">
        <v>876.59999999999889</v>
      </c>
      <c r="K60" s="37">
        <v>1669.33</v>
      </c>
      <c r="L60" s="37">
        <v>2087.14</v>
      </c>
      <c r="M60" s="37">
        <v>3473.75</v>
      </c>
      <c r="N60" s="38">
        <v>1584.34</v>
      </c>
      <c r="O60" s="38">
        <f>SUM(C60:N60)</f>
        <v>25931.344559501969</v>
      </c>
      <c r="P60" s="39">
        <f>B60+O60</f>
        <v>69034.269840372901</v>
      </c>
      <c r="Q60" s="39">
        <f>250000+R60</f>
        <v>125000</v>
      </c>
      <c r="R60" s="39">
        <v>-125000</v>
      </c>
      <c r="S60" s="170">
        <f t="shared" si="11"/>
        <v>0.55227415872298324</v>
      </c>
    </row>
    <row r="61" spans="1:19" ht="12" x14ac:dyDescent="0.2">
      <c r="A61" s="93" t="s">
        <v>91</v>
      </c>
      <c r="B61" s="38">
        <v>4214.6000000000004</v>
      </c>
      <c r="C61" s="47">
        <v>0</v>
      </c>
      <c r="D61" s="47">
        <v>0</v>
      </c>
      <c r="E61" s="47">
        <v>0</v>
      </c>
      <c r="F61" s="47">
        <v>0</v>
      </c>
      <c r="G61" s="47">
        <v>0</v>
      </c>
      <c r="H61" s="37">
        <v>0</v>
      </c>
      <c r="I61" s="37">
        <v>0</v>
      </c>
      <c r="J61" s="37">
        <v>0</v>
      </c>
      <c r="K61" s="37">
        <v>0</v>
      </c>
      <c r="L61" s="37">
        <v>0</v>
      </c>
      <c r="M61" s="37">
        <v>0</v>
      </c>
      <c r="N61" s="38">
        <v>0</v>
      </c>
      <c r="O61" s="38">
        <f>SUM(C61:N61)</f>
        <v>0</v>
      </c>
      <c r="P61" s="39">
        <f>B61+O61</f>
        <v>4214.6000000000004</v>
      </c>
      <c r="Q61" s="39">
        <v>500000</v>
      </c>
      <c r="R61" s="39"/>
      <c r="S61" s="170">
        <f t="shared" si="11"/>
        <v>8.4292000000000013E-3</v>
      </c>
    </row>
    <row r="62" spans="1:19" ht="12" x14ac:dyDescent="0.2">
      <c r="A62" s="93" t="s">
        <v>89</v>
      </c>
      <c r="B62" s="46">
        <v>752943.74621943175</v>
      </c>
      <c r="C62" s="91">
        <v>722.43730239314846</v>
      </c>
      <c r="D62" s="91">
        <v>38755.167533799999</v>
      </c>
      <c r="E62" s="47">
        <v>46233</v>
      </c>
      <c r="F62" s="37">
        <v>58001.58</v>
      </c>
      <c r="G62" s="37">
        <v>66592.210000000006</v>
      </c>
      <c r="H62" s="37">
        <v>50763.16</v>
      </c>
      <c r="I62" s="37">
        <v>53860.11</v>
      </c>
      <c r="J62" s="37">
        <v>43366.37</v>
      </c>
      <c r="K62" s="37">
        <v>64702.720000000001</v>
      </c>
      <c r="L62" s="37">
        <v>47822.96</v>
      </c>
      <c r="M62" s="37">
        <v>50937.760000000002</v>
      </c>
      <c r="N62" s="38">
        <v>58696.45</v>
      </c>
      <c r="O62" s="38">
        <f>SUM(C62:N62)</f>
        <v>580453.92483619321</v>
      </c>
      <c r="P62" s="39">
        <f>B62+O62</f>
        <v>1333397.671055625</v>
      </c>
      <c r="Q62" s="39">
        <f>1639000+R62</f>
        <v>1479000</v>
      </c>
      <c r="R62" s="39">
        <v>-160000</v>
      </c>
      <c r="S62" s="170">
        <f>P62/Q62</f>
        <v>0.9015535301255071</v>
      </c>
    </row>
    <row r="63" spans="1:19" s="49" customFormat="1" ht="12" x14ac:dyDescent="0.2">
      <c r="A63" s="96" t="s">
        <v>48</v>
      </c>
      <c r="B63" s="46">
        <f>SUM(B58:B62)</f>
        <v>1131046.0245693792</v>
      </c>
      <c r="C63" s="87">
        <f>SUM(C58:C62)</f>
        <v>14056.785719994859</v>
      </c>
      <c r="D63" s="87">
        <f t="shared" ref="D63:Q63" si="12">SUM(D58:D62)</f>
        <v>51763.918666987054</v>
      </c>
      <c r="E63" s="44">
        <f t="shared" si="12"/>
        <v>73544</v>
      </c>
      <c r="F63" s="44">
        <f t="shared" si="12"/>
        <v>52345.16</v>
      </c>
      <c r="G63" s="44">
        <f t="shared" si="12"/>
        <v>115147.62</v>
      </c>
      <c r="H63" s="44">
        <f t="shared" si="12"/>
        <v>65643.600000000006</v>
      </c>
      <c r="I63" s="44">
        <f t="shared" si="12"/>
        <v>82986.570000000007</v>
      </c>
      <c r="J63" s="44">
        <f t="shared" si="12"/>
        <v>397847.82</v>
      </c>
      <c r="K63" s="44">
        <f t="shared" si="12"/>
        <v>95336.59</v>
      </c>
      <c r="L63" s="44">
        <f t="shared" si="12"/>
        <v>265769.27</v>
      </c>
      <c r="M63" s="44">
        <f t="shared" si="12"/>
        <v>193737.08999999991</v>
      </c>
      <c r="N63" s="44">
        <f t="shared" si="12"/>
        <v>336629.19000000012</v>
      </c>
      <c r="O63" s="90">
        <f t="shared" si="12"/>
        <v>1744807.6143869818</v>
      </c>
      <c r="P63" s="45">
        <f t="shared" si="12"/>
        <v>2875853.6389563615</v>
      </c>
      <c r="Q63" s="45">
        <f t="shared" si="12"/>
        <v>3589000</v>
      </c>
      <c r="R63" s="45"/>
      <c r="S63" s="174">
        <f t="shared" si="11"/>
        <v>0.80129663944172791</v>
      </c>
    </row>
    <row r="64" spans="1:19" s="49" customFormat="1" ht="7.5" customHeight="1" x14ac:dyDescent="0.2">
      <c r="A64" s="97"/>
      <c r="B64" s="45"/>
      <c r="C64" s="44"/>
      <c r="D64" s="44"/>
      <c r="E64" s="37"/>
      <c r="F64" s="37"/>
      <c r="G64" s="37"/>
      <c r="H64" s="37"/>
      <c r="I64" s="37"/>
      <c r="J64" s="37"/>
      <c r="K64" s="37"/>
      <c r="L64" s="37"/>
      <c r="M64" s="37"/>
      <c r="N64" s="38"/>
      <c r="O64" s="45"/>
      <c r="P64" s="45"/>
      <c r="Q64" s="39"/>
      <c r="R64" s="39"/>
      <c r="S64" s="170"/>
    </row>
    <row r="65" spans="1:19" s="49" customFormat="1" ht="12" x14ac:dyDescent="0.2">
      <c r="A65" s="99" t="s">
        <v>149</v>
      </c>
      <c r="B65" s="45">
        <v>210316.85</v>
      </c>
      <c r="C65" s="87">
        <v>0</v>
      </c>
      <c r="D65" s="87">
        <v>0</v>
      </c>
      <c r="E65" s="44">
        <v>0</v>
      </c>
      <c r="F65" s="44">
        <v>0</v>
      </c>
      <c r="G65" s="44">
        <v>0</v>
      </c>
      <c r="H65" s="44">
        <v>0</v>
      </c>
      <c r="I65" s="44">
        <v>0</v>
      </c>
      <c r="J65" s="44">
        <v>0</v>
      </c>
      <c r="K65" s="44"/>
      <c r="L65" s="44"/>
      <c r="M65" s="44"/>
      <c r="N65" s="90"/>
      <c r="O65" s="117">
        <f>SUM(C65:N65)</f>
        <v>0</v>
      </c>
      <c r="P65" s="117">
        <f>B65+O65</f>
        <v>210316.85</v>
      </c>
      <c r="Q65" s="45">
        <v>0</v>
      </c>
      <c r="R65" s="117"/>
      <c r="S65" s="175" t="s">
        <v>31</v>
      </c>
    </row>
    <row r="66" spans="1:19" s="49" customFormat="1" ht="12" x14ac:dyDescent="0.2">
      <c r="A66" s="99" t="s">
        <v>147</v>
      </c>
      <c r="B66" s="45">
        <v>1754004.6394972554</v>
      </c>
      <c r="C66" s="44">
        <v>77446</v>
      </c>
      <c r="D66" s="44">
        <v>77190</v>
      </c>
      <c r="E66" s="44">
        <v>76933</v>
      </c>
      <c r="F66" s="44">
        <v>76677</v>
      </c>
      <c r="G66" s="44">
        <v>76420</v>
      </c>
      <c r="H66" s="44">
        <v>77221</v>
      </c>
      <c r="I66" s="44">
        <v>76732.061732757778</v>
      </c>
      <c r="J66" s="44">
        <v>76475.487501723561</v>
      </c>
      <c r="K66" s="44">
        <v>76218.913270689329</v>
      </c>
      <c r="L66" s="44">
        <v>75962.339039655082</v>
      </c>
      <c r="M66" s="44">
        <v>75705.76480862085</v>
      </c>
      <c r="N66" s="90">
        <v>75449.190577586618</v>
      </c>
      <c r="O66" s="117">
        <f>SUM(C66:N66)</f>
        <v>918430.75693103322</v>
      </c>
      <c r="P66" s="117">
        <f>B66+O66</f>
        <v>2672435.3964282889</v>
      </c>
      <c r="Q66" s="45">
        <v>0</v>
      </c>
      <c r="R66" s="39"/>
      <c r="S66" s="176" t="s">
        <v>31</v>
      </c>
    </row>
    <row r="67" spans="1:19" s="49" customFormat="1" thickBot="1" x14ac:dyDescent="0.25">
      <c r="A67" s="93" t="s">
        <v>148</v>
      </c>
      <c r="B67" s="39">
        <v>406644</v>
      </c>
      <c r="C67" s="118">
        <v>0</v>
      </c>
      <c r="D67" s="118">
        <v>0</v>
      </c>
      <c r="E67" s="118">
        <v>0</v>
      </c>
      <c r="F67" s="118">
        <v>0</v>
      </c>
      <c r="G67" s="118">
        <v>0</v>
      </c>
      <c r="H67" s="118">
        <v>0</v>
      </c>
      <c r="I67" s="118">
        <v>0</v>
      </c>
      <c r="J67" s="118">
        <v>0</v>
      </c>
      <c r="K67" s="118"/>
      <c r="L67" s="118"/>
      <c r="M67" s="118"/>
      <c r="N67" s="454"/>
      <c r="O67" s="117">
        <f>SUM(C67:N67)</f>
        <v>0</v>
      </c>
      <c r="P67" s="117">
        <f>B67+O67</f>
        <v>406644</v>
      </c>
      <c r="Q67" s="117">
        <v>0</v>
      </c>
      <c r="R67" s="39"/>
      <c r="S67" s="176" t="s">
        <v>31</v>
      </c>
    </row>
    <row r="68" spans="1:19" s="36" customFormat="1" ht="15" customHeight="1" thickBot="1" x14ac:dyDescent="0.25">
      <c r="A68" s="177" t="s">
        <v>24</v>
      </c>
      <c r="B68" s="119">
        <f>B9+B15+B21+B29+B37+B41+B45+B50+B55+B63+B65+B66+B67</f>
        <v>33791319.806753904</v>
      </c>
      <c r="C68" s="120">
        <f>+C9+C15+C21+C29+C37+C41+C45+C50+C55+C63+C65+C66+C67</f>
        <v>828507.58</v>
      </c>
      <c r="D68" s="120">
        <f>+D9+D15+D21+D29+D37+D41+D45+D50+D55+D63+D65+D66+D67</f>
        <v>2367524.5999999996</v>
      </c>
      <c r="E68" s="120">
        <f t="shared" ref="E68:L68" si="13">+E9+E15+E21+E29+E37+E41+E45+E50+E55+E63+E65+E66+E67</f>
        <v>1651942.44</v>
      </c>
      <c r="F68" s="120">
        <f t="shared" si="13"/>
        <v>949404.85999999987</v>
      </c>
      <c r="G68" s="120">
        <f t="shared" si="13"/>
        <v>1904381.63</v>
      </c>
      <c r="H68" s="120">
        <f t="shared" si="13"/>
        <v>1525806.7</v>
      </c>
      <c r="I68" s="120">
        <f t="shared" si="13"/>
        <v>2701447.9217327577</v>
      </c>
      <c r="J68" s="120">
        <f t="shared" si="13"/>
        <v>3294415.3875017236</v>
      </c>
      <c r="K68" s="120">
        <f t="shared" si="13"/>
        <v>1175931.8432706892</v>
      </c>
      <c r="L68" s="120">
        <f t="shared" si="13"/>
        <v>1584831.0290396549</v>
      </c>
      <c r="M68" s="120">
        <v>618306.20480862097</v>
      </c>
      <c r="N68" s="121">
        <v>3819560.8905775868</v>
      </c>
      <c r="O68" s="121">
        <f>+O9+O15+O21+O29+O37+O41+O45+O50+O55+O63+O65+O66+O67</f>
        <v>22561351.526931036</v>
      </c>
      <c r="P68" s="122">
        <f>+P9+P15+P21+P29+P37+P41+P45+P50+P55+P63+P65+P66+P67</f>
        <v>56352671.333684944</v>
      </c>
      <c r="Q68" s="122">
        <f>+Q9+Q15+Q21+Q29+Q37+Q41+Q45+Q50+Q55+Q63+Q65+Q66+Q67</f>
        <v>112649072</v>
      </c>
      <c r="R68" s="122"/>
      <c r="S68" s="123">
        <f>P68/Q68</f>
        <v>0.50024976090069295</v>
      </c>
    </row>
    <row r="69" spans="1:19" ht="8.25" customHeight="1" thickBot="1" x14ac:dyDescent="0.25">
      <c r="A69" s="149"/>
      <c r="B69" s="270"/>
      <c r="C69" s="37"/>
      <c r="D69" s="37"/>
      <c r="E69" s="37"/>
      <c r="F69" s="37"/>
      <c r="G69" s="37"/>
      <c r="H69" s="37"/>
      <c r="I69" s="37"/>
      <c r="J69" s="37"/>
      <c r="K69" s="37"/>
      <c r="L69" s="37"/>
      <c r="M69" s="37"/>
      <c r="N69" s="37"/>
      <c r="O69" s="37"/>
      <c r="P69" s="37"/>
      <c r="Q69" s="37"/>
      <c r="R69" s="37"/>
      <c r="S69" s="37"/>
    </row>
    <row r="70" spans="1:19" ht="32.25" customHeight="1" thickBot="1" x14ac:dyDescent="0.25">
      <c r="A70" s="346" t="s">
        <v>223</v>
      </c>
      <c r="B70" s="347"/>
      <c r="C70" s="465">
        <v>32913</v>
      </c>
      <c r="D70" s="37"/>
      <c r="E70" s="37"/>
      <c r="F70" s="37"/>
      <c r="G70" s="37"/>
      <c r="H70" s="37"/>
      <c r="I70" s="37"/>
      <c r="N70" s="37"/>
      <c r="O70" s="37"/>
      <c r="P70" s="37"/>
      <c r="Q70" s="37"/>
      <c r="R70" s="37"/>
      <c r="S70" s="37"/>
    </row>
    <row r="71" spans="1:19" s="49" customFormat="1" ht="1.5" customHeight="1" x14ac:dyDescent="0.2">
      <c r="A71" s="48"/>
      <c r="B71" s="156"/>
      <c r="C71" s="37"/>
      <c r="D71" s="37"/>
      <c r="E71" s="37"/>
      <c r="F71" s="37"/>
      <c r="G71" s="37"/>
      <c r="H71" s="37"/>
      <c r="I71" s="37"/>
      <c r="J71" s="37"/>
      <c r="K71" s="37"/>
      <c r="L71" s="37"/>
      <c r="M71" s="37"/>
      <c r="N71" s="37"/>
      <c r="O71" s="37"/>
      <c r="P71" s="37"/>
      <c r="Q71" s="37"/>
      <c r="R71" s="37"/>
      <c r="S71" s="37"/>
    </row>
    <row r="72" spans="1:19" s="49" customFormat="1" ht="12" x14ac:dyDescent="0.2">
      <c r="A72" s="49" t="s">
        <v>208</v>
      </c>
      <c r="B72" s="457"/>
      <c r="I72" s="37"/>
      <c r="J72" s="37"/>
      <c r="K72" s="37"/>
      <c r="L72" s="37"/>
      <c r="M72" s="37"/>
    </row>
    <row r="73" spans="1:19" s="365" customFormat="1" ht="12" x14ac:dyDescent="0.2">
      <c r="A73" s="49" t="s">
        <v>209</v>
      </c>
    </row>
    <row r="74" spans="1:19" ht="12" x14ac:dyDescent="0.2">
      <c r="A74" s="49" t="s">
        <v>207</v>
      </c>
      <c r="B74" s="457"/>
      <c r="C74" s="365"/>
      <c r="D74" s="365"/>
      <c r="E74" s="458"/>
      <c r="F74" s="365"/>
      <c r="G74" s="365"/>
      <c r="H74" s="365"/>
      <c r="I74" s="365"/>
      <c r="J74" s="365"/>
      <c r="K74" s="365"/>
      <c r="L74" s="365"/>
    </row>
    <row r="75" spans="1:19" x14ac:dyDescent="0.2">
      <c r="A75" s="459" t="s">
        <v>222</v>
      </c>
      <c r="B75" s="456"/>
      <c r="E75" s="47"/>
      <c r="F75" s="460"/>
      <c r="G75" s="461"/>
      <c r="M75" s="451"/>
      <c r="N75" s="451"/>
      <c r="O75" s="451"/>
      <c r="P75" s="451"/>
      <c r="Q75" s="451"/>
      <c r="R75" s="451"/>
      <c r="S75" s="451"/>
    </row>
    <row r="76" spans="1:19" x14ac:dyDescent="0.2">
      <c r="A76" s="462" t="s">
        <v>210</v>
      </c>
      <c r="B76" s="463"/>
      <c r="C76" s="463"/>
      <c r="D76" s="463"/>
      <c r="E76" s="463"/>
      <c r="F76" s="463"/>
      <c r="G76" s="463"/>
      <c r="H76" s="463"/>
      <c r="I76" s="463"/>
      <c r="J76" s="463"/>
      <c r="K76" s="463"/>
      <c r="L76" s="463"/>
      <c r="M76" s="451"/>
      <c r="N76" s="451"/>
      <c r="O76" s="451"/>
      <c r="P76" s="451"/>
      <c r="Q76" s="451"/>
      <c r="R76" s="451"/>
      <c r="S76" s="451"/>
    </row>
    <row r="77" spans="1:19" x14ac:dyDescent="0.2">
      <c r="A77" s="462" t="s">
        <v>204</v>
      </c>
      <c r="B77" s="463"/>
      <c r="C77" s="463"/>
      <c r="D77" s="463"/>
      <c r="E77" s="463"/>
      <c r="F77" s="463"/>
      <c r="G77" s="463"/>
      <c r="H77" s="463"/>
      <c r="I77" s="463"/>
      <c r="J77" s="463"/>
      <c r="K77" s="463"/>
      <c r="L77" s="463"/>
      <c r="M77" s="451"/>
      <c r="N77" s="451"/>
      <c r="O77" s="451"/>
      <c r="P77" s="451"/>
      <c r="Q77" s="451"/>
      <c r="R77" s="451"/>
      <c r="S77" s="451"/>
    </row>
    <row r="78" spans="1:19" x14ac:dyDescent="0.2">
      <c r="A78" s="462" t="s">
        <v>211</v>
      </c>
      <c r="B78" s="463"/>
      <c r="C78" s="463"/>
      <c r="D78" s="463"/>
      <c r="E78" s="463"/>
      <c r="F78" s="463"/>
      <c r="G78" s="463"/>
      <c r="H78" s="463"/>
      <c r="I78" s="463"/>
      <c r="J78" s="463"/>
      <c r="K78" s="463"/>
      <c r="L78" s="463"/>
      <c r="M78" s="451"/>
      <c r="N78" s="451"/>
      <c r="O78" s="451"/>
      <c r="P78" s="451"/>
      <c r="Q78" s="451"/>
      <c r="R78" s="451"/>
      <c r="S78" s="451"/>
    </row>
    <row r="79" spans="1:19" ht="12" x14ac:dyDescent="0.2">
      <c r="A79" s="631" t="s">
        <v>212</v>
      </c>
      <c r="B79" s="631"/>
      <c r="C79" s="631"/>
      <c r="D79" s="631"/>
      <c r="E79" s="631"/>
      <c r="F79" s="631"/>
      <c r="G79" s="631"/>
      <c r="H79" s="631"/>
      <c r="I79" s="631"/>
      <c r="J79" s="631"/>
      <c r="K79" s="631"/>
      <c r="L79" s="631"/>
    </row>
    <row r="80" spans="1:19" ht="12" x14ac:dyDescent="0.2">
      <c r="A80" s="464" t="s">
        <v>218</v>
      </c>
      <c r="B80" s="456"/>
    </row>
    <row r="81" spans="1:1" x14ac:dyDescent="0.2">
      <c r="A81" s="34" t="s">
        <v>232</v>
      </c>
    </row>
  </sheetData>
  <sheetProtection password="C511" sheet="1" objects="1" scenarios="1"/>
  <mergeCells count="1">
    <mergeCell ref="A79:L79"/>
  </mergeCells>
  <phoneticPr fontId="0" type="noConversion"/>
  <printOptions horizontalCentered="1"/>
  <pageMargins left="0" right="0" top="0.93854166666666705" bottom="0.25" header="0.13" footer="0.1"/>
  <pageSetup paperSize="17" scale="52" orientation="landscape" cellComments="atEnd" r:id="rId1"/>
  <headerFooter alignWithMargins="0">
    <oddHeader>&amp;C&amp;"Arial,Bold"Table I-3 
Pacific Gas and Electric Company 
Demand Response Programs and Activities
Incremental Cost Funding
December 2011</oddHeader>
    <oddFooter>&amp;L&amp;F&amp;CPage 7 of 11&amp;R&amp;A</oddFooter>
  </headerFooter>
  <ignoredErrors>
    <ignoredError sqref="C68:G68 J15:K15 O68 J29:K29 J37:K37 J41:K41 J45:K45 J50:K50 J55:K55 I41:I43 I15 D9:G9 I21:K21 I29 C45 C37:C39 I63 J63:K63 I55 O63 I50 I9:K9 C41:C43 D45:F45 D37:F39 D41:F43 G45 G37:G39 G41:G43 D50:G50 C55 D63:G63 D29:G29 E21:G21 D15:G15 I45 I37:I39 J68:L68 F55:G55" emptyCellReference="1"/>
    <ignoredError sqref="O12:O14 O58 O24:O28 O18:O20 O32:O36 O40 O44 O48:O49 O53:O54 O59:O62 O7:O8 O65:O67" formulaRange="1" emptyCellReference="1"/>
    <ignoredError sqref="D22:E22 I22:K22 F22 G22" formulaRange="1"/>
    <ignoredError sqref="O21"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190"/>
  <sheetViews>
    <sheetView showGridLines="0" view="pageLayout" zoomScaleNormal="115" zoomScaleSheetLayoutView="115" workbookViewId="0">
      <selection activeCell="K30" sqref="K30"/>
    </sheetView>
  </sheetViews>
  <sheetFormatPr defaultRowHeight="11.25" x14ac:dyDescent="0.2"/>
  <cols>
    <col min="1" max="1" width="30.42578125" style="275" customWidth="1"/>
    <col min="2" max="2" width="6" style="301" customWidth="1"/>
    <col min="3" max="3" width="10.140625" style="434" customWidth="1"/>
    <col min="4" max="4" width="20.28515625" style="308" customWidth="1"/>
    <col min="5" max="5" width="11.28515625" style="442" customWidth="1"/>
    <col min="6" max="6" width="9.85546875" style="273" customWidth="1"/>
    <col min="7" max="7" width="9.42578125" style="273" customWidth="1"/>
    <col min="8" max="8" width="12.7109375" style="274" customWidth="1"/>
    <col min="9" max="16384" width="9.140625" style="275"/>
  </cols>
  <sheetData>
    <row r="1" spans="1:8" s="271" customFormat="1" x14ac:dyDescent="0.2">
      <c r="A1" s="395" t="s">
        <v>66</v>
      </c>
      <c r="B1" s="396"/>
      <c r="C1" s="433"/>
      <c r="D1" s="397"/>
      <c r="E1" s="441"/>
      <c r="F1" s="390"/>
      <c r="G1" s="397"/>
      <c r="H1" s="398"/>
    </row>
    <row r="2" spans="1:8" s="271" customFormat="1" ht="12" thickBot="1" x14ac:dyDescent="0.25">
      <c r="A2" s="399"/>
      <c r="B2" s="400" t="s">
        <v>12</v>
      </c>
      <c r="C2" s="434"/>
      <c r="D2" s="401"/>
      <c r="E2" s="442"/>
      <c r="F2" s="273"/>
      <c r="G2" s="401"/>
      <c r="H2" s="402"/>
    </row>
    <row r="3" spans="1:8" s="391" customFormat="1" ht="30.75" customHeight="1" x14ac:dyDescent="0.2">
      <c r="A3" s="313" t="s">
        <v>62</v>
      </c>
      <c r="B3" s="392" t="s">
        <v>28</v>
      </c>
      <c r="C3" s="393" t="s">
        <v>138</v>
      </c>
      <c r="D3" s="394" t="s">
        <v>170</v>
      </c>
      <c r="E3" s="311" t="s">
        <v>136</v>
      </c>
      <c r="F3" s="312" t="s">
        <v>139</v>
      </c>
      <c r="G3" s="394" t="s">
        <v>140</v>
      </c>
      <c r="H3" s="317" t="s">
        <v>121</v>
      </c>
    </row>
    <row r="4" spans="1:8" s="272" customFormat="1" ht="27" customHeight="1" x14ac:dyDescent="0.2">
      <c r="A4" s="314" t="s">
        <v>32</v>
      </c>
      <c r="B4" s="401"/>
      <c r="C4" s="434"/>
      <c r="D4" s="401"/>
      <c r="E4" s="442"/>
      <c r="F4" s="309"/>
      <c r="G4" s="403"/>
      <c r="H4" s="404"/>
    </row>
    <row r="5" spans="1:8" s="272" customFormat="1" ht="10.5" customHeight="1" x14ac:dyDescent="0.2">
      <c r="A5" s="405" t="s">
        <v>74</v>
      </c>
      <c r="B5" s="406"/>
      <c r="C5" s="435"/>
      <c r="D5" s="406"/>
      <c r="E5" s="443"/>
      <c r="F5" s="310"/>
      <c r="G5" s="407"/>
      <c r="H5" s="404"/>
    </row>
    <row r="6" spans="1:8" ht="10.5" customHeight="1" x14ac:dyDescent="0.2">
      <c r="A6" s="408" t="s">
        <v>74</v>
      </c>
      <c r="B6" s="409">
        <v>1</v>
      </c>
      <c r="C6" s="436">
        <v>40613</v>
      </c>
      <c r="D6" s="410" t="s">
        <v>171</v>
      </c>
      <c r="E6" s="444">
        <v>4.4000000000000004</v>
      </c>
      <c r="F6" s="305">
        <v>0.31597222222222221</v>
      </c>
      <c r="G6" s="411">
        <v>0.33333333333333331</v>
      </c>
      <c r="H6" s="412">
        <v>0.25</v>
      </c>
    </row>
    <row r="7" spans="1:8" s="304" customFormat="1" ht="10.5" customHeight="1" x14ac:dyDescent="0.2">
      <c r="A7" s="408" t="s">
        <v>74</v>
      </c>
      <c r="B7" s="413">
        <v>26</v>
      </c>
      <c r="C7" s="437">
        <v>40793</v>
      </c>
      <c r="D7" s="413" t="s">
        <v>171</v>
      </c>
      <c r="E7" s="445">
        <v>195.27346939220936</v>
      </c>
      <c r="F7" s="327">
        <v>0.625</v>
      </c>
      <c r="G7" s="414">
        <v>0.70833333333333337</v>
      </c>
      <c r="H7" s="415">
        <v>2</v>
      </c>
    </row>
    <row r="8" spans="1:8" ht="11.25" customHeight="1" x14ac:dyDescent="0.2">
      <c r="A8" s="405" t="s">
        <v>137</v>
      </c>
      <c r="B8" s="406"/>
      <c r="C8" s="435"/>
      <c r="D8" s="406"/>
      <c r="E8" s="443"/>
      <c r="F8" s="310"/>
      <c r="G8" s="407"/>
      <c r="H8" s="404"/>
    </row>
    <row r="9" spans="1:8" ht="11.25" customHeight="1" x14ac:dyDescent="0.2">
      <c r="A9" s="420" t="s">
        <v>179</v>
      </c>
      <c r="B9" s="406"/>
      <c r="C9" s="435"/>
      <c r="D9" s="406"/>
      <c r="E9" s="443"/>
      <c r="F9" s="310"/>
      <c r="G9" s="407"/>
      <c r="H9" s="404"/>
    </row>
    <row r="10" spans="1:8" ht="11.25" customHeight="1" x14ac:dyDescent="0.2">
      <c r="A10" s="416" t="s">
        <v>179</v>
      </c>
      <c r="B10" s="409">
        <v>3</v>
      </c>
      <c r="C10" s="436">
        <v>40715</v>
      </c>
      <c r="D10" s="410" t="s">
        <v>172</v>
      </c>
      <c r="E10" s="446">
        <v>10.8168749464622</v>
      </c>
      <c r="F10" s="306">
        <v>0.58333333333333337</v>
      </c>
      <c r="G10" s="417">
        <v>0.79166666666666663</v>
      </c>
      <c r="H10" s="412">
        <v>5</v>
      </c>
    </row>
    <row r="11" spans="1:8" ht="12" customHeight="1" x14ac:dyDescent="0.2">
      <c r="A11" s="416" t="s">
        <v>179</v>
      </c>
      <c r="B11" s="409">
        <v>4</v>
      </c>
      <c r="C11" s="436">
        <v>40716</v>
      </c>
      <c r="D11" s="410" t="s">
        <v>172</v>
      </c>
      <c r="E11" s="446">
        <v>11.4595373986106</v>
      </c>
      <c r="F11" s="306">
        <v>0.58333333333333337</v>
      </c>
      <c r="G11" s="417">
        <v>0.79166666666666663</v>
      </c>
      <c r="H11" s="412">
        <v>5</v>
      </c>
    </row>
    <row r="12" spans="1:8" ht="12" customHeight="1" x14ac:dyDescent="0.2">
      <c r="A12" s="416" t="s">
        <v>179</v>
      </c>
      <c r="B12" s="410">
        <v>7</v>
      </c>
      <c r="C12" s="436">
        <v>40729</v>
      </c>
      <c r="D12" s="410" t="s">
        <v>172</v>
      </c>
      <c r="E12" s="446">
        <v>14.797513529990308</v>
      </c>
      <c r="F12" s="306">
        <v>0.58333333333333337</v>
      </c>
      <c r="G12" s="417">
        <v>0.79166666666666663</v>
      </c>
      <c r="H12" s="412">
        <v>5</v>
      </c>
    </row>
    <row r="13" spans="1:8" ht="12" customHeight="1" x14ac:dyDescent="0.2">
      <c r="A13" s="416" t="s">
        <v>179</v>
      </c>
      <c r="B13" s="410">
        <v>9</v>
      </c>
      <c r="C13" s="436">
        <v>40730</v>
      </c>
      <c r="D13" s="410" t="s">
        <v>172</v>
      </c>
      <c r="E13" s="446">
        <v>14.328694969932013</v>
      </c>
      <c r="F13" s="306">
        <v>0.58333333333333337</v>
      </c>
      <c r="G13" s="417">
        <v>0.79166666666666663</v>
      </c>
      <c r="H13" s="412">
        <v>5</v>
      </c>
    </row>
    <row r="14" spans="1:8" ht="12" customHeight="1" x14ac:dyDescent="0.2">
      <c r="A14" s="416" t="s">
        <v>179</v>
      </c>
      <c r="B14" s="409">
        <v>11</v>
      </c>
      <c r="C14" s="436">
        <v>40752</v>
      </c>
      <c r="D14" s="410" t="s">
        <v>172</v>
      </c>
      <c r="E14" s="446">
        <v>9.5590725548574991</v>
      </c>
      <c r="F14" s="306">
        <v>0.58333333333333337</v>
      </c>
      <c r="G14" s="417">
        <v>0.79166666666666663</v>
      </c>
      <c r="H14" s="412">
        <v>5</v>
      </c>
    </row>
    <row r="15" spans="1:8" ht="12" customHeight="1" x14ac:dyDescent="0.2">
      <c r="A15" s="416" t="s">
        <v>179</v>
      </c>
      <c r="B15" s="409">
        <v>13</v>
      </c>
      <c r="C15" s="436">
        <v>40753</v>
      </c>
      <c r="D15" s="410" t="s">
        <v>172</v>
      </c>
      <c r="E15" s="446">
        <v>9.2761276954164202</v>
      </c>
      <c r="F15" s="306">
        <v>0.58333333333333337</v>
      </c>
      <c r="G15" s="417">
        <v>0.79166666666666663</v>
      </c>
      <c r="H15" s="412">
        <v>5</v>
      </c>
    </row>
    <row r="16" spans="1:8" ht="12" customHeight="1" x14ac:dyDescent="0.2">
      <c r="A16" s="416" t="s">
        <v>179</v>
      </c>
      <c r="B16" s="409">
        <v>14</v>
      </c>
      <c r="C16" s="436">
        <v>40772</v>
      </c>
      <c r="D16" s="418" t="s">
        <v>172</v>
      </c>
      <c r="E16" s="446">
        <v>5.8522442784667348</v>
      </c>
      <c r="F16" s="306">
        <v>0.58333333333333337</v>
      </c>
      <c r="G16" s="417">
        <v>0.79166666666666663</v>
      </c>
      <c r="H16" s="412">
        <v>5</v>
      </c>
    </row>
    <row r="17" spans="1:12" x14ac:dyDescent="0.2">
      <c r="A17" s="416" t="s">
        <v>179</v>
      </c>
      <c r="B17" s="418">
        <v>15</v>
      </c>
      <c r="C17" s="436">
        <v>40773</v>
      </c>
      <c r="D17" s="418" t="s">
        <v>172</v>
      </c>
      <c r="E17" s="446">
        <v>5.4968329340281681</v>
      </c>
      <c r="F17" s="306">
        <v>0.58333333333333337</v>
      </c>
      <c r="G17" s="417">
        <v>0.79166666666666663</v>
      </c>
      <c r="H17" s="412">
        <v>5</v>
      </c>
      <c r="I17" s="298"/>
    </row>
    <row r="18" spans="1:12" s="300" customFormat="1" x14ac:dyDescent="0.2">
      <c r="A18" s="416" t="s">
        <v>179</v>
      </c>
      <c r="B18" s="418">
        <v>17</v>
      </c>
      <c r="C18" s="438">
        <v>40778</v>
      </c>
      <c r="D18" s="418" t="s">
        <v>172</v>
      </c>
      <c r="E18" s="446">
        <v>6.800550094661177</v>
      </c>
      <c r="F18" s="306">
        <v>0.58333333333333337</v>
      </c>
      <c r="G18" s="417">
        <v>0.79166666666666663</v>
      </c>
      <c r="H18" s="412">
        <v>5</v>
      </c>
      <c r="I18" s="298"/>
      <c r="J18" s="299"/>
      <c r="K18" s="299"/>
      <c r="L18" s="299"/>
    </row>
    <row r="19" spans="1:12" x14ac:dyDescent="0.2">
      <c r="A19" s="416" t="s">
        <v>179</v>
      </c>
      <c r="B19" s="418">
        <v>23</v>
      </c>
      <c r="C19" s="436">
        <v>40784</v>
      </c>
      <c r="D19" s="418" t="s">
        <v>172</v>
      </c>
      <c r="E19" s="446">
        <v>6.463853241573271</v>
      </c>
      <c r="F19" s="306">
        <v>0.58333333333333337</v>
      </c>
      <c r="G19" s="417">
        <v>0.79166666666666663</v>
      </c>
      <c r="H19" s="412">
        <v>5</v>
      </c>
      <c r="I19" s="298"/>
    </row>
    <row r="20" spans="1:12" s="304" customFormat="1" ht="12.75" customHeight="1" x14ac:dyDescent="0.2">
      <c r="A20" s="416" t="s">
        <v>179</v>
      </c>
      <c r="B20" s="413">
        <v>42</v>
      </c>
      <c r="C20" s="437">
        <v>40788</v>
      </c>
      <c r="D20" s="419" t="s">
        <v>172</v>
      </c>
      <c r="E20" s="445">
        <v>6.371658720862353</v>
      </c>
      <c r="F20" s="327">
        <v>0.58333333333333337</v>
      </c>
      <c r="G20" s="414">
        <v>0.79166666666666663</v>
      </c>
      <c r="H20" s="412">
        <v>5</v>
      </c>
      <c r="I20" s="303"/>
    </row>
    <row r="21" spans="1:12" s="304" customFormat="1" x14ac:dyDescent="0.2">
      <c r="A21" s="416" t="s">
        <v>179</v>
      </c>
      <c r="B21" s="413">
        <v>43</v>
      </c>
      <c r="C21" s="439">
        <v>40792</v>
      </c>
      <c r="D21" s="419" t="s">
        <v>172</v>
      </c>
      <c r="E21" s="445">
        <v>5.3879851462693749</v>
      </c>
      <c r="F21" s="327">
        <v>0.58333333333333337</v>
      </c>
      <c r="G21" s="414">
        <v>0.79166666666666663</v>
      </c>
      <c r="H21" s="412">
        <v>5</v>
      </c>
    </row>
    <row r="22" spans="1:12" s="304" customFormat="1" x14ac:dyDescent="0.2">
      <c r="A22" s="416" t="s">
        <v>179</v>
      </c>
      <c r="B22" s="413">
        <v>44</v>
      </c>
      <c r="C22" s="439">
        <v>40793</v>
      </c>
      <c r="D22" s="419" t="s">
        <v>172</v>
      </c>
      <c r="E22" s="445">
        <v>6.0849110971058105</v>
      </c>
      <c r="F22" s="327">
        <v>0.58333333333333337</v>
      </c>
      <c r="G22" s="414">
        <v>0.79166666666666663</v>
      </c>
      <c r="H22" s="412">
        <v>5</v>
      </c>
    </row>
    <row r="23" spans="1:12" s="304" customFormat="1" ht="12.75" customHeight="1" x14ac:dyDescent="0.2">
      <c r="A23" s="416" t="s">
        <v>179</v>
      </c>
      <c r="B23" s="413">
        <v>45</v>
      </c>
      <c r="C23" s="437">
        <v>40794</v>
      </c>
      <c r="D23" s="413" t="s">
        <v>172</v>
      </c>
      <c r="E23" s="445">
        <v>5.5029947613421175</v>
      </c>
      <c r="F23" s="327">
        <v>0.58333333333333337</v>
      </c>
      <c r="G23" s="414">
        <v>0.79166666666666663</v>
      </c>
      <c r="H23" s="412">
        <v>5</v>
      </c>
    </row>
    <row r="24" spans="1:12" s="304" customFormat="1" x14ac:dyDescent="0.2">
      <c r="A24" s="416" t="s">
        <v>179</v>
      </c>
      <c r="B24" s="413">
        <v>46</v>
      </c>
      <c r="C24" s="437">
        <v>40806</v>
      </c>
      <c r="D24" s="419" t="s">
        <v>172</v>
      </c>
      <c r="E24" s="445">
        <v>6.6547952559652863</v>
      </c>
      <c r="F24" s="327">
        <v>0.58333333333333337</v>
      </c>
      <c r="G24" s="414">
        <v>0.79166666666666663</v>
      </c>
      <c r="H24" s="412">
        <v>5</v>
      </c>
    </row>
    <row r="25" spans="1:12" ht="11.25" customHeight="1" x14ac:dyDescent="0.2">
      <c r="A25" s="420" t="s">
        <v>186</v>
      </c>
      <c r="B25" s="406"/>
      <c r="C25" s="435"/>
      <c r="D25" s="406"/>
      <c r="E25" s="443"/>
      <c r="F25" s="310"/>
      <c r="G25" s="407"/>
      <c r="H25" s="404"/>
    </row>
    <row r="26" spans="1:12" ht="26.25" customHeight="1" x14ac:dyDescent="0.2">
      <c r="A26" s="315" t="s">
        <v>33</v>
      </c>
      <c r="B26" s="401"/>
      <c r="D26" s="401"/>
      <c r="F26" s="309"/>
      <c r="G26" s="403"/>
      <c r="H26" s="404"/>
    </row>
    <row r="27" spans="1:12" ht="11.25" customHeight="1" x14ac:dyDescent="0.2">
      <c r="A27" s="405" t="s">
        <v>77</v>
      </c>
      <c r="B27" s="406"/>
      <c r="C27" s="435"/>
      <c r="D27" s="406"/>
      <c r="E27" s="443"/>
      <c r="F27" s="310"/>
      <c r="G27" s="407"/>
      <c r="H27" s="404"/>
    </row>
    <row r="28" spans="1:12" ht="11.25" customHeight="1" x14ac:dyDescent="0.2">
      <c r="A28" s="420" t="s">
        <v>146</v>
      </c>
      <c r="B28" s="406"/>
      <c r="C28" s="435"/>
      <c r="D28" s="406"/>
      <c r="E28" s="443"/>
      <c r="F28" s="310"/>
      <c r="G28" s="407"/>
      <c r="H28" s="404"/>
    </row>
    <row r="29" spans="1:12" s="304" customFormat="1" x14ac:dyDescent="0.2">
      <c r="A29" s="421" t="s">
        <v>146</v>
      </c>
      <c r="B29" s="413">
        <v>31</v>
      </c>
      <c r="C29" s="437">
        <v>40794</v>
      </c>
      <c r="D29" s="413" t="s">
        <v>172</v>
      </c>
      <c r="E29" s="445">
        <v>66.292413126071907</v>
      </c>
      <c r="F29" s="327">
        <v>0.58333333333333337</v>
      </c>
      <c r="G29" s="414">
        <v>0.75</v>
      </c>
      <c r="H29" s="415">
        <v>4</v>
      </c>
    </row>
    <row r="30" spans="1:12" s="304" customFormat="1" x14ac:dyDescent="0.2">
      <c r="A30" s="421" t="s">
        <v>146</v>
      </c>
      <c r="B30" s="413">
        <v>32</v>
      </c>
      <c r="C30" s="437">
        <v>40808</v>
      </c>
      <c r="D30" s="413" t="s">
        <v>172</v>
      </c>
      <c r="E30" s="445">
        <v>47.691783688332698</v>
      </c>
      <c r="F30" s="327">
        <v>0.58333333333333337</v>
      </c>
      <c r="G30" s="414">
        <v>0.75</v>
      </c>
      <c r="H30" s="415">
        <v>5</v>
      </c>
    </row>
    <row r="31" spans="1:12" ht="11.25" customHeight="1" x14ac:dyDescent="0.2">
      <c r="A31" s="405" t="s">
        <v>78</v>
      </c>
      <c r="B31" s="406"/>
      <c r="C31" s="435"/>
      <c r="D31" s="406"/>
      <c r="E31" s="443"/>
      <c r="F31" s="310"/>
      <c r="G31" s="407"/>
      <c r="H31" s="404"/>
    </row>
    <row r="32" spans="1:12" s="304" customFormat="1" x14ac:dyDescent="0.2">
      <c r="A32" s="422" t="s">
        <v>78</v>
      </c>
      <c r="B32" s="413">
        <v>33</v>
      </c>
      <c r="C32" s="437">
        <v>40794</v>
      </c>
      <c r="D32" s="423" t="s">
        <v>178</v>
      </c>
      <c r="E32" s="445">
        <v>2.6860046387E-2</v>
      </c>
      <c r="F32" s="327">
        <v>0.54166666666666663</v>
      </c>
      <c r="G32" s="414">
        <v>0.70833333333333337</v>
      </c>
      <c r="H32" s="415">
        <v>4</v>
      </c>
    </row>
    <row r="33" spans="1:9" s="304" customFormat="1" x14ac:dyDescent="0.2">
      <c r="A33" s="424" t="s">
        <v>78</v>
      </c>
      <c r="B33" s="413">
        <v>34</v>
      </c>
      <c r="C33" s="437">
        <v>40793</v>
      </c>
      <c r="D33" s="419" t="s">
        <v>172</v>
      </c>
      <c r="E33" s="445">
        <v>3.313411331265018</v>
      </c>
      <c r="F33" s="327">
        <v>0.54166666666666663</v>
      </c>
      <c r="G33" s="414">
        <v>0.70833333333333337</v>
      </c>
      <c r="H33" s="415">
        <v>4</v>
      </c>
    </row>
    <row r="34" spans="1:9" s="304" customFormat="1" x14ac:dyDescent="0.2">
      <c r="A34" s="424" t="s">
        <v>78</v>
      </c>
      <c r="B34" s="413">
        <v>35</v>
      </c>
      <c r="C34" s="437">
        <v>40809</v>
      </c>
      <c r="D34" s="413" t="s">
        <v>172</v>
      </c>
      <c r="E34" s="445">
        <v>3.9902675048047063</v>
      </c>
      <c r="F34" s="327">
        <v>0.54166666666666663</v>
      </c>
      <c r="G34" s="414">
        <v>0.70833333333333337</v>
      </c>
      <c r="H34" s="415">
        <v>4</v>
      </c>
    </row>
    <row r="35" spans="1:9" s="304" customFormat="1" x14ac:dyDescent="0.2">
      <c r="A35" s="424" t="s">
        <v>78</v>
      </c>
      <c r="B35" s="413">
        <v>36</v>
      </c>
      <c r="C35" s="437">
        <v>40793</v>
      </c>
      <c r="D35" s="413" t="s">
        <v>171</v>
      </c>
      <c r="E35" s="445">
        <v>13.645281141645901</v>
      </c>
      <c r="F35" s="327">
        <v>0.54166666666666663</v>
      </c>
      <c r="G35" s="414">
        <v>0.70833333333333337</v>
      </c>
      <c r="H35" s="415">
        <v>4</v>
      </c>
    </row>
    <row r="36" spans="1:9" s="304" customFormat="1" x14ac:dyDescent="0.2">
      <c r="A36" s="424" t="s">
        <v>78</v>
      </c>
      <c r="B36" s="413">
        <v>37</v>
      </c>
      <c r="C36" s="437">
        <v>40809</v>
      </c>
      <c r="D36" s="413" t="s">
        <v>171</v>
      </c>
      <c r="E36" s="445">
        <v>15.970638978688401</v>
      </c>
      <c r="F36" s="327">
        <v>0.54166666666666663</v>
      </c>
      <c r="G36" s="414">
        <v>0.70833333333333337</v>
      </c>
      <c r="H36" s="415">
        <v>4</v>
      </c>
    </row>
    <row r="37" spans="1:9" s="304" customFormat="1" x14ac:dyDescent="0.2">
      <c r="A37" s="405" t="s">
        <v>131</v>
      </c>
      <c r="B37" s="406"/>
      <c r="C37" s="435"/>
      <c r="D37" s="406"/>
      <c r="E37" s="443"/>
      <c r="F37" s="310"/>
      <c r="G37" s="407"/>
      <c r="H37" s="404"/>
    </row>
    <row r="38" spans="1:9" ht="11.25" customHeight="1" x14ac:dyDescent="0.2">
      <c r="A38" s="408" t="s">
        <v>131</v>
      </c>
      <c r="B38" s="409">
        <v>2</v>
      </c>
      <c r="C38" s="436">
        <v>40715</v>
      </c>
      <c r="D38" s="410" t="s">
        <v>172</v>
      </c>
      <c r="E38" s="446">
        <v>28.7716678814235</v>
      </c>
      <c r="F38" s="306">
        <v>0.5</v>
      </c>
      <c r="G38" s="417">
        <v>0.75</v>
      </c>
      <c r="H38" s="425">
        <v>6</v>
      </c>
    </row>
    <row r="39" spans="1:9" ht="11.25" customHeight="1" x14ac:dyDescent="0.2">
      <c r="A39" s="408" t="s">
        <v>131</v>
      </c>
      <c r="B39" s="409">
        <v>6</v>
      </c>
      <c r="C39" s="436">
        <v>40729</v>
      </c>
      <c r="D39" s="410" t="s">
        <v>172</v>
      </c>
      <c r="E39" s="446">
        <v>25.552251807893629</v>
      </c>
      <c r="F39" s="306">
        <v>0.58333333333333337</v>
      </c>
      <c r="G39" s="417">
        <v>0.75</v>
      </c>
      <c r="H39" s="425">
        <v>4</v>
      </c>
    </row>
    <row r="40" spans="1:9" ht="11.25" customHeight="1" x14ac:dyDescent="0.2">
      <c r="A40" s="408" t="s">
        <v>131</v>
      </c>
      <c r="B40" s="410">
        <v>12</v>
      </c>
      <c r="C40" s="436">
        <v>40753</v>
      </c>
      <c r="D40" s="410" t="s">
        <v>172</v>
      </c>
      <c r="E40" s="446">
        <v>42.060724053526002</v>
      </c>
      <c r="F40" s="306">
        <v>0.58333333333333337</v>
      </c>
      <c r="G40" s="417">
        <v>0.75</v>
      </c>
      <c r="H40" s="425">
        <v>4</v>
      </c>
    </row>
    <row r="41" spans="1:9" x14ac:dyDescent="0.2">
      <c r="A41" s="408" t="s">
        <v>131</v>
      </c>
      <c r="B41" s="418">
        <v>16</v>
      </c>
      <c r="C41" s="436">
        <v>40778</v>
      </c>
      <c r="D41" s="418" t="s">
        <v>172</v>
      </c>
      <c r="E41" s="446">
        <v>24.918279289323984</v>
      </c>
      <c r="F41" s="306">
        <v>0.5</v>
      </c>
      <c r="G41" s="417">
        <v>0.75</v>
      </c>
      <c r="H41" s="425">
        <v>6</v>
      </c>
    </row>
    <row r="42" spans="1:9" x14ac:dyDescent="0.2">
      <c r="A42" s="408" t="s">
        <v>131</v>
      </c>
      <c r="B42" s="418">
        <v>21</v>
      </c>
      <c r="C42" s="438">
        <v>40784</v>
      </c>
      <c r="D42" s="418" t="s">
        <v>172</v>
      </c>
      <c r="E42" s="446">
        <v>35.349058725301838</v>
      </c>
      <c r="F42" s="306">
        <v>0.5</v>
      </c>
      <c r="G42" s="417">
        <v>0.75</v>
      </c>
      <c r="H42" s="425">
        <v>6</v>
      </c>
      <c r="I42" s="298"/>
    </row>
    <row r="43" spans="1:9" s="304" customFormat="1" x14ac:dyDescent="0.2">
      <c r="A43" s="408" t="s">
        <v>131</v>
      </c>
      <c r="B43" s="413">
        <v>38</v>
      </c>
      <c r="C43" s="437">
        <v>40788</v>
      </c>
      <c r="D43" s="419" t="s">
        <v>172</v>
      </c>
      <c r="E43" s="445">
        <v>52.452261141269396</v>
      </c>
      <c r="F43" s="327">
        <v>0.5</v>
      </c>
      <c r="G43" s="414">
        <v>0.75</v>
      </c>
      <c r="H43" s="415">
        <v>6</v>
      </c>
    </row>
    <row r="44" spans="1:9" s="304" customFormat="1" x14ac:dyDescent="0.2">
      <c r="A44" s="422" t="s">
        <v>177</v>
      </c>
      <c r="B44" s="413">
        <v>39</v>
      </c>
      <c r="C44" s="439">
        <v>40792</v>
      </c>
      <c r="D44" s="419" t="s">
        <v>172</v>
      </c>
      <c r="E44" s="445">
        <v>27.357832475235842</v>
      </c>
      <c r="F44" s="327">
        <v>0.5</v>
      </c>
      <c r="G44" s="414">
        <v>0.75</v>
      </c>
      <c r="H44" s="415">
        <v>6</v>
      </c>
    </row>
    <row r="45" spans="1:9" s="304" customFormat="1" x14ac:dyDescent="0.2">
      <c r="A45" s="422" t="s">
        <v>177</v>
      </c>
      <c r="B45" s="413">
        <v>40</v>
      </c>
      <c r="C45" s="439">
        <v>40793</v>
      </c>
      <c r="D45" s="419" t="s">
        <v>172</v>
      </c>
      <c r="E45" s="445">
        <v>35.021588076322779</v>
      </c>
      <c r="F45" s="327">
        <v>0.5</v>
      </c>
      <c r="G45" s="414">
        <v>0.75</v>
      </c>
      <c r="H45" s="415">
        <v>6</v>
      </c>
    </row>
    <row r="46" spans="1:9" s="304" customFormat="1" x14ac:dyDescent="0.2">
      <c r="A46" s="426" t="s">
        <v>177</v>
      </c>
      <c r="B46" s="413">
        <v>41</v>
      </c>
      <c r="C46" s="437">
        <v>40806</v>
      </c>
      <c r="D46" s="419" t="s">
        <v>172</v>
      </c>
      <c r="E46" s="445">
        <v>33.419608465979557</v>
      </c>
      <c r="F46" s="327">
        <v>0.5</v>
      </c>
      <c r="G46" s="414">
        <v>0.75</v>
      </c>
      <c r="H46" s="415">
        <v>6</v>
      </c>
    </row>
    <row r="47" spans="1:9" ht="21.75" x14ac:dyDescent="0.2">
      <c r="A47" s="316" t="s">
        <v>34</v>
      </c>
      <c r="B47" s="401"/>
      <c r="D47" s="401"/>
      <c r="F47" s="309"/>
      <c r="G47" s="403"/>
      <c r="H47" s="404"/>
      <c r="I47" s="298"/>
    </row>
    <row r="48" spans="1:9" x14ac:dyDescent="0.2">
      <c r="A48" s="405" t="s">
        <v>76</v>
      </c>
      <c r="B48" s="406"/>
      <c r="C48" s="435"/>
      <c r="D48" s="406"/>
      <c r="E48" s="443"/>
      <c r="F48" s="310"/>
      <c r="G48" s="407"/>
      <c r="H48" s="404"/>
      <c r="I48" s="298"/>
    </row>
    <row r="49" spans="1:9" x14ac:dyDescent="0.2">
      <c r="A49" s="408" t="s">
        <v>76</v>
      </c>
      <c r="B49" s="410">
        <v>5</v>
      </c>
      <c r="C49" s="436">
        <v>40729</v>
      </c>
      <c r="D49" s="410" t="s">
        <v>172</v>
      </c>
      <c r="E49" s="446">
        <v>14.783827233280698</v>
      </c>
      <c r="F49" s="306">
        <v>0.58333333333333337</v>
      </c>
      <c r="G49" s="417">
        <v>0.70833333333333337</v>
      </c>
      <c r="H49" s="425">
        <v>3</v>
      </c>
    </row>
    <row r="50" spans="1:9" x14ac:dyDescent="0.2">
      <c r="A50" s="408" t="s">
        <v>76</v>
      </c>
      <c r="B50" s="410">
        <v>8</v>
      </c>
      <c r="C50" s="436">
        <v>40729</v>
      </c>
      <c r="D50" s="410" t="s">
        <v>171</v>
      </c>
      <c r="E50" s="446">
        <v>7.2444542631792981</v>
      </c>
      <c r="F50" s="306">
        <v>0.66666666666666663</v>
      </c>
      <c r="G50" s="417">
        <v>0.70833333333333337</v>
      </c>
      <c r="H50" s="425">
        <v>1</v>
      </c>
    </row>
    <row r="51" spans="1:9" ht="11.25" customHeight="1" x14ac:dyDescent="0.2">
      <c r="A51" s="408" t="s">
        <v>76</v>
      </c>
      <c r="B51" s="410">
        <v>10</v>
      </c>
      <c r="C51" s="436">
        <v>40730</v>
      </c>
      <c r="D51" s="410" t="s">
        <v>172</v>
      </c>
      <c r="E51" s="446">
        <v>15.606453401773509</v>
      </c>
      <c r="F51" s="306">
        <v>0.66666666666666663</v>
      </c>
      <c r="G51" s="417">
        <v>0.70833333333333337</v>
      </c>
      <c r="H51" s="425">
        <v>1</v>
      </c>
    </row>
    <row r="52" spans="1:9" ht="11.25" customHeight="1" x14ac:dyDescent="0.2">
      <c r="A52" s="408" t="s">
        <v>76</v>
      </c>
      <c r="B52" s="418">
        <v>18</v>
      </c>
      <c r="C52" s="438">
        <v>40780</v>
      </c>
      <c r="D52" s="418" t="s">
        <v>172</v>
      </c>
      <c r="E52" s="446">
        <v>16.104390689110801</v>
      </c>
      <c r="F52" s="307">
        <v>0.625</v>
      </c>
      <c r="G52" s="427">
        <v>0.70833333333333337</v>
      </c>
      <c r="H52" s="425">
        <v>2</v>
      </c>
    </row>
    <row r="53" spans="1:9" ht="11.25" customHeight="1" x14ac:dyDescent="0.2">
      <c r="A53" s="408" t="s">
        <v>76</v>
      </c>
      <c r="B53" s="418">
        <v>22</v>
      </c>
      <c r="C53" s="436">
        <v>40781</v>
      </c>
      <c r="D53" s="418" t="s">
        <v>172</v>
      </c>
      <c r="E53" s="446">
        <v>16.431052653627901</v>
      </c>
      <c r="F53" s="307">
        <v>0.625</v>
      </c>
      <c r="G53" s="427">
        <v>0.70833333333333337</v>
      </c>
      <c r="H53" s="425">
        <v>2</v>
      </c>
    </row>
    <row r="54" spans="1:9" s="304" customFormat="1" x14ac:dyDescent="0.2">
      <c r="A54" s="408" t="s">
        <v>76</v>
      </c>
      <c r="B54" s="413">
        <v>27</v>
      </c>
      <c r="C54" s="437">
        <v>40793</v>
      </c>
      <c r="D54" s="419" t="s">
        <v>172</v>
      </c>
      <c r="E54" s="445">
        <v>14.1</v>
      </c>
      <c r="F54" s="327">
        <v>0.625</v>
      </c>
      <c r="G54" s="414">
        <v>0.75</v>
      </c>
      <c r="H54" s="415">
        <v>3</v>
      </c>
    </row>
    <row r="55" spans="1:9" s="304" customFormat="1" x14ac:dyDescent="0.2">
      <c r="A55" s="408" t="s">
        <v>76</v>
      </c>
      <c r="B55" s="413">
        <v>28</v>
      </c>
      <c r="C55" s="437">
        <v>40807</v>
      </c>
      <c r="D55" s="423" t="s">
        <v>172</v>
      </c>
      <c r="E55" s="445">
        <v>14.901275793479197</v>
      </c>
      <c r="F55" s="327">
        <v>0.625</v>
      </c>
      <c r="G55" s="414">
        <v>0.70833333333333337</v>
      </c>
      <c r="H55" s="415">
        <v>2</v>
      </c>
    </row>
    <row r="56" spans="1:9" s="304" customFormat="1" x14ac:dyDescent="0.2">
      <c r="A56" s="408" t="s">
        <v>76</v>
      </c>
      <c r="B56" s="413">
        <v>29</v>
      </c>
      <c r="C56" s="437">
        <v>40808</v>
      </c>
      <c r="D56" s="413" t="s">
        <v>172</v>
      </c>
      <c r="E56" s="445">
        <v>14.349596428988997</v>
      </c>
      <c r="F56" s="327">
        <v>0.625</v>
      </c>
      <c r="G56" s="414">
        <v>0.70833333333333337</v>
      </c>
      <c r="H56" s="415">
        <v>2</v>
      </c>
    </row>
    <row r="57" spans="1:9" s="304" customFormat="1" x14ac:dyDescent="0.2">
      <c r="A57" s="408" t="s">
        <v>76</v>
      </c>
      <c r="B57" s="413">
        <v>30</v>
      </c>
      <c r="C57" s="437">
        <v>40807</v>
      </c>
      <c r="D57" s="413" t="s">
        <v>171</v>
      </c>
      <c r="E57" s="445">
        <v>17.601636361396693</v>
      </c>
      <c r="F57" s="327">
        <v>0.625</v>
      </c>
      <c r="G57" s="414">
        <v>0.70833333333333337</v>
      </c>
      <c r="H57" s="415">
        <v>2</v>
      </c>
    </row>
    <row r="58" spans="1:9" s="304" customFormat="1" x14ac:dyDescent="0.2">
      <c r="A58" s="405" t="s">
        <v>79</v>
      </c>
      <c r="B58" s="406"/>
      <c r="C58" s="435"/>
      <c r="D58" s="406"/>
      <c r="E58" s="443"/>
      <c r="F58" s="310"/>
      <c r="G58" s="407"/>
      <c r="H58" s="404"/>
    </row>
    <row r="59" spans="1:9" x14ac:dyDescent="0.2">
      <c r="A59" s="424" t="s">
        <v>79</v>
      </c>
      <c r="B59" s="409">
        <v>19</v>
      </c>
      <c r="C59" s="438">
        <v>40780</v>
      </c>
      <c r="D59" s="418" t="s">
        <v>172</v>
      </c>
      <c r="E59" s="447">
        <v>41.861238663999998</v>
      </c>
      <c r="F59" s="307">
        <v>0.625</v>
      </c>
      <c r="G59" s="427">
        <v>0.70833333333333337</v>
      </c>
      <c r="H59" s="425">
        <v>2</v>
      </c>
      <c r="I59" s="298"/>
    </row>
    <row r="60" spans="1:9" x14ac:dyDescent="0.2">
      <c r="A60" s="424" t="s">
        <v>79</v>
      </c>
      <c r="B60" s="418">
        <v>20</v>
      </c>
      <c r="C60" s="438">
        <v>40780</v>
      </c>
      <c r="D60" s="410" t="s">
        <v>171</v>
      </c>
      <c r="E60" s="447">
        <v>150.46599443700001</v>
      </c>
      <c r="F60" s="307">
        <v>0.625</v>
      </c>
      <c r="G60" s="427">
        <v>0.70833333333333337</v>
      </c>
      <c r="H60" s="425">
        <v>2</v>
      </c>
      <c r="I60" s="298"/>
    </row>
    <row r="61" spans="1:9" s="304" customFormat="1" ht="11.25" customHeight="1" x14ac:dyDescent="0.2">
      <c r="A61" s="424" t="s">
        <v>79</v>
      </c>
      <c r="B61" s="413">
        <v>24</v>
      </c>
      <c r="C61" s="439">
        <v>40815</v>
      </c>
      <c r="D61" s="413" t="s">
        <v>172</v>
      </c>
      <c r="E61" s="445">
        <v>50.064985405000002</v>
      </c>
      <c r="F61" s="327">
        <v>0.625</v>
      </c>
      <c r="G61" s="414">
        <v>0.70833333333333337</v>
      </c>
      <c r="H61" s="415">
        <v>2</v>
      </c>
    </row>
    <row r="62" spans="1:9" s="304" customFormat="1" ht="12" thickBot="1" x14ac:dyDescent="0.25">
      <c r="A62" s="428" t="s">
        <v>79</v>
      </c>
      <c r="B62" s="429">
        <v>25</v>
      </c>
      <c r="C62" s="440">
        <v>40794</v>
      </c>
      <c r="D62" s="430" t="s">
        <v>171</v>
      </c>
      <c r="E62" s="448">
        <v>76.166640551</v>
      </c>
      <c r="F62" s="328">
        <v>0.625</v>
      </c>
      <c r="G62" s="431">
        <v>0.70833333333333337</v>
      </c>
      <c r="H62" s="432">
        <v>2</v>
      </c>
    </row>
    <row r="63" spans="1:9" ht="12.75" customHeight="1" x14ac:dyDescent="0.2"/>
    <row r="65" ht="12.75" customHeight="1" x14ac:dyDescent="0.2"/>
    <row r="66" ht="12.75" customHeight="1" x14ac:dyDescent="0.2"/>
    <row r="68" ht="12.75" customHeight="1" x14ac:dyDescent="0.2"/>
    <row r="111" ht="24.75" customHeight="1" x14ac:dyDescent="0.2"/>
    <row r="114" ht="12.75" customHeight="1" x14ac:dyDescent="0.2"/>
    <row r="117" ht="12.75" customHeight="1" x14ac:dyDescent="0.2"/>
    <row r="119" ht="12.75" customHeight="1" x14ac:dyDescent="0.2"/>
    <row r="121" ht="12.75" customHeight="1" x14ac:dyDescent="0.2"/>
    <row r="122" ht="12.75" customHeight="1" x14ac:dyDescent="0.2"/>
    <row r="124"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6" ht="12.75" customHeight="1" x14ac:dyDescent="0.2"/>
    <row r="148" ht="12.75" customHeight="1" x14ac:dyDescent="0.2"/>
    <row r="150" ht="12.75" customHeight="1" x14ac:dyDescent="0.2"/>
    <row r="152" ht="12.75" customHeight="1" x14ac:dyDescent="0.2"/>
    <row r="154" ht="12.75" customHeight="1" x14ac:dyDescent="0.2"/>
    <row r="156"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7" ht="24.75" customHeight="1" x14ac:dyDescent="0.2"/>
    <row r="180" ht="12.75" customHeight="1" x14ac:dyDescent="0.2"/>
    <row r="183" ht="12.75" customHeight="1" x14ac:dyDescent="0.2"/>
    <row r="185" ht="12.75" customHeight="1" x14ac:dyDescent="0.2"/>
    <row r="187" ht="12.75" customHeight="1" x14ac:dyDescent="0.2"/>
    <row r="188" ht="12.75" customHeight="1" x14ac:dyDescent="0.2"/>
    <row r="190" ht="12.75" customHeight="1" x14ac:dyDescent="0.2"/>
  </sheetData>
  <sheetProtection password="C511" sheet="1" objects="1" scenarios="1"/>
  <protectedRanges>
    <protectedRange password="D9D5" sqref="D19 B41:D42 C16 B52:D53 C59:D59 B60:C60 B17:C19" name="Add Rows"/>
    <protectedRange sqref="D19 B41:D42 C16 B52:D53 C59:D59 B60:C60 B17:C19" name="Enter Event Data"/>
    <protectedRange password="D9D5" sqref="D16:D18" name="Add Rows_1"/>
    <protectedRange sqref="D16:D18" name="Enter Event Data_1"/>
    <protectedRange password="D9D5" sqref="F52:G53 F59:G60" name="Add Rows_2"/>
    <protectedRange sqref="F52:G53 F59:G60" name="Enter Event Data_2"/>
    <protectedRange password="D9D5" sqref="C46 C54:D58 A32:A36 C61:D62 C43:D45 A44:A46 C20:C23 C48:D48 C27:D37 C25:D25 C5:D5 C7:D9" name="Add Rows_3"/>
    <protectedRange sqref="C46 C54:D58 A32:A36 C61:D62 C43:D45 A44:A46 C20:C23 C48:D48 C27:D37 C25:D25 C5:D5 C7:D9" name="Enter Event Data_3"/>
  </protectedRanges>
  <autoFilter ref="A3:H3"/>
  <phoneticPr fontId="0" type="noConversion"/>
  <printOptions horizontalCentered="1"/>
  <pageMargins left="0" right="0" top="0.93854166666666705" bottom="0.25" header="0.13" footer="0.1"/>
  <pageSetup scale="71" orientation="landscape" cellComments="atEnd" r:id="rId1"/>
  <headerFooter alignWithMargins="0">
    <oddHeader>&amp;C&amp;"Arial,Bold"Table I-4 
Pacific Gas and Electric Company 
 Interruptible and Price Responsive Programs
Event Summary 
December 2011</oddHeader>
    <oddFooter>&amp;L&amp;F&amp;CPage 8 of 11&amp;R&amp;A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26"/>
  <sheetViews>
    <sheetView showGridLines="0" view="pageLayout" zoomScaleNormal="75" zoomScaleSheetLayoutView="100" workbookViewId="0">
      <selection activeCell="K30" sqref="K30"/>
    </sheetView>
  </sheetViews>
  <sheetFormatPr defaultRowHeight="12.75" x14ac:dyDescent="0.2"/>
  <cols>
    <col min="1" max="1" width="35.5703125" style="8" customWidth="1"/>
    <col min="2" max="2" width="12.42578125" style="8" bestFit="1" customWidth="1"/>
    <col min="3" max="6" width="12.28515625" style="8" bestFit="1" customWidth="1"/>
    <col min="7" max="7" width="11.7109375" style="8" customWidth="1"/>
    <col min="8" max="9" width="11.7109375" style="8" bestFit="1" customWidth="1"/>
    <col min="10" max="10" width="12.42578125" style="8" bestFit="1" customWidth="1"/>
    <col min="11" max="13" width="12.28515625" style="8" customWidth="1"/>
    <col min="14" max="14" width="15.7109375" style="8" bestFit="1" customWidth="1"/>
    <col min="15" max="15" width="11.7109375" style="8" bestFit="1" customWidth="1"/>
    <col min="16" max="16384" width="9.140625" style="8"/>
  </cols>
  <sheetData>
    <row r="1" spans="1:16" s="54" customFormat="1" ht="5.25" customHeight="1" x14ac:dyDescent="0.2"/>
    <row r="2" spans="1:16" s="54" customFormat="1" ht="4.5" customHeight="1" thickBot="1" x14ac:dyDescent="0.25"/>
    <row r="3" spans="1:16" x14ac:dyDescent="0.2">
      <c r="A3" s="276" t="s">
        <v>17</v>
      </c>
      <c r="B3" s="239"/>
      <c r="C3" s="239"/>
      <c r="D3" s="239"/>
      <c r="E3" s="239"/>
      <c r="F3" s="239"/>
      <c r="G3" s="239"/>
      <c r="H3" s="239"/>
      <c r="I3" s="239"/>
      <c r="J3" s="239"/>
      <c r="K3" s="239"/>
      <c r="L3" s="239"/>
      <c r="M3" s="239"/>
      <c r="N3" s="277"/>
    </row>
    <row r="4" spans="1:16" x14ac:dyDescent="0.2">
      <c r="A4" s="278"/>
      <c r="B4" s="240"/>
      <c r="C4" s="240"/>
      <c r="D4" s="240"/>
      <c r="E4" s="240"/>
      <c r="F4" s="240"/>
      <c r="G4" s="240"/>
      <c r="H4" s="240"/>
      <c r="I4" s="240"/>
      <c r="J4" s="240"/>
      <c r="K4" s="240"/>
      <c r="L4" s="240"/>
      <c r="M4" s="240"/>
      <c r="N4" s="279"/>
    </row>
    <row r="5" spans="1:16" ht="31.5" customHeight="1" x14ac:dyDescent="0.2">
      <c r="A5" s="280" t="s">
        <v>18</v>
      </c>
      <c r="B5" s="85" t="s">
        <v>0</v>
      </c>
      <c r="C5" s="85" t="s">
        <v>1</v>
      </c>
      <c r="D5" s="85" t="s">
        <v>2</v>
      </c>
      <c r="E5" s="85" t="s">
        <v>3</v>
      </c>
      <c r="F5" s="85" t="s">
        <v>4</v>
      </c>
      <c r="G5" s="85" t="s">
        <v>5</v>
      </c>
      <c r="H5" s="85" t="s">
        <v>6</v>
      </c>
      <c r="I5" s="85" t="s">
        <v>7</v>
      </c>
      <c r="J5" s="85" t="s">
        <v>8</v>
      </c>
      <c r="K5" s="85" t="s">
        <v>9</v>
      </c>
      <c r="L5" s="85" t="s">
        <v>10</v>
      </c>
      <c r="M5" s="85" t="s">
        <v>11</v>
      </c>
      <c r="N5" s="281" t="s">
        <v>16</v>
      </c>
    </row>
    <row r="6" spans="1:16" x14ac:dyDescent="0.2">
      <c r="A6" s="282" t="s">
        <v>99</v>
      </c>
      <c r="B6" s="5"/>
      <c r="C6" s="5"/>
      <c r="D6" s="5"/>
      <c r="E6" s="5"/>
      <c r="F6" s="5"/>
      <c r="G6" s="5"/>
      <c r="H6" s="5"/>
      <c r="I6" s="5"/>
      <c r="J6" s="5"/>
      <c r="K6" s="5"/>
      <c r="L6" s="5"/>
      <c r="M6" s="5"/>
      <c r="N6" s="283"/>
    </row>
    <row r="7" spans="1:16" x14ac:dyDescent="0.2">
      <c r="A7" s="27" t="s">
        <v>81</v>
      </c>
      <c r="B7" s="5">
        <v>592060</v>
      </c>
      <c r="C7" s="5">
        <v>244472</v>
      </c>
      <c r="D7" s="5">
        <v>951883.8</v>
      </c>
      <c r="E7" s="5">
        <v>307092.44</v>
      </c>
      <c r="F7" s="5">
        <v>328953.51</v>
      </c>
      <c r="G7" s="5">
        <v>858739.77</v>
      </c>
      <c r="H7" s="5">
        <v>298508.38</v>
      </c>
      <c r="I7" s="5">
        <v>442640</v>
      </c>
      <c r="J7" s="5">
        <v>731222</v>
      </c>
      <c r="K7" s="5">
        <v>48675</v>
      </c>
      <c r="L7" s="5">
        <v>302899.71000000002</v>
      </c>
      <c r="M7" s="5">
        <v>182945</v>
      </c>
      <c r="N7" s="284">
        <f t="shared" ref="N7:N16" si="0">SUM(B7:M7)</f>
        <v>5290091.6100000003</v>
      </c>
    </row>
    <row r="8" spans="1:16" x14ac:dyDescent="0.2">
      <c r="A8" s="27" t="s">
        <v>79</v>
      </c>
      <c r="B8" s="5">
        <v>0</v>
      </c>
      <c r="C8" s="5">
        <v>0</v>
      </c>
      <c r="D8" s="5">
        <v>0</v>
      </c>
      <c r="E8" s="5">
        <v>0</v>
      </c>
      <c r="F8" s="5">
        <v>1346092.5</v>
      </c>
      <c r="G8" s="5">
        <v>1860277.5</v>
      </c>
      <c r="H8" s="5">
        <v>3820317.5</v>
      </c>
      <c r="I8" s="5">
        <v>4640457.5</v>
      </c>
      <c r="J8" s="5">
        <v>3227214.16</v>
      </c>
      <c r="K8" s="5">
        <v>1454021.42</v>
      </c>
      <c r="L8" s="5">
        <v>-6041.34</v>
      </c>
      <c r="M8" s="5">
        <v>-2649</v>
      </c>
      <c r="N8" s="302">
        <f>SUM(B8:M8)</f>
        <v>16339690.24</v>
      </c>
      <c r="O8" s="362" t="s">
        <v>12</v>
      </c>
    </row>
    <row r="9" spans="1:16" ht="16.5" x14ac:dyDescent="0.2">
      <c r="A9" s="27" t="s">
        <v>168</v>
      </c>
      <c r="B9" s="5">
        <v>1466662.15</v>
      </c>
      <c r="C9" s="5">
        <v>1554822.16</v>
      </c>
      <c r="D9" s="5">
        <v>1587584.89</v>
      </c>
      <c r="E9" s="5">
        <v>1514525.24</v>
      </c>
      <c r="F9" s="5">
        <v>1517991.77</v>
      </c>
      <c r="G9" s="5">
        <v>1589919.56</v>
      </c>
      <c r="H9" s="5">
        <v>1771603.21</v>
      </c>
      <c r="I9" s="5">
        <v>1774825.45</v>
      </c>
      <c r="J9" s="5">
        <v>1736817.67</v>
      </c>
      <c r="K9" s="348">
        <v>1694136.79</v>
      </c>
      <c r="L9" s="348">
        <v>1768394.04</v>
      </c>
      <c r="M9" s="479">
        <v>1720742.89</v>
      </c>
      <c r="N9" s="284">
        <f t="shared" si="0"/>
        <v>19698025.82</v>
      </c>
    </row>
    <row r="10" spans="1:16" x14ac:dyDescent="0.2">
      <c r="A10" s="27" t="s">
        <v>130</v>
      </c>
      <c r="B10" s="5">
        <v>0</v>
      </c>
      <c r="C10" s="5">
        <v>0</v>
      </c>
      <c r="D10" s="5">
        <v>0</v>
      </c>
      <c r="E10" s="5">
        <v>0</v>
      </c>
      <c r="F10" s="5">
        <v>0</v>
      </c>
      <c r="G10" s="5">
        <v>0</v>
      </c>
      <c r="H10" s="5">
        <v>0</v>
      </c>
      <c r="I10" s="5">
        <v>0</v>
      </c>
      <c r="J10" s="5">
        <v>0</v>
      </c>
      <c r="K10" s="5">
        <v>0</v>
      </c>
      <c r="L10" s="5">
        <v>0</v>
      </c>
      <c r="M10" s="5">
        <v>0</v>
      </c>
      <c r="N10" s="284">
        <f t="shared" si="0"/>
        <v>0</v>
      </c>
    </row>
    <row r="11" spans="1:16" x14ac:dyDescent="0.2">
      <c r="A11" s="285" t="s">
        <v>72</v>
      </c>
      <c r="B11" s="5">
        <v>0</v>
      </c>
      <c r="C11" s="5">
        <v>0</v>
      </c>
      <c r="D11" s="5">
        <v>-43040.86</v>
      </c>
      <c r="E11" s="5">
        <v>-118028.07</v>
      </c>
      <c r="F11" s="5">
        <v>147312.49</v>
      </c>
      <c r="G11" s="5">
        <v>13756.44</v>
      </c>
      <c r="H11" s="5">
        <v>0</v>
      </c>
      <c r="I11" s="5">
        <v>137494.14000000001</v>
      </c>
      <c r="J11" s="5">
        <v>256946.81</v>
      </c>
      <c r="K11" s="5">
        <v>205012.4</v>
      </c>
      <c r="L11" s="5">
        <v>868725.91</v>
      </c>
      <c r="M11" s="5">
        <v>-74419.570000000007</v>
      </c>
      <c r="N11" s="284">
        <f t="shared" si="0"/>
        <v>1393759.6899999997</v>
      </c>
    </row>
    <row r="12" spans="1:16" ht="12.75" customHeight="1" x14ac:dyDescent="0.2">
      <c r="A12" s="285" t="s">
        <v>73</v>
      </c>
      <c r="B12" s="5">
        <v>0</v>
      </c>
      <c r="C12" s="5">
        <v>0</v>
      </c>
      <c r="D12" s="5">
        <v>0</v>
      </c>
      <c r="E12" s="5">
        <v>0</v>
      </c>
      <c r="F12" s="5">
        <v>0</v>
      </c>
      <c r="G12" s="5">
        <v>0</v>
      </c>
      <c r="H12" s="5">
        <v>0</v>
      </c>
      <c r="I12" s="5">
        <v>0</v>
      </c>
      <c r="J12" s="5">
        <v>0</v>
      </c>
      <c r="K12" s="5">
        <v>3581.43</v>
      </c>
      <c r="L12" s="5">
        <v>0</v>
      </c>
      <c r="M12" s="5">
        <v>0</v>
      </c>
      <c r="N12" s="284">
        <f t="shared" si="0"/>
        <v>3581.43</v>
      </c>
      <c r="O12" s="286"/>
    </row>
    <row r="13" spans="1:16" ht="37.5" customHeight="1" x14ac:dyDescent="0.2">
      <c r="A13" s="151" t="s">
        <v>173</v>
      </c>
      <c r="B13" s="52">
        <v>0</v>
      </c>
      <c r="C13" s="52">
        <v>0</v>
      </c>
      <c r="D13" s="52">
        <v>0</v>
      </c>
      <c r="E13" s="52">
        <v>0</v>
      </c>
      <c r="F13" s="52">
        <v>0</v>
      </c>
      <c r="G13" s="52">
        <v>0</v>
      </c>
      <c r="H13" s="52">
        <v>0</v>
      </c>
      <c r="I13" s="52">
        <v>0</v>
      </c>
      <c r="J13" s="52">
        <v>0</v>
      </c>
      <c r="K13" s="52">
        <v>0</v>
      </c>
      <c r="L13" s="52">
        <v>0</v>
      </c>
      <c r="M13" s="52">
        <v>0</v>
      </c>
      <c r="N13" s="287">
        <f t="shared" si="0"/>
        <v>0</v>
      </c>
      <c r="O13" s="288"/>
    </row>
    <row r="14" spans="1:16" ht="13.5" x14ac:dyDescent="0.2">
      <c r="A14" s="94" t="s">
        <v>199</v>
      </c>
      <c r="B14" s="52">
        <v>54000</v>
      </c>
      <c r="C14" s="52">
        <v>-67907.87</v>
      </c>
      <c r="D14" s="52">
        <v>-244472.13</v>
      </c>
      <c r="E14" s="52">
        <v>-47249.99</v>
      </c>
      <c r="F14" s="52"/>
      <c r="G14" s="52"/>
      <c r="H14" s="52"/>
      <c r="I14" s="52"/>
      <c r="J14" s="52">
        <v>8950</v>
      </c>
      <c r="K14" s="52"/>
      <c r="L14" s="52">
        <v>0</v>
      </c>
      <c r="M14" s="52">
        <v>94375</v>
      </c>
      <c r="N14" s="287">
        <f t="shared" si="0"/>
        <v>-202304.99</v>
      </c>
      <c r="O14" s="288"/>
    </row>
    <row r="15" spans="1:16" x14ac:dyDescent="0.2">
      <c r="A15" s="285" t="s">
        <v>144</v>
      </c>
      <c r="B15" s="5">
        <v>0</v>
      </c>
      <c r="C15" s="5">
        <v>0</v>
      </c>
      <c r="D15" s="5">
        <v>0</v>
      </c>
      <c r="E15" s="5">
        <v>0</v>
      </c>
      <c r="F15" s="5">
        <v>0</v>
      </c>
      <c r="G15" s="5">
        <v>0</v>
      </c>
      <c r="H15" s="5">
        <v>0</v>
      </c>
      <c r="I15" s="5">
        <v>0</v>
      </c>
      <c r="J15" s="5">
        <v>0</v>
      </c>
      <c r="K15" s="5">
        <v>1019318</v>
      </c>
      <c r="L15" s="52">
        <v>0</v>
      </c>
      <c r="M15" s="52">
        <v>0</v>
      </c>
      <c r="N15" s="284">
        <f t="shared" si="0"/>
        <v>1019318</v>
      </c>
      <c r="O15" s="288"/>
      <c r="P15" s="288"/>
    </row>
    <row r="16" spans="1:16" ht="13.5" x14ac:dyDescent="0.2">
      <c r="A16" s="478" t="s">
        <v>220</v>
      </c>
      <c r="B16" s="5">
        <v>0</v>
      </c>
      <c r="C16" s="5">
        <v>0</v>
      </c>
      <c r="D16" s="5">
        <v>0</v>
      </c>
      <c r="E16" s="5">
        <v>0</v>
      </c>
      <c r="F16" s="5">
        <v>0</v>
      </c>
      <c r="G16" s="5">
        <v>0</v>
      </c>
      <c r="H16" s="5">
        <v>0</v>
      </c>
      <c r="I16" s="5">
        <v>0</v>
      </c>
      <c r="J16" s="5">
        <v>0</v>
      </c>
      <c r="K16" s="5">
        <v>0</v>
      </c>
      <c r="L16" s="5">
        <v>0</v>
      </c>
      <c r="M16" s="5">
        <v>0</v>
      </c>
      <c r="N16" s="284">
        <f t="shared" si="0"/>
        <v>0</v>
      </c>
      <c r="O16" s="288"/>
      <c r="P16" s="288"/>
    </row>
    <row r="17" spans="1:14" ht="14.25" x14ac:dyDescent="0.2">
      <c r="A17" s="1" t="s">
        <v>221</v>
      </c>
      <c r="B17" s="3">
        <f t="shared" ref="B17:N17" si="1">SUM(B7:B16)</f>
        <v>2112722.15</v>
      </c>
      <c r="C17" s="3">
        <f t="shared" si="1"/>
        <v>1731386.29</v>
      </c>
      <c r="D17" s="3">
        <f t="shared" si="1"/>
        <v>2251955.7000000002</v>
      </c>
      <c r="E17" s="3">
        <f t="shared" si="1"/>
        <v>1656339.6199999999</v>
      </c>
      <c r="F17" s="3">
        <f t="shared" si="1"/>
        <v>3340350.2700000005</v>
      </c>
      <c r="G17" s="3">
        <f t="shared" si="1"/>
        <v>4322693.2700000005</v>
      </c>
      <c r="H17" s="3">
        <f t="shared" si="1"/>
        <v>5890429.0899999999</v>
      </c>
      <c r="I17" s="3">
        <f t="shared" si="1"/>
        <v>6995417.0899999999</v>
      </c>
      <c r="J17" s="3">
        <f t="shared" si="1"/>
        <v>5961150.6399999997</v>
      </c>
      <c r="K17" s="3">
        <f t="shared" si="1"/>
        <v>4424745.04</v>
      </c>
      <c r="L17" s="3">
        <f t="shared" si="1"/>
        <v>2933978.32</v>
      </c>
      <c r="M17" s="3">
        <f t="shared" si="1"/>
        <v>1920994.3199999998</v>
      </c>
      <c r="N17" s="21">
        <f t="shared" si="1"/>
        <v>43542161.799999997</v>
      </c>
    </row>
    <row r="18" spans="1:14" x14ac:dyDescent="0.2">
      <c r="A18" s="285"/>
      <c r="B18" s="2"/>
      <c r="C18" s="2"/>
      <c r="D18" s="2"/>
      <c r="E18" s="2"/>
      <c r="F18" s="2"/>
      <c r="G18" s="2"/>
      <c r="H18" s="2"/>
      <c r="I18" s="2"/>
      <c r="J18" s="2"/>
      <c r="K18" s="2"/>
      <c r="L18" s="2"/>
      <c r="M18" s="2"/>
      <c r="N18" s="289"/>
    </row>
    <row r="19" spans="1:14" ht="13.5" thickBot="1" x14ac:dyDescent="0.25">
      <c r="A19" s="290"/>
      <c r="B19" s="7"/>
      <c r="C19" s="7"/>
      <c r="D19" s="7"/>
      <c r="E19" s="7"/>
      <c r="F19" s="7"/>
      <c r="G19" s="7"/>
      <c r="H19" s="7"/>
      <c r="I19" s="7"/>
      <c r="J19" s="7"/>
      <c r="K19" s="7"/>
      <c r="L19" s="7"/>
      <c r="M19" s="7"/>
      <c r="N19" s="291"/>
    </row>
    <row r="20" spans="1:14" ht="9" customHeight="1" thickBot="1" x14ac:dyDescent="0.25">
      <c r="A20" s="292"/>
      <c r="B20" s="2"/>
      <c r="C20" s="2"/>
      <c r="D20" s="2"/>
      <c r="E20" s="2"/>
      <c r="F20" s="2"/>
      <c r="G20" s="2"/>
      <c r="H20" s="2"/>
      <c r="I20" s="2"/>
      <c r="J20" s="2"/>
      <c r="K20" s="2"/>
      <c r="L20" s="2"/>
      <c r="M20" s="2"/>
      <c r="N20" s="289"/>
    </row>
    <row r="21" spans="1:14" ht="20.25" customHeight="1" thickBot="1" x14ac:dyDescent="0.25">
      <c r="A21" s="293" t="s">
        <v>145</v>
      </c>
      <c r="B21" s="294">
        <v>0</v>
      </c>
      <c r="C21" s="9">
        <v>0</v>
      </c>
      <c r="D21" s="9">
        <v>0</v>
      </c>
      <c r="E21" s="9">
        <v>0</v>
      </c>
      <c r="F21" s="9">
        <v>0</v>
      </c>
      <c r="G21" s="9">
        <v>0</v>
      </c>
      <c r="H21" s="86">
        <v>0</v>
      </c>
      <c r="I21" s="86">
        <v>0</v>
      </c>
      <c r="J21" s="86">
        <v>0</v>
      </c>
      <c r="K21" s="86">
        <v>0</v>
      </c>
      <c r="L21" s="86">
        <v>0</v>
      </c>
      <c r="M21" s="86">
        <v>0</v>
      </c>
      <c r="N21" s="295">
        <f>SUM(B21:M21)</f>
        <v>0</v>
      </c>
    </row>
    <row r="22" spans="1:14" s="34" customFormat="1" ht="15.75" customHeight="1" x14ac:dyDescent="0.2">
      <c r="A22" s="472" t="s">
        <v>224</v>
      </c>
      <c r="B22" s="473"/>
      <c r="C22" s="37"/>
      <c r="D22" s="37"/>
      <c r="E22" s="37"/>
      <c r="F22" s="37"/>
      <c r="G22" s="37"/>
      <c r="H22" s="47"/>
      <c r="I22" s="47"/>
      <c r="J22" s="47"/>
      <c r="K22" s="47"/>
      <c r="L22" s="47"/>
      <c r="M22" s="47"/>
      <c r="N22" s="37"/>
    </row>
    <row r="23" spans="1:14" s="34" customFormat="1" ht="12.75" customHeight="1" x14ac:dyDescent="0.2">
      <c r="A23" s="477" t="s">
        <v>225</v>
      </c>
      <c r="B23" s="474"/>
      <c r="C23" s="474"/>
      <c r="D23" s="474"/>
      <c r="E23" s="474"/>
      <c r="F23" s="474"/>
      <c r="G23" s="474"/>
      <c r="H23" s="474"/>
      <c r="I23" s="474"/>
      <c r="J23" s="474"/>
      <c r="K23" s="474"/>
      <c r="L23" s="474"/>
      <c r="M23" s="474"/>
      <c r="N23" s="474"/>
    </row>
    <row r="24" spans="1:14" s="463" customFormat="1" ht="15" customHeight="1" x14ac:dyDescent="0.2">
      <c r="A24" s="477" t="s">
        <v>226</v>
      </c>
      <c r="B24" s="475"/>
      <c r="C24" s="475"/>
      <c r="D24" s="475"/>
      <c r="E24" s="475"/>
      <c r="F24" s="475"/>
      <c r="G24" s="476"/>
      <c r="H24" s="476"/>
      <c r="I24" s="476"/>
      <c r="J24" s="476"/>
      <c r="K24" s="476"/>
      <c r="L24" s="476"/>
      <c r="M24" s="476"/>
      <c r="N24" s="476"/>
    </row>
    <row r="25" spans="1:14" s="34" customFormat="1" ht="13.5" x14ac:dyDescent="0.2">
      <c r="A25" s="477" t="s">
        <v>227</v>
      </c>
      <c r="B25" s="49"/>
      <c r="C25" s="49"/>
      <c r="D25" s="49"/>
      <c r="E25" s="49"/>
      <c r="F25" s="49"/>
      <c r="G25" s="49"/>
      <c r="H25" s="49"/>
      <c r="I25" s="49"/>
      <c r="J25" s="49"/>
      <c r="K25" s="49"/>
      <c r="L25" s="49"/>
      <c r="M25" s="49"/>
      <c r="N25" s="49"/>
    </row>
    <row r="26" spans="1:14" x14ac:dyDescent="0.2">
      <c r="A26" s="54"/>
      <c r="B26" s="54"/>
      <c r="C26" s="54"/>
      <c r="D26" s="54"/>
      <c r="E26" s="54"/>
      <c r="F26" s="54"/>
      <c r="G26" s="54"/>
      <c r="H26" s="54"/>
      <c r="I26" s="54"/>
      <c r="J26" s="54"/>
      <c r="K26" s="54"/>
      <c r="L26" s="54"/>
      <c r="M26" s="54"/>
      <c r="N26" s="54"/>
    </row>
  </sheetData>
  <sheetProtection password="C511" sheet="1" objects="1" scenarios="1"/>
  <phoneticPr fontId="0" type="noConversion"/>
  <printOptions horizontalCentered="1"/>
  <pageMargins left="0" right="0" top="0.93854166666666705" bottom="0.25" header="0.13" footer="0.1"/>
  <pageSetup scale="72" orientation="landscape" cellComments="atEnd" r:id="rId1"/>
  <headerFooter alignWithMargins="0">
    <oddHeader>&amp;C&amp;"Arial,Bold"Table I-5 
Pacific Gas and Electric Company 
 Demand Response Programs
Total Embedded Cost and Revenues
December 2011</oddHeader>
    <oddFooter>&amp;L&amp;F&amp;CPage 9 of 11&amp;R&amp;A</oddFooter>
  </headerFooter>
  <ignoredErrors>
    <ignoredError sqref="N14:N16 C17:F17 H17:L17 N7:N13"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5A7C31AD6C2E469C9C2F055F88C4AD" ma:contentTypeVersion="0" ma:contentTypeDescription="Create a new document." ma:contentTypeScope="" ma:versionID="9ab4c19e677a814e7c989ca40986430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A2D5705-FAEC-4B1D-984F-ABD08886A85F}">
  <ds:schemaRefs>
    <ds:schemaRef ds:uri="http://schemas.microsoft.com/sharepoint/v3/contenttype/forms"/>
  </ds:schemaRefs>
</ds:datastoreItem>
</file>

<file path=customXml/itemProps2.xml><?xml version="1.0" encoding="utf-8"?>
<ds:datastoreItem xmlns:ds="http://schemas.openxmlformats.org/officeDocument/2006/customXml" ds:itemID="{02288F37-2161-4B51-B416-6D6BC0ED0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31D8BCD-ADF9-4C6B-8890-B6764FE9DFC3}">
  <ds:schemaRef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Report Cover</vt:lpstr>
      <vt:lpstr>Cover Sheet Text</vt:lpstr>
      <vt:lpstr>Program MW</vt:lpstr>
      <vt:lpstr>Ex ante LI &amp; Eligibility Stats</vt:lpstr>
      <vt:lpstr>Ex post LI &amp; Eligibility Stats</vt:lpstr>
      <vt:lpstr>TA-TI Distribution</vt:lpstr>
      <vt:lpstr>DREBA Expenses</vt:lpstr>
      <vt:lpstr>Event Summary</vt:lpstr>
      <vt:lpstr>Incentives</vt:lpstr>
      <vt:lpstr>ACEBA Expenses</vt:lpstr>
      <vt:lpstr>Shift Fund Log</vt:lpstr>
      <vt:lpstr>'ACEBA Expenses'!Print_Area</vt:lpstr>
      <vt:lpstr>'Event Summary'!Print_Area</vt:lpstr>
      <vt:lpstr>'Ex ante LI &amp; Eligibility Stats'!Print_Area</vt:lpstr>
      <vt:lpstr>'Ex post LI &amp; Eligibility Stats'!Print_Area</vt:lpstr>
      <vt:lpstr>Incentives!Print_Area</vt:lpstr>
      <vt:lpstr>'Program MW'!Print_Area</vt:lpstr>
      <vt:lpstr>'Report Cover'!Print_Area</vt:lpstr>
      <vt:lpstr>'TA-TI Distribution'!Print_Area</vt:lpstr>
      <vt:lpstr>'DREBA Expenses'!Print_Titles</vt:lpstr>
      <vt:lpstr>'Ex ante LI &amp; Eligibility Stats'!Print_Titles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1970-01-01T08:00:00Z</cp:lastPrinted>
  <dcterms:created xsi:type="dcterms:W3CDTF">1970-01-01T08:00:00Z</dcterms:created>
  <dcterms:modified xsi:type="dcterms:W3CDTF">2012-01-20T22:32:14Z</dcterms:modified>
</cp:coreProperties>
</file>