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CEB8" lockStructure="1"/>
  <bookViews>
    <workbookView xWindow="-15" yWindow="-15" windowWidth="4680" windowHeight="11640" tabRatio="888"/>
  </bookViews>
  <sheets>
    <sheet name="Report Cover" sheetId="11" r:id="rId1"/>
    <sheet name="Cover Sheet Text" sheetId="10" r:id="rId2"/>
    <sheet name="Program MW" sheetId="1" r:id="rId3"/>
    <sheet name="Ex ante LI &amp; Eligibility Stats" sheetId="2" r:id="rId4"/>
    <sheet name="Ex post LI &amp; Eligibility Stats" sheetId="3" r:id="rId5"/>
    <sheet name="TA-TI Distribution" sheetId="4" r:id="rId6"/>
    <sheet name="DREBA Expenses" sheetId="5" r:id="rId7"/>
    <sheet name="Event Summary" sheetId="6" r:id="rId8"/>
    <sheet name="Incentives" sheetId="7" r:id="rId9"/>
    <sheet name="ACEBA Expenses" sheetId="8" r:id="rId10"/>
    <sheet name="Shift Fund Log" sheetId="9" r:id="rId11"/>
  </sheets>
  <externalReferences>
    <externalReference r:id="rId12"/>
    <externalReference r:id="rId13"/>
  </externalReferences>
  <definedNames>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xlnm._FilterDatabase" localSheetId="7" hidden="1">'Event Summary'!$A$3:$H$3</definedName>
    <definedName name="_xlnm._FilterDatabase" localSheetId="2" hidden="1">'Program MW'!$A$8:$AL$30</definedName>
    <definedName name="_xlnm._FilterDatabase" localSheetId="5" hidden="1">'TA-TI Distribution'!$A$4:$Y$17</definedName>
    <definedName name="Achieve_GRC">#REF!</definedName>
    <definedName name="Achieve_Service_Excellenc">#REF!</definedName>
    <definedName name="Achieve_Service_Excellence">#REF!</definedName>
    <definedName name="Collect_Revenue">#REF!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3">#REF!</definedName>
    <definedName name="DATA4">#REF!</definedName>
    <definedName name="DATA5">#REF!</definedName>
    <definedName name="data5000">'[1]ACTMA Detail'!$N$2:$N$102</definedName>
    <definedName name="DATA6">#REF!</definedName>
    <definedName name="DATA7">#REF!</definedName>
    <definedName name="DATA8">#REF!</definedName>
    <definedName name="DATA9">#REF!</definedName>
    <definedName name="Enhance_Delivery_Channels">#REF!</definedName>
    <definedName name="Ethics_and_Compliance">#REF!</definedName>
    <definedName name="Launch_Refine_Market">#REF!</definedName>
    <definedName name="Manage_AMI">#REF!</definedName>
    <definedName name="Meet_Financial_Targets">#REF!</definedName>
    <definedName name="nnnnnn">'[1]ACTMA Detail'!$P$2:$P$102</definedName>
    <definedName name="_xlnm.Print_Area" localSheetId="9">'ACEBA Expenses'!$A$2:$O$10</definedName>
    <definedName name="_xlnm.Print_Area" localSheetId="7">'Event Summary'!$A$1:$H$62</definedName>
    <definedName name="_xlnm.Print_Area" localSheetId="3">'Ex ante LI &amp; Eligibility Stats'!$A$1:$O$23</definedName>
    <definedName name="_xlnm.Print_Area" localSheetId="4">'Ex post LI &amp; Eligibility Stats'!$A$1:$O$29</definedName>
    <definedName name="_xlnm.Print_Area" localSheetId="8">Incentives!$A$1:$N$26</definedName>
    <definedName name="_xlnm.Print_Area" localSheetId="2">'Program MW'!$A$1:$T$62</definedName>
    <definedName name="_xlnm.Print_Area" localSheetId="5">'TA-TI Distribution'!$A$1:$Y$69</definedName>
    <definedName name="_xlnm.Print_Titles" localSheetId="6">'DREBA Expenses'!$4:$5</definedName>
    <definedName name="_xlnm.Print_Titles" localSheetId="3">'Ex ante LI &amp; Eligibility Stats'!$5:$6</definedName>
    <definedName name="Reliability_Expectations">#REF!</definedName>
    <definedName name="Stabilization_Customer_Base">#REF!</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Valued_Service_Provider">#REF!</definedName>
    <definedName name="Voice_of_Customer">#REF!</definedName>
    <definedName name="Z_E5DF83AA_DC53_4EBF_A523_33DA0FE284E8_.wvu.Cols" localSheetId="9" hidden="1">'ACEBA Expenses'!$B:$B</definedName>
    <definedName name="Z_E5DF83AA_DC53_4EBF_A523_33DA0FE284E8_.wvu.PrintArea" localSheetId="9" hidden="1">'ACEBA Expenses'!$A$1:$O$10</definedName>
    <definedName name="Z_E5DF83AA_DC53_4EBF_A523_33DA0FE284E8_.wvu.PrintArea" localSheetId="4" hidden="1">'Ex post LI &amp; Eligibility Stats'!$A$1:$O$29</definedName>
    <definedName name="Z_E5DF83AA_DC53_4EBF_A523_33DA0FE284E8_.wvu.PrintArea" localSheetId="8" hidden="1">Incentives!$A$1:$N$26</definedName>
    <definedName name="Z_E5DF83AA_DC53_4EBF_A523_33DA0FE284E8_.wvu.PrintArea" localSheetId="2" hidden="1">'Program MW'!$A$1:$Z$68</definedName>
    <definedName name="Z_E5DF83AA_DC53_4EBF_A523_33DA0FE284E8_.wvu.PrintArea" localSheetId="5" hidden="1">'TA-TI Distribution'!#REF!</definedName>
    <definedName name="Z_E5DF83AA_DC53_4EBF_A523_33DA0FE284E8_.wvu.PrintTitles" localSheetId="6" hidden="1">'DREBA Expenses'!$4:$5</definedName>
    <definedName name="Z_E5DF83AA_DC53_4EBF_A523_33DA0FE284E8_.wvu.Rows" localSheetId="9" hidden="1">'ACEBA Expenses'!$6:$6</definedName>
  </definedNames>
  <calcPr calcId="145621"/>
  <customWorkbookViews>
    <customWorkbookView name="Kwan, Ulric - Personal View" guid="{E5DF83AA-DC53-4EBF-A523-33DA0FE284E8}" mergeInterval="0" personalView="1" maximized="1" xWindow="1" yWindow="1" windowWidth="1280" windowHeight="808" tabRatio="887" activeSheetId="1"/>
  </customWorkbookViews>
</workbook>
</file>

<file path=xl/calcChain.xml><?xml version="1.0" encoding="utf-8"?>
<calcChain xmlns="http://schemas.openxmlformats.org/spreadsheetml/2006/main">
  <c r="P67" i="5" l="1"/>
  <c r="P66" i="5"/>
  <c r="P65" i="5"/>
  <c r="Q63" i="5"/>
  <c r="P62" i="5"/>
  <c r="P61" i="5"/>
  <c r="P60" i="5"/>
  <c r="P59" i="5"/>
  <c r="P58" i="5"/>
  <c r="P63" i="5" s="1"/>
  <c r="Q55" i="5"/>
  <c r="P54" i="5"/>
  <c r="P53" i="5"/>
  <c r="P55" i="5" s="1"/>
  <c r="Q50" i="5"/>
  <c r="P49" i="5"/>
  <c r="P50" i="5" s="1"/>
  <c r="P48" i="5"/>
  <c r="Q45" i="5"/>
  <c r="P44" i="5"/>
  <c r="P45" i="5" s="1"/>
  <c r="Q41" i="5"/>
  <c r="P40" i="5"/>
  <c r="P41" i="5" s="1"/>
  <c r="Q37" i="5"/>
  <c r="P36" i="5"/>
  <c r="P35" i="5"/>
  <c r="P34" i="5"/>
  <c r="P33" i="5"/>
  <c r="P32" i="5"/>
  <c r="P37" i="5" s="1"/>
  <c r="Q29" i="5"/>
  <c r="P28" i="5"/>
  <c r="P27" i="5"/>
  <c r="P26" i="5"/>
  <c r="P25" i="5"/>
  <c r="P29" i="5" s="1"/>
  <c r="P24" i="5"/>
  <c r="Q21" i="5"/>
  <c r="P20" i="5"/>
  <c r="P19" i="5"/>
  <c r="P18" i="5"/>
  <c r="P21" i="5" s="1"/>
  <c r="Q15" i="5"/>
  <c r="P15" i="5"/>
  <c r="P14" i="5"/>
  <c r="P13" i="5"/>
  <c r="P12" i="5"/>
  <c r="Q9" i="5"/>
  <c r="Q68" i="5" s="1"/>
  <c r="P8" i="5"/>
  <c r="P7" i="5"/>
  <c r="P9" i="5" s="1"/>
  <c r="P68" i="5" s="1"/>
  <c r="O15" i="5"/>
  <c r="R64" i="4" l="1"/>
  <c r="M8" i="8" l="1"/>
  <c r="L8" i="8"/>
  <c r="K8" i="8"/>
  <c r="J8" i="8"/>
  <c r="I8" i="8"/>
  <c r="H8" i="8"/>
  <c r="G8" i="8"/>
  <c r="F8" i="8"/>
  <c r="E8" i="8"/>
  <c r="D8" i="8"/>
  <c r="C8" i="8"/>
  <c r="O47" i="4" l="1"/>
  <c r="O48" i="4"/>
  <c r="O49" i="4"/>
  <c r="O50" i="4"/>
  <c r="O46" i="4"/>
  <c r="S46" i="4" s="1"/>
  <c r="O45" i="4"/>
  <c r="S45" i="4" s="1"/>
  <c r="O40" i="4"/>
  <c r="S40" i="4" s="1"/>
  <c r="O39" i="4"/>
  <c r="S39" i="4" s="1"/>
  <c r="S47" i="4"/>
  <c r="O41" i="4"/>
  <c r="T55" i="4"/>
  <c r="T56" i="4"/>
  <c r="T57" i="4"/>
  <c r="T58" i="4"/>
  <c r="T54" i="4"/>
  <c r="S55" i="4"/>
  <c r="S56" i="4"/>
  <c r="S57" i="4"/>
  <c r="S58" i="4"/>
  <c r="S54" i="4"/>
  <c r="T40" i="4"/>
  <c r="T41" i="4"/>
  <c r="T42" i="4"/>
  <c r="T43" i="4"/>
  <c r="T44" i="4"/>
  <c r="T45" i="4"/>
  <c r="T46" i="4"/>
  <c r="T47" i="4"/>
  <c r="T48" i="4"/>
  <c r="T49" i="4"/>
  <c r="T50" i="4"/>
  <c r="T39" i="4"/>
  <c r="S44" i="4"/>
  <c r="S48" i="4"/>
  <c r="S49" i="4"/>
  <c r="S50" i="4"/>
  <c r="S43" i="4"/>
  <c r="S42" i="4"/>
  <c r="S41" i="4"/>
  <c r="O44" i="4"/>
  <c r="O43" i="4"/>
  <c r="O42" i="4"/>
  <c r="N64" i="4" l="1"/>
  <c r="P55" i="4" l="1"/>
  <c r="P56" i="4"/>
  <c r="P57" i="4"/>
  <c r="P58" i="4"/>
  <c r="P54" i="4"/>
  <c r="P44" i="4"/>
  <c r="P45" i="4"/>
  <c r="P46" i="4"/>
  <c r="P47" i="4"/>
  <c r="P48" i="4"/>
  <c r="P49" i="4"/>
  <c r="P50" i="4"/>
  <c r="P43" i="4"/>
  <c r="P40" i="4"/>
  <c r="P39" i="4"/>
  <c r="P42" i="4"/>
  <c r="P41" i="4"/>
  <c r="N8" i="7" l="1"/>
  <c r="H55" i="4"/>
  <c r="L55" i="4"/>
  <c r="O55" i="4" s="1"/>
  <c r="Q55" i="4" s="1"/>
  <c r="H56" i="4"/>
  <c r="L56" i="4"/>
  <c r="O56" i="4" s="1"/>
  <c r="Q56" i="4" s="1"/>
  <c r="H57" i="4"/>
  <c r="L57" i="4"/>
  <c r="O57" i="4" s="1"/>
  <c r="Q57" i="4" s="1"/>
  <c r="H58" i="4"/>
  <c r="L58" i="4"/>
  <c r="O58" i="4" s="1"/>
  <c r="Q58" i="4" s="1"/>
  <c r="H54" i="4"/>
  <c r="L54" i="4"/>
  <c r="O54" i="4" s="1"/>
  <c r="G55" i="4"/>
  <c r="K55" i="4"/>
  <c r="M55" i="4" s="1"/>
  <c r="G56" i="4"/>
  <c r="K56" i="4" s="1"/>
  <c r="M56" i="4" s="1"/>
  <c r="G57" i="4"/>
  <c r="K57" i="4"/>
  <c r="M57" i="4" s="1"/>
  <c r="G58" i="4"/>
  <c r="K58" i="4" s="1"/>
  <c r="M58" i="4" s="1"/>
  <c r="G54" i="4"/>
  <c r="K54" i="4"/>
  <c r="C50" i="4"/>
  <c r="G50" i="4"/>
  <c r="D50" i="4"/>
  <c r="H50" i="4"/>
  <c r="L50" i="4" s="1"/>
  <c r="Q50" i="4" s="1"/>
  <c r="C40" i="4"/>
  <c r="G40" i="4" s="1"/>
  <c r="D40" i="4"/>
  <c r="H40" i="4" s="1"/>
  <c r="L40" i="4" s="1"/>
  <c r="Q40" i="4" s="1"/>
  <c r="D41" i="4"/>
  <c r="H41" i="4"/>
  <c r="L41" i="4" s="1"/>
  <c r="Q41" i="4" s="1"/>
  <c r="D42" i="4"/>
  <c r="H42" i="4" s="1"/>
  <c r="L42" i="4" s="1"/>
  <c r="Q42" i="4" s="1"/>
  <c r="D43" i="4"/>
  <c r="H43" i="4"/>
  <c r="L43" i="4" s="1"/>
  <c r="Q43" i="4" s="1"/>
  <c r="D44" i="4"/>
  <c r="H44" i="4" s="1"/>
  <c r="L44" i="4" s="1"/>
  <c r="Q44" i="4" s="1"/>
  <c r="C45" i="4"/>
  <c r="G45" i="4"/>
  <c r="K45" i="4" s="1"/>
  <c r="D45" i="4"/>
  <c r="H45" i="4" s="1"/>
  <c r="L45" i="4" s="1"/>
  <c r="Q45" i="4" s="1"/>
  <c r="C46" i="4"/>
  <c r="G46" i="4"/>
  <c r="K46" i="4" s="1"/>
  <c r="D46" i="4"/>
  <c r="H46" i="4" s="1"/>
  <c r="L46" i="4" s="1"/>
  <c r="Q46" i="4" s="1"/>
  <c r="C47" i="4"/>
  <c r="G47" i="4"/>
  <c r="D47" i="4"/>
  <c r="H47" i="4"/>
  <c r="L47" i="4" s="1"/>
  <c r="Q47" i="4" s="1"/>
  <c r="C48" i="4"/>
  <c r="G48" i="4" s="1"/>
  <c r="I48" i="4" s="1"/>
  <c r="D48" i="4"/>
  <c r="H48" i="4"/>
  <c r="L48" i="4" s="1"/>
  <c r="Q48" i="4" s="1"/>
  <c r="C49" i="4"/>
  <c r="G49" i="4" s="1"/>
  <c r="D49" i="4"/>
  <c r="H49" i="4" s="1"/>
  <c r="L49" i="4" s="1"/>
  <c r="Q49" i="4" s="1"/>
  <c r="D39" i="4"/>
  <c r="H39" i="4"/>
  <c r="L39" i="4" s="1"/>
  <c r="C39" i="4"/>
  <c r="G39" i="4" s="1"/>
  <c r="K39" i="4" s="1"/>
  <c r="M39" i="4" s="1"/>
  <c r="I41" i="5"/>
  <c r="I15" i="5"/>
  <c r="I21" i="5"/>
  <c r="I63" i="5"/>
  <c r="I55" i="5"/>
  <c r="I50" i="5"/>
  <c r="W9" i="4"/>
  <c r="C43" i="4" s="1"/>
  <c r="H10" i="8"/>
  <c r="H9" i="5"/>
  <c r="H15" i="5"/>
  <c r="H21" i="5"/>
  <c r="H29" i="5"/>
  <c r="H37" i="5"/>
  <c r="H41" i="5"/>
  <c r="H45" i="5"/>
  <c r="H50" i="5"/>
  <c r="H55" i="5"/>
  <c r="H63" i="5"/>
  <c r="O10" i="4"/>
  <c r="S10" i="4" s="1"/>
  <c r="O8" i="4"/>
  <c r="S8" i="4" s="1"/>
  <c r="O7" i="4"/>
  <c r="S7" i="4" s="1"/>
  <c r="G16" i="4"/>
  <c r="G15" i="4"/>
  <c r="G14" i="4"/>
  <c r="G13" i="4"/>
  <c r="G12" i="4"/>
  <c r="G11" i="4"/>
  <c r="G10" i="4"/>
  <c r="G9" i="4"/>
  <c r="G8" i="4"/>
  <c r="G7" i="4"/>
  <c r="G6" i="4"/>
  <c r="G5" i="4"/>
  <c r="O66" i="5"/>
  <c r="O67" i="5"/>
  <c r="O65" i="5"/>
  <c r="O7" i="5"/>
  <c r="S7" i="5" s="1"/>
  <c r="B9" i="5"/>
  <c r="B15" i="5"/>
  <c r="B21" i="5"/>
  <c r="B29" i="5"/>
  <c r="B37" i="5"/>
  <c r="B41" i="5"/>
  <c r="B45" i="5"/>
  <c r="B50" i="5"/>
  <c r="B55" i="5"/>
  <c r="B63" i="5"/>
  <c r="B30" i="4"/>
  <c r="F30" i="4" s="1"/>
  <c r="B13" i="9"/>
  <c r="B11" i="9"/>
  <c r="B9" i="9"/>
  <c r="D10" i="8"/>
  <c r="E10" i="8"/>
  <c r="F10" i="8"/>
  <c r="G10" i="8"/>
  <c r="I10" i="8"/>
  <c r="J10" i="8"/>
  <c r="C10" i="8"/>
  <c r="C10" i="1"/>
  <c r="O18" i="5"/>
  <c r="O19" i="5"/>
  <c r="S19" i="5" s="1"/>
  <c r="O20" i="5"/>
  <c r="S20" i="5" s="1"/>
  <c r="D21" i="5"/>
  <c r="E21" i="5"/>
  <c r="F21" i="5"/>
  <c r="C21" i="5"/>
  <c r="J21" i="5"/>
  <c r="K21" i="5"/>
  <c r="L21" i="5"/>
  <c r="N21" i="5"/>
  <c r="G21" i="5"/>
  <c r="O24" i="5"/>
  <c r="N9" i="5"/>
  <c r="N15" i="5"/>
  <c r="O59" i="5"/>
  <c r="O58" i="5"/>
  <c r="O3" i="8"/>
  <c r="P51" i="4"/>
  <c r="F5" i="1"/>
  <c r="I5" i="1" s="1"/>
  <c r="I34" i="1" s="1"/>
  <c r="I55" i="1" s="1"/>
  <c r="R56" i="1"/>
  <c r="O56" i="1"/>
  <c r="C34" i="1"/>
  <c r="C56" i="1" s="1"/>
  <c r="R55" i="1"/>
  <c r="O55" i="1"/>
  <c r="R54" i="1"/>
  <c r="O54" i="1"/>
  <c r="R53" i="1"/>
  <c r="O53" i="1"/>
  <c r="C53" i="1"/>
  <c r="R52" i="1"/>
  <c r="O52" i="1"/>
  <c r="C52" i="1"/>
  <c r="R51" i="1"/>
  <c r="O51" i="1"/>
  <c r="C51" i="1"/>
  <c r="R50" i="1"/>
  <c r="O50" i="1"/>
  <c r="C50" i="1"/>
  <c r="R49" i="1"/>
  <c r="O49" i="1"/>
  <c r="C49" i="1"/>
  <c r="R48" i="1"/>
  <c r="O48" i="1"/>
  <c r="C48" i="1"/>
  <c r="R47" i="1"/>
  <c r="O47" i="1"/>
  <c r="C47" i="1"/>
  <c r="R46" i="1"/>
  <c r="O46" i="1"/>
  <c r="C46" i="1"/>
  <c r="R45" i="1"/>
  <c r="O45" i="1"/>
  <c r="C45" i="1"/>
  <c r="R42" i="1"/>
  <c r="O42" i="1"/>
  <c r="C42" i="1"/>
  <c r="R41" i="1"/>
  <c r="O41" i="1"/>
  <c r="C41" i="1"/>
  <c r="R40" i="1"/>
  <c r="O40" i="1"/>
  <c r="C40" i="1"/>
  <c r="R39" i="1"/>
  <c r="O39" i="1"/>
  <c r="C39" i="1"/>
  <c r="R38" i="1"/>
  <c r="R43" i="1"/>
  <c r="O38" i="1"/>
  <c r="C38" i="1"/>
  <c r="F28" i="1"/>
  <c r="C28" i="1"/>
  <c r="F27" i="1"/>
  <c r="C27" i="1"/>
  <c r="F26" i="1"/>
  <c r="C26" i="1"/>
  <c r="F25" i="1"/>
  <c r="C25" i="1"/>
  <c r="F24" i="1"/>
  <c r="C24" i="1"/>
  <c r="F23" i="1"/>
  <c r="C23" i="1"/>
  <c r="F22" i="1"/>
  <c r="C22" i="1"/>
  <c r="F21" i="1"/>
  <c r="C21" i="1"/>
  <c r="F20" i="1"/>
  <c r="C20" i="1"/>
  <c r="F19" i="1"/>
  <c r="C19" i="1"/>
  <c r="F18" i="1"/>
  <c r="C18" i="1"/>
  <c r="F17" i="1"/>
  <c r="F29" i="1" s="1"/>
  <c r="C17" i="1"/>
  <c r="F14" i="1"/>
  <c r="C14" i="1"/>
  <c r="F13" i="1"/>
  <c r="C13" i="1"/>
  <c r="F12" i="1"/>
  <c r="C12" i="1"/>
  <c r="F11" i="1"/>
  <c r="C11" i="1"/>
  <c r="C15" i="1" s="1"/>
  <c r="F10" i="1"/>
  <c r="F15" i="1" s="1"/>
  <c r="S56" i="1"/>
  <c r="P56" i="1"/>
  <c r="D56" i="1"/>
  <c r="S55" i="1"/>
  <c r="P55" i="1"/>
  <c r="D55" i="1"/>
  <c r="S54" i="1"/>
  <c r="P54" i="1"/>
  <c r="D54" i="1"/>
  <c r="S53" i="1"/>
  <c r="P53" i="1"/>
  <c r="D53" i="1"/>
  <c r="S52" i="1"/>
  <c r="P52" i="1"/>
  <c r="D52" i="1"/>
  <c r="S51" i="1"/>
  <c r="P51" i="1"/>
  <c r="D51" i="1"/>
  <c r="S50" i="1"/>
  <c r="P50" i="1"/>
  <c r="D50" i="1"/>
  <c r="S49" i="1"/>
  <c r="P49" i="1"/>
  <c r="D49" i="1"/>
  <c r="S48" i="1"/>
  <c r="P48" i="1"/>
  <c r="D48" i="1"/>
  <c r="S47" i="1"/>
  <c r="P47" i="1"/>
  <c r="D47" i="1"/>
  <c r="S46" i="1"/>
  <c r="P46" i="1"/>
  <c r="P45" i="1"/>
  <c r="P38" i="1"/>
  <c r="P39" i="1"/>
  <c r="P40" i="1"/>
  <c r="P41" i="1"/>
  <c r="P42" i="1"/>
  <c r="D46" i="1"/>
  <c r="D45" i="1"/>
  <c r="D38" i="1"/>
  <c r="D39" i="1"/>
  <c r="D40" i="1"/>
  <c r="D41" i="1"/>
  <c r="D42" i="1"/>
  <c r="S45" i="1"/>
  <c r="S42" i="1"/>
  <c r="S41" i="1"/>
  <c r="S40" i="1"/>
  <c r="S39" i="1"/>
  <c r="S38" i="1"/>
  <c r="G28" i="1"/>
  <c r="D28" i="1"/>
  <c r="G27" i="1"/>
  <c r="D27" i="1"/>
  <c r="G26" i="1"/>
  <c r="D26" i="1"/>
  <c r="G25" i="1"/>
  <c r="D25" i="1"/>
  <c r="G24" i="1"/>
  <c r="D24" i="1"/>
  <c r="G23" i="1"/>
  <c r="D23" i="1"/>
  <c r="G22" i="1"/>
  <c r="D22" i="1"/>
  <c r="G21" i="1"/>
  <c r="D21" i="1"/>
  <c r="G20" i="1"/>
  <c r="D20" i="1"/>
  <c r="G19" i="1"/>
  <c r="D19" i="1"/>
  <c r="G18" i="1"/>
  <c r="D18" i="1"/>
  <c r="D17" i="1"/>
  <c r="G17" i="1"/>
  <c r="G14" i="1"/>
  <c r="D14" i="1"/>
  <c r="G13" i="1"/>
  <c r="D13" i="1"/>
  <c r="G12" i="1"/>
  <c r="D12" i="1"/>
  <c r="G11" i="1"/>
  <c r="D11" i="1"/>
  <c r="G10" i="1"/>
  <c r="D10" i="1"/>
  <c r="D15" i="1" s="1"/>
  <c r="E40" i="4"/>
  <c r="E45" i="4"/>
  <c r="E46" i="4"/>
  <c r="E47" i="4"/>
  <c r="E48" i="4"/>
  <c r="E49" i="4"/>
  <c r="E50" i="4"/>
  <c r="Y21" i="4"/>
  <c r="Y22" i="4"/>
  <c r="Y23" i="4"/>
  <c r="Y24" i="4"/>
  <c r="Y20" i="4"/>
  <c r="U21" i="4"/>
  <c r="U22" i="4"/>
  <c r="U23" i="4"/>
  <c r="U24" i="4"/>
  <c r="U20" i="4"/>
  <c r="U25" i="4" s="1"/>
  <c r="Y11" i="4"/>
  <c r="Y12" i="4"/>
  <c r="Y13" i="4"/>
  <c r="Y14" i="4"/>
  <c r="Y15" i="4"/>
  <c r="Y16" i="4"/>
  <c r="Y9" i="4"/>
  <c r="Y6" i="4"/>
  <c r="Y5" i="4"/>
  <c r="U9" i="4"/>
  <c r="U11" i="4"/>
  <c r="U12" i="4"/>
  <c r="U13" i="4"/>
  <c r="U14" i="4"/>
  <c r="U15" i="4"/>
  <c r="U16" i="4"/>
  <c r="U6" i="4"/>
  <c r="U5" i="4"/>
  <c r="Q6" i="4"/>
  <c r="Q7" i="4"/>
  <c r="Q8" i="4"/>
  <c r="Q9" i="4"/>
  <c r="Q10" i="4"/>
  <c r="Q11" i="4"/>
  <c r="Q12" i="4"/>
  <c r="Q13" i="4"/>
  <c r="Q14" i="4"/>
  <c r="Q15" i="4"/>
  <c r="Q16" i="4"/>
  <c r="Q5" i="4"/>
  <c r="Q17" i="4"/>
  <c r="M6" i="4"/>
  <c r="M7" i="4"/>
  <c r="M8" i="4"/>
  <c r="M9" i="4"/>
  <c r="M10" i="4"/>
  <c r="M11" i="4"/>
  <c r="M12" i="4"/>
  <c r="M13" i="4"/>
  <c r="M14" i="4"/>
  <c r="M15" i="4"/>
  <c r="M16" i="4"/>
  <c r="M5" i="4"/>
  <c r="M17" i="4" s="1"/>
  <c r="E6" i="4"/>
  <c r="E7" i="4"/>
  <c r="E8" i="4"/>
  <c r="E9" i="4"/>
  <c r="E10" i="4"/>
  <c r="E11" i="4"/>
  <c r="E12" i="4"/>
  <c r="E13" i="4"/>
  <c r="E14" i="4"/>
  <c r="E15" i="4"/>
  <c r="E16" i="4"/>
  <c r="I6" i="4"/>
  <c r="I7" i="4"/>
  <c r="I8" i="4"/>
  <c r="I9" i="4"/>
  <c r="I10" i="4"/>
  <c r="I11" i="4"/>
  <c r="I12" i="4"/>
  <c r="I13" i="4"/>
  <c r="I14" i="4"/>
  <c r="I15" i="4"/>
  <c r="I16" i="4"/>
  <c r="I5" i="4"/>
  <c r="I17" i="4" s="1"/>
  <c r="R57" i="1"/>
  <c r="Q43" i="1"/>
  <c r="Q57" i="1"/>
  <c r="N43" i="1"/>
  <c r="N57" i="1"/>
  <c r="K43" i="1"/>
  <c r="K57" i="1"/>
  <c r="H43" i="1"/>
  <c r="H57" i="1"/>
  <c r="E43" i="1"/>
  <c r="E57" i="1"/>
  <c r="B43" i="1"/>
  <c r="B57" i="1"/>
  <c r="G5" i="1"/>
  <c r="G34" i="1" s="1"/>
  <c r="D5" i="1"/>
  <c r="D34" i="1" s="1"/>
  <c r="Q15" i="1"/>
  <c r="Q29" i="1"/>
  <c r="N15" i="1"/>
  <c r="N29" i="1"/>
  <c r="N30" i="1"/>
  <c r="K15" i="1"/>
  <c r="K29" i="1"/>
  <c r="K30" i="1" s="1"/>
  <c r="H15" i="1"/>
  <c r="H29" i="1"/>
  <c r="H30" i="1"/>
  <c r="G15" i="1"/>
  <c r="E15" i="1"/>
  <c r="E29" i="1"/>
  <c r="E30" i="1"/>
  <c r="B15" i="1"/>
  <c r="B29" i="1"/>
  <c r="B30" i="1" s="1"/>
  <c r="E37" i="5"/>
  <c r="V66" i="4"/>
  <c r="V68" i="4"/>
  <c r="R66" i="4"/>
  <c r="R68" i="4" s="1"/>
  <c r="N66" i="4"/>
  <c r="N68" i="4" s="1"/>
  <c r="Y66" i="4"/>
  <c r="X66" i="4"/>
  <c r="W66" i="4"/>
  <c r="U66" i="4"/>
  <c r="T66" i="4"/>
  <c r="S66" i="4"/>
  <c r="Q66" i="4"/>
  <c r="P66" i="4"/>
  <c r="O66" i="4"/>
  <c r="M66" i="4"/>
  <c r="L66" i="4"/>
  <c r="K66" i="4"/>
  <c r="I66" i="4"/>
  <c r="H66" i="4"/>
  <c r="G66" i="4"/>
  <c r="E66" i="4"/>
  <c r="D66" i="4"/>
  <c r="C66" i="4"/>
  <c r="Y39" i="4"/>
  <c r="Y40" i="4"/>
  <c r="Y41" i="4"/>
  <c r="Y42" i="4"/>
  <c r="Y43" i="4"/>
  <c r="Y44" i="4"/>
  <c r="Y45" i="4"/>
  <c r="Y46" i="4"/>
  <c r="Y47" i="4"/>
  <c r="Y48" i="4"/>
  <c r="Y49" i="4"/>
  <c r="Y50" i="4"/>
  <c r="Y54" i="4"/>
  <c r="Y55" i="4"/>
  <c r="Y56" i="4"/>
  <c r="Y57" i="4"/>
  <c r="Y58" i="4"/>
  <c r="Y59" i="4" s="1"/>
  <c r="X51" i="4"/>
  <c r="X59" i="4"/>
  <c r="X61" i="4" s="1"/>
  <c r="W51" i="4"/>
  <c r="W59" i="4"/>
  <c r="W61" i="4"/>
  <c r="U39" i="4"/>
  <c r="U40" i="4"/>
  <c r="U41" i="4"/>
  <c r="U42" i="4"/>
  <c r="U43" i="4"/>
  <c r="U44" i="4"/>
  <c r="U45" i="4"/>
  <c r="U46" i="4"/>
  <c r="U47" i="4"/>
  <c r="U48" i="4"/>
  <c r="U49" i="4"/>
  <c r="U50" i="4"/>
  <c r="U54" i="4"/>
  <c r="U55" i="4"/>
  <c r="U56" i="4"/>
  <c r="U57" i="4"/>
  <c r="U58" i="4"/>
  <c r="T51" i="4"/>
  <c r="T59" i="4"/>
  <c r="S51" i="4"/>
  <c r="S59" i="4"/>
  <c r="P59" i="4"/>
  <c r="P61" i="4" s="1"/>
  <c r="I54" i="4"/>
  <c r="I55" i="4"/>
  <c r="I56" i="4"/>
  <c r="I57" i="4"/>
  <c r="I58" i="4"/>
  <c r="H59" i="4"/>
  <c r="G59" i="4"/>
  <c r="E39" i="4"/>
  <c r="E54" i="4"/>
  <c r="E59" i="4" s="1"/>
  <c r="E55" i="4"/>
  <c r="E56" i="4"/>
  <c r="E57" i="4"/>
  <c r="E58" i="4"/>
  <c r="D51" i="4"/>
  <c r="D59" i="4"/>
  <c r="D61" i="4"/>
  <c r="C59" i="4"/>
  <c r="Y32" i="4"/>
  <c r="X32" i="4"/>
  <c r="W32" i="4"/>
  <c r="U32" i="4"/>
  <c r="T32" i="4"/>
  <c r="S32" i="4"/>
  <c r="Q32" i="4"/>
  <c r="P32" i="4"/>
  <c r="O32" i="4"/>
  <c r="M32" i="4"/>
  <c r="L32" i="4"/>
  <c r="K32" i="4"/>
  <c r="I32" i="4"/>
  <c r="H32" i="4"/>
  <c r="G32" i="4"/>
  <c r="E32" i="4"/>
  <c r="D32" i="4"/>
  <c r="C32" i="4"/>
  <c r="Y25" i="4"/>
  <c r="X17" i="4"/>
  <c r="X27" i="4"/>
  <c r="X25" i="4"/>
  <c r="W25" i="4"/>
  <c r="T17" i="4"/>
  <c r="T25" i="4"/>
  <c r="T27" i="4" s="1"/>
  <c r="S25" i="4"/>
  <c r="Q20" i="4"/>
  <c r="Q21" i="4"/>
  <c r="Q22" i="4"/>
  <c r="Q23" i="4"/>
  <c r="Q24" i="4"/>
  <c r="Q25" i="4" s="1"/>
  <c r="P17" i="4"/>
  <c r="P25" i="4"/>
  <c r="P27" i="4" s="1"/>
  <c r="O17" i="4"/>
  <c r="O27" i="4" s="1"/>
  <c r="O25" i="4"/>
  <c r="M20" i="4"/>
  <c r="M21" i="4"/>
  <c r="M22" i="4"/>
  <c r="M23" i="4"/>
  <c r="M24" i="4"/>
  <c r="L17" i="4"/>
  <c r="L25" i="4"/>
  <c r="L27" i="4" s="1"/>
  <c r="K17" i="4"/>
  <c r="K25" i="4"/>
  <c r="I20" i="4"/>
  <c r="I21" i="4"/>
  <c r="I22" i="4"/>
  <c r="I23" i="4"/>
  <c r="I24" i="4"/>
  <c r="H17" i="4"/>
  <c r="H25" i="4"/>
  <c r="H27" i="4"/>
  <c r="G17" i="4"/>
  <c r="G27" i="4"/>
  <c r="G25" i="4"/>
  <c r="E5" i="4"/>
  <c r="E17" i="4" s="1"/>
  <c r="E20" i="4"/>
  <c r="E21" i="4"/>
  <c r="E22" i="4"/>
  <c r="E23" i="4"/>
  <c r="E24" i="4"/>
  <c r="D17" i="4"/>
  <c r="D27" i="4" s="1"/>
  <c r="D25" i="4"/>
  <c r="C17" i="4"/>
  <c r="C25" i="4"/>
  <c r="C27" i="4" s="1"/>
  <c r="O36" i="5"/>
  <c r="N10" i="7"/>
  <c r="B16" i="7"/>
  <c r="M16" i="7"/>
  <c r="L16" i="7"/>
  <c r="K16" i="7"/>
  <c r="J16" i="7"/>
  <c r="I16" i="7"/>
  <c r="H16" i="7"/>
  <c r="F16" i="7"/>
  <c r="E16" i="7"/>
  <c r="D16" i="7"/>
  <c r="C16" i="7"/>
  <c r="O10" i="8"/>
  <c r="O8" i="8"/>
  <c r="N20" i="7"/>
  <c r="N7" i="7"/>
  <c r="N9" i="7"/>
  <c r="N12" i="7"/>
  <c r="N13" i="7"/>
  <c r="N14" i="7"/>
  <c r="N15" i="7"/>
  <c r="N11" i="7"/>
  <c r="O8" i="5"/>
  <c r="O12" i="5"/>
  <c r="O13" i="5"/>
  <c r="S13" i="5" s="1"/>
  <c r="O14" i="5"/>
  <c r="S14" i="5" s="1"/>
  <c r="S24" i="5"/>
  <c r="O25" i="5"/>
  <c r="S25" i="5" s="1"/>
  <c r="O26" i="5"/>
  <c r="O27" i="5"/>
  <c r="S27" i="5" s="1"/>
  <c r="O28" i="5"/>
  <c r="S28" i="5" s="1"/>
  <c r="O32" i="5"/>
  <c r="S32" i="5" s="1"/>
  <c r="O33" i="5"/>
  <c r="O34" i="5"/>
  <c r="S34" i="5" s="1"/>
  <c r="O35" i="5"/>
  <c r="S35" i="5" s="1"/>
  <c r="O40" i="5"/>
  <c r="O41" i="5" s="1"/>
  <c r="O44" i="5"/>
  <c r="O45" i="5" s="1"/>
  <c r="O48" i="5"/>
  <c r="O49" i="5"/>
  <c r="S49" i="5" s="1"/>
  <c r="O53" i="5"/>
  <c r="O54" i="5"/>
  <c r="S59" i="5"/>
  <c r="O60" i="5"/>
  <c r="O61" i="5"/>
  <c r="S61" i="5" s="1"/>
  <c r="O62" i="5"/>
  <c r="S62" i="5" s="1"/>
  <c r="N29" i="5"/>
  <c r="N37" i="5"/>
  <c r="N41" i="5"/>
  <c r="N45" i="5"/>
  <c r="N50" i="5"/>
  <c r="N55" i="5"/>
  <c r="N63" i="5"/>
  <c r="L9" i="5"/>
  <c r="L15" i="5"/>
  <c r="L29" i="5"/>
  <c r="L37" i="5"/>
  <c r="L41" i="5"/>
  <c r="L45" i="5"/>
  <c r="L50" i="5"/>
  <c r="L55" i="5"/>
  <c r="L63" i="5"/>
  <c r="K9" i="5"/>
  <c r="K15" i="5"/>
  <c r="K29" i="5"/>
  <c r="K68" i="5" s="1"/>
  <c r="K37" i="5"/>
  <c r="K41" i="5"/>
  <c r="K45" i="5"/>
  <c r="K50" i="5"/>
  <c r="K55" i="5"/>
  <c r="K63" i="5"/>
  <c r="J9" i="5"/>
  <c r="J15" i="5"/>
  <c r="J29" i="5"/>
  <c r="J37" i="5"/>
  <c r="J41" i="5"/>
  <c r="J55" i="5"/>
  <c r="J45" i="5"/>
  <c r="J50" i="5"/>
  <c r="J63" i="5"/>
  <c r="I9" i="5"/>
  <c r="I29" i="5"/>
  <c r="I37" i="5"/>
  <c r="I45" i="5"/>
  <c r="G9" i="5"/>
  <c r="G15" i="5"/>
  <c r="G29" i="5"/>
  <c r="G37" i="5"/>
  <c r="G41" i="5"/>
  <c r="G45" i="5"/>
  <c r="G50" i="5"/>
  <c r="G55" i="5"/>
  <c r="G63" i="5"/>
  <c r="F9" i="5"/>
  <c r="F15" i="5"/>
  <c r="F29" i="5"/>
  <c r="F37" i="5"/>
  <c r="F41" i="5"/>
  <c r="F45" i="5"/>
  <c r="F50" i="5"/>
  <c r="F55" i="5"/>
  <c r="F63" i="5"/>
  <c r="E9" i="5"/>
  <c r="E15" i="5"/>
  <c r="E29" i="5"/>
  <c r="E41" i="5"/>
  <c r="E45" i="5"/>
  <c r="E50" i="5"/>
  <c r="E55" i="5"/>
  <c r="E63" i="5"/>
  <c r="D9" i="5"/>
  <c r="D15" i="5"/>
  <c r="D29" i="5"/>
  <c r="D37" i="5"/>
  <c r="D41" i="5"/>
  <c r="D45" i="5"/>
  <c r="D50" i="5"/>
  <c r="D55" i="5"/>
  <c r="D63" i="5"/>
  <c r="C9" i="5"/>
  <c r="C15" i="5"/>
  <c r="C29" i="5"/>
  <c r="C37" i="5"/>
  <c r="C41" i="5"/>
  <c r="C45" i="5"/>
  <c r="C50" i="5"/>
  <c r="C55" i="5"/>
  <c r="C63" i="5"/>
  <c r="S58" i="5"/>
  <c r="C68" i="5"/>
  <c r="H51" i="4"/>
  <c r="H61" i="4"/>
  <c r="C29" i="1"/>
  <c r="L5" i="1"/>
  <c r="I27" i="1"/>
  <c r="I25" i="1"/>
  <c r="I23" i="1"/>
  <c r="I21" i="1"/>
  <c r="I19" i="1"/>
  <c r="I17" i="1"/>
  <c r="I13" i="1"/>
  <c r="I11" i="1"/>
  <c r="J27" i="1"/>
  <c r="J25" i="1"/>
  <c r="J23" i="1"/>
  <c r="J21" i="1"/>
  <c r="J19" i="1"/>
  <c r="J17" i="1"/>
  <c r="J13" i="1"/>
  <c r="J11" i="1"/>
  <c r="O21" i="5"/>
  <c r="W8" i="4"/>
  <c r="U8" i="4"/>
  <c r="M5" i="1"/>
  <c r="M34" i="1"/>
  <c r="O5" i="1"/>
  <c r="L25" i="1"/>
  <c r="L21" i="1"/>
  <c r="L17" i="1"/>
  <c r="L12" i="1"/>
  <c r="M28" i="1"/>
  <c r="M24" i="1"/>
  <c r="M20" i="1"/>
  <c r="M14" i="1"/>
  <c r="M10" i="1"/>
  <c r="L24" i="1"/>
  <c r="L18" i="1"/>
  <c r="L26" i="1"/>
  <c r="L11" i="1"/>
  <c r="M25" i="1"/>
  <c r="M17" i="1"/>
  <c r="L13" i="1"/>
  <c r="M23" i="1"/>
  <c r="M13" i="1"/>
  <c r="P28" i="1"/>
  <c r="P24" i="1"/>
  <c r="P20" i="1"/>
  <c r="P14" i="1"/>
  <c r="P10" i="1"/>
  <c r="O34" i="1"/>
  <c r="O28" i="1"/>
  <c r="O26" i="1"/>
  <c r="O24" i="1"/>
  <c r="O22" i="1"/>
  <c r="O20" i="1"/>
  <c r="O18" i="1"/>
  <c r="O13" i="1"/>
  <c r="O11" i="1"/>
  <c r="P5" i="1"/>
  <c r="P34" i="1" s="1"/>
  <c r="P25" i="1"/>
  <c r="P21" i="1"/>
  <c r="P17" i="1"/>
  <c r="P11" i="1"/>
  <c r="R5" i="1"/>
  <c r="R27" i="1" s="1"/>
  <c r="O25" i="1"/>
  <c r="O21" i="1"/>
  <c r="O17" i="1"/>
  <c r="O12" i="1"/>
  <c r="P27" i="1"/>
  <c r="P23" i="1"/>
  <c r="P19" i="1"/>
  <c r="P13" i="1"/>
  <c r="O27" i="1"/>
  <c r="O23" i="1"/>
  <c r="O19" i="1"/>
  <c r="O14" i="1"/>
  <c r="O10" i="1"/>
  <c r="R25" i="1"/>
  <c r="R21" i="1"/>
  <c r="R17" i="1"/>
  <c r="R11" i="1"/>
  <c r="S25" i="1"/>
  <c r="S21" i="1"/>
  <c r="S17" i="1"/>
  <c r="S12" i="1"/>
  <c r="R28" i="1"/>
  <c r="R20" i="1"/>
  <c r="R10" i="1"/>
  <c r="S22" i="1"/>
  <c r="S5" i="1"/>
  <c r="S34" i="1" s="1"/>
  <c r="R26" i="1"/>
  <c r="R18" i="1"/>
  <c r="S24" i="1"/>
  <c r="S11" i="1"/>
  <c r="S13" i="1"/>
  <c r="B58" i="1"/>
  <c r="R58" i="1"/>
  <c r="F30" i="1"/>
  <c r="J39" i="1"/>
  <c r="J42" i="1"/>
  <c r="J47" i="1"/>
  <c r="J49" i="1"/>
  <c r="J52" i="1"/>
  <c r="J54" i="1"/>
  <c r="J56" i="1"/>
  <c r="I41" i="1"/>
  <c r="I45" i="1"/>
  <c r="I46" i="1"/>
  <c r="I47" i="1"/>
  <c r="I48" i="1"/>
  <c r="I49" i="1"/>
  <c r="I50" i="1"/>
  <c r="I51" i="1"/>
  <c r="I52" i="1"/>
  <c r="I53" i="1"/>
  <c r="I54" i="1"/>
  <c r="I56" i="1"/>
  <c r="Q30" i="1"/>
  <c r="E58" i="1"/>
  <c r="Q58" i="1"/>
  <c r="J38" i="1"/>
  <c r="J40" i="1"/>
  <c r="J41" i="1"/>
  <c r="J45" i="1"/>
  <c r="J46" i="1"/>
  <c r="J48" i="1"/>
  <c r="J50" i="1"/>
  <c r="J51" i="1"/>
  <c r="J53" i="1"/>
  <c r="J55" i="1"/>
  <c r="I38" i="1"/>
  <c r="I39" i="1"/>
  <c r="I40" i="1"/>
  <c r="I42" i="1"/>
  <c r="H58" i="1"/>
  <c r="Q27" i="4"/>
  <c r="I28" i="1"/>
  <c r="I24" i="1"/>
  <c r="I20" i="1"/>
  <c r="I14" i="1"/>
  <c r="I12" i="1"/>
  <c r="I10" i="1"/>
  <c r="I18" i="1"/>
  <c r="I22" i="1"/>
  <c r="I26" i="1"/>
  <c r="J26" i="1"/>
  <c r="J22" i="1"/>
  <c r="J18" i="1"/>
  <c r="J14" i="1"/>
  <c r="J10" i="1"/>
  <c r="J12" i="1"/>
  <c r="J20" i="1"/>
  <c r="J24" i="1"/>
  <c r="J28" i="1"/>
  <c r="J5" i="1"/>
  <c r="J34" i="1"/>
  <c r="W7" i="4"/>
  <c r="C41" i="4"/>
  <c r="U7" i="4"/>
  <c r="I39" i="4"/>
  <c r="F34" i="1"/>
  <c r="F42" i="1"/>
  <c r="S36" i="5"/>
  <c r="F39" i="1"/>
  <c r="G53" i="1"/>
  <c r="G49" i="1"/>
  <c r="G47" i="1"/>
  <c r="G45" i="1"/>
  <c r="F55" i="1"/>
  <c r="F53" i="1"/>
  <c r="F51" i="1"/>
  <c r="F49" i="1"/>
  <c r="F47" i="1"/>
  <c r="F45" i="1"/>
  <c r="G41" i="1"/>
  <c r="G39" i="1"/>
  <c r="Y7" i="4"/>
  <c r="M11" i="1"/>
  <c r="M12" i="1"/>
  <c r="F68" i="5"/>
  <c r="N68" i="5"/>
  <c r="S41" i="5"/>
  <c r="I59" i="4"/>
  <c r="Y51" i="4"/>
  <c r="Y61" i="4" s="1"/>
  <c r="C30" i="1"/>
  <c r="U10" i="4"/>
  <c r="U17" i="4"/>
  <c r="U27" i="4" s="1"/>
  <c r="S17" i="4"/>
  <c r="S27" i="4" s="1"/>
  <c r="W10" i="4"/>
  <c r="K49" i="4"/>
  <c r="M49" i="4"/>
  <c r="I49" i="4"/>
  <c r="K47" i="4"/>
  <c r="M47" i="4" s="1"/>
  <c r="I47" i="4"/>
  <c r="K40" i="4"/>
  <c r="I40" i="4"/>
  <c r="M54" i="4"/>
  <c r="M59" i="4"/>
  <c r="K59" i="4"/>
  <c r="G38" i="1"/>
  <c r="G40" i="1"/>
  <c r="G42" i="1"/>
  <c r="F38" i="1"/>
  <c r="F46" i="1"/>
  <c r="F48" i="1"/>
  <c r="F50" i="1"/>
  <c r="F52" i="1"/>
  <c r="F54" i="1"/>
  <c r="F56" i="1"/>
  <c r="G46" i="1"/>
  <c r="G48" i="1"/>
  <c r="G50" i="1"/>
  <c r="G52" i="1"/>
  <c r="G54" i="1"/>
  <c r="G56" i="1"/>
  <c r="F40" i="1"/>
  <c r="I46" i="4"/>
  <c r="R34" i="1"/>
  <c r="S20" i="1"/>
  <c r="S28" i="1"/>
  <c r="R22" i="1"/>
  <c r="S18" i="1"/>
  <c r="S26" i="1"/>
  <c r="R12" i="1"/>
  <c r="R14" i="1"/>
  <c r="R24" i="1"/>
  <c r="S10" i="1"/>
  <c r="S14" i="1"/>
  <c r="S19" i="1"/>
  <c r="S23" i="1"/>
  <c r="S27" i="1"/>
  <c r="R13" i="1"/>
  <c r="R19" i="1"/>
  <c r="R23" i="1"/>
  <c r="P26" i="1"/>
  <c r="P22" i="1"/>
  <c r="P18" i="1"/>
  <c r="P12" i="1"/>
  <c r="P15" i="1" s="1"/>
  <c r="C42" i="4"/>
  <c r="Y8" i="4"/>
  <c r="L27" i="1"/>
  <c r="L23" i="1"/>
  <c r="L19" i="1"/>
  <c r="L20" i="1"/>
  <c r="L22" i="1"/>
  <c r="L28" i="1"/>
  <c r="L14" i="1"/>
  <c r="L10" i="1"/>
  <c r="M26" i="1"/>
  <c r="M22" i="1"/>
  <c r="M18" i="1"/>
  <c r="M19" i="1"/>
  <c r="M21" i="1"/>
  <c r="M27" i="1"/>
  <c r="L34" i="1"/>
  <c r="G68" i="5"/>
  <c r="J68" i="5"/>
  <c r="L51" i="4"/>
  <c r="I25" i="4"/>
  <c r="I27" i="4"/>
  <c r="L59" i="4"/>
  <c r="K50" i="4"/>
  <c r="M50" i="4" s="1"/>
  <c r="K48" i="4"/>
  <c r="M48" i="4" s="1"/>
  <c r="I45" i="4"/>
  <c r="R15" i="1"/>
  <c r="S29" i="1"/>
  <c r="F57" i="1"/>
  <c r="M40" i="4"/>
  <c r="C44" i="4"/>
  <c r="G44" i="4" s="1"/>
  <c r="Y10" i="4"/>
  <c r="Y17" i="4"/>
  <c r="Y27" i="4" s="1"/>
  <c r="W17" i="4"/>
  <c r="W27" i="4" s="1"/>
  <c r="L61" i="4"/>
  <c r="E42" i="4"/>
  <c r="G42" i="4"/>
  <c r="S15" i="1"/>
  <c r="S30" i="1" s="1"/>
  <c r="K42" i="4"/>
  <c r="M42" i="4"/>
  <c r="I42" i="4"/>
  <c r="E44" i="4"/>
  <c r="K58" i="1"/>
  <c r="G41" i="4"/>
  <c r="I41" i="4" s="1"/>
  <c r="E41" i="4"/>
  <c r="C51" i="4"/>
  <c r="C61" i="4" s="1"/>
  <c r="M46" i="4"/>
  <c r="G51" i="1"/>
  <c r="G55" i="1"/>
  <c r="F41" i="1"/>
  <c r="J30" i="4"/>
  <c r="F32" i="4"/>
  <c r="F34" i="4" s="1"/>
  <c r="G43" i="4"/>
  <c r="E43" i="4"/>
  <c r="M45" i="4"/>
  <c r="I50" i="4"/>
  <c r="C54" i="1"/>
  <c r="C55" i="1"/>
  <c r="K43" i="4"/>
  <c r="M43" i="4" s="1"/>
  <c r="I43" i="4"/>
  <c r="N30" i="4"/>
  <c r="J32" i="4"/>
  <c r="J34" i="4" s="1"/>
  <c r="K41" i="4"/>
  <c r="E51" i="4"/>
  <c r="E61" i="4" s="1"/>
  <c r="M41" i="4"/>
  <c r="R30" i="4"/>
  <c r="N32" i="4"/>
  <c r="N34" i="4" s="1"/>
  <c r="V30" i="4"/>
  <c r="B64" i="4" s="1"/>
  <c r="R32" i="4"/>
  <c r="R34" i="4"/>
  <c r="V32" i="4"/>
  <c r="V34" i="4" s="1"/>
  <c r="D68" i="5" l="1"/>
  <c r="N16" i="7"/>
  <c r="O55" i="5"/>
  <c r="O29" i="5"/>
  <c r="O63" i="5"/>
  <c r="S53" i="5"/>
  <c r="O50" i="5"/>
  <c r="S45" i="5"/>
  <c r="O9" i="5"/>
  <c r="S40" i="5"/>
  <c r="O37" i="5"/>
  <c r="U51" i="4"/>
  <c r="S61" i="4"/>
  <c r="U59" i="4"/>
  <c r="U61" i="4" s="1"/>
  <c r="T61" i="4"/>
  <c r="P57" i="1"/>
  <c r="O43" i="1"/>
  <c r="N58" i="1"/>
  <c r="L15" i="1"/>
  <c r="O29" i="1"/>
  <c r="S57" i="1"/>
  <c r="P29" i="1"/>
  <c r="O15" i="1"/>
  <c r="F43" i="1"/>
  <c r="S43" i="1"/>
  <c r="S58" i="1" s="1"/>
  <c r="J29" i="1"/>
  <c r="G29" i="1"/>
  <c r="G30" i="1" s="1"/>
  <c r="D43" i="1"/>
  <c r="M29" i="1"/>
  <c r="M15" i="1"/>
  <c r="G43" i="1"/>
  <c r="J15" i="1"/>
  <c r="J30" i="1" s="1"/>
  <c r="D29" i="1"/>
  <c r="D30" i="1" s="1"/>
  <c r="D57" i="1"/>
  <c r="P30" i="1"/>
  <c r="F58" i="1"/>
  <c r="I29" i="1"/>
  <c r="O30" i="1"/>
  <c r="L29" i="1"/>
  <c r="L30" i="1" s="1"/>
  <c r="I15" i="1"/>
  <c r="I57" i="1"/>
  <c r="R29" i="1"/>
  <c r="R30" i="1" s="1"/>
  <c r="O57" i="1"/>
  <c r="P43" i="1"/>
  <c r="J43" i="1"/>
  <c r="I43" i="1"/>
  <c r="C43" i="1"/>
  <c r="G57" i="1"/>
  <c r="G58" i="1" s="1"/>
  <c r="J57" i="1"/>
  <c r="J58" i="1" s="1"/>
  <c r="C57" i="1"/>
  <c r="D58" i="1"/>
  <c r="L68" i="5"/>
  <c r="S8" i="5"/>
  <c r="S9" i="5"/>
  <c r="S54" i="5"/>
  <c r="S21" i="5"/>
  <c r="S18" i="5"/>
  <c r="E68" i="5"/>
  <c r="I68" i="5"/>
  <c r="B68" i="5"/>
  <c r="H68" i="5"/>
  <c r="F64" i="4"/>
  <c r="B66" i="4"/>
  <c r="B68" i="4" s="1"/>
  <c r="S63" i="5"/>
  <c r="S60" i="5"/>
  <c r="S48" i="5"/>
  <c r="S50" i="5"/>
  <c r="S33" i="5"/>
  <c r="S37" i="5"/>
  <c r="S26" i="5"/>
  <c r="S29" i="5"/>
  <c r="S12" i="5"/>
  <c r="K44" i="4"/>
  <c r="M44" i="4" s="1"/>
  <c r="M51" i="4" s="1"/>
  <c r="M61" i="4" s="1"/>
  <c r="I44" i="4"/>
  <c r="I51" i="4" s="1"/>
  <c r="I61" i="4" s="1"/>
  <c r="G51" i="4"/>
  <c r="G61" i="4" s="1"/>
  <c r="M30" i="1"/>
  <c r="L56" i="1"/>
  <c r="L54" i="1"/>
  <c r="L45" i="1"/>
  <c r="M56" i="1"/>
  <c r="M55" i="1"/>
  <c r="M54" i="1"/>
  <c r="M53" i="1"/>
  <c r="M52" i="1"/>
  <c r="M51" i="1"/>
  <c r="M50" i="1"/>
  <c r="M49" i="1"/>
  <c r="M48" i="1"/>
  <c r="M47" i="1"/>
  <c r="M45" i="1"/>
  <c r="M42" i="1"/>
  <c r="M41" i="1"/>
  <c r="M40" i="1"/>
  <c r="M39" i="1"/>
  <c r="M38" i="1"/>
  <c r="L38" i="1"/>
  <c r="L55" i="1"/>
  <c r="L53" i="1"/>
  <c r="L52" i="1"/>
  <c r="L51" i="1"/>
  <c r="L50" i="1"/>
  <c r="L49" i="1"/>
  <c r="L48" i="1"/>
  <c r="L47" i="1"/>
  <c r="L46" i="1"/>
  <c r="L42" i="1"/>
  <c r="L41" i="1"/>
  <c r="L40" i="1"/>
  <c r="L39" i="1"/>
  <c r="M46" i="1"/>
  <c r="O51" i="4"/>
  <c r="Q39" i="4"/>
  <c r="Q51" i="4" s="1"/>
  <c r="E25" i="4"/>
  <c r="E27" i="4" s="1"/>
  <c r="K27" i="4"/>
  <c r="M25" i="4"/>
  <c r="M27" i="4" s="1"/>
  <c r="P58" i="1"/>
  <c r="O58" i="1"/>
  <c r="Q54" i="4"/>
  <c r="Q59" i="4" s="1"/>
  <c r="O59" i="4"/>
  <c r="B32" i="4"/>
  <c r="B34" i="4" s="1"/>
  <c r="S55" i="5" l="1"/>
  <c r="O68" i="5"/>
  <c r="S44" i="5"/>
  <c r="I30" i="1"/>
  <c r="C58" i="1"/>
  <c r="I58" i="1"/>
  <c r="M43" i="1"/>
  <c r="O61" i="4"/>
  <c r="L57" i="1"/>
  <c r="S15" i="5"/>
  <c r="F66" i="4"/>
  <c r="F68" i="4" s="1"/>
  <c r="J64" i="4"/>
  <c r="J66" i="4" s="1"/>
  <c r="J68" i="4" s="1"/>
  <c r="Q61" i="4"/>
  <c r="L43" i="1"/>
  <c r="L58" i="1" s="1"/>
  <c r="M57" i="1"/>
  <c r="K51" i="4"/>
  <c r="K61" i="4" s="1"/>
  <c r="S68" i="5" l="1"/>
  <c r="M58" i="1"/>
</calcChain>
</file>

<file path=xl/sharedStrings.xml><?xml version="1.0" encoding="utf-8"?>
<sst xmlns="http://schemas.openxmlformats.org/spreadsheetml/2006/main" count="768" uniqueCount="210">
  <si>
    <t>January</t>
  </si>
  <si>
    <t>February</t>
  </si>
  <si>
    <t>March</t>
  </si>
  <si>
    <t>April</t>
  </si>
  <si>
    <t>May</t>
  </si>
  <si>
    <t>June</t>
  </si>
  <si>
    <t>July</t>
  </si>
  <si>
    <t>August</t>
  </si>
  <si>
    <t>September</t>
  </si>
  <si>
    <t>October</t>
  </si>
  <si>
    <t>November</t>
  </si>
  <si>
    <t>December</t>
  </si>
  <si>
    <t xml:space="preserve">  Total Cost of Incentives</t>
  </si>
  <si>
    <t xml:space="preserve"> </t>
  </si>
  <si>
    <t>OBMC</t>
  </si>
  <si>
    <t>DBP</t>
  </si>
  <si>
    <t>Service Accounts</t>
  </si>
  <si>
    <t>Year-to-Date Total Cost</t>
  </si>
  <si>
    <t>Annual Total Cost</t>
  </si>
  <si>
    <t>Cost Item</t>
  </si>
  <si>
    <t>Date</t>
  </si>
  <si>
    <t xml:space="preserve">  Sub-Total Interruptible</t>
  </si>
  <si>
    <t>Programs</t>
  </si>
  <si>
    <t>Interruptible/Reliability</t>
  </si>
  <si>
    <t>Total All Programs</t>
  </si>
  <si>
    <t>Total Incremental Cost</t>
  </si>
  <si>
    <t>SLRP</t>
  </si>
  <si>
    <t xml:space="preserve"> Budget Category 1 Total</t>
  </si>
  <si>
    <t xml:space="preserve"> Budget Category 2 Total</t>
  </si>
  <si>
    <t>Event No.</t>
  </si>
  <si>
    <t>Price Response</t>
  </si>
  <si>
    <t xml:space="preserve">  Sub-Total Price Response</t>
  </si>
  <si>
    <t>N/A</t>
  </si>
  <si>
    <t>Category 1:  Emergency Programs</t>
  </si>
  <si>
    <t>Category 2:  Price Responsive Programs</t>
  </si>
  <si>
    <t>Category 3:  DR Aggregator Managed Programs</t>
  </si>
  <si>
    <t xml:space="preserve"> Budget Category 3 Total</t>
  </si>
  <si>
    <t>Category 4:  DR Enabled Programs</t>
  </si>
  <si>
    <t xml:space="preserve"> Budget Category 4 Total</t>
  </si>
  <si>
    <t>Category 5:  Pilots &amp; SmartConnect Enabled Programs</t>
  </si>
  <si>
    <t xml:space="preserve"> Budget Category 5 Total</t>
  </si>
  <si>
    <t>Category 6:  Statewide Marketing Program</t>
  </si>
  <si>
    <t xml:space="preserve"> Budget Category 6 Total</t>
  </si>
  <si>
    <t xml:space="preserve"> Budget Category 7 Total</t>
  </si>
  <si>
    <t>Category 8:  System Support Activities</t>
  </si>
  <si>
    <t xml:space="preserve"> Budget Category 8 Total</t>
  </si>
  <si>
    <t>Category 9:  Marketing Education &amp; Outreach</t>
  </si>
  <si>
    <t>Category 10:  Integrated Programs</t>
  </si>
  <si>
    <t xml:space="preserve"> Budget Category 9 Total</t>
  </si>
  <si>
    <t xml:space="preserve"> Budget Category 10 Total</t>
  </si>
  <si>
    <t>Price Responsive</t>
  </si>
  <si>
    <t>Program</t>
  </si>
  <si>
    <t xml:space="preserve">August </t>
  </si>
  <si>
    <t xml:space="preserve">September </t>
  </si>
  <si>
    <t xml:space="preserve">November </t>
  </si>
  <si>
    <t>Percent Funding</t>
  </si>
  <si>
    <t>FUND SHIFTING DOCUMENTATION PER DECISION 09-08-027 ORDERING PARAGRAPH 35</t>
  </si>
  <si>
    <t>OP 35:</t>
  </si>
  <si>
    <t>The utilities may shift up to 50% of a program funds to another program's funds to another program within the same budget category.</t>
  </si>
  <si>
    <t>The utilities shall document the amount of and reason for each shift in their monthly demand response reports.</t>
  </si>
  <si>
    <t>Fund Shift</t>
  </si>
  <si>
    <t>Rationale for Fundshift</t>
  </si>
  <si>
    <t>Programs Impacted</t>
  </si>
  <si>
    <t>Program Category</t>
  </si>
  <si>
    <t>Total</t>
  </si>
  <si>
    <t>(a) See "Fund Shift Log" for explanations.</t>
  </si>
  <si>
    <t>Year-to-Date Program Expenditures</t>
  </si>
  <si>
    <t>Program Eligibility and Average Load Impacts</t>
  </si>
  <si>
    <t>Monthly Program Enrollment and Estimated Load Impacts</t>
  </si>
  <si>
    <t>Year-to-Date Event Summary</t>
  </si>
  <si>
    <t>General Program</t>
  </si>
  <si>
    <t>BIP - Day of</t>
  </si>
  <si>
    <t>AMP - Day Ahead</t>
  </si>
  <si>
    <t>AMP - Day Of</t>
  </si>
  <si>
    <t>BIP - Day Of</t>
  </si>
  <si>
    <t xml:space="preserve">    Capacity Bidding Program (CBP)</t>
  </si>
  <si>
    <t xml:space="preserve">    Demand Bidding Program (DBP)</t>
  </si>
  <si>
    <t>Base Interruptible Program (BIP)</t>
  </si>
  <si>
    <t>Optional Bidding Mandatory Curtailment / 
   Scheduled Load Reduction Program (OBMC / SLRP)</t>
  </si>
  <si>
    <t>Capacity Bidding Program (CBP)</t>
  </si>
  <si>
    <t>Critical Peak Pricing (CPP)</t>
  </si>
  <si>
    <t>Peak Choice</t>
  </si>
  <si>
    <t>Aggregator Managed Portfolio (AMP)</t>
  </si>
  <si>
    <t xml:space="preserve">     Integrated Energy Audits</t>
  </si>
  <si>
    <t xml:space="preserve">     Technology Incentive (TI)</t>
  </si>
  <si>
    <t>Automatic Demand Response (AutoDR)</t>
  </si>
  <si>
    <t>Permanent Load Shift (PLS)</t>
  </si>
  <si>
    <t>DR Emerging Technology</t>
  </si>
  <si>
    <t>Plug-in Hybrid Electric Vehicle / Electric Vehicle Pilot (PHEV / EV)</t>
  </si>
  <si>
    <t>SF Power Small Load Aggregation Pilot</t>
  </si>
  <si>
    <t>Evaluation, Measurement, and Verification (EM&amp;V)</t>
  </si>
  <si>
    <t>InterAct / DR Forecasting Tool</t>
  </si>
  <si>
    <t>DR On-Line Enrollment</t>
  </si>
  <si>
    <t>DR Core Education and Training</t>
  </si>
  <si>
    <t>PEAK</t>
  </si>
  <si>
    <t>Integrated Marketing and Training</t>
  </si>
  <si>
    <t>Integrated Education and Training</t>
  </si>
  <si>
    <t>Integrated Sales Training</t>
  </si>
  <si>
    <t>Integrated Demand Side Management Clearinghouse (IDSM)</t>
  </si>
  <si>
    <t>C&amp;I Intermittent Resources Pilot (CIIR)</t>
  </si>
  <si>
    <t xml:space="preserve">    Business Energy Coalition (BEC)</t>
  </si>
  <si>
    <t>Operations and Maintenance Expense</t>
  </si>
  <si>
    <t>Year-to-Date Cost</t>
  </si>
  <si>
    <t>8070999, 8071007, 8071054, 807558</t>
  </si>
  <si>
    <t>Total Incentives</t>
  </si>
  <si>
    <t>Total Cost of Program</t>
  </si>
  <si>
    <t>Program Incentives</t>
  </si>
  <si>
    <t>UTILITY NAME: Pacific Gas and Electric Company</t>
  </si>
  <si>
    <t>Average Ex Post Load Impact kW / Customer</t>
  </si>
  <si>
    <t>Average Ex Ante Load Impact kW / Customer</t>
  </si>
  <si>
    <t>Bundled-Service Customers on a demand time-of-use (TOU) rate schedule, except those who are on net metering, standby, AG-R or AG-V rate schedules. Must be able to reduce at least 10 kW.</t>
  </si>
  <si>
    <t>Bundled, DA and CCA non-residential customer accounts with interval meters that must be able to reduce electric load such that the entire load on the PG&amp;E circuit or dedicated substation that provides service to that customer is reduced to or below MLLs for the entire duration of each and every RO operation</t>
  </si>
  <si>
    <r>
      <t xml:space="preserve">Bundled-service customers taking service under Schedules A-10, E-19 or E-20 &amp; minimum </t>
    </r>
    <r>
      <rPr>
        <i/>
        <u/>
        <sz val="10"/>
        <rFont val="Arial"/>
        <family val="2"/>
      </rPr>
      <t>average monthly demand of 100 kilowatts</t>
    </r>
    <r>
      <rPr>
        <sz val="10"/>
        <rFont val="Arial"/>
        <family val="2"/>
      </rPr>
      <t xml:space="preserve"> (kW).
Customers must commit to minimum 15% of baseline usage, with a minimum load reduction of 100 kW. </t>
    </r>
  </si>
  <si>
    <r>
      <t xml:space="preserve">Bundled, DA and CCA non-residential customer service accounts that have at least an </t>
    </r>
    <r>
      <rPr>
        <i/>
        <u/>
        <sz val="10"/>
        <rFont val="Arial"/>
        <family val="2"/>
      </rPr>
      <t xml:space="preserve">average monthly </t>
    </r>
    <r>
      <rPr>
        <sz val="10"/>
        <rFont val="Arial"/>
        <family val="2"/>
      </rPr>
      <t xml:space="preserve">demand of 100 kW </t>
    </r>
  </si>
  <si>
    <t>Eligibility Criteria (Refer to tariff for specifics)</t>
  </si>
  <si>
    <t>No longer available to Business Customers beginning January 2010 as Business customers transition to voluntary PDP</t>
  </si>
  <si>
    <t>A voluntary rate supplement to residential customers' OAS. Available to Bundled-Service customers served on a single family residential electric rate schedule. No longer available to Business Customers beginning January 2010</t>
  </si>
  <si>
    <t>Non-residential Customers &gt; 200 kW on a demand TOU rate schedule. Non-residential Customers' accounts &lt; 200 kW may participate as aggregated group for service accounts with same Federal Taxpayer ID Number.</t>
  </si>
  <si>
    <t>Non-residential customers on a C&amp;I, partial standby, or Ag rate schedule, except those who receive electric power from third parties (other than DA), billed via net metering or full standby services.</t>
  </si>
  <si>
    <t>Non-residential customers on a C&amp;I, partial standby, or Ag rate schedules, except those who receive electric power from third parties (other than DA), billed via net metering or full standby services.</t>
  </si>
  <si>
    <t>Non-residential customers on a commercial, industrial, partial standby, or agricultural rate schedules, except those who receive electric power from third parties (other than DA), billed via net metering or full standby services.</t>
  </si>
  <si>
    <t>Detailed Breakdown of MWs To Date in TA/Auto DR/TI Programs</t>
  </si>
  <si>
    <t>TA Identified MWs</t>
  </si>
  <si>
    <t>Auto DR Verified MWs</t>
  </si>
  <si>
    <t>TI Verified MWs</t>
  </si>
  <si>
    <t>Total Technology MWs</t>
  </si>
  <si>
    <t>TA (may also be enrolled in TI and AutoDR)</t>
  </si>
  <si>
    <t>Total TA MWs</t>
  </si>
  <si>
    <t>Program Tolled Hours (Annual)</t>
  </si>
  <si>
    <t>CBP - Day Ahead</t>
  </si>
  <si>
    <t>CBP - Day Of</t>
  </si>
  <si>
    <t xml:space="preserve">Residential customers taking service under applicable rate schedules equipped with central or packaged DX air conditioning equipment </t>
  </si>
  <si>
    <t xml:space="preserve">SMB customers taking service under applicable rate schedules equipped with central or packaged DX air conditioning equipment </t>
  </si>
  <si>
    <t>PeakChoice - Best Effort - Day Ahead</t>
  </si>
  <si>
    <t>PeakChoice - Best Effort - Day Of</t>
  </si>
  <si>
    <t>PeakChoice - Committed - Day Ahead</t>
  </si>
  <si>
    <t>PeakChoice - Committed - Day Of</t>
  </si>
  <si>
    <t>C&amp;I Ancillary Service Pilot (CIAS)</t>
  </si>
  <si>
    <t>Peak Day Pricing (PDP)</t>
  </si>
  <si>
    <t>When to apply the ex ante load impacts</t>
  </si>
  <si>
    <t>2 - 6 pm</t>
  </si>
  <si>
    <t>All other hours</t>
  </si>
  <si>
    <t>Category 7:  Measurement &amp; Evaluation (M&amp;E)</t>
  </si>
  <si>
    <t xml:space="preserve">Load Reduction     MW </t>
  </si>
  <si>
    <t>SmartAC</t>
  </si>
  <si>
    <t>Event Date</t>
  </si>
  <si>
    <t>Beginning</t>
  </si>
  <si>
    <t>End</t>
  </si>
  <si>
    <t xml:space="preserve">http://www.pge.com/mybusiness/energysavingsrebates/demandresponse/cs/ </t>
  </si>
  <si>
    <t>[1] D.09-08-027, p. 222.</t>
  </si>
  <si>
    <t>Pacific Gas and Electric Company Monthly Report On Interruptible Load and Demand Response</t>
  </si>
  <si>
    <t xml:space="preserve">    PeakChoice</t>
  </si>
  <si>
    <t>Revenues from Penalties</t>
  </si>
  <si>
    <t>Demand Bidding Program (DBP)</t>
  </si>
  <si>
    <t>Recovery of Capital Costs Authorized Prior to 2009</t>
  </si>
  <si>
    <t>Allocation</t>
  </si>
  <si>
    <t>Programs Support costs</t>
  </si>
  <si>
    <t>Fundshift Adjustments (a)</t>
  </si>
  <si>
    <t>Year-to Date 2011 Expenditures</t>
  </si>
  <si>
    <t>AutoDR program incentives were fully subscribed at the end of while the DR Technology Incentive (DR TI) program are undersubscribed. PG&amp;E has shifted $3 million from DR Technology Incentives to AutoDR, effective February 1, 2011, an amount which is less than 50% of the originally-approved DR TI budget.</t>
  </si>
  <si>
    <t>Category 2</t>
  </si>
  <si>
    <t>D.09-08-027 provided insufficient funds to administer CBP for three years.</t>
  </si>
  <si>
    <t>Category 3</t>
  </si>
  <si>
    <t>Business Energy Coalition (BEC) to Aggregator Managed Portfolio Program (AMP)</t>
  </si>
  <si>
    <t xml:space="preserve">The decision approved a BEC budget of $4,623,996.  Pursuant to Ordering Paragraph 7, the BEC Program is terminated as of November 18, 2009.  The transferred funds will pay for AMP program costs, as needed.  The amount transferred is 50% of the total BEC program budget, as authorized by the decision. </t>
  </si>
  <si>
    <t xml:space="preserve">Category 4   </t>
  </si>
  <si>
    <t>DR Enabled Programs - From TI Program To Auto DR</t>
  </si>
  <si>
    <t>Program-to-Date Total Expenditures 2009-2011</t>
  </si>
  <si>
    <t>Program-to-Date 2009-2010 Expenditures</t>
  </si>
  <si>
    <r>
      <t xml:space="preserve">1 </t>
    </r>
    <r>
      <rPr>
        <sz val="8"/>
        <rFont val="Calibri"/>
        <family val="2"/>
      </rPr>
      <t>Ex Ante Estimated MW = In compliance with Decision 08-04-050, the values presented herein are based on the annual April 1st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t>
    </r>
  </si>
  <si>
    <t>NOTE:  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1st Compliance Filing pursuant to Decision D.08-04-050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</si>
  <si>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r>
      <t>Ex Ante Estimated MW</t>
    </r>
    <r>
      <rPr>
        <b/>
        <sz val="12"/>
        <rFont val="Arial"/>
        <family val="2"/>
      </rPr>
      <t xml:space="preserve"> </t>
    </r>
    <r>
      <rPr>
        <b/>
        <vertAlign val="superscript"/>
        <sz val="12"/>
        <rFont val="Arial"/>
        <family val="2"/>
      </rPr>
      <t xml:space="preserve">1 </t>
    </r>
  </si>
  <si>
    <r>
      <t xml:space="preserve">Ex Post Estimated MW </t>
    </r>
    <r>
      <rPr>
        <b/>
        <vertAlign val="superscript"/>
        <sz val="12"/>
        <rFont val="Arial"/>
        <family val="2"/>
      </rPr>
      <t>2</t>
    </r>
  </si>
  <si>
    <r>
      <t xml:space="preserve">2 </t>
    </r>
    <r>
      <rPr>
        <sz val="8"/>
        <rFont val="Calibri"/>
        <family val="2"/>
      </rPr>
      <t>Ex Post Estimated MW = In compliance with Decision 08-04-050, the values presented herein are based on the annual April 1st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r>
  </si>
  <si>
    <t>n/a</t>
  </si>
  <si>
    <t>The average ex post load impacts per customer are based on the load impacts filing on April 1, 2011 (D.08-04-050). Estimated Average Ex Post Load Impact kW / Customer = Average kW / Customer service account over all actual event hours for the preceeding year when or if events occurred. Some programs may experience no events or few events while other programs may operate regularly depending on event triggers. For existing programs, the average ex post load impact per customer SAID remains constant across all months. For new programs, the average load impact is "n/a", as there were no prior events.</t>
  </si>
  <si>
    <r>
      <t>Base Interruptible Program (BIP)</t>
    </r>
    <r>
      <rPr>
        <vertAlign val="superscript"/>
        <sz val="11"/>
        <rFont val="Arial"/>
        <family val="2"/>
      </rPr>
      <t>1</t>
    </r>
  </si>
  <si>
    <t>Critical Peak Pricing (CPP) to Capacity Bidding Program (CBP)</t>
  </si>
  <si>
    <r>
      <t>1</t>
    </r>
    <r>
      <rPr>
        <sz val="10"/>
        <rFont val="Arial"/>
        <family val="2"/>
      </rPr>
      <t>Amounts reported are for incentives costs that are not recorded in the Demand Response Expenditures Balancing Account.</t>
    </r>
  </si>
  <si>
    <t xml:space="preserve"> Trigger</t>
  </si>
  <si>
    <t>Day Of</t>
  </si>
  <si>
    <t>Day Ahead</t>
  </si>
  <si>
    <r>
      <t xml:space="preserve">    Optional Bidding Mandatory Curtailment / 
        Scheduled Load Reduction Program 
        </t>
    </r>
    <r>
      <rPr>
        <sz val="8"/>
        <rFont val="Arial"/>
        <family val="2"/>
      </rPr>
      <t>(OBMC / SLRP)</t>
    </r>
    <r>
      <rPr>
        <vertAlign val="superscript"/>
        <sz val="8"/>
        <rFont val="Arial"/>
        <family val="2"/>
      </rPr>
      <t>1</t>
    </r>
  </si>
  <si>
    <t>PDP</t>
  </si>
  <si>
    <t>The Ex Ante and Ex Post Estimated MW for January 2011, February 2011, and March 2011 are based on the April 1, 2011 Load Impact Report that was filed in compliance with Decision 08-04-050.  This is a revision compared to PG&amp;E’s January, February, and March 2011 ILP Report submissions. (Program MW Table Data for Eligible Accounts was updated 9/2011)</t>
  </si>
  <si>
    <t>Eligible Accounts as of
Jan 1, 2011</t>
  </si>
  <si>
    <t>Peak Day Pricing</t>
  </si>
  <si>
    <t>2-Day Ahead</t>
  </si>
  <si>
    <t>SmartRate Commercial</t>
  </si>
  <si>
    <t>SmartRate Residential</t>
  </si>
  <si>
    <r>
      <t>DR Core Marketing and Outreach</t>
    </r>
    <r>
      <rPr>
        <b/>
        <sz val="9"/>
        <rFont val="Arial"/>
        <family val="2"/>
      </rPr>
      <t xml:space="preserve"> (b)</t>
    </r>
  </si>
  <si>
    <r>
      <t>Peak Choice</t>
    </r>
    <r>
      <rPr>
        <b/>
        <sz val="9"/>
        <rFont val="Arial"/>
        <family val="2"/>
      </rPr>
      <t xml:space="preserve"> (b)</t>
    </r>
  </si>
  <si>
    <t>As customers accumulate 12 months of interval data. Default began May 1, 2010 for Large bundled C&amp;I &gt; 200 kW max demand ; Default began February 1, 2011 for Large bundled Ag customers; Default begins Nov 1, 2014 for Bundled SMB C&amp;I customers &lt; 200kW max demand.</t>
  </si>
  <si>
    <t>SmartRate™ - Commercial</t>
  </si>
  <si>
    <t>SmartAC™ - Commercial</t>
  </si>
  <si>
    <t>SmartAC™ - Residential</t>
  </si>
  <si>
    <t>SmartRate™ - Residential</t>
  </si>
  <si>
    <t>SmartAC™ Ancillary Service Pilot</t>
  </si>
  <si>
    <t>SmartRate™ Commercial</t>
  </si>
  <si>
    <t xml:space="preserve">Smart AC™ Ancillary Service Pilot </t>
  </si>
  <si>
    <t>Smart AC™</t>
  </si>
  <si>
    <t>NOTE: November ILP Report corrected the entries for October ILP Report for Auto DR Verified Commitment MW. Formula was incorrect and did not roll over the September Auto DR Verified MW to October.</t>
  </si>
  <si>
    <r>
      <t xml:space="preserve">Statewide DR Awareness Campaign (SDRAC) </t>
    </r>
    <r>
      <rPr>
        <b/>
        <sz val="9"/>
        <rFont val="Arial"/>
        <family val="2"/>
      </rPr>
      <t>(b)</t>
    </r>
  </si>
  <si>
    <t>(b) March 2011 SDRAC costs incorrectly recorded as an expense. November 2011 ILP report updated to reflect a reimbursement.  Additionally, an incorrect $50k February expense has been removed from the November 2011 ILP report.</t>
  </si>
  <si>
    <t>Eligible Accounts as of Jan 1, 2011</t>
  </si>
  <si>
    <t>Programs for November 2011</t>
  </si>
  <si>
    <r>
      <t xml:space="preserve">            Pacific Gas and Electric Company (“PG&amp;E”) hereby submits this report on Interruptible Load and Demand Response Programs for November 2011. This report is submitted to the Energy Division Director and served electronically on the service list for A.08-06-001 pursuant to Decision 09-08-027.</t>
    </r>
    <r>
      <rPr>
        <vertAlign val="superscript"/>
        <sz val="12"/>
        <rFont val="Arial"/>
        <family val="2"/>
      </rPr>
      <t>1</t>
    </r>
    <r>
      <rPr>
        <sz val="12"/>
        <rFont val="Arial"/>
        <family val="2"/>
      </rPr>
      <t xml:space="preserve"> A copy of this report may also 
be accessed on PG&amp;E’s Web site at the following address:</t>
    </r>
  </si>
  <si>
    <t>Technical Assistance &amp; Technology Incentives (TA&amp;TI) Identified as of November 2011.</t>
  </si>
  <si>
    <t xml:space="preserve">3-Year Funding (c)  </t>
  </si>
  <si>
    <t>(c) 3-year funding amounts adjusted to reflect fund shifting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</si>
</sst>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409]mmmm\ d\,\ yyyy;@"/>
    <numFmt numFmtId="170" formatCode="_(* #,##0.0_);_(* \(#,##0.0\);_(* &quot;-&quot;??_);_(@_)"/>
    <numFmt numFmtId="171" formatCode="_(* #,##0_);_(* \(#,##0\);_(* &quot;-&quot;??_);_(@_)"/>
    <numFmt numFmtId="172" formatCode="0.0"/>
    <numFmt numFmtId="173" formatCode="0.0_);[Red]\(0.0\)"/>
    <numFmt numFmtId="174" formatCode="&quot;$&quot;#,##0"/>
    <numFmt numFmtId="175" formatCode="[=0]\ 0;[&lt;0.95]\ 0.#;#,###"/>
    <numFmt numFmtId="176" formatCode="0_);[Red]\(0\)"/>
    <numFmt numFmtId="177" formatCode="[$-409]h:mm\ AM/PM;@"/>
    <numFmt numFmtId="178" formatCode="m/d/yyyy;@"/>
    <numFmt numFmtId="179" formatCode="h:mm;@"/>
  </numFmts>
  <fonts count="66">
    <font>
      <sz val="10"/>
      <name val="Arial"/>
    </font>
    <font>
      <sz val="10"/>
      <name val="Arial"/>
      <family val="2"/>
    </font>
    <font>
      <b/>
      <sz val="10"/>
      <name val="Arial"/>
      <family val="2"/>
    </font>
    <font>
      <sz val="10"/>
      <name val="Arial"/>
      <family val="2"/>
    </font>
    <font>
      <u/>
      <sz val="10"/>
      <color indexed="12"/>
      <name val="Arial"/>
      <family val="2"/>
    </font>
    <font>
      <sz val="10"/>
      <color indexed="8"/>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sz val="11"/>
      <name val="Arial"/>
      <family val="2"/>
    </font>
    <font>
      <b/>
      <sz val="10"/>
      <name val="Arial"/>
      <family val="2"/>
    </font>
    <font>
      <sz val="10"/>
      <name val="Arial"/>
      <family val="2"/>
    </font>
    <font>
      <sz val="9"/>
      <name val="Arial"/>
      <family val="2"/>
    </font>
    <font>
      <i/>
      <u/>
      <sz val="10"/>
      <name val="Arial"/>
      <family val="2"/>
    </font>
    <font>
      <b/>
      <strike/>
      <sz val="10"/>
      <color indexed="8"/>
      <name val="Arial"/>
      <family val="2"/>
    </font>
    <font>
      <strike/>
      <sz val="10"/>
      <color indexed="8"/>
      <name val="Arial"/>
      <family val="2"/>
    </font>
    <font>
      <b/>
      <sz val="9"/>
      <name val="Arial"/>
      <family val="2"/>
    </font>
    <font>
      <b/>
      <i/>
      <sz val="9"/>
      <name val="Arial"/>
      <family val="2"/>
    </font>
    <font>
      <vertAlign val="superscript"/>
      <sz val="11"/>
      <name val="Arial"/>
      <family val="2"/>
    </font>
    <font>
      <b/>
      <sz val="8"/>
      <name val="Arial"/>
      <family val="2"/>
    </font>
    <font>
      <sz val="8"/>
      <name val="Arial"/>
      <family val="2"/>
    </font>
    <font>
      <b/>
      <i/>
      <sz val="8"/>
      <name val="Arial"/>
      <family val="2"/>
    </font>
    <font>
      <u/>
      <sz val="8"/>
      <name val="Arial"/>
      <family val="2"/>
    </font>
    <font>
      <b/>
      <sz val="8"/>
      <color indexed="16"/>
      <name val="Arial"/>
      <family val="2"/>
    </font>
    <font>
      <sz val="12"/>
      <name val="Arial"/>
      <family val="2"/>
    </font>
    <font>
      <vertAlign val="superscript"/>
      <sz val="12"/>
      <name val="Arial"/>
      <family val="2"/>
    </font>
    <font>
      <b/>
      <sz val="14"/>
      <name val="Arial"/>
      <family val="2"/>
    </font>
    <font>
      <u/>
      <sz val="11"/>
      <color indexed="12"/>
      <name val="Arial"/>
      <family val="2"/>
    </font>
    <font>
      <sz val="9"/>
      <color indexed="8"/>
      <name val="Arial"/>
      <family val="2"/>
    </font>
    <font>
      <sz val="10"/>
      <name val="Times New Roman"/>
      <family val="1"/>
    </font>
    <font>
      <sz val="8"/>
      <color indexed="8"/>
      <name val="Arial"/>
      <family val="2"/>
    </font>
    <font>
      <sz val="8"/>
      <name val="Calibri"/>
      <family val="2"/>
    </font>
    <font>
      <vertAlign val="superscript"/>
      <sz val="8"/>
      <name val="Calibri"/>
      <family val="2"/>
    </font>
    <font>
      <b/>
      <sz val="12"/>
      <name val="Arial"/>
      <family val="2"/>
    </font>
    <font>
      <b/>
      <vertAlign val="superscript"/>
      <sz val="12"/>
      <name val="Arial"/>
      <family val="2"/>
    </font>
    <font>
      <sz val="9"/>
      <color indexed="10"/>
      <name val="Arial"/>
      <family val="2"/>
    </font>
    <font>
      <sz val="9"/>
      <name val="Arial"/>
      <family val="2"/>
    </font>
    <font>
      <strike/>
      <sz val="10"/>
      <name val="Arial"/>
      <family val="2"/>
    </font>
    <font>
      <strike/>
      <sz val="10"/>
      <color indexed="10"/>
      <name val="Arial"/>
      <family val="2"/>
    </font>
    <font>
      <vertAlign val="superscript"/>
      <sz val="8"/>
      <name val="Arial"/>
      <family val="2"/>
    </font>
    <font>
      <sz val="10"/>
      <color indexed="12"/>
      <name val="Arial"/>
      <family val="2"/>
    </font>
    <font>
      <sz val="10"/>
      <name val="Arial"/>
      <family val="2"/>
    </font>
  </fonts>
  <fills count="46">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7"/>
        <bgColor indexed="64"/>
      </patternFill>
    </fill>
    <fill>
      <patternFill patternType="solid">
        <fgColor indexed="45"/>
        <bgColor indexed="64"/>
      </patternFill>
    </fill>
    <fill>
      <patternFill patternType="solid">
        <fgColor indexed="41"/>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diagonal/>
    </border>
    <border>
      <left style="thin">
        <color indexed="64"/>
      </left>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double">
        <color indexed="64"/>
      </bottom>
      <diagonal/>
    </border>
    <border>
      <left/>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07">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8" fillId="1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8" fillId="27" borderId="0" applyNumberFormat="0" applyBorder="0" applyAlignment="0" applyProtection="0"/>
    <xf numFmtId="0" fontId="10" fillId="18" borderId="0" applyNumberFormat="0" applyBorder="0" applyAlignment="0" applyProtection="0"/>
    <xf numFmtId="0" fontId="11" fillId="28" borderId="1" applyNumberFormat="0" applyAlignment="0" applyProtection="0"/>
    <xf numFmtId="0" fontId="12" fillId="19"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4" fillId="0" borderId="0" applyNumberFormat="0" applyFill="0" applyBorder="0" applyAlignment="0" applyProtection="0"/>
    <xf numFmtId="0" fontId="15" fillId="32"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alignment vertical="top"/>
      <protection locked="0"/>
    </xf>
    <xf numFmtId="0" fontId="19" fillId="27" borderId="1" applyNumberFormat="0" applyAlignment="0" applyProtection="0"/>
    <xf numFmtId="0" fontId="20" fillId="0" borderId="6" applyNumberFormat="0" applyFill="0" applyAlignment="0" applyProtection="0"/>
    <xf numFmtId="0" fontId="21" fillId="27" borderId="0" applyNumberFormat="0" applyBorder="0" applyAlignment="0" applyProtection="0"/>
    <xf numFmtId="0" fontId="5" fillId="0" borderId="0"/>
    <xf numFmtId="0" fontId="1" fillId="26" borderId="7" applyNumberFormat="0" applyFont="0" applyAlignment="0" applyProtection="0"/>
    <xf numFmtId="0" fontId="22" fillId="28" borderId="8" applyNumberFormat="0" applyAlignment="0" applyProtection="0"/>
    <xf numFmtId="4" fontId="23" fillId="33" borderId="9" applyNumberFormat="0" applyProtection="0">
      <alignment vertical="center"/>
    </xf>
    <xf numFmtId="4" fontId="24" fillId="33" borderId="9" applyNumberFormat="0" applyProtection="0">
      <alignment vertical="center"/>
    </xf>
    <xf numFmtId="4" fontId="23" fillId="33" borderId="9" applyNumberFormat="0" applyProtection="0">
      <alignment horizontal="left" vertical="center" indent="1"/>
    </xf>
    <xf numFmtId="0" fontId="23" fillId="33" borderId="9" applyNumberFormat="0" applyProtection="0">
      <alignment horizontal="left" vertical="top" indent="1"/>
    </xf>
    <xf numFmtId="4" fontId="23" fillId="2" borderId="0" applyNumberFormat="0" applyProtection="0">
      <alignment horizontal="left" vertical="center" indent="1"/>
    </xf>
    <xf numFmtId="4" fontId="6" fillId="7" borderId="9" applyNumberFormat="0" applyProtection="0">
      <alignment horizontal="right" vertical="center"/>
    </xf>
    <xf numFmtId="4" fontId="6" fillId="3" borderId="9" applyNumberFormat="0" applyProtection="0">
      <alignment horizontal="right" vertical="center"/>
    </xf>
    <xf numFmtId="4" fontId="6" fillId="34" borderId="9" applyNumberFormat="0" applyProtection="0">
      <alignment horizontal="right" vertical="center"/>
    </xf>
    <xf numFmtId="4" fontId="6" fillId="35" borderId="9" applyNumberFormat="0" applyProtection="0">
      <alignment horizontal="right" vertical="center"/>
    </xf>
    <xf numFmtId="4" fontId="6" fillId="36" borderId="9" applyNumberFormat="0" applyProtection="0">
      <alignment horizontal="right" vertical="center"/>
    </xf>
    <xf numFmtId="4" fontId="6" fillId="37" borderId="9" applyNumberFormat="0" applyProtection="0">
      <alignment horizontal="right" vertical="center"/>
    </xf>
    <xf numFmtId="4" fontId="6" fillId="9" borderId="9" applyNumberFormat="0" applyProtection="0">
      <alignment horizontal="right" vertical="center"/>
    </xf>
    <xf numFmtId="4" fontId="6" fillId="38" borderId="9" applyNumberFormat="0" applyProtection="0">
      <alignment horizontal="right" vertical="center"/>
    </xf>
    <xf numFmtId="4" fontId="6" fillId="39" borderId="9" applyNumberFormat="0" applyProtection="0">
      <alignment horizontal="right" vertical="center"/>
    </xf>
    <xf numFmtId="4" fontId="23" fillId="40" borderId="10" applyNumberFormat="0" applyProtection="0">
      <alignment horizontal="left" vertical="center" indent="1"/>
    </xf>
    <xf numFmtId="4" fontId="6" fillId="41" borderId="0" applyNumberFormat="0" applyProtection="0">
      <alignment horizontal="left" vertical="center" indent="1"/>
    </xf>
    <xf numFmtId="4" fontId="25" fillId="8" borderId="0" applyNumberFormat="0" applyProtection="0">
      <alignment horizontal="left" vertical="center" indent="1"/>
    </xf>
    <xf numFmtId="4" fontId="6" fillId="2" borderId="9" applyNumberFormat="0" applyProtection="0">
      <alignment horizontal="right" vertical="center"/>
    </xf>
    <xf numFmtId="4" fontId="5" fillId="41" borderId="0" applyNumberFormat="0" applyProtection="0">
      <alignment horizontal="left" vertical="center" indent="1"/>
    </xf>
    <xf numFmtId="4" fontId="5" fillId="2" borderId="0" applyNumberFormat="0" applyProtection="0">
      <alignment horizontal="left" vertical="center" indent="1"/>
    </xf>
    <xf numFmtId="0" fontId="1" fillId="8" borderId="9" applyNumberFormat="0" applyProtection="0">
      <alignment horizontal="left" vertical="center" indent="1"/>
    </xf>
    <xf numFmtId="0" fontId="1" fillId="8" borderId="9" applyNumberFormat="0" applyProtection="0">
      <alignment horizontal="left" vertical="top" indent="1"/>
    </xf>
    <xf numFmtId="0" fontId="1" fillId="2" borderId="9" applyNumberFormat="0" applyProtection="0">
      <alignment horizontal="left" vertical="center" indent="1"/>
    </xf>
    <xf numFmtId="0" fontId="1" fillId="2" borderId="9" applyNumberFormat="0" applyProtection="0">
      <alignment horizontal="left" vertical="top" indent="1"/>
    </xf>
    <xf numFmtId="0" fontId="1" fillId="6" borderId="9" applyNumberFormat="0" applyProtection="0">
      <alignment horizontal="left" vertical="center" indent="1"/>
    </xf>
    <xf numFmtId="0" fontId="1" fillId="6" borderId="9" applyNumberFormat="0" applyProtection="0">
      <alignment horizontal="left" vertical="top" indent="1"/>
    </xf>
    <xf numFmtId="0" fontId="1" fillId="41" borderId="9" applyNumberFormat="0" applyProtection="0">
      <alignment horizontal="left" vertical="center" indent="1"/>
    </xf>
    <xf numFmtId="0" fontId="1" fillId="41" borderId="9" applyNumberFormat="0" applyProtection="0">
      <alignment horizontal="left" vertical="top" indent="1"/>
    </xf>
    <xf numFmtId="0" fontId="1" fillId="5" borderId="11" applyNumberFormat="0">
      <protection locked="0"/>
    </xf>
    <xf numFmtId="4" fontId="6" fillId="4" borderId="9" applyNumberFormat="0" applyProtection="0">
      <alignment vertical="center"/>
    </xf>
    <xf numFmtId="4" fontId="26" fillId="4" borderId="9" applyNumberFormat="0" applyProtection="0">
      <alignment vertical="center"/>
    </xf>
    <xf numFmtId="4" fontId="6" fillId="4" borderId="9" applyNumberFormat="0" applyProtection="0">
      <alignment horizontal="left" vertical="center" indent="1"/>
    </xf>
    <xf numFmtId="0" fontId="6" fillId="4" borderId="9" applyNumberFormat="0" applyProtection="0">
      <alignment horizontal="left" vertical="top" indent="1"/>
    </xf>
    <xf numFmtId="4" fontId="6" fillId="41" borderId="9" applyNumberFormat="0" applyProtection="0">
      <alignment horizontal="right" vertical="center"/>
    </xf>
    <xf numFmtId="4" fontId="26" fillId="41" borderId="9" applyNumberFormat="0" applyProtection="0">
      <alignment horizontal="right" vertical="center"/>
    </xf>
    <xf numFmtId="4" fontId="6" fillId="2" borderId="9" applyNumberFormat="0" applyProtection="0">
      <alignment horizontal="left" vertical="center" indent="1"/>
    </xf>
    <xf numFmtId="0" fontId="6" fillId="2" borderId="9" applyNumberFormat="0" applyProtection="0">
      <alignment horizontal="left" vertical="top" indent="1"/>
    </xf>
    <xf numFmtId="4" fontId="27" fillId="42" borderId="0" applyNumberFormat="0" applyProtection="0">
      <alignment horizontal="left" vertical="center" indent="1"/>
    </xf>
    <xf numFmtId="4" fontId="28" fillId="41" borderId="9" applyNumberFormat="0" applyProtection="0">
      <alignment horizontal="right" vertical="center"/>
    </xf>
    <xf numFmtId="0" fontId="29" fillId="0" borderId="0" applyNumberFormat="0" applyFill="0" applyBorder="0" applyAlignment="0" applyProtection="0"/>
    <xf numFmtId="0" fontId="29" fillId="0" borderId="0" applyNumberFormat="0" applyFill="0" applyBorder="0" applyAlignment="0" applyProtection="0"/>
    <xf numFmtId="0" fontId="13" fillId="0" borderId="12" applyNumberFormat="0" applyFill="0" applyAlignment="0" applyProtection="0"/>
    <xf numFmtId="0" fontId="30" fillId="0" borderId="0" applyNumberFormat="0" applyFill="0" applyBorder="0" applyAlignment="0" applyProtection="0"/>
  </cellStyleXfs>
  <cellXfs count="645">
    <xf numFmtId="0" fontId="0" fillId="0" borderId="0" xfId="0"/>
    <xf numFmtId="0" fontId="2" fillId="0" borderId="13" xfId="0" applyFont="1" applyFill="1" applyBorder="1"/>
    <xf numFmtId="164" fontId="0" fillId="0" borderId="0" xfId="0" applyNumberFormat="1" applyFill="1" applyBorder="1"/>
    <xf numFmtId="6" fontId="0" fillId="0" borderId="14" xfId="0" applyNumberFormat="1" applyFill="1" applyBorder="1" applyAlignment="1">
      <alignment horizontal="right"/>
    </xf>
    <xf numFmtId="0" fontId="2" fillId="0" borderId="0" xfId="0" applyFont="1" applyFill="1" applyBorder="1"/>
    <xf numFmtId="6" fontId="1" fillId="0" borderId="0" xfId="0" applyNumberFormat="1" applyFont="1" applyFill="1" applyBorder="1"/>
    <xf numFmtId="0" fontId="2" fillId="0" borderId="11" xfId="0" applyFont="1" applyFill="1" applyBorder="1" applyAlignment="1">
      <alignment horizontal="center" wrapText="1"/>
    </xf>
    <xf numFmtId="164" fontId="0" fillId="0" borderId="15" xfId="0" applyNumberFormat="1" applyFill="1" applyBorder="1"/>
    <xf numFmtId="0" fontId="0" fillId="0" borderId="0" xfId="0" applyFill="1"/>
    <xf numFmtId="6" fontId="0" fillId="0" borderId="16" xfId="0" applyNumberFormat="1" applyFill="1" applyBorder="1"/>
    <xf numFmtId="0" fontId="5" fillId="0" borderId="0" xfId="61"/>
    <xf numFmtId="0" fontId="5" fillId="0" borderId="0" xfId="61" applyFont="1"/>
    <xf numFmtId="0" fontId="23" fillId="0" borderId="0" xfId="61" applyFont="1"/>
    <xf numFmtId="0" fontId="23" fillId="0" borderId="0" xfId="61" applyFont="1" applyAlignment="1">
      <alignment horizontal="center"/>
    </xf>
    <xf numFmtId="0" fontId="5" fillId="0" borderId="11" xfId="61" applyBorder="1"/>
    <xf numFmtId="6" fontId="23" fillId="0" borderId="11" xfId="61" applyNumberFormat="1" applyFont="1" applyBorder="1"/>
    <xf numFmtId="0" fontId="2" fillId="0" borderId="0" xfId="0" applyFont="1" applyFill="1"/>
    <xf numFmtId="0" fontId="2" fillId="0" borderId="11" xfId="0" applyFont="1" applyFill="1" applyBorder="1" applyAlignment="1">
      <alignment horizontal="center"/>
    </xf>
    <xf numFmtId="0" fontId="32" fillId="0" borderId="0" xfId="0" applyFont="1" applyFill="1" applyBorder="1"/>
    <xf numFmtId="38" fontId="3" fillId="0" borderId="0" xfId="0" applyNumberFormat="1" applyFont="1" applyFill="1" applyBorder="1"/>
    <xf numFmtId="165" fontId="3" fillId="0" borderId="0" xfId="0" applyNumberFormat="1" applyFont="1" applyFill="1" applyBorder="1" applyAlignment="1"/>
    <xf numFmtId="166" fontId="3" fillId="0" borderId="0" xfId="0" applyNumberFormat="1" applyFont="1" applyFill="1" applyBorder="1" applyAlignment="1"/>
    <xf numFmtId="6" fontId="0" fillId="0" borderId="19" xfId="0" applyNumberFormat="1" applyFill="1" applyBorder="1"/>
    <xf numFmtId="0" fontId="2" fillId="0" borderId="11" xfId="0" applyFont="1" applyFill="1" applyBorder="1" applyAlignment="1">
      <alignment horizontal="center" vertical="center" wrapText="1"/>
    </xf>
    <xf numFmtId="174" fontId="3" fillId="0" borderId="11" xfId="47" applyNumberFormat="1" applyFont="1" applyFill="1" applyBorder="1" applyAlignment="1">
      <alignment horizontal="center" vertical="center" wrapText="1"/>
    </xf>
    <xf numFmtId="0" fontId="2" fillId="0" borderId="0" xfId="0" applyFont="1" applyFill="1" applyBorder="1" applyAlignment="1">
      <alignment horizontal="center" wrapText="1"/>
    </xf>
    <xf numFmtId="174" fontId="3" fillId="0" borderId="0" xfId="47" applyNumberFormat="1" applyFont="1" applyFill="1" applyBorder="1" applyAlignment="1">
      <alignment horizontal="center" wrapText="1"/>
    </xf>
    <xf numFmtId="174" fontId="3" fillId="0" borderId="11" xfId="47" applyNumberFormat="1" applyFont="1" applyFill="1" applyBorder="1" applyAlignment="1">
      <alignment horizontal="center" wrapText="1"/>
    </xf>
    <xf numFmtId="42" fontId="2" fillId="0" borderId="11" xfId="47" applyNumberFormat="1" applyFont="1" applyFill="1" applyBorder="1" applyAlignment="1">
      <alignment horizontal="center" wrapText="1"/>
    </xf>
    <xf numFmtId="0" fontId="0" fillId="0" borderId="24" xfId="0" applyFill="1" applyBorder="1" applyAlignment="1">
      <alignment horizontal="left" indent="1"/>
    </xf>
    <xf numFmtId="0" fontId="34" fillId="0" borderId="11" xfId="0" applyFont="1" applyFill="1" applyBorder="1" applyAlignment="1" applyProtection="1">
      <alignment horizontal="left"/>
    </xf>
    <xf numFmtId="0" fontId="34" fillId="0" borderId="25" xfId="0" applyFont="1" applyFill="1" applyBorder="1" applyProtection="1"/>
    <xf numFmtId="0" fontId="34" fillId="0" borderId="26" xfId="0" applyFont="1" applyFill="1" applyBorder="1" applyProtection="1"/>
    <xf numFmtId="0" fontId="34" fillId="0" borderId="0" xfId="0" applyFont="1" applyFill="1" applyProtection="1"/>
    <xf numFmtId="3" fontId="33" fillId="43" borderId="11" xfId="0" applyNumberFormat="1" applyFont="1" applyFill="1" applyBorder="1" applyAlignment="1">
      <alignment vertical="top" wrapText="1"/>
    </xf>
    <xf numFmtId="0" fontId="6" fillId="0" borderId="11" xfId="0" applyFont="1" applyFill="1" applyBorder="1"/>
    <xf numFmtId="172" fontId="6" fillId="0" borderId="11" xfId="0" quotePrefix="1" applyNumberFormat="1" applyFont="1" applyFill="1" applyBorder="1" applyAlignment="1">
      <alignment horizontal="center"/>
    </xf>
    <xf numFmtId="166" fontId="23" fillId="0" borderId="11" xfId="0" applyNumberFormat="1" applyFont="1" applyFill="1" applyBorder="1"/>
    <xf numFmtId="166" fontId="6" fillId="0" borderId="11" xfId="0" applyNumberFormat="1" applyFont="1" applyFill="1" applyBorder="1"/>
    <xf numFmtId="172" fontId="6" fillId="0" borderId="11" xfId="0" applyNumberFormat="1" applyFont="1" applyFill="1" applyBorder="1"/>
    <xf numFmtId="0" fontId="23" fillId="0" borderId="27" xfId="0" applyFont="1" applyFill="1" applyBorder="1"/>
    <xf numFmtId="172" fontId="23" fillId="0" borderId="27" xfId="0" applyNumberFormat="1" applyFont="1" applyFill="1" applyBorder="1"/>
    <xf numFmtId="166" fontId="23" fillId="0" borderId="27" xfId="0" applyNumberFormat="1" applyFont="1" applyFill="1" applyBorder="1"/>
    <xf numFmtId="0" fontId="23" fillId="0" borderId="27" xfId="0" applyFont="1" applyFill="1" applyBorder="1" applyAlignment="1">
      <alignment horizontal="center"/>
    </xf>
    <xf numFmtId="166" fontId="23" fillId="0" borderId="11" xfId="0" applyNumberFormat="1" applyFont="1" applyFill="1" applyBorder="1" applyAlignment="1">
      <alignment horizontal="center"/>
    </xf>
    <xf numFmtId="166" fontId="23" fillId="0" borderId="27" xfId="0" applyNumberFormat="1" applyFont="1" applyFill="1" applyBorder="1" applyAlignment="1">
      <alignment horizontal="center"/>
    </xf>
    <xf numFmtId="166" fontId="23" fillId="0" borderId="11" xfId="0" applyNumberFormat="1" applyFont="1" applyFill="1" applyBorder="1" applyAlignment="1"/>
    <xf numFmtId="0" fontId="23" fillId="0" borderId="0" xfId="0" applyFont="1" applyFill="1"/>
    <xf numFmtId="0" fontId="23" fillId="0" borderId="28" xfId="0" applyFont="1" applyFill="1" applyBorder="1"/>
    <xf numFmtId="0" fontId="23" fillId="0" borderId="29" xfId="0" applyFont="1" applyFill="1" applyBorder="1"/>
    <xf numFmtId="38" fontId="6" fillId="0" borderId="29" xfId="0" applyNumberFormat="1" applyFont="1" applyFill="1" applyBorder="1"/>
    <xf numFmtId="165" fontId="23" fillId="0" borderId="29" xfId="0" applyNumberFormat="1" applyFont="1" applyFill="1" applyBorder="1" applyAlignment="1"/>
    <xf numFmtId="166" fontId="6" fillId="0" borderId="29" xfId="0" applyNumberFormat="1" applyFont="1" applyFill="1" applyBorder="1"/>
    <xf numFmtId="166" fontId="6" fillId="0" borderId="29" xfId="0" applyNumberFormat="1" applyFont="1" applyFill="1" applyBorder="1" applyAlignment="1"/>
    <xf numFmtId="166" fontId="23" fillId="0" borderId="29" xfId="0" applyNumberFormat="1" applyFont="1" applyFill="1" applyBorder="1"/>
    <xf numFmtId="0" fontId="6" fillId="0" borderId="0" xfId="0" applyFont="1" applyFill="1"/>
    <xf numFmtId="0" fontId="6" fillId="0" borderId="27" xfId="0" applyFont="1" applyFill="1" applyBorder="1"/>
    <xf numFmtId="0" fontId="6" fillId="0" borderId="14" xfId="0" applyFont="1" applyFill="1" applyBorder="1"/>
    <xf numFmtId="166" fontId="6" fillId="0" borderId="14" xfId="0" applyNumberFormat="1" applyFont="1" applyFill="1" applyBorder="1"/>
    <xf numFmtId="166" fontId="6" fillId="0" borderId="20" xfId="0" applyNumberFormat="1" applyFont="1" applyFill="1" applyBorder="1"/>
    <xf numFmtId="0" fontId="6" fillId="0" borderId="11" xfId="0" applyFont="1" applyFill="1" applyBorder="1" applyAlignment="1">
      <alignment wrapText="1" shrinkToFit="1"/>
    </xf>
    <xf numFmtId="0" fontId="23" fillId="0" borderId="11" xfId="0" applyFont="1" applyFill="1" applyBorder="1"/>
    <xf numFmtId="172" fontId="23" fillId="0" borderId="11" xfId="0" applyNumberFormat="1" applyFont="1" applyFill="1" applyBorder="1"/>
    <xf numFmtId="172" fontId="23" fillId="0" borderId="27" xfId="0" applyNumberFormat="1" applyFont="1" applyFill="1" applyBorder="1" applyAlignment="1">
      <alignment horizontal="right"/>
    </xf>
    <xf numFmtId="0" fontId="23" fillId="0" borderId="0" xfId="0" applyFont="1" applyFill="1" applyBorder="1"/>
    <xf numFmtId="38" fontId="6" fillId="0" borderId="0" xfId="0" applyNumberFormat="1" applyFont="1" applyFill="1" applyBorder="1" applyAlignment="1"/>
    <xf numFmtId="165" fontId="6" fillId="0" borderId="0" xfId="0" applyNumberFormat="1" applyFont="1" applyFill="1" applyBorder="1" applyAlignment="1"/>
    <xf numFmtId="166" fontId="6" fillId="0" borderId="11" xfId="0" quotePrefix="1" applyNumberFormat="1" applyFont="1" applyFill="1" applyBorder="1" applyAlignment="1">
      <alignment horizontal="center"/>
    </xf>
    <xf numFmtId="166" fontId="23" fillId="0" borderId="29" xfId="0" applyNumberFormat="1" applyFont="1" applyFill="1" applyBorder="1" applyAlignment="1"/>
    <xf numFmtId="166" fontId="6" fillId="0" borderId="27" xfId="0" applyNumberFormat="1" applyFont="1" applyFill="1" applyBorder="1"/>
    <xf numFmtId="166" fontId="23" fillId="0" borderId="27" xfId="0" applyNumberFormat="1" applyFont="1" applyFill="1" applyBorder="1" applyAlignment="1">
      <alignment horizontal="right"/>
    </xf>
    <xf numFmtId="0" fontId="38" fillId="0" borderId="0" xfId="0" applyFont="1" applyFill="1" applyBorder="1"/>
    <xf numFmtId="38" fontId="39" fillId="0" borderId="0" xfId="0" applyNumberFormat="1" applyFont="1" applyFill="1" applyBorder="1" applyAlignment="1"/>
    <xf numFmtId="165" fontId="39" fillId="0" borderId="0" xfId="0" applyNumberFormat="1" applyFont="1" applyFill="1" applyBorder="1" applyAlignment="1"/>
    <xf numFmtId="0" fontId="6" fillId="0" borderId="0" xfId="0" applyFont="1" applyFill="1" applyBorder="1"/>
    <xf numFmtId="0" fontId="38" fillId="0" borderId="0" xfId="0" applyFont="1" applyFill="1"/>
    <xf numFmtId="0" fontId="39" fillId="0" borderId="0" xfId="0" applyFont="1" applyFill="1"/>
    <xf numFmtId="3" fontId="33" fillId="43" borderId="11" xfId="0" applyNumberFormat="1" applyFont="1" applyFill="1" applyBorder="1" applyAlignment="1">
      <alignment vertical="top"/>
    </xf>
    <xf numFmtId="172" fontId="23" fillId="0" borderId="11" xfId="0" applyNumberFormat="1" applyFont="1" applyFill="1" applyBorder="1" applyAlignment="1">
      <alignment horizontal="right"/>
    </xf>
    <xf numFmtId="166" fontId="6" fillId="0" borderId="11" xfId="0" quotePrefix="1" applyNumberFormat="1" applyFont="1" applyFill="1" applyBorder="1" applyAlignment="1">
      <alignment horizontal="right"/>
    </xf>
    <xf numFmtId="166" fontId="23" fillId="0" borderId="11" xfId="0" applyNumberFormat="1" applyFont="1" applyFill="1" applyBorder="1" applyAlignment="1">
      <alignment horizontal="right"/>
    </xf>
    <xf numFmtId="172" fontId="6" fillId="0" borderId="11" xfId="0" quotePrefix="1" applyNumberFormat="1" applyFont="1" applyFill="1" applyBorder="1" applyAlignment="1">
      <alignment horizontal="right"/>
    </xf>
    <xf numFmtId="0" fontId="36" fillId="0" borderId="0" xfId="0" applyFont="1" applyFill="1"/>
    <xf numFmtId="0" fontId="40" fillId="0" borderId="30" xfId="0" applyFont="1" applyFill="1" applyBorder="1"/>
    <xf numFmtId="0" fontId="36" fillId="0" borderId="31" xfId="0" applyFont="1" applyFill="1" applyBorder="1"/>
    <xf numFmtId="6" fontId="36" fillId="0" borderId="0" xfId="0" applyNumberFormat="1" applyFont="1" applyFill="1" applyBorder="1"/>
    <xf numFmtId="0" fontId="40" fillId="0" borderId="17" xfId="0" applyFont="1" applyFill="1" applyBorder="1" applyAlignment="1">
      <alignment horizontal="center" wrapText="1"/>
    </xf>
    <xf numFmtId="0" fontId="36" fillId="0" borderId="17" xfId="0" applyFont="1" applyFill="1" applyBorder="1"/>
    <xf numFmtId="6" fontId="36" fillId="0" borderId="21" xfId="0" applyNumberFormat="1" applyFont="1" applyFill="1" applyBorder="1"/>
    <xf numFmtId="6" fontId="36" fillId="0" borderId="17" xfId="0" applyNumberFormat="1" applyFont="1" applyFill="1" applyBorder="1"/>
    <xf numFmtId="6" fontId="36" fillId="0" borderId="17" xfId="0" applyNumberFormat="1" applyFont="1" applyFill="1" applyBorder="1" applyAlignment="1">
      <alignment horizontal="right"/>
    </xf>
    <xf numFmtId="6" fontId="36" fillId="0" borderId="0" xfId="0" applyNumberFormat="1" applyFont="1" applyFill="1" applyBorder="1" applyAlignment="1">
      <alignment vertical="top"/>
    </xf>
    <xf numFmtId="6" fontId="36" fillId="0" borderId="21" xfId="0" applyNumberFormat="1" applyFont="1" applyFill="1" applyBorder="1" applyAlignment="1">
      <alignment vertical="top"/>
    </xf>
    <xf numFmtId="6" fontId="36" fillId="0" borderId="17" xfId="0" applyNumberFormat="1" applyFont="1" applyFill="1" applyBorder="1" applyAlignment="1">
      <alignment vertical="top"/>
    </xf>
    <xf numFmtId="6" fontId="36" fillId="0" borderId="14" xfId="0" applyNumberFormat="1" applyFont="1" applyFill="1" applyBorder="1"/>
    <xf numFmtId="6" fontId="36" fillId="0" borderId="11" xfId="0" applyNumberFormat="1" applyFont="1" applyFill="1" applyBorder="1"/>
    <xf numFmtId="0" fontId="36" fillId="0" borderId="18" xfId="0" applyFont="1" applyFill="1" applyBorder="1"/>
    <xf numFmtId="6" fontId="36" fillId="0" borderId="23" xfId="0" applyNumberFormat="1" applyFont="1" applyFill="1" applyBorder="1"/>
    <xf numFmtId="6" fontId="36" fillId="0" borderId="0" xfId="0" applyNumberFormat="1" applyFont="1" applyFill="1" applyBorder="1" applyAlignment="1">
      <alignment horizontal="right"/>
    </xf>
    <xf numFmtId="0" fontId="40" fillId="0" borderId="0" xfId="0" applyFont="1" applyFill="1" applyBorder="1" applyAlignment="1">
      <alignment wrapText="1"/>
    </xf>
    <xf numFmtId="6" fontId="36" fillId="0" borderId="0" xfId="0" applyNumberFormat="1" applyFont="1" applyFill="1"/>
    <xf numFmtId="0" fontId="36" fillId="0" borderId="0" xfId="0" applyFont="1" applyFill="1" applyBorder="1"/>
    <xf numFmtId="3" fontId="33" fillId="43" borderId="11" xfId="0" applyNumberFormat="1" applyFont="1" applyFill="1" applyBorder="1" applyAlignment="1">
      <alignment horizontal="right" vertical="top" wrapText="1"/>
    </xf>
    <xf numFmtId="0" fontId="36" fillId="0" borderId="30" xfId="0" applyFont="1" applyFill="1" applyBorder="1" applyAlignment="1">
      <alignment horizontal="left" wrapText="1" indent="1"/>
    </xf>
    <xf numFmtId="166" fontId="6" fillId="0" borderId="11" xfId="46" applyNumberFormat="1" applyFont="1" applyFill="1" applyBorder="1" applyAlignment="1">
      <alignment horizontal="right"/>
    </xf>
    <xf numFmtId="166" fontId="6" fillId="0" borderId="11" xfId="46" applyNumberFormat="1" applyFont="1" applyFill="1" applyBorder="1" applyAlignment="1">
      <alignment horizontal="right" wrapText="1"/>
    </xf>
    <xf numFmtId="165" fontId="1" fillId="0" borderId="0" xfId="0" applyNumberFormat="1" applyFont="1" applyFill="1" applyBorder="1" applyProtection="1"/>
    <xf numFmtId="166" fontId="3" fillId="0" borderId="11" xfId="0" applyNumberFormat="1" applyFont="1" applyFill="1" applyBorder="1"/>
    <xf numFmtId="6" fontId="1" fillId="0" borderId="0" xfId="0" applyNumberFormat="1" applyFont="1" applyFill="1" applyBorder="1" applyAlignment="1">
      <alignment vertical="top"/>
    </xf>
    <xf numFmtId="0" fontId="23" fillId="0" borderId="11" xfId="0" applyFont="1" applyFill="1" applyBorder="1" applyAlignment="1">
      <alignment horizontal="center" wrapText="1"/>
    </xf>
    <xf numFmtId="172" fontId="6" fillId="0" borderId="11" xfId="0" applyNumberFormat="1" applyFont="1" applyFill="1" applyBorder="1" applyAlignment="1">
      <alignment horizontal="right" wrapText="1"/>
    </xf>
    <xf numFmtId="0" fontId="0" fillId="0" borderId="29" xfId="0" applyFill="1" applyBorder="1"/>
    <xf numFmtId="0" fontId="0" fillId="0" borderId="0" xfId="0" applyFill="1" applyBorder="1"/>
    <xf numFmtId="0" fontId="50" fillId="0" borderId="0" xfId="0" applyFont="1" applyFill="1" applyBorder="1" applyAlignment="1">
      <alignment horizontal="right"/>
    </xf>
    <xf numFmtId="0" fontId="2" fillId="0" borderId="32" xfId="0" applyFont="1" applyFill="1" applyBorder="1" applyAlignment="1">
      <alignment horizontal="center" wrapText="1"/>
    </xf>
    <xf numFmtId="0" fontId="2" fillId="0" borderId="33" xfId="0" applyFont="1" applyFill="1" applyBorder="1" applyAlignment="1">
      <alignment horizontal="center" wrapText="1"/>
    </xf>
    <xf numFmtId="42" fontId="2" fillId="0" borderId="33" xfId="47" applyNumberFormat="1" applyFont="1" applyFill="1" applyBorder="1" applyAlignment="1">
      <alignment horizontal="center" wrapText="1"/>
    </xf>
    <xf numFmtId="42" fontId="2" fillId="0" borderId="34" xfId="47" applyNumberFormat="1" applyFont="1" applyFill="1" applyBorder="1" applyAlignment="1">
      <alignment horizontal="center" wrapText="1"/>
    </xf>
    <xf numFmtId="0" fontId="2" fillId="0" borderId="35" xfId="0" applyFont="1" applyFill="1" applyBorder="1" applyAlignment="1">
      <alignment horizontal="center" wrapText="1"/>
    </xf>
    <xf numFmtId="174" fontId="3" fillId="0" borderId="36" xfId="47" applyNumberFormat="1" applyFont="1" applyFill="1" applyBorder="1" applyAlignment="1">
      <alignment horizontal="center" wrapText="1"/>
    </xf>
    <xf numFmtId="5" fontId="3" fillId="0" borderId="36" xfId="47" applyNumberFormat="1" applyFont="1" applyFill="1" applyBorder="1" applyAlignment="1">
      <alignment horizontal="center" wrapText="1"/>
    </xf>
    <xf numFmtId="0" fontId="2" fillId="0" borderId="13" xfId="0" applyFont="1" applyFill="1" applyBorder="1" applyAlignment="1">
      <alignment horizontal="center" wrapText="1"/>
    </xf>
    <xf numFmtId="0" fontId="2" fillId="0" borderId="19" xfId="0" applyFont="1" applyFill="1" applyBorder="1" applyAlignment="1">
      <alignment horizontal="center" wrapText="1"/>
    </xf>
    <xf numFmtId="0" fontId="3" fillId="0" borderId="37" xfId="0" applyFont="1" applyFill="1" applyBorder="1" applyAlignment="1">
      <alignment horizontal="center" wrapText="1"/>
    </xf>
    <xf numFmtId="0" fontId="3" fillId="0" borderId="38" xfId="0" applyFont="1" applyFill="1" applyBorder="1" applyAlignment="1">
      <alignment horizontal="center" wrapText="1"/>
    </xf>
    <xf numFmtId="174" fontId="3" fillId="0" borderId="38" xfId="47" applyNumberFormat="1" applyFont="1" applyFill="1" applyBorder="1" applyAlignment="1">
      <alignment horizontal="center" wrapText="1"/>
    </xf>
    <xf numFmtId="5" fontId="3" fillId="0" borderId="39" xfId="47" applyNumberFormat="1" applyFont="1" applyFill="1" applyBorder="1" applyAlignment="1">
      <alignment horizontal="center" wrapText="1"/>
    </xf>
    <xf numFmtId="0" fontId="5" fillId="0" borderId="23" xfId="61" applyFont="1" applyBorder="1" applyAlignment="1">
      <alignment vertical="top"/>
    </xf>
    <xf numFmtId="6" fontId="5" fillId="0" borderId="23" xfId="61" applyNumberFormat="1" applyFont="1" applyBorder="1" applyAlignment="1">
      <alignment vertical="top"/>
    </xf>
    <xf numFmtId="0" fontId="23" fillId="0" borderId="40" xfId="61" applyFont="1" applyBorder="1" applyAlignment="1">
      <alignment horizontal="center"/>
    </xf>
    <xf numFmtId="0" fontId="23" fillId="0" borderId="41" xfId="61" applyFont="1" applyBorder="1" applyAlignment="1">
      <alignment horizontal="center"/>
    </xf>
    <xf numFmtId="0" fontId="23" fillId="0" borderId="42" xfId="61" applyFont="1" applyBorder="1" applyAlignment="1">
      <alignment horizontal="center"/>
    </xf>
    <xf numFmtId="0" fontId="5" fillId="0" borderId="30" xfId="61" applyFont="1" applyBorder="1" applyAlignment="1">
      <alignment vertical="top"/>
    </xf>
    <xf numFmtId="0" fontId="23" fillId="0" borderId="13" xfId="61" applyFont="1" applyBorder="1"/>
    <xf numFmtId="0" fontId="5" fillId="0" borderId="19" xfId="61" applyBorder="1"/>
    <xf numFmtId="0" fontId="5" fillId="0" borderId="37" xfId="61" applyBorder="1"/>
    <xf numFmtId="0" fontId="5" fillId="0" borderId="38" xfId="61" applyBorder="1"/>
    <xf numFmtId="0" fontId="5" fillId="0" borderId="39" xfId="61" applyBorder="1"/>
    <xf numFmtId="175" fontId="34" fillId="0" borderId="29" xfId="0" applyNumberFormat="1" applyFont="1" applyFill="1" applyBorder="1" applyAlignment="1" applyProtection="1">
      <alignment horizontal="center" wrapText="1"/>
    </xf>
    <xf numFmtId="175" fontId="34" fillId="0" borderId="43" xfId="0" applyNumberFormat="1" applyFont="1" applyFill="1" applyBorder="1" applyAlignment="1" applyProtection="1">
      <alignment horizontal="center"/>
    </xf>
    <xf numFmtId="0" fontId="34" fillId="0" borderId="11" xfId="0" applyFont="1" applyFill="1" applyBorder="1" applyProtection="1"/>
    <xf numFmtId="0" fontId="34" fillId="0" borderId="14" xfId="0" applyFont="1" applyFill="1" applyBorder="1" applyAlignment="1" applyProtection="1">
      <alignment horizontal="center" wrapText="1"/>
    </xf>
    <xf numFmtId="0" fontId="34" fillId="0" borderId="11" xfId="0" applyFont="1" applyFill="1" applyBorder="1" applyAlignment="1" applyProtection="1">
      <alignment horizontal="center" wrapText="1"/>
    </xf>
    <xf numFmtId="0" fontId="34" fillId="0" borderId="20" xfId="0" applyFont="1" applyFill="1" applyBorder="1" applyAlignment="1" applyProtection="1">
      <alignment horizontal="center" wrapText="1"/>
    </xf>
    <xf numFmtId="0" fontId="1" fillId="0" borderId="0" xfId="0" applyFont="1" applyFill="1" applyProtection="1"/>
    <xf numFmtId="0" fontId="1" fillId="0" borderId="44" xfId="0" applyFont="1" applyFill="1" applyBorder="1" applyProtection="1"/>
    <xf numFmtId="166" fontId="23" fillId="0" borderId="11" xfId="46" applyNumberFormat="1" applyFont="1" applyFill="1" applyBorder="1" applyAlignment="1">
      <alignment horizontal="right" wrapText="1"/>
    </xf>
    <xf numFmtId="172" fontId="23" fillId="0" borderId="11" xfId="0" applyNumberFormat="1" applyFont="1" applyFill="1" applyBorder="1" applyAlignment="1">
      <alignment horizontal="center" wrapText="1"/>
    </xf>
    <xf numFmtId="166" fontId="23" fillId="0" borderId="11" xfId="0" applyNumberFormat="1" applyFont="1" applyFill="1" applyBorder="1" applyAlignment="1">
      <alignment horizontal="center" wrapText="1"/>
    </xf>
    <xf numFmtId="166" fontId="6" fillId="0" borderId="11" xfId="0" applyNumberFormat="1" applyFont="1" applyFill="1" applyBorder="1" applyAlignment="1">
      <alignment horizontal="right" wrapText="1"/>
    </xf>
    <xf numFmtId="166" fontId="6" fillId="0" borderId="11" xfId="0" applyNumberFormat="1" applyFont="1" applyFill="1" applyBorder="1" applyAlignment="1"/>
    <xf numFmtId="0" fontId="2" fillId="0" borderId="31" xfId="0" applyFont="1" applyFill="1" applyBorder="1" applyAlignment="1">
      <alignment horizontal="center"/>
    </xf>
    <xf numFmtId="6" fontId="0" fillId="0" borderId="16" xfId="0" applyNumberFormat="1" applyFill="1" applyBorder="1" applyAlignment="1">
      <alignment horizontal="right"/>
    </xf>
    <xf numFmtId="168" fontId="36" fillId="0" borderId="0" xfId="47" applyNumberFormat="1" applyFont="1" applyFill="1"/>
    <xf numFmtId="6" fontId="36" fillId="0" borderId="31" xfId="0" applyNumberFormat="1" applyFont="1" applyFill="1" applyBorder="1"/>
    <xf numFmtId="6" fontId="36" fillId="0" borderId="45" xfId="0" applyNumberFormat="1" applyFont="1" applyFill="1" applyBorder="1"/>
    <xf numFmtId="0" fontId="36" fillId="0" borderId="21" xfId="0" applyFont="1" applyFill="1" applyBorder="1"/>
    <xf numFmtId="6" fontId="36" fillId="0" borderId="22" xfId="0" applyNumberFormat="1" applyFont="1" applyFill="1" applyBorder="1"/>
    <xf numFmtId="6" fontId="36" fillId="0" borderId="20" xfId="0" applyNumberFormat="1" applyFont="1" applyFill="1" applyBorder="1"/>
    <xf numFmtId="6" fontId="36" fillId="0" borderId="31" xfId="0" applyNumberFormat="1" applyFont="1" applyFill="1" applyBorder="1" applyAlignment="1">
      <alignment horizontal="right"/>
    </xf>
    <xf numFmtId="0" fontId="36" fillId="0" borderId="45" xfId="0" applyFont="1" applyFill="1" applyBorder="1"/>
    <xf numFmtId="0" fontId="40" fillId="0" borderId="21" xfId="0" applyFont="1" applyFill="1" applyBorder="1" applyAlignment="1">
      <alignment horizontal="center" wrapText="1"/>
    </xf>
    <xf numFmtId="6" fontId="36" fillId="0" borderId="21" xfId="0" applyNumberFormat="1" applyFont="1" applyFill="1" applyBorder="1" applyAlignment="1">
      <alignment horizontal="right"/>
    </xf>
    <xf numFmtId="174" fontId="52" fillId="0" borderId="21" xfId="0" applyNumberFormat="1" applyFont="1" applyFill="1" applyBorder="1"/>
    <xf numFmtId="174" fontId="52" fillId="0" borderId="22" xfId="0" applyNumberFormat="1" applyFont="1" applyFill="1" applyBorder="1"/>
    <xf numFmtId="174" fontId="36" fillId="0" borderId="21" xfId="0" applyNumberFormat="1" applyFont="1" applyFill="1" applyBorder="1"/>
    <xf numFmtId="0" fontId="3" fillId="0" borderId="0" xfId="0" applyFont="1" applyFill="1"/>
    <xf numFmtId="0" fontId="36" fillId="0" borderId="24" xfId="0" applyFont="1" applyFill="1" applyBorder="1" applyAlignment="1">
      <alignment horizontal="left" indent="1"/>
    </xf>
    <xf numFmtId="0" fontId="36" fillId="0" borderId="24" xfId="0" applyFont="1" applyFill="1" applyBorder="1" applyAlignment="1">
      <alignment horizontal="left" wrapText="1" indent="1"/>
    </xf>
    <xf numFmtId="0" fontId="36" fillId="0" borderId="24" xfId="0" applyFont="1" applyFill="1" applyBorder="1" applyAlignment="1">
      <alignment wrapText="1"/>
    </xf>
    <xf numFmtId="0" fontId="40" fillId="0" borderId="13" xfId="0" applyFont="1" applyFill="1" applyBorder="1"/>
    <xf numFmtId="0" fontId="40" fillId="0" borderId="24" xfId="0" applyFont="1" applyFill="1" applyBorder="1"/>
    <xf numFmtId="0" fontId="40" fillId="0" borderId="47" xfId="0" applyFont="1" applyFill="1" applyBorder="1"/>
    <xf numFmtId="0" fontId="36" fillId="0" borderId="13" xfId="0" applyFont="1" applyFill="1" applyBorder="1" applyAlignment="1">
      <alignment horizontal="left" indent="1"/>
    </xf>
    <xf numFmtId="0" fontId="1" fillId="0" borderId="0" xfId="0" applyFont="1" applyFill="1" applyAlignment="1" applyProtection="1">
      <alignment horizontal="right"/>
    </xf>
    <xf numFmtId="0" fontId="34" fillId="0" borderId="14" xfId="0" applyFont="1" applyFill="1" applyBorder="1" applyAlignment="1" applyProtection="1">
      <alignment horizontal="right" wrapText="1"/>
    </xf>
    <xf numFmtId="3" fontId="1" fillId="0" borderId="48" xfId="0" applyNumberFormat="1" applyFont="1" applyFill="1" applyBorder="1" applyAlignment="1" applyProtection="1">
      <alignment horizontal="right"/>
    </xf>
    <xf numFmtId="3" fontId="34" fillId="0" borderId="29" xfId="0" applyNumberFormat="1" applyFont="1" applyFill="1" applyBorder="1" applyAlignment="1" applyProtection="1">
      <alignment horizontal="right" wrapText="1"/>
    </xf>
    <xf numFmtId="0" fontId="34" fillId="0" borderId="0" xfId="0" applyFont="1" applyFill="1" applyAlignment="1" applyProtection="1">
      <alignment horizontal="right"/>
    </xf>
    <xf numFmtId="0" fontId="34" fillId="0" borderId="27" xfId="0" applyFont="1" applyFill="1" applyBorder="1" applyAlignment="1" applyProtection="1">
      <alignment horizontal="right" wrapText="1"/>
    </xf>
    <xf numFmtId="172" fontId="6" fillId="0" borderId="27" xfId="0" applyNumberFormat="1" applyFont="1" applyFill="1" applyBorder="1" applyAlignment="1">
      <alignment horizontal="right"/>
    </xf>
    <xf numFmtId="14" fontId="5" fillId="0" borderId="23" xfId="61" applyNumberFormat="1" applyFont="1" applyFill="1" applyBorder="1" applyAlignment="1">
      <alignment vertical="top"/>
    </xf>
    <xf numFmtId="0" fontId="3" fillId="0" borderId="19" xfId="0" applyNumberFormat="1" applyFont="1" applyFill="1" applyBorder="1" applyAlignment="1">
      <alignment horizontal="left" vertical="top" wrapText="1"/>
    </xf>
    <xf numFmtId="14" fontId="5" fillId="0" borderId="23" xfId="61" applyNumberFormat="1" applyBorder="1" applyAlignment="1">
      <alignment vertical="top"/>
    </xf>
    <xf numFmtId="0" fontId="3" fillId="0" borderId="19" xfId="0" applyNumberFormat="1" applyFont="1" applyBorder="1" applyAlignment="1">
      <alignment horizontal="left" vertical="top" wrapText="1"/>
    </xf>
    <xf numFmtId="0" fontId="5" fillId="0" borderId="13" xfId="61" applyFont="1" applyBorder="1" applyAlignment="1">
      <alignment vertical="top"/>
    </xf>
    <xf numFmtId="6" fontId="5" fillId="0" borderId="11" xfId="61" applyNumberFormat="1" applyBorder="1" applyAlignment="1">
      <alignment vertical="top"/>
    </xf>
    <xf numFmtId="0" fontId="5" fillId="0" borderId="11" xfId="61" applyFont="1" applyBorder="1" applyAlignment="1">
      <alignment vertical="top" wrapText="1"/>
    </xf>
    <xf numFmtId="14" fontId="5" fillId="0" borderId="11" xfId="61" applyNumberFormat="1" applyBorder="1" applyAlignment="1">
      <alignment vertical="top"/>
    </xf>
    <xf numFmtId="0" fontId="5" fillId="0" borderId="23" xfId="61" applyFont="1" applyBorder="1" applyAlignment="1">
      <alignment vertical="top" wrapText="1"/>
    </xf>
    <xf numFmtId="6" fontId="36" fillId="0" borderId="17" xfId="0" applyNumberFormat="1" applyFont="1" applyFill="1" applyBorder="1" applyAlignment="1">
      <alignment horizontal="right" vertical="top"/>
    </xf>
    <xf numFmtId="6" fontId="36" fillId="0" borderId="44" xfId="0" applyNumberFormat="1" applyFont="1" applyFill="1" applyBorder="1"/>
    <xf numFmtId="6" fontId="36" fillId="0" borderId="17" xfId="0" applyNumberFormat="1" applyFont="1" applyFill="1" applyBorder="1" applyAlignment="1">
      <alignment horizontal="right" vertical="center"/>
    </xf>
    <xf numFmtId="6" fontId="36" fillId="0" borderId="0" xfId="0" applyNumberFormat="1" applyFont="1" applyFill="1" applyBorder="1" applyAlignment="1">
      <alignment horizontal="right" vertical="center"/>
    </xf>
    <xf numFmtId="0" fontId="36" fillId="0" borderId="11" xfId="0" applyFont="1" applyFill="1" applyBorder="1"/>
    <xf numFmtId="6" fontId="36" fillId="0" borderId="18" xfId="0" applyNumberFormat="1" applyFont="1" applyFill="1" applyBorder="1"/>
    <xf numFmtId="6" fontId="54" fillId="0" borderId="21" xfId="0" applyNumberFormat="1" applyFont="1" applyFill="1" applyBorder="1"/>
    <xf numFmtId="6" fontId="36" fillId="0" borderId="29" xfId="0" applyNumberFormat="1" applyFont="1" applyFill="1" applyBorder="1"/>
    <xf numFmtId="6" fontId="31" fillId="0" borderId="45" xfId="0" applyNumberFormat="1" applyFont="1" applyFill="1" applyBorder="1"/>
    <xf numFmtId="6" fontId="36" fillId="0" borderId="49" xfId="0" applyNumberFormat="1" applyFont="1" applyFill="1" applyBorder="1" applyAlignment="1">
      <alignment wrapText="1"/>
    </xf>
    <xf numFmtId="6" fontId="36" fillId="0" borderId="16" xfId="0" applyNumberFormat="1" applyFont="1" applyFill="1" applyBorder="1"/>
    <xf numFmtId="6" fontId="36" fillId="0" borderId="50" xfId="0" applyNumberFormat="1" applyFont="1" applyFill="1" applyBorder="1"/>
    <xf numFmtId="6" fontId="36" fillId="0" borderId="41" xfId="0" applyNumberFormat="1" applyFont="1" applyFill="1" applyBorder="1"/>
    <xf numFmtId="167" fontId="36" fillId="0" borderId="42" xfId="0" applyNumberFormat="1" applyFont="1" applyFill="1" applyBorder="1"/>
    <xf numFmtId="176" fontId="0" fillId="0" borderId="0" xfId="0" applyNumberFormat="1" applyFill="1"/>
    <xf numFmtId="0" fontId="55" fillId="0" borderId="0" xfId="0" applyFont="1" applyFill="1" applyBorder="1" applyAlignment="1" applyProtection="1">
      <alignment vertical="top"/>
    </xf>
    <xf numFmtId="2" fontId="33" fillId="44" borderId="11" xfId="0" applyNumberFormat="1" applyFont="1" applyFill="1" applyBorder="1" applyAlignment="1">
      <alignment horizontal="right" vertical="top"/>
    </xf>
    <xf numFmtId="3" fontId="33" fillId="45" borderId="11" xfId="0" applyNumberFormat="1" applyFont="1" applyFill="1" applyBorder="1" applyAlignment="1">
      <alignment horizontal="right" vertical="top" wrapText="1"/>
    </xf>
    <xf numFmtId="2" fontId="33" fillId="44" borderId="11" xfId="0" applyNumberFormat="1" applyFont="1" applyFill="1" applyBorder="1" applyAlignment="1">
      <alignment vertical="top"/>
    </xf>
    <xf numFmtId="172" fontId="33" fillId="44" borderId="11" xfId="0" applyNumberFormat="1" applyFont="1" applyFill="1" applyBorder="1" applyAlignment="1">
      <alignment horizontal="right" vertical="top"/>
    </xf>
    <xf numFmtId="175" fontId="1" fillId="0" borderId="45" xfId="0" applyNumberFormat="1" applyFont="1" applyFill="1" applyBorder="1" applyAlignment="1" applyProtection="1">
      <alignment horizontal="right"/>
    </xf>
    <xf numFmtId="175" fontId="1" fillId="0" borderId="21" xfId="0" applyNumberFormat="1" applyFont="1" applyFill="1" applyBorder="1" applyAlignment="1" applyProtection="1">
      <alignment horizontal="right"/>
    </xf>
    <xf numFmtId="175" fontId="1" fillId="0" borderId="22" xfId="0" applyNumberFormat="1" applyFont="1" applyFill="1" applyBorder="1" applyAlignment="1" applyProtection="1">
      <alignment horizontal="right"/>
    </xf>
    <xf numFmtId="175" fontId="1" fillId="0" borderId="29" xfId="0" applyNumberFormat="1" applyFont="1" applyFill="1" applyBorder="1" applyAlignment="1" applyProtection="1">
      <alignment horizontal="right"/>
    </xf>
    <xf numFmtId="175" fontId="1" fillId="0" borderId="0" xfId="0" applyNumberFormat="1" applyFont="1" applyFill="1" applyBorder="1" applyAlignment="1" applyProtection="1">
      <alignment horizontal="right"/>
    </xf>
    <xf numFmtId="175" fontId="1" fillId="0" borderId="31" xfId="0" applyNumberFormat="1" applyFont="1" applyFill="1" applyBorder="1" applyAlignment="1" applyProtection="1">
      <alignment horizontal="right"/>
    </xf>
    <xf numFmtId="175" fontId="1" fillId="0" borderId="48" xfId="0" applyNumberFormat="1" applyFont="1" applyFill="1" applyBorder="1" applyAlignment="1" applyProtection="1">
      <alignment horizontal="right"/>
    </xf>
    <xf numFmtId="175" fontId="1" fillId="0" borderId="51" xfId="0" applyNumberFormat="1" applyFont="1" applyFill="1" applyBorder="1" applyAlignment="1" applyProtection="1">
      <alignment horizontal="right"/>
    </xf>
    <xf numFmtId="175" fontId="1" fillId="0" borderId="52" xfId="0" applyNumberFormat="1" applyFont="1" applyFill="1" applyBorder="1" applyAlignment="1" applyProtection="1">
      <alignment horizontal="right"/>
    </xf>
    <xf numFmtId="175" fontId="34" fillId="0" borderId="29" xfId="0" applyNumberFormat="1" applyFont="1" applyFill="1" applyBorder="1" applyAlignment="1" applyProtection="1">
      <alignment horizontal="right" wrapText="1"/>
    </xf>
    <xf numFmtId="175" fontId="34" fillId="0" borderId="43" xfId="0" applyNumberFormat="1" applyFont="1" applyFill="1" applyBorder="1" applyAlignment="1" applyProtection="1">
      <alignment horizontal="right"/>
    </xf>
    <xf numFmtId="38" fontId="1" fillId="0" borderId="29" xfId="0" applyNumberFormat="1" applyFont="1" applyFill="1" applyBorder="1" applyAlignment="1" applyProtection="1"/>
    <xf numFmtId="38" fontId="1" fillId="0" borderId="0" xfId="0" applyNumberFormat="1" applyFont="1" applyFill="1" applyBorder="1" applyAlignment="1" applyProtection="1"/>
    <xf numFmtId="38" fontId="3" fillId="0" borderId="0" xfId="0" applyNumberFormat="1" applyFont="1" applyFill="1" applyBorder="1" applyAlignment="1" applyProtection="1"/>
    <xf numFmtId="38" fontId="3" fillId="0" borderId="31" xfId="0" applyNumberFormat="1" applyFont="1" applyFill="1" applyBorder="1" applyAlignment="1" applyProtection="1"/>
    <xf numFmtId="38" fontId="1" fillId="0" borderId="29" xfId="0" applyNumberFormat="1" applyFont="1" applyFill="1" applyBorder="1" applyAlignment="1" applyProtection="1">
      <alignment horizontal="right"/>
    </xf>
    <xf numFmtId="38" fontId="1" fillId="0" borderId="0" xfId="0" applyNumberFormat="1" applyFont="1" applyFill="1" applyBorder="1" applyAlignment="1" applyProtection="1">
      <alignment horizontal="right"/>
    </xf>
    <xf numFmtId="38" fontId="1" fillId="0" borderId="31" xfId="0" applyNumberFormat="1" applyFont="1" applyFill="1" applyBorder="1" applyAlignment="1" applyProtection="1">
      <alignment horizontal="right"/>
    </xf>
    <xf numFmtId="3" fontId="34" fillId="0" borderId="53" xfId="0" applyNumberFormat="1" applyFont="1" applyFill="1" applyBorder="1" applyAlignment="1" applyProtection="1">
      <alignment horizontal="right" wrapText="1"/>
    </xf>
    <xf numFmtId="166" fontId="23" fillId="0" borderId="45" xfId="0" applyNumberFormat="1" applyFont="1" applyFill="1" applyBorder="1"/>
    <xf numFmtId="38" fontId="6" fillId="0" borderId="11" xfId="0" applyNumberFormat="1" applyFont="1" applyFill="1" applyBorder="1"/>
    <xf numFmtId="165" fontId="23" fillId="0" borderId="11" xfId="0" applyNumberFormat="1" applyFont="1" applyFill="1" applyBorder="1" applyAlignment="1"/>
    <xf numFmtId="0" fontId="40" fillId="0" borderId="54" xfId="0" applyFont="1" applyFill="1" applyBorder="1" applyAlignment="1">
      <alignment wrapText="1"/>
    </xf>
    <xf numFmtId="6" fontId="3" fillId="0" borderId="23" xfId="0" applyNumberFormat="1" applyFont="1" applyFill="1" applyBorder="1"/>
    <xf numFmtId="0" fontId="36" fillId="0" borderId="24" xfId="0" applyFont="1" applyFill="1" applyBorder="1" applyAlignment="1">
      <alignment horizontal="left" wrapText="1"/>
    </xf>
    <xf numFmtId="0" fontId="49" fillId="0" borderId="0" xfId="0" applyFont="1" applyFill="1" applyBorder="1" applyAlignment="1">
      <alignment horizontal="left"/>
    </xf>
    <xf numFmtId="174" fontId="3" fillId="0" borderId="0" xfId="0" applyNumberFormat="1" applyFont="1" applyFill="1" applyBorder="1"/>
    <xf numFmtId="0" fontId="60" fillId="0" borderId="24" xfId="0" applyFont="1" applyFill="1" applyBorder="1" applyAlignment="1">
      <alignment wrapText="1"/>
    </xf>
    <xf numFmtId="174" fontId="6" fillId="0" borderId="11" xfId="0" applyNumberFormat="1" applyFont="1" applyFill="1" applyBorder="1" applyAlignment="1">
      <alignment vertical="center"/>
    </xf>
    <xf numFmtId="3" fontId="3" fillId="0" borderId="11" xfId="0" applyNumberFormat="1" applyFont="1" applyFill="1" applyBorder="1" applyAlignment="1">
      <alignment horizontal="center" vertical="center" wrapText="1"/>
    </xf>
    <xf numFmtId="174" fontId="3" fillId="0" borderId="11" xfId="47" applyNumberFormat="1" applyFont="1" applyFill="1" applyBorder="1" applyAlignment="1">
      <alignment horizontal="left" vertical="center"/>
    </xf>
    <xf numFmtId="0" fontId="36" fillId="0" borderId="29" xfId="0" applyFont="1" applyFill="1" applyBorder="1"/>
    <xf numFmtId="174" fontId="36" fillId="0" borderId="0" xfId="0" applyNumberFormat="1" applyFont="1" applyFill="1" applyBorder="1"/>
    <xf numFmtId="6" fontId="59" fillId="0" borderId="0" xfId="0" applyNumberFormat="1" applyFont="1" applyFill="1" applyBorder="1"/>
    <xf numFmtId="176" fontId="3" fillId="0" borderId="0" xfId="0" applyNumberFormat="1" applyFont="1" applyFill="1" applyBorder="1"/>
    <xf numFmtId="6" fontId="0" fillId="0" borderId="0" xfId="0" applyNumberFormat="1" applyFill="1" applyBorder="1"/>
    <xf numFmtId="6" fontId="0" fillId="0" borderId="0" xfId="0" applyNumberFormat="1" applyFill="1" applyBorder="1" applyAlignment="1">
      <alignment horizontal="right"/>
    </xf>
    <xf numFmtId="0" fontId="36" fillId="0" borderId="36" xfId="0" applyFont="1" applyFill="1" applyBorder="1"/>
    <xf numFmtId="0" fontId="36" fillId="0" borderId="55" xfId="0" applyFont="1" applyFill="1" applyBorder="1"/>
    <xf numFmtId="167" fontId="36" fillId="0" borderId="55" xfId="0" applyNumberFormat="1" applyFont="1" applyFill="1" applyBorder="1" applyAlignment="1">
      <alignment horizontal="right"/>
    </xf>
    <xf numFmtId="167" fontId="36" fillId="0" borderId="55" xfId="0" applyNumberFormat="1" applyFont="1" applyFill="1" applyBorder="1" applyAlignment="1">
      <alignment horizontal="right" vertical="top"/>
    </xf>
    <xf numFmtId="167" fontId="36" fillId="0" borderId="56" xfId="0" applyNumberFormat="1" applyFont="1" applyFill="1" applyBorder="1" applyAlignment="1">
      <alignment horizontal="right"/>
    </xf>
    <xf numFmtId="0" fontId="36" fillId="0" borderId="24" xfId="0" applyFont="1" applyFill="1" applyBorder="1"/>
    <xf numFmtId="0" fontId="36" fillId="0" borderId="57" xfId="0" applyFont="1" applyFill="1" applyBorder="1"/>
    <xf numFmtId="167" fontId="36" fillId="0" borderId="36" xfId="0" applyNumberFormat="1" applyFont="1" applyFill="1" applyBorder="1" applyAlignment="1">
      <alignment horizontal="right"/>
    </xf>
    <xf numFmtId="167" fontId="36" fillId="0" borderId="58" xfId="0" applyNumberFormat="1" applyFont="1" applyFill="1" applyBorder="1" applyAlignment="1">
      <alignment horizontal="right"/>
    </xf>
    <xf numFmtId="6" fontId="36" fillId="0" borderId="55" xfId="0" applyNumberFormat="1" applyFont="1" applyFill="1" applyBorder="1"/>
    <xf numFmtId="167" fontId="36" fillId="0" borderId="59" xfId="0" applyNumberFormat="1" applyFont="1" applyFill="1" applyBorder="1" applyAlignment="1">
      <alignment horizontal="right"/>
    </xf>
    <xf numFmtId="6" fontId="36" fillId="0" borderId="57" xfId="0" applyNumberFormat="1" applyFont="1" applyFill="1" applyBorder="1" applyAlignment="1">
      <alignment horizontal="right"/>
    </xf>
    <xf numFmtId="167" fontId="36" fillId="0" borderId="55" xfId="0" applyNumberFormat="1" applyFont="1" applyFill="1" applyBorder="1" applyAlignment="1">
      <alignment vertical="top"/>
    </xf>
    <xf numFmtId="167" fontId="36" fillId="0" borderId="55" xfId="0" applyNumberFormat="1" applyFont="1" applyFill="1" applyBorder="1"/>
    <xf numFmtId="167" fontId="36" fillId="0" borderId="58" xfId="0" applyNumberFormat="1" applyFont="1" applyFill="1" applyBorder="1" applyAlignment="1">
      <alignment vertical="top"/>
    </xf>
    <xf numFmtId="167" fontId="36" fillId="0" borderId="58" xfId="0" applyNumberFormat="1" applyFont="1" applyFill="1" applyBorder="1"/>
    <xf numFmtId="6" fontId="36" fillId="0" borderId="55" xfId="0" applyNumberFormat="1" applyFont="1" applyFill="1" applyBorder="1" applyAlignment="1">
      <alignment horizontal="right"/>
    </xf>
    <xf numFmtId="167" fontId="36" fillId="0" borderId="19" xfId="0" applyNumberFormat="1" applyFont="1" applyFill="1" applyBorder="1"/>
    <xf numFmtId="167" fontId="36" fillId="0" borderId="57" xfId="0" applyNumberFormat="1" applyFont="1" applyFill="1" applyBorder="1" applyAlignment="1">
      <alignment horizontal="center"/>
    </xf>
    <xf numFmtId="167" fontId="36" fillId="0" borderId="55" xfId="0" applyNumberFormat="1" applyFont="1" applyFill="1" applyBorder="1" applyAlignment="1">
      <alignment horizontal="center"/>
    </xf>
    <xf numFmtId="0" fontId="40" fillId="0" borderId="60" xfId="0" applyFont="1" applyFill="1" applyBorder="1" applyAlignment="1">
      <alignment wrapText="1"/>
    </xf>
    <xf numFmtId="0" fontId="40" fillId="0" borderId="0" xfId="0" applyFont="1" applyFill="1" applyBorder="1" applyAlignment="1">
      <alignment vertical="center"/>
    </xf>
    <xf numFmtId="0" fontId="36" fillId="0" borderId="0" xfId="0" applyFont="1" applyFill="1" applyBorder="1" applyAlignment="1">
      <alignment vertical="center"/>
    </xf>
    <xf numFmtId="0" fontId="36" fillId="0" borderId="61" xfId="0" applyFont="1" applyFill="1" applyBorder="1"/>
    <xf numFmtId="0" fontId="40" fillId="0" borderId="32" xfId="0" applyFont="1" applyFill="1" applyBorder="1" applyAlignment="1">
      <alignment horizontal="center"/>
    </xf>
    <xf numFmtId="0" fontId="40" fillId="0" borderId="62" xfId="0" applyFont="1" applyFill="1" applyBorder="1" applyAlignment="1">
      <alignment horizontal="center"/>
    </xf>
    <xf numFmtId="0" fontId="40" fillId="0" borderId="33" xfId="0" applyFont="1" applyFill="1" applyBorder="1" applyAlignment="1">
      <alignment horizontal="center" wrapText="1"/>
    </xf>
    <xf numFmtId="0" fontId="40" fillId="0" borderId="34" xfId="0" applyFont="1" applyFill="1" applyBorder="1" applyAlignment="1">
      <alignment horizontal="center" wrapText="1"/>
    </xf>
    <xf numFmtId="0" fontId="31" fillId="0" borderId="0" xfId="0" applyFont="1" applyFill="1" applyBorder="1" applyProtection="1"/>
    <xf numFmtId="0" fontId="34" fillId="0" borderId="44" xfId="0" applyFont="1" applyFill="1" applyBorder="1" applyProtection="1"/>
    <xf numFmtId="0" fontId="34" fillId="0" borderId="23" xfId="0" applyFont="1" applyFill="1" applyBorder="1" applyProtection="1"/>
    <xf numFmtId="3" fontId="1" fillId="0" borderId="31" xfId="0" applyNumberFormat="1" applyFont="1" applyFill="1" applyBorder="1" applyAlignment="1" applyProtection="1">
      <alignment horizontal="right"/>
    </xf>
    <xf numFmtId="3" fontId="1" fillId="0" borderId="44" xfId="0" applyNumberFormat="1" applyFont="1" applyFill="1" applyBorder="1" applyAlignment="1" applyProtection="1">
      <alignment horizontal="right"/>
    </xf>
    <xf numFmtId="38" fontId="1" fillId="0" borderId="44" xfId="0" applyNumberFormat="1" applyFont="1" applyFill="1" applyBorder="1" applyAlignment="1" applyProtection="1">
      <alignment horizontal="right"/>
    </xf>
    <xf numFmtId="38" fontId="1" fillId="0" borderId="28" xfId="0" applyNumberFormat="1" applyFont="1" applyFill="1" applyBorder="1" applyAlignment="1" applyProtection="1">
      <alignment horizontal="right"/>
    </xf>
    <xf numFmtId="38" fontId="1" fillId="0" borderId="63" xfId="0" applyNumberFormat="1" applyFont="1" applyFill="1" applyBorder="1" applyAlignment="1" applyProtection="1">
      <alignment horizontal="right"/>
    </xf>
    <xf numFmtId="166" fontId="32" fillId="0" borderId="11" xfId="0" applyNumberFormat="1" applyFont="1" applyFill="1" applyBorder="1"/>
    <xf numFmtId="166" fontId="2" fillId="0" borderId="27" xfId="0" applyNumberFormat="1" applyFont="1" applyFill="1" applyBorder="1" applyAlignment="1">
      <alignment horizontal="center"/>
    </xf>
    <xf numFmtId="166" fontId="2" fillId="0" borderId="11" xfId="0" applyNumberFormat="1" applyFont="1" applyFill="1" applyBorder="1" applyAlignment="1"/>
    <xf numFmtId="0" fontId="1" fillId="0" borderId="0" xfId="0" applyFont="1" applyFill="1" applyBorder="1"/>
    <xf numFmtId="3" fontId="1" fillId="0" borderId="44" xfId="0" applyNumberFormat="1" applyFont="1" applyFill="1" applyBorder="1" applyAlignment="1" applyProtection="1"/>
    <xf numFmtId="38" fontId="1" fillId="0" borderId="44" xfId="0" applyNumberFormat="1" applyFont="1" applyFill="1" applyBorder="1" applyAlignment="1" applyProtection="1"/>
    <xf numFmtId="3" fontId="3" fillId="0" borderId="44" xfId="0" applyNumberFormat="1" applyFont="1" applyFill="1" applyBorder="1" applyAlignment="1" applyProtection="1">
      <alignment horizontal="right"/>
    </xf>
    <xf numFmtId="166" fontId="6" fillId="0" borderId="11" xfId="0" applyNumberFormat="1" applyFont="1" applyFill="1" applyBorder="1" applyAlignment="1">
      <alignment horizontal="right"/>
    </xf>
    <xf numFmtId="0" fontId="62" fillId="0" borderId="0" xfId="0" applyFont="1" applyFill="1"/>
    <xf numFmtId="0" fontId="61" fillId="0" borderId="0" xfId="0" applyFont="1" applyFill="1" applyBorder="1"/>
    <xf numFmtId="164" fontId="61" fillId="0" borderId="0" xfId="0" applyNumberFormat="1" applyFont="1" applyFill="1" applyBorder="1" applyAlignment="1">
      <alignment horizontal="left"/>
    </xf>
    <xf numFmtId="164" fontId="61" fillId="0" borderId="0" xfId="0" applyNumberFormat="1" applyFont="1" applyFill="1" applyBorder="1"/>
    <xf numFmtId="0" fontId="61" fillId="0" borderId="0" xfId="0" applyFont="1" applyFill="1"/>
    <xf numFmtId="0" fontId="34" fillId="0" borderId="11" xfId="0" applyFont="1" applyFill="1" applyBorder="1" applyAlignment="1" applyProtection="1">
      <alignment horizontal="right" wrapText="1"/>
    </xf>
    <xf numFmtId="0" fontId="1" fillId="0" borderId="0" xfId="0" applyFont="1" applyFill="1" applyAlignment="1" applyProtection="1"/>
    <xf numFmtId="0" fontId="34" fillId="0" borderId="27" xfId="0" applyFont="1" applyFill="1" applyBorder="1" applyAlignment="1" applyProtection="1">
      <alignment wrapText="1"/>
    </xf>
    <xf numFmtId="38" fontId="1" fillId="0" borderId="28" xfId="0" applyNumberFormat="1" applyFont="1" applyFill="1" applyBorder="1" applyAlignment="1" applyProtection="1"/>
    <xf numFmtId="3" fontId="1" fillId="0" borderId="63" xfId="0" applyNumberFormat="1" applyFont="1" applyFill="1" applyBorder="1" applyAlignment="1"/>
    <xf numFmtId="3" fontId="1" fillId="0" borderId="48" xfId="0" applyNumberFormat="1" applyFont="1" applyFill="1" applyBorder="1" applyAlignment="1" applyProtection="1"/>
    <xf numFmtId="3" fontId="34" fillId="0" borderId="29" xfId="0" applyNumberFormat="1" applyFont="1" applyFill="1" applyBorder="1" applyAlignment="1" applyProtection="1">
      <alignment wrapText="1"/>
    </xf>
    <xf numFmtId="3" fontId="1" fillId="0" borderId="28" xfId="0" applyNumberFormat="1" applyFont="1" applyFill="1" applyBorder="1" applyAlignment="1" applyProtection="1"/>
    <xf numFmtId="3" fontId="3" fillId="0" borderId="63" xfId="0" applyNumberFormat="1" applyFont="1" applyFill="1" applyBorder="1" applyAlignment="1"/>
    <xf numFmtId="3" fontId="1" fillId="0" borderId="0" xfId="0" applyNumberFormat="1" applyFont="1" applyFill="1" applyBorder="1" applyAlignment="1" applyProtection="1"/>
    <xf numFmtId="0" fontId="1" fillId="0" borderId="0" xfId="0" applyFont="1" applyFill="1" applyBorder="1" applyAlignment="1" applyProtection="1"/>
    <xf numFmtId="38" fontId="3" fillId="0" borderId="28" xfId="0" applyNumberFormat="1" applyFont="1" applyFill="1" applyBorder="1" applyAlignment="1" applyProtection="1"/>
    <xf numFmtId="38" fontId="1" fillId="0" borderId="63" xfId="0" applyNumberFormat="1" applyFont="1" applyFill="1" applyBorder="1" applyAlignment="1" applyProtection="1"/>
    <xf numFmtId="38" fontId="3" fillId="0" borderId="44" xfId="0" applyNumberFormat="1" applyFont="1" applyFill="1" applyBorder="1" applyAlignment="1" applyProtection="1"/>
    <xf numFmtId="3" fontId="1" fillId="0" borderId="31" xfId="0" applyNumberFormat="1" applyFont="1" applyFill="1" applyBorder="1" applyAlignment="1" applyProtection="1"/>
    <xf numFmtId="0" fontId="34" fillId="0" borderId="0" xfId="0" applyFont="1" applyFill="1" applyAlignment="1" applyProtection="1"/>
    <xf numFmtId="0" fontId="35" fillId="0" borderId="0" xfId="0" applyFont="1" applyFill="1" applyAlignment="1" applyProtection="1"/>
    <xf numFmtId="0" fontId="34" fillId="0" borderId="20" xfId="0" applyFont="1" applyFill="1" applyBorder="1" applyAlignment="1" applyProtection="1">
      <alignment horizontal="right" wrapText="1"/>
    </xf>
    <xf numFmtId="165" fontId="1" fillId="0" borderId="0" xfId="0" applyNumberFormat="1" applyFont="1" applyFill="1" applyBorder="1" applyAlignment="1" applyProtection="1">
      <alignment horizontal="right"/>
    </xf>
    <xf numFmtId="175" fontId="1" fillId="0" borderId="53" xfId="0" applyNumberFormat="1" applyFont="1" applyFill="1" applyBorder="1" applyAlignment="1" applyProtection="1">
      <alignment horizontal="right"/>
    </xf>
    <xf numFmtId="3" fontId="1" fillId="0" borderId="0" xfId="0" applyNumberFormat="1" applyFont="1" applyFill="1" applyAlignment="1" applyProtection="1"/>
    <xf numFmtId="3" fontId="34" fillId="0" borderId="14" xfId="0" applyNumberFormat="1" applyFont="1" applyFill="1" applyBorder="1" applyAlignment="1" applyProtection="1">
      <alignment wrapText="1"/>
    </xf>
    <xf numFmtId="0" fontId="34" fillId="0" borderId="11" xfId="0" applyFont="1" applyFill="1" applyBorder="1" applyAlignment="1" applyProtection="1">
      <alignment wrapText="1"/>
    </xf>
    <xf numFmtId="0" fontId="34" fillId="0" borderId="20" xfId="0" applyFont="1" applyFill="1" applyBorder="1" applyAlignment="1" applyProtection="1">
      <alignment wrapText="1"/>
    </xf>
    <xf numFmtId="0" fontId="34" fillId="0" borderId="14" xfId="0" applyFont="1" applyFill="1" applyBorder="1" applyAlignment="1" applyProtection="1">
      <alignment wrapText="1"/>
    </xf>
    <xf numFmtId="0" fontId="34" fillId="0" borderId="29" xfId="0" applyFont="1" applyFill="1" applyBorder="1" applyAlignment="1" applyProtection="1">
      <alignment wrapText="1"/>
    </xf>
    <xf numFmtId="0" fontId="34" fillId="0" borderId="29" xfId="0" applyFont="1" applyFill="1" applyBorder="1" applyAlignment="1" applyProtection="1"/>
    <xf numFmtId="0" fontId="34" fillId="0" borderId="14" xfId="0" applyFont="1" applyFill="1" applyBorder="1" applyAlignment="1" applyProtection="1"/>
    <xf numFmtId="175" fontId="1" fillId="0" borderId="29" xfId="0" applyNumberFormat="1" applyFont="1" applyFill="1" applyBorder="1" applyAlignment="1" applyProtection="1"/>
    <xf numFmtId="175" fontId="1" fillId="0" borderId="45" xfId="0" applyNumberFormat="1" applyFont="1" applyFill="1" applyBorder="1" applyAlignment="1" applyProtection="1"/>
    <xf numFmtId="175" fontId="1" fillId="0" borderId="0" xfId="0" applyNumberFormat="1" applyFont="1" applyFill="1" applyBorder="1" applyAlignment="1" applyProtection="1"/>
    <xf numFmtId="175" fontId="1" fillId="0" borderId="21" xfId="0" applyNumberFormat="1" applyFont="1" applyFill="1" applyBorder="1" applyAlignment="1" applyProtection="1"/>
    <xf numFmtId="3" fontId="1" fillId="0" borderId="63" xfId="0" applyNumberFormat="1" applyFont="1" applyFill="1" applyBorder="1" applyAlignment="1" applyProtection="1"/>
    <xf numFmtId="175" fontId="1" fillId="0" borderId="31" xfId="0" applyNumberFormat="1" applyFont="1" applyFill="1" applyBorder="1" applyAlignment="1" applyProtection="1"/>
    <xf numFmtId="175" fontId="1" fillId="0" borderId="22" xfId="0" applyNumberFormat="1" applyFont="1" applyFill="1" applyBorder="1" applyAlignment="1" applyProtection="1"/>
    <xf numFmtId="175" fontId="1" fillId="0" borderId="48" xfId="0" applyNumberFormat="1" applyFont="1" applyFill="1" applyBorder="1" applyAlignment="1" applyProtection="1"/>
    <xf numFmtId="175" fontId="1" fillId="0" borderId="51" xfId="0" applyNumberFormat="1" applyFont="1" applyFill="1" applyBorder="1" applyAlignment="1" applyProtection="1"/>
    <xf numFmtId="175" fontId="34" fillId="0" borderId="29" xfId="0" applyNumberFormat="1" applyFont="1" applyFill="1" applyBorder="1" applyAlignment="1" applyProtection="1">
      <alignment wrapText="1"/>
    </xf>
    <xf numFmtId="175" fontId="34" fillId="0" borderId="43" xfId="0" applyNumberFormat="1" applyFont="1" applyFill="1" applyBorder="1" applyAlignment="1" applyProtection="1"/>
    <xf numFmtId="175" fontId="1" fillId="0" borderId="52" xfId="0" applyNumberFormat="1" applyFont="1" applyFill="1" applyBorder="1" applyAlignment="1" applyProtection="1"/>
    <xf numFmtId="173" fontId="1" fillId="0" borderId="0" xfId="0" applyNumberFormat="1" applyFont="1" applyFill="1" applyBorder="1" applyAlignment="1" applyProtection="1"/>
    <xf numFmtId="175" fontId="1" fillId="0" borderId="53" xfId="0" applyNumberFormat="1" applyFont="1" applyFill="1" applyBorder="1" applyAlignment="1" applyProtection="1"/>
    <xf numFmtId="3" fontId="34" fillId="0" borderId="0" xfId="0" applyNumberFormat="1" applyFont="1" applyFill="1" applyAlignment="1" applyProtection="1"/>
    <xf numFmtId="0" fontId="1" fillId="0" borderId="11" xfId="0" applyFont="1" applyFill="1" applyBorder="1" applyAlignment="1" applyProtection="1">
      <alignment horizontal="center"/>
    </xf>
    <xf numFmtId="166" fontId="6" fillId="0" borderId="14" xfId="46" applyNumberFormat="1" applyFont="1" applyFill="1" applyBorder="1" applyAlignment="1">
      <alignment horizontal="right"/>
    </xf>
    <xf numFmtId="0" fontId="6" fillId="0" borderId="0" xfId="0" applyFont="1" applyFill="1" applyAlignment="1">
      <alignment horizontal="left" indent="1"/>
    </xf>
    <xf numFmtId="166" fontId="3" fillId="0" borderId="11" xfId="46" applyNumberFormat="1" applyFont="1" applyFill="1" applyBorder="1" applyAlignment="1">
      <alignment horizontal="right"/>
    </xf>
    <xf numFmtId="0" fontId="0" fillId="0" borderId="62" xfId="0" applyFill="1" applyBorder="1"/>
    <xf numFmtId="0" fontId="0" fillId="0" borderId="31" xfId="0" applyFill="1" applyBorder="1"/>
    <xf numFmtId="0" fontId="64" fillId="0" borderId="0" xfId="0" applyFont="1" applyFill="1" applyAlignment="1">
      <alignment wrapText="1"/>
    </xf>
    <xf numFmtId="166" fontId="1" fillId="0" borderId="0" xfId="0" applyNumberFormat="1" applyFont="1" applyFill="1" applyBorder="1" applyAlignment="1" applyProtection="1"/>
    <xf numFmtId="165" fontId="1" fillId="0" borderId="0" xfId="0" applyNumberFormat="1" applyFont="1" applyFill="1" applyBorder="1" applyAlignment="1" applyProtection="1"/>
    <xf numFmtId="3" fontId="1" fillId="0" borderId="0" xfId="0" applyNumberFormat="1" applyFont="1" applyFill="1" applyBorder="1" applyAlignment="1" applyProtection="1">
      <alignment horizontal="right"/>
    </xf>
    <xf numFmtId="166" fontId="1" fillId="0" borderId="0" xfId="0" applyNumberFormat="1" applyFont="1" applyFill="1" applyBorder="1" applyAlignment="1" applyProtection="1">
      <alignment horizontal="center"/>
    </xf>
    <xf numFmtId="165" fontId="1" fillId="0" borderId="0" xfId="0" applyNumberFormat="1" applyFont="1" applyFill="1" applyBorder="1" applyAlignment="1" applyProtection="1">
      <alignment horizontal="center"/>
    </xf>
    <xf numFmtId="166" fontId="1" fillId="0" borderId="0" xfId="0" applyNumberFormat="1" applyFont="1" applyFill="1" applyBorder="1" applyAlignment="1" applyProtection="1">
      <alignment horizontal="right"/>
    </xf>
    <xf numFmtId="0" fontId="1" fillId="0" borderId="0" xfId="0" applyFont="1" applyFill="1" applyBorder="1" applyAlignment="1" applyProtection="1">
      <alignment horizontal="right"/>
    </xf>
    <xf numFmtId="0" fontId="1" fillId="0" borderId="0" xfId="0" applyFont="1" applyFill="1" applyBorder="1" applyProtection="1"/>
    <xf numFmtId="0" fontId="1" fillId="0" borderId="23" xfId="0" applyFont="1" applyFill="1" applyBorder="1" applyProtection="1"/>
    <xf numFmtId="0" fontId="34" fillId="0" borderId="0" xfId="0" applyFont="1" applyFill="1" applyBorder="1" applyAlignment="1" applyProtection="1"/>
    <xf numFmtId="3" fontId="34" fillId="0" borderId="27" xfId="0" applyNumberFormat="1" applyFont="1" applyFill="1" applyBorder="1" applyAlignment="1" applyProtection="1">
      <alignment wrapText="1"/>
    </xf>
    <xf numFmtId="0" fontId="34" fillId="0" borderId="20" xfId="0" applyFont="1" applyFill="1" applyBorder="1" applyAlignment="1" applyProtection="1"/>
    <xf numFmtId="0" fontId="1" fillId="0" borderId="17" xfId="0" applyFont="1" applyFill="1" applyBorder="1" applyProtection="1"/>
    <xf numFmtId="3" fontId="3" fillId="0" borderId="44" xfId="0" applyNumberFormat="1" applyFont="1" applyFill="1" applyBorder="1" applyAlignment="1" applyProtection="1"/>
    <xf numFmtId="0" fontId="34" fillId="0" borderId="0" xfId="0" applyNumberFormat="1" applyFont="1" applyFill="1" applyAlignment="1" applyProtection="1">
      <alignment vertical="top"/>
    </xf>
    <xf numFmtId="0" fontId="0" fillId="0" borderId="0" xfId="0" applyFill="1" applyAlignment="1" applyProtection="1">
      <alignment vertical="top"/>
    </xf>
    <xf numFmtId="0" fontId="0" fillId="0" borderId="0" xfId="0" applyFill="1" applyAlignment="1" applyProtection="1">
      <alignment horizontal="right" vertical="top"/>
    </xf>
    <xf numFmtId="0" fontId="34" fillId="0" borderId="0" xfId="0" applyFont="1" applyFill="1" applyAlignment="1" applyProtection="1">
      <alignment vertical="top"/>
    </xf>
    <xf numFmtId="0" fontId="0" fillId="0" borderId="0" xfId="0" applyFill="1" applyAlignment="1" applyProtection="1">
      <alignment horizontal="right"/>
    </xf>
    <xf numFmtId="0" fontId="35" fillId="0" borderId="0" xfId="0" applyFont="1" applyFill="1" applyProtection="1"/>
    <xf numFmtId="0" fontId="2" fillId="0" borderId="0" xfId="0" applyFont="1" applyFill="1" applyProtection="1"/>
    <xf numFmtId="3" fontId="35" fillId="0" borderId="0" xfId="0" applyNumberFormat="1" applyFont="1" applyFill="1" applyAlignment="1" applyProtection="1"/>
    <xf numFmtId="0" fontId="35" fillId="0" borderId="0" xfId="0" applyFont="1" applyFill="1" applyAlignment="1" applyProtection="1">
      <alignment horizontal="right"/>
    </xf>
    <xf numFmtId="0" fontId="23" fillId="0" borderId="22" xfId="0" applyFont="1" applyFill="1" applyBorder="1" applyAlignment="1">
      <alignment horizontal="center"/>
    </xf>
    <xf numFmtId="0" fontId="1" fillId="0" borderId="11" xfId="0" applyFont="1" applyFill="1" applyBorder="1" applyProtection="1"/>
    <xf numFmtId="172" fontId="6" fillId="0" borderId="11" xfId="46" applyNumberFormat="1" applyFont="1" applyFill="1" applyBorder="1" applyAlignment="1">
      <alignment horizontal="right"/>
    </xf>
    <xf numFmtId="172" fontId="23" fillId="0" borderId="11" xfId="46" applyNumberFormat="1" applyFont="1" applyFill="1" applyBorder="1" applyAlignment="1">
      <alignment horizontal="right" wrapText="1"/>
    </xf>
    <xf numFmtId="171" fontId="6" fillId="0" borderId="14" xfId="46" applyNumberFormat="1" applyFont="1" applyFill="1" applyBorder="1" applyAlignment="1">
      <alignment horizontal="right"/>
    </xf>
    <xf numFmtId="170" fontId="23" fillId="0" borderId="14" xfId="46" applyNumberFormat="1" applyFont="1" applyFill="1" applyBorder="1" applyAlignment="1">
      <alignment horizontal="right"/>
    </xf>
    <xf numFmtId="172" fontId="23" fillId="0" borderId="11" xfId="46" applyNumberFormat="1" applyFont="1" applyFill="1" applyBorder="1" applyAlignment="1">
      <alignment horizontal="right"/>
    </xf>
    <xf numFmtId="171" fontId="6" fillId="0" borderId="11" xfId="46" applyNumberFormat="1" applyFont="1" applyFill="1" applyBorder="1" applyAlignment="1">
      <alignment horizontal="right"/>
    </xf>
    <xf numFmtId="170" fontId="23" fillId="0" borderId="11" xfId="46" applyNumberFormat="1" applyFont="1" applyFill="1" applyBorder="1" applyAlignment="1">
      <alignment horizontal="right"/>
    </xf>
    <xf numFmtId="166" fontId="23" fillId="0" borderId="14" xfId="46" applyNumberFormat="1" applyFont="1" applyFill="1" applyBorder="1" applyAlignment="1">
      <alignment horizontal="right"/>
    </xf>
    <xf numFmtId="166" fontId="23" fillId="0" borderId="11" xfId="46" applyNumberFormat="1" applyFont="1" applyFill="1" applyBorder="1" applyAlignment="1">
      <alignment horizontal="right"/>
    </xf>
    <xf numFmtId="176" fontId="0" fillId="0" borderId="0" xfId="0" applyNumberFormat="1" applyFill="1" applyBorder="1" applyAlignment="1">
      <alignment vertical="center"/>
    </xf>
    <xf numFmtId="176" fontId="0" fillId="0" borderId="0" xfId="0" applyNumberFormat="1" applyFill="1" applyBorder="1"/>
    <xf numFmtId="176" fontId="0" fillId="0" borderId="23" xfId="0" applyNumberFormat="1" applyFill="1" applyBorder="1"/>
    <xf numFmtId="176" fontId="0" fillId="0" borderId="18" xfId="0" applyNumberFormat="1" applyFill="1" applyBorder="1"/>
    <xf numFmtId="176" fontId="40" fillId="0" borderId="64" xfId="0" applyNumberFormat="1" applyFont="1" applyFill="1" applyBorder="1" applyAlignment="1">
      <alignment horizontal="center" wrapText="1"/>
    </xf>
    <xf numFmtId="176" fontId="0" fillId="0" borderId="21" xfId="0" applyNumberFormat="1" applyFill="1" applyBorder="1"/>
    <xf numFmtId="6" fontId="0" fillId="0" borderId="21" xfId="0" applyNumberFormat="1" applyFill="1" applyBorder="1"/>
    <xf numFmtId="6" fontId="0" fillId="0" borderId="20" xfId="0" applyNumberFormat="1" applyFill="1" applyBorder="1"/>
    <xf numFmtId="6" fontId="0" fillId="0" borderId="23" xfId="0" applyNumberFormat="1" applyFill="1" applyBorder="1"/>
    <xf numFmtId="6" fontId="0" fillId="0" borderId="11" xfId="0" applyNumberFormat="1" applyFill="1" applyBorder="1"/>
    <xf numFmtId="6" fontId="0" fillId="0" borderId="17" xfId="0" applyNumberFormat="1" applyFill="1" applyBorder="1"/>
    <xf numFmtId="6" fontId="60" fillId="0" borderId="29" xfId="0" applyNumberFormat="1" applyFont="1" applyFill="1" applyBorder="1"/>
    <xf numFmtId="176" fontId="0" fillId="0" borderId="54" xfId="0" applyNumberFormat="1" applyFill="1" applyBorder="1"/>
    <xf numFmtId="176" fontId="36" fillId="0" borderId="0" xfId="0" applyNumberFormat="1" applyFont="1" applyFill="1"/>
    <xf numFmtId="0" fontId="44" fillId="0" borderId="0" xfId="0" applyFont="1" applyFill="1"/>
    <xf numFmtId="0" fontId="46" fillId="0" borderId="0" xfId="0" applyFont="1" applyFill="1" applyBorder="1"/>
    <xf numFmtId="0" fontId="44" fillId="0" borderId="0" xfId="0" applyFont="1" applyFill="1" applyBorder="1" applyAlignment="1">
      <alignment horizontal="right"/>
    </xf>
    <xf numFmtId="172" fontId="44" fillId="0" borderId="0" xfId="0" applyNumberFormat="1" applyFont="1" applyFill="1" applyBorder="1" applyAlignment="1">
      <alignment horizontal="center"/>
    </xf>
    <xf numFmtId="0" fontId="44" fillId="0" borderId="0" xfId="0" applyFont="1" applyFill="1" applyBorder="1"/>
    <xf numFmtId="0" fontId="2" fillId="0" borderId="32" xfId="0" applyFont="1" applyFill="1" applyBorder="1"/>
    <xf numFmtId="0" fontId="0" fillId="0" borderId="65" xfId="0" applyFill="1" applyBorder="1"/>
    <xf numFmtId="0" fontId="2" fillId="0" borderId="30" xfId="0" applyFont="1" applyFill="1" applyBorder="1"/>
    <xf numFmtId="0" fontId="0" fillId="0" borderId="59" xfId="0" applyFill="1" applyBorder="1"/>
    <xf numFmtId="0" fontId="2" fillId="0" borderId="30" xfId="0" applyFont="1" applyFill="1" applyBorder="1" applyAlignment="1">
      <alignment horizontal="center"/>
    </xf>
    <xf numFmtId="0" fontId="2" fillId="0" borderId="22" xfId="0" applyFont="1" applyFill="1" applyBorder="1" applyAlignment="1">
      <alignment horizontal="center"/>
    </xf>
    <xf numFmtId="0" fontId="2" fillId="0" borderId="59" xfId="0" applyFont="1" applyFill="1" applyBorder="1" applyAlignment="1">
      <alignment horizontal="center" wrapText="1"/>
    </xf>
    <xf numFmtId="0" fontId="2" fillId="0" borderId="24" xfId="0" applyFont="1" applyFill="1" applyBorder="1"/>
    <xf numFmtId="6" fontId="1" fillId="0" borderId="29" xfId="0" applyNumberFormat="1" applyFont="1" applyFill="1" applyBorder="1"/>
    <xf numFmtId="0" fontId="0" fillId="0" borderId="57" xfId="0" applyFill="1" applyBorder="1"/>
    <xf numFmtId="6" fontId="0" fillId="0" borderId="55" xfId="0" applyNumberFormat="1" applyFill="1" applyBorder="1"/>
    <xf numFmtId="4" fontId="53" fillId="0" borderId="0" xfId="0" applyNumberFormat="1" applyFont="1" applyFill="1" applyBorder="1"/>
    <xf numFmtId="6" fontId="1" fillId="0" borderId="44" xfId="0" applyNumberFormat="1" applyFont="1" applyFill="1" applyBorder="1"/>
    <xf numFmtId="0" fontId="0" fillId="0" borderId="24" xfId="0" applyFill="1" applyBorder="1"/>
    <xf numFmtId="164" fontId="0" fillId="0" borderId="0" xfId="0" applyNumberFormat="1" applyFill="1"/>
    <xf numFmtId="6" fontId="0" fillId="0" borderId="55" xfId="0" applyNumberFormat="1" applyFill="1" applyBorder="1" applyAlignment="1">
      <alignment vertical="top"/>
    </xf>
    <xf numFmtId="6" fontId="0" fillId="0" borderId="0" xfId="0" applyNumberFormat="1" applyFill="1"/>
    <xf numFmtId="164" fontId="0" fillId="0" borderId="29" xfId="0" applyNumberFormat="1" applyFill="1" applyBorder="1"/>
    <xf numFmtId="164" fontId="0" fillId="0" borderId="36" xfId="0" applyNumberFormat="1" applyFill="1" applyBorder="1"/>
    <xf numFmtId="0" fontId="2" fillId="0" borderId="66" xfId="0" applyFont="1" applyFill="1" applyBorder="1"/>
    <xf numFmtId="164" fontId="0" fillId="0" borderId="67" xfId="0" applyNumberFormat="1" applyFill="1" applyBorder="1"/>
    <xf numFmtId="0" fontId="2" fillId="0" borderId="35" xfId="0" applyFont="1" applyFill="1" applyBorder="1"/>
    <xf numFmtId="0" fontId="2" fillId="0" borderId="40" xfId="0" applyFont="1" applyFill="1" applyBorder="1"/>
    <xf numFmtId="6" fontId="5" fillId="0" borderId="16" xfId="0" applyNumberFormat="1" applyFont="1" applyFill="1" applyBorder="1"/>
    <xf numFmtId="6" fontId="0" fillId="0" borderId="50" xfId="0" applyNumberFormat="1" applyFill="1" applyBorder="1" applyAlignment="1">
      <alignment horizontal="right"/>
    </xf>
    <xf numFmtId="6" fontId="0" fillId="0" borderId="68" xfId="0" applyNumberFormat="1" applyFill="1" applyBorder="1"/>
    <xf numFmtId="6" fontId="5" fillId="0" borderId="0" xfId="0" applyNumberFormat="1" applyFont="1" applyFill="1" applyBorder="1"/>
    <xf numFmtId="174" fontId="3" fillId="0" borderId="19" xfId="47" applyNumberFormat="1" applyFont="1" applyFill="1" applyBorder="1" applyAlignment="1">
      <alignment horizontal="center" vertical="center" wrapText="1"/>
    </xf>
    <xf numFmtId="5" fontId="3" fillId="0" borderId="19" xfId="47" applyNumberFormat="1" applyFont="1" applyFill="1" applyBorder="1" applyAlignment="1">
      <alignment horizontal="center" wrapText="1"/>
    </xf>
    <xf numFmtId="2" fontId="44" fillId="0" borderId="0" xfId="0" applyNumberFormat="1" applyFont="1" applyFill="1" applyBorder="1"/>
    <xf numFmtId="0" fontId="44" fillId="0" borderId="0" xfId="0" applyFont="1" applyFill="1" applyBorder="1" applyAlignment="1">
      <alignment wrapText="1"/>
    </xf>
    <xf numFmtId="0" fontId="47" fillId="0" borderId="0" xfId="0" applyFont="1" applyFill="1" applyBorder="1"/>
    <xf numFmtId="0" fontId="44" fillId="0" borderId="0" xfId="0" applyFont="1" applyFill="1" applyBorder="1" applyAlignment="1">
      <alignment horizontal="right" wrapText="1"/>
    </xf>
    <xf numFmtId="6" fontId="1" fillId="0" borderId="55" xfId="0" applyNumberFormat="1" applyFont="1" applyFill="1" applyBorder="1"/>
    <xf numFmtId="172" fontId="23" fillId="0" borderId="11" xfId="0" applyNumberFormat="1" applyFont="1" applyFill="1" applyBorder="1" applyAlignment="1">
      <alignment horizontal="right" wrapText="1"/>
    </xf>
    <xf numFmtId="2" fontId="31" fillId="0" borderId="0" xfId="0" applyNumberFormat="1" applyFont="1" applyFill="1" applyBorder="1"/>
    <xf numFmtId="0" fontId="31" fillId="0" borderId="0" xfId="0" applyFont="1" applyFill="1" applyBorder="1"/>
    <xf numFmtId="177" fontId="44" fillId="0" borderId="11" xfId="0" applyNumberFormat="1" applyFont="1" applyFill="1" applyBorder="1" applyAlignment="1">
      <alignment horizontal="right"/>
    </xf>
    <xf numFmtId="20" fontId="44" fillId="0" borderId="11" xfId="0" applyNumberFormat="1" applyFont="1" applyFill="1" applyBorder="1" applyAlignment="1">
      <alignment horizontal="right"/>
    </xf>
    <xf numFmtId="20" fontId="44" fillId="0" borderId="11" xfId="0" applyNumberFormat="1" applyFont="1" applyFill="1" applyBorder="1" applyAlignment="1" applyProtection="1">
      <alignment horizontal="right"/>
    </xf>
    <xf numFmtId="0" fontId="44" fillId="0" borderId="0" xfId="0" applyFont="1" applyFill="1" applyBorder="1" applyAlignment="1">
      <alignment horizontal="left" indent="3"/>
    </xf>
    <xf numFmtId="0" fontId="44" fillId="0" borderId="0" xfId="0" applyNumberFormat="1" applyFont="1" applyFill="1" applyBorder="1" applyAlignment="1">
      <alignment horizontal="right"/>
    </xf>
    <xf numFmtId="179" fontId="31" fillId="0" borderId="0" xfId="0" applyNumberFormat="1" applyFont="1" applyFill="1" applyBorder="1" applyAlignment="1">
      <alignment horizontal="right"/>
    </xf>
    <xf numFmtId="172" fontId="43" fillId="0" borderId="33" xfId="0" applyNumberFormat="1" applyFont="1" applyFill="1" applyBorder="1" applyAlignment="1">
      <alignment horizontal="center" vertical="center" wrapText="1"/>
    </xf>
    <xf numFmtId="0" fontId="43" fillId="0" borderId="33" xfId="0" applyFont="1" applyFill="1" applyBorder="1" applyAlignment="1">
      <alignment horizontal="right" vertical="center" wrapText="1"/>
    </xf>
    <xf numFmtId="0" fontId="43" fillId="0" borderId="32" xfId="0" applyFont="1" applyFill="1" applyBorder="1" applyAlignment="1">
      <alignment horizontal="center" vertical="center"/>
    </xf>
    <xf numFmtId="0" fontId="45" fillId="0" borderId="30" xfId="0" applyFont="1" applyFill="1" applyBorder="1" applyAlignment="1">
      <alignment horizontal="left" wrapText="1"/>
    </xf>
    <xf numFmtId="0" fontId="45" fillId="0" borderId="13" xfId="0" applyFont="1" applyFill="1" applyBorder="1" applyAlignment="1">
      <alignment horizontal="left" wrapText="1"/>
    </xf>
    <xf numFmtId="0" fontId="45" fillId="0" borderId="71" xfId="0" applyFont="1" applyFill="1" applyBorder="1" applyAlignment="1">
      <alignment horizontal="left" wrapText="1"/>
    </xf>
    <xf numFmtId="172" fontId="43" fillId="0" borderId="65" xfId="0" applyNumberFormat="1" applyFont="1" applyFill="1" applyBorder="1" applyAlignment="1">
      <alignment horizontal="center" vertical="center" wrapText="1"/>
    </xf>
    <xf numFmtId="0" fontId="2" fillId="0" borderId="24" xfId="0" applyFont="1" applyFill="1" applyBorder="1" applyAlignment="1">
      <alignment wrapText="1"/>
    </xf>
    <xf numFmtId="0" fontId="40" fillId="0" borderId="24" xfId="0" applyFont="1" applyFill="1" applyBorder="1" applyAlignment="1">
      <alignment wrapText="1"/>
    </xf>
    <xf numFmtId="0" fontId="0" fillId="0" borderId="0" xfId="0" applyFill="1" applyAlignment="1" applyProtection="1"/>
    <xf numFmtId="0" fontId="55" fillId="0" borderId="0" xfId="0" applyFont="1" applyFill="1" applyBorder="1" applyAlignment="1" applyProtection="1">
      <alignment vertical="top" wrapText="1"/>
    </xf>
    <xf numFmtId="0" fontId="34" fillId="0" borderId="20" xfId="0" applyFont="1" applyFill="1" applyBorder="1" applyAlignment="1" applyProtection="1">
      <alignment horizontal="right"/>
    </xf>
    <xf numFmtId="0" fontId="1" fillId="0" borderId="29" xfId="0" applyFont="1" applyBorder="1"/>
    <xf numFmtId="0" fontId="1" fillId="0" borderId="0" xfId="0" applyFont="1"/>
    <xf numFmtId="0" fontId="1" fillId="0" borderId="0" xfId="0" applyFont="1" applyBorder="1"/>
    <xf numFmtId="0" fontId="1" fillId="0" borderId="31" xfId="0" applyFont="1" applyBorder="1"/>
    <xf numFmtId="172" fontId="6" fillId="0" borderId="11" xfId="0" applyNumberFormat="1" applyFont="1" applyFill="1" applyBorder="1" applyAlignment="1">
      <alignment wrapText="1"/>
    </xf>
    <xf numFmtId="172" fontId="23" fillId="0" borderId="11" xfId="0" applyNumberFormat="1" applyFont="1" applyFill="1" applyBorder="1" applyAlignment="1">
      <alignment wrapText="1"/>
    </xf>
    <xf numFmtId="179" fontId="31" fillId="0" borderId="11" xfId="0" applyNumberFormat="1" applyFont="1" applyFill="1" applyBorder="1" applyAlignment="1">
      <alignment horizontal="right"/>
    </xf>
    <xf numFmtId="179" fontId="31" fillId="0" borderId="38" xfId="0" applyNumberFormat="1" applyFont="1" applyFill="1" applyBorder="1" applyAlignment="1">
      <alignment horizontal="right"/>
    </xf>
    <xf numFmtId="6" fontId="0" fillId="0" borderId="21" xfId="0" applyNumberFormat="1" applyFill="1" applyBorder="1" applyAlignment="1"/>
    <xf numFmtId="6" fontId="36" fillId="0" borderId="31" xfId="0" applyNumberFormat="1" applyFont="1" applyFill="1" applyBorder="1" applyAlignment="1"/>
    <xf numFmtId="6" fontId="36" fillId="0" borderId="0" xfId="0" applyNumberFormat="1" applyFont="1" applyFill="1" applyBorder="1" applyAlignment="1"/>
    <xf numFmtId="174" fontId="36" fillId="0" borderId="0" xfId="0" applyNumberFormat="1" applyFont="1" applyFill="1" applyBorder="1" applyAlignment="1"/>
    <xf numFmtId="6" fontId="36" fillId="0" borderId="21" xfId="0" applyNumberFormat="1" applyFont="1" applyFill="1" applyBorder="1" applyAlignment="1"/>
    <xf numFmtId="6" fontId="36" fillId="0" borderId="17" xfId="0" applyNumberFormat="1" applyFont="1" applyFill="1" applyBorder="1" applyAlignment="1"/>
    <xf numFmtId="0" fontId="34" fillId="0" borderId="20" xfId="0" applyFont="1" applyFill="1" applyBorder="1" applyAlignment="1" applyProtection="1">
      <alignment horizontal="center"/>
    </xf>
    <xf numFmtId="0" fontId="0" fillId="0" borderId="0" xfId="0" applyFill="1" applyAlignment="1" applyProtection="1"/>
    <xf numFmtId="0" fontId="23" fillId="0" borderId="11" xfId="0" applyFont="1" applyFill="1" applyBorder="1" applyAlignment="1">
      <alignment horizontal="center"/>
    </xf>
    <xf numFmtId="175" fontId="1" fillId="0" borderId="29" xfId="0" applyNumberFormat="1" applyFont="1" applyFill="1" applyBorder="1" applyAlignment="1" applyProtection="1">
      <alignment horizontal="center"/>
    </xf>
    <xf numFmtId="175" fontId="1" fillId="0" borderId="45" xfId="0" applyNumberFormat="1" applyFont="1" applyFill="1" applyBorder="1" applyAlignment="1" applyProtection="1">
      <alignment horizontal="center"/>
    </xf>
    <xf numFmtId="175" fontId="1" fillId="0" borderId="0" xfId="0" applyNumberFormat="1" applyFont="1" applyFill="1" applyBorder="1" applyAlignment="1" applyProtection="1">
      <alignment horizontal="center"/>
    </xf>
    <xf numFmtId="175" fontId="1" fillId="0" borderId="21" xfId="0" applyNumberFormat="1" applyFont="1" applyFill="1" applyBorder="1" applyAlignment="1" applyProtection="1">
      <alignment horizontal="center"/>
    </xf>
    <xf numFmtId="175" fontId="1" fillId="0" borderId="31" xfId="0" applyNumberFormat="1" applyFont="1" applyFill="1" applyBorder="1" applyAlignment="1" applyProtection="1">
      <alignment horizontal="center"/>
    </xf>
    <xf numFmtId="175" fontId="1" fillId="0" borderId="22" xfId="0" applyNumberFormat="1" applyFont="1" applyFill="1" applyBorder="1" applyAlignment="1" applyProtection="1">
      <alignment horizontal="center"/>
    </xf>
    <xf numFmtId="175" fontId="1" fillId="0" borderId="48" xfId="0" applyNumberFormat="1" applyFont="1" applyFill="1" applyBorder="1" applyAlignment="1" applyProtection="1">
      <alignment horizontal="center"/>
    </xf>
    <xf numFmtId="175" fontId="1" fillId="0" borderId="51" xfId="0" applyNumberFormat="1" applyFont="1" applyFill="1" applyBorder="1" applyAlignment="1" applyProtection="1">
      <alignment horizontal="center"/>
    </xf>
    <xf numFmtId="3" fontId="35" fillId="0" borderId="28" xfId="0" applyNumberFormat="1" applyFont="1" applyFill="1" applyBorder="1" applyAlignment="1" applyProtection="1">
      <alignment horizontal="right"/>
    </xf>
    <xf numFmtId="3" fontId="35" fillId="0" borderId="44" xfId="0" applyNumberFormat="1" applyFont="1" applyFill="1" applyBorder="1" applyAlignment="1" applyProtection="1">
      <alignment horizontal="right"/>
    </xf>
    <xf numFmtId="38" fontId="35" fillId="0" borderId="44" xfId="0" applyNumberFormat="1" applyFont="1" applyFill="1" applyBorder="1" applyAlignment="1" applyProtection="1">
      <alignment horizontal="right"/>
    </xf>
    <xf numFmtId="175" fontId="1" fillId="0" borderId="53" xfId="0" applyNumberFormat="1" applyFont="1" applyFill="1" applyBorder="1" applyAlignment="1" applyProtection="1">
      <alignment horizontal="center"/>
    </xf>
    <xf numFmtId="166" fontId="1" fillId="0" borderId="11" xfId="0" applyNumberFormat="1" applyFont="1" applyFill="1" applyBorder="1"/>
    <xf numFmtId="0" fontId="1" fillId="0" borderId="13" xfId="0" applyFont="1" applyFill="1" applyBorder="1" applyAlignment="1">
      <alignment horizontal="center" vertical="center" wrapText="1"/>
    </xf>
    <xf numFmtId="0" fontId="36" fillId="0" borderId="46" xfId="0" applyNumberFormat="1" applyFont="1" applyFill="1" applyBorder="1" applyAlignment="1">
      <alignment horizontal="left" wrapText="1"/>
    </xf>
    <xf numFmtId="176" fontId="0" fillId="0" borderId="50" xfId="0" applyNumberFormat="1" applyFill="1" applyBorder="1"/>
    <xf numFmtId="3" fontId="1" fillId="0" borderId="0" xfId="0" applyNumberFormat="1" applyFont="1" applyFill="1" applyBorder="1"/>
    <xf numFmtId="0" fontId="2" fillId="0" borderId="18" xfId="0" applyFont="1" applyFill="1" applyBorder="1" applyAlignment="1" applyProtection="1"/>
    <xf numFmtId="0" fontId="2" fillId="0" borderId="20" xfId="0" applyFont="1" applyFill="1" applyBorder="1" applyAlignment="1" applyProtection="1">
      <alignment horizontal="center" wrapText="1"/>
    </xf>
    <xf numFmtId="0" fontId="2" fillId="0" borderId="11" xfId="0" applyFont="1" applyFill="1" applyBorder="1" applyAlignment="1" applyProtection="1">
      <alignment horizontal="center"/>
    </xf>
    <xf numFmtId="3" fontId="1" fillId="0" borderId="21" xfId="0" applyNumberFormat="1" applyFont="1" applyFill="1" applyBorder="1" applyAlignment="1">
      <alignment horizontal="right" vertical="top" wrapText="1"/>
    </xf>
    <xf numFmtId="3" fontId="1" fillId="0" borderId="22" xfId="0" applyNumberFormat="1" applyFont="1" applyFill="1" applyBorder="1" applyAlignment="1">
      <alignment horizontal="right" vertical="top" wrapText="1"/>
    </xf>
    <xf numFmtId="165" fontId="1" fillId="0" borderId="51" xfId="0" applyNumberFormat="1" applyFont="1" applyFill="1" applyBorder="1" applyAlignment="1" applyProtection="1">
      <alignment horizontal="center"/>
    </xf>
    <xf numFmtId="0" fontId="2" fillId="0" borderId="69" xfId="0" applyFont="1" applyFill="1" applyBorder="1" applyAlignment="1" applyProtection="1">
      <alignment horizontal="center"/>
    </xf>
    <xf numFmtId="165" fontId="1" fillId="0" borderId="70" xfId="0" applyNumberFormat="1" applyFont="1" applyFill="1" applyBorder="1" applyAlignment="1" applyProtection="1">
      <alignment horizontal="center"/>
    </xf>
    <xf numFmtId="165" fontId="1" fillId="0" borderId="21" xfId="0" applyNumberFormat="1" applyFont="1" applyFill="1" applyBorder="1" applyAlignment="1" applyProtection="1">
      <alignment horizontal="center"/>
    </xf>
    <xf numFmtId="0" fontId="1" fillId="0" borderId="21" xfId="0" applyFont="1" applyFill="1" applyBorder="1" applyProtection="1"/>
    <xf numFmtId="0" fontId="2" fillId="0" borderId="21" xfId="0" applyFont="1" applyFill="1" applyBorder="1" applyAlignment="1" applyProtection="1"/>
    <xf numFmtId="165" fontId="1" fillId="0" borderId="22" xfId="0" applyNumberFormat="1" applyFont="1" applyFill="1" applyBorder="1" applyAlignment="1" applyProtection="1">
      <alignment horizontal="center"/>
    </xf>
    <xf numFmtId="0" fontId="2" fillId="0" borderId="0" xfId="0" applyFont="1" applyFill="1" applyAlignment="1" applyProtection="1"/>
    <xf numFmtId="0" fontId="1" fillId="0" borderId="0" xfId="0" applyFont="1" applyFill="1"/>
    <xf numFmtId="169" fontId="48" fillId="0" borderId="0" xfId="0" applyNumberFormat="1" applyFont="1" applyFill="1" applyBorder="1"/>
    <xf numFmtId="3" fontId="1" fillId="0" borderId="28" xfId="0" applyNumberFormat="1" applyFont="1" applyFill="1" applyBorder="1" applyAlignment="1" applyProtection="1">
      <alignment horizontal="right"/>
    </xf>
    <xf numFmtId="172" fontId="1" fillId="0" borderId="11" xfId="0" applyNumberFormat="1" applyFont="1" applyFill="1" applyBorder="1" applyAlignment="1">
      <alignment horizontal="right" wrapText="1"/>
    </xf>
    <xf numFmtId="166" fontId="2" fillId="0" borderId="11" xfId="46" applyNumberFormat="1" applyFont="1" applyFill="1" applyBorder="1" applyAlignment="1">
      <alignment horizontal="right" wrapText="1"/>
    </xf>
    <xf numFmtId="172" fontId="2" fillId="0" borderId="11" xfId="0" applyNumberFormat="1" applyFont="1" applyFill="1" applyBorder="1" applyAlignment="1">
      <alignment horizontal="center" wrapText="1"/>
    </xf>
    <xf numFmtId="172" fontId="2" fillId="0" borderId="11" xfId="0" applyNumberFormat="1" applyFont="1" applyFill="1" applyBorder="1" applyAlignment="1">
      <alignment horizontal="right" wrapText="1"/>
    </xf>
    <xf numFmtId="166" fontId="2" fillId="0" borderId="11" xfId="0" applyNumberFormat="1" applyFont="1" applyFill="1" applyBorder="1"/>
    <xf numFmtId="172" fontId="1" fillId="0" borderId="11" xfId="0" applyNumberFormat="1" applyFont="1" applyFill="1" applyBorder="1"/>
    <xf numFmtId="166" fontId="2" fillId="0" borderId="27" xfId="0" applyNumberFormat="1" applyFont="1" applyFill="1" applyBorder="1"/>
    <xf numFmtId="166" fontId="1" fillId="0" borderId="11" xfId="0" applyNumberFormat="1" applyFont="1" applyFill="1" applyBorder="1" applyAlignment="1"/>
    <xf numFmtId="166" fontId="2" fillId="0" borderId="11" xfId="0" applyNumberFormat="1" applyFont="1" applyFill="1" applyBorder="1" applyAlignment="1">
      <alignment horizontal="center" wrapText="1"/>
    </xf>
    <xf numFmtId="166" fontId="2" fillId="0" borderId="11" xfId="0" applyNumberFormat="1" applyFont="1" applyFill="1" applyBorder="1" applyAlignment="1">
      <alignment horizontal="center"/>
    </xf>
    <xf numFmtId="166" fontId="1" fillId="0" borderId="11" xfId="0" applyNumberFormat="1" applyFont="1" applyFill="1" applyBorder="1" applyAlignment="1">
      <alignment horizontal="right" wrapText="1"/>
    </xf>
    <xf numFmtId="166" fontId="1" fillId="0" borderId="11" xfId="0" applyNumberFormat="1" applyFont="1" applyFill="1" applyBorder="1" applyAlignment="1">
      <alignment horizontal="right"/>
    </xf>
    <xf numFmtId="166" fontId="1" fillId="0" borderId="29" xfId="0" applyNumberFormat="1" applyFont="1" applyFill="1" applyBorder="1"/>
    <xf numFmtId="166" fontId="1" fillId="0" borderId="29" xfId="0" applyNumberFormat="1" applyFont="1" applyFill="1" applyBorder="1" applyAlignment="1"/>
    <xf numFmtId="166" fontId="2" fillId="0" borderId="29" xfId="0" applyNumberFormat="1" applyFont="1" applyFill="1" applyBorder="1"/>
    <xf numFmtId="166" fontId="1" fillId="0" borderId="14" xfId="46" applyNumberFormat="1" applyFont="1" applyFill="1" applyBorder="1" applyAlignment="1">
      <alignment horizontal="right"/>
    </xf>
    <xf numFmtId="166" fontId="1" fillId="0" borderId="14" xfId="0" applyNumberFormat="1" applyFont="1" applyFill="1" applyBorder="1"/>
    <xf numFmtId="166" fontId="1" fillId="0" borderId="11" xfId="0" quotePrefix="1" applyNumberFormat="1" applyFont="1" applyFill="1" applyBorder="1" applyAlignment="1">
      <alignment horizontal="center"/>
    </xf>
    <xf numFmtId="166" fontId="2" fillId="0" borderId="11" xfId="46" applyNumberFormat="1" applyFont="1" applyFill="1" applyBorder="1" applyAlignment="1">
      <alignment horizontal="right"/>
    </xf>
    <xf numFmtId="166" fontId="1" fillId="0" borderId="11" xfId="46" applyNumberFormat="1" applyFont="1" applyFill="1" applyBorder="1" applyAlignment="1">
      <alignment horizontal="right"/>
    </xf>
    <xf numFmtId="166" fontId="2" fillId="0" borderId="27" xfId="0" applyNumberFormat="1" applyFont="1" applyFill="1" applyBorder="1" applyAlignment="1">
      <alignment horizontal="right"/>
    </xf>
    <xf numFmtId="6" fontId="36" fillId="0" borderId="68" xfId="0" applyNumberFormat="1" applyFont="1" applyFill="1" applyBorder="1" applyAlignment="1">
      <alignment horizontal="center"/>
    </xf>
    <xf numFmtId="0" fontId="41" fillId="0" borderId="0" xfId="0" applyFont="1" applyFill="1" applyBorder="1"/>
    <xf numFmtId="44" fontId="41" fillId="0" borderId="0" xfId="47" applyFont="1" applyFill="1" applyBorder="1"/>
    <xf numFmtId="0" fontId="3" fillId="0" borderId="0" xfId="0" applyFont="1" applyFill="1" applyBorder="1" applyAlignment="1">
      <alignment horizontal="center" wrapText="1"/>
    </xf>
    <xf numFmtId="174" fontId="3" fillId="0" borderId="0" xfId="0" applyNumberFormat="1" applyFont="1" applyFill="1" applyBorder="1" applyAlignment="1">
      <alignment horizontal="center" wrapText="1"/>
    </xf>
    <xf numFmtId="5" fontId="2" fillId="0" borderId="0" xfId="0" applyNumberFormat="1" applyFont="1" applyFill="1" applyBorder="1" applyAlignment="1">
      <alignment horizontal="left" wrapText="1"/>
    </xf>
    <xf numFmtId="0" fontId="2" fillId="0" borderId="11" xfId="0" applyFont="1" applyFill="1" applyBorder="1" applyAlignment="1">
      <alignment horizontal="center"/>
    </xf>
    <xf numFmtId="0" fontId="2" fillId="0" borderId="20" xfId="0" applyFont="1" applyFill="1" applyBorder="1" applyAlignment="1">
      <alignment horizontal="center"/>
    </xf>
    <xf numFmtId="0" fontId="36" fillId="0" borderId="0" xfId="0" quotePrefix="1" applyFont="1" applyFill="1"/>
    <xf numFmtId="0" fontId="0" fillId="0" borderId="0" xfId="0" applyFill="1" applyBorder="1" applyAlignment="1">
      <alignment vertical="top" wrapText="1"/>
    </xf>
    <xf numFmtId="0" fontId="2" fillId="0" borderId="72" xfId="0" applyFont="1" applyFill="1" applyBorder="1"/>
    <xf numFmtId="0" fontId="0" fillId="0" borderId="73" xfId="0" applyFill="1" applyBorder="1"/>
    <xf numFmtId="0" fontId="0" fillId="0" borderId="74" xfId="0" applyFill="1" applyBorder="1"/>
    <xf numFmtId="0" fontId="0" fillId="0" borderId="36" xfId="0" applyFill="1" applyBorder="1"/>
    <xf numFmtId="0" fontId="0" fillId="0" borderId="35" xfId="0" applyFill="1" applyBorder="1"/>
    <xf numFmtId="0" fontId="0" fillId="0" borderId="47" xfId="0" applyFill="1" applyBorder="1"/>
    <xf numFmtId="0" fontId="2" fillId="0" borderId="58" xfId="0" applyFont="1" applyFill="1" applyBorder="1" applyAlignment="1">
      <alignment horizontal="center" wrapText="1"/>
    </xf>
    <xf numFmtId="0" fontId="33" fillId="0" borderId="13" xfId="0" applyFont="1" applyFill="1" applyBorder="1" applyAlignment="1">
      <alignment vertical="top"/>
    </xf>
    <xf numFmtId="0" fontId="0" fillId="0" borderId="19" xfId="0" applyFill="1" applyBorder="1" applyAlignment="1">
      <alignment vertical="top" wrapText="1"/>
    </xf>
    <xf numFmtId="0" fontId="33" fillId="0" borderId="13" xfId="0" applyFont="1" applyFill="1" applyBorder="1" applyProtection="1"/>
    <xf numFmtId="0" fontId="1" fillId="0" borderId="19" xfId="0" applyNumberFormat="1" applyFont="1" applyFill="1" applyBorder="1" applyAlignment="1">
      <alignment vertical="top" wrapText="1"/>
    </xf>
    <xf numFmtId="0" fontId="33" fillId="0" borderId="37" xfId="0" applyFont="1" applyFill="1" applyBorder="1" applyProtection="1"/>
    <xf numFmtId="2" fontId="33" fillId="44" borderId="38" xfId="0" applyNumberFormat="1" applyFont="1" applyFill="1" applyBorder="1" applyAlignment="1">
      <alignment horizontal="right" vertical="top"/>
    </xf>
    <xf numFmtId="3" fontId="33" fillId="45" borderId="38" xfId="0" applyNumberFormat="1" applyFont="1" applyFill="1" applyBorder="1" applyAlignment="1">
      <alignment horizontal="right" vertical="top" wrapText="1"/>
    </xf>
    <xf numFmtId="0" fontId="0" fillId="0" borderId="39" xfId="0" applyFill="1" applyBorder="1" applyAlignment="1">
      <alignment vertical="top" wrapText="1"/>
    </xf>
    <xf numFmtId="0" fontId="2" fillId="0" borderId="58" xfId="0" applyFont="1" applyFill="1" applyBorder="1" applyAlignment="1">
      <alignment horizontal="center"/>
    </xf>
    <xf numFmtId="3" fontId="33" fillId="43" borderId="0" xfId="0" applyNumberFormat="1" applyFont="1" applyFill="1" applyBorder="1" applyAlignment="1">
      <alignment vertical="top"/>
    </xf>
    <xf numFmtId="0" fontId="3" fillId="0" borderId="35" xfId="0" applyFont="1" applyFill="1" applyBorder="1" applyAlignment="1">
      <alignment vertical="top"/>
    </xf>
    <xf numFmtId="0" fontId="0" fillId="0" borderId="0" xfId="0" applyFill="1" applyBorder="1" applyAlignment="1">
      <alignment horizontal="right"/>
    </xf>
    <xf numFmtId="172" fontId="23" fillId="0" borderId="0" xfId="0" applyNumberFormat="1" applyFont="1" applyFill="1" applyBorder="1" applyAlignment="1">
      <alignment horizontal="right"/>
    </xf>
    <xf numFmtId="172" fontId="23" fillId="0" borderId="0" xfId="0" applyNumberFormat="1" applyFont="1" applyFill="1" applyBorder="1" applyAlignment="1">
      <alignment horizontal="center"/>
    </xf>
    <xf numFmtId="0" fontId="44" fillId="0" borderId="73" xfId="0" applyFont="1" applyFill="1" applyBorder="1" applyAlignment="1">
      <alignment horizontal="right"/>
    </xf>
    <xf numFmtId="0" fontId="44" fillId="0" borderId="0" xfId="0" applyFont="1" applyFill="1" applyBorder="1" applyAlignment="1">
      <alignment horizontal="center"/>
    </xf>
    <xf numFmtId="0" fontId="43" fillId="0" borderId="64" xfId="0" applyFont="1" applyFill="1" applyBorder="1" applyAlignment="1">
      <alignment horizontal="center" vertical="center" wrapText="1"/>
    </xf>
    <xf numFmtId="178" fontId="43" fillId="0" borderId="33" xfId="0" applyNumberFormat="1"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72" xfId="0" applyFont="1" applyFill="1" applyBorder="1" applyAlignment="1">
      <alignment horizontal="left"/>
    </xf>
    <xf numFmtId="0" fontId="44" fillId="0" borderId="73" xfId="0" applyFont="1" applyFill="1" applyBorder="1" applyAlignment="1">
      <alignment horizontal="left" wrapText="1"/>
    </xf>
    <xf numFmtId="0" fontId="44" fillId="0" borderId="73" xfId="0" applyFont="1" applyFill="1" applyBorder="1" applyAlignment="1">
      <alignment horizontal="left"/>
    </xf>
    <xf numFmtId="172" fontId="44" fillId="0" borderId="74" xfId="0" applyNumberFormat="1" applyFont="1" applyFill="1" applyBorder="1" applyAlignment="1">
      <alignment horizontal="left"/>
    </xf>
    <xf numFmtId="0" fontId="43" fillId="0" borderId="35" xfId="0" applyFont="1" applyFill="1" applyBorder="1" applyAlignment="1">
      <alignment horizontal="left"/>
    </xf>
    <xf numFmtId="0" fontId="31" fillId="0" borderId="0" xfId="0" applyFont="1" applyFill="1" applyBorder="1" applyAlignment="1">
      <alignment horizontal="left" wrapText="1"/>
    </xf>
    <xf numFmtId="0" fontId="44" fillId="0" borderId="0" xfId="0" applyFont="1" applyFill="1" applyBorder="1" applyAlignment="1">
      <alignment horizontal="left"/>
    </xf>
    <xf numFmtId="172" fontId="44" fillId="0" borderId="36" xfId="0" applyNumberFormat="1" applyFont="1" applyFill="1" applyBorder="1" applyAlignment="1">
      <alignment horizontal="left"/>
    </xf>
    <xf numFmtId="0" fontId="44" fillId="0" borderId="0" xfId="0" applyNumberFormat="1" applyFont="1" applyFill="1" applyBorder="1" applyAlignment="1">
      <alignment horizontal="left"/>
    </xf>
    <xf numFmtId="172" fontId="31" fillId="0" borderId="36" xfId="0" applyNumberFormat="1" applyFont="1" applyFill="1" applyBorder="1" applyAlignment="1">
      <alignment horizontal="left"/>
    </xf>
    <xf numFmtId="0" fontId="43" fillId="0" borderId="13" xfId="0" applyFont="1" applyFill="1" applyBorder="1" applyAlignment="1">
      <alignment horizontal="left"/>
    </xf>
    <xf numFmtId="0" fontId="31" fillId="0" borderId="0" xfId="0" applyFont="1" applyFill="1" applyBorder="1" applyAlignment="1">
      <alignment horizontal="left"/>
    </xf>
    <xf numFmtId="179" fontId="31" fillId="0" borderId="0" xfId="0" applyNumberFormat="1" applyFont="1" applyFill="1" applyBorder="1" applyAlignment="1">
      <alignment horizontal="left"/>
    </xf>
    <xf numFmtId="0" fontId="44" fillId="0" borderId="13" xfId="0" applyFont="1" applyFill="1" applyBorder="1" applyAlignment="1">
      <alignment horizontal="left"/>
    </xf>
    <xf numFmtId="0" fontId="44" fillId="0" borderId="11" xfId="0" applyFont="1" applyFill="1" applyBorder="1" applyAlignment="1">
      <alignment horizontal="left" wrapText="1"/>
    </xf>
    <xf numFmtId="0" fontId="44" fillId="0" borderId="11" xfId="0" applyFont="1" applyFill="1" applyBorder="1" applyAlignment="1">
      <alignment horizontal="left"/>
    </xf>
    <xf numFmtId="177" fontId="44" fillId="0" borderId="11" xfId="0" applyNumberFormat="1" applyFont="1" applyFill="1" applyBorder="1" applyAlignment="1">
      <alignment horizontal="left"/>
    </xf>
    <xf numFmtId="2" fontId="44" fillId="0" borderId="19" xfId="0" applyNumberFormat="1" applyFont="1" applyFill="1" applyBorder="1" applyAlignment="1">
      <alignment horizontal="left"/>
    </xf>
    <xf numFmtId="0" fontId="31" fillId="0" borderId="11" xfId="0" applyFont="1" applyFill="1" applyBorder="1" applyAlignment="1">
      <alignment horizontal="left"/>
    </xf>
    <xf numFmtId="179" fontId="31" fillId="0" borderId="11" xfId="0" applyNumberFormat="1" applyFont="1" applyFill="1" applyBorder="1" applyAlignment="1">
      <alignment horizontal="left"/>
    </xf>
    <xf numFmtId="172" fontId="31" fillId="0" borderId="19" xfId="0" applyNumberFormat="1" applyFont="1" applyFill="1" applyBorder="1" applyAlignment="1">
      <alignment horizontal="left"/>
    </xf>
    <xf numFmtId="0" fontId="31" fillId="0" borderId="13" xfId="0" applyFont="1" applyFill="1" applyBorder="1" applyAlignment="1">
      <alignment horizontal="left" wrapText="1"/>
    </xf>
    <xf numFmtId="20" fontId="44" fillId="0" borderId="11" xfId="0" applyNumberFormat="1" applyFont="1" applyFill="1" applyBorder="1" applyAlignment="1">
      <alignment horizontal="left"/>
    </xf>
    <xf numFmtId="0" fontId="44" fillId="0" borderId="11" xfId="0" applyFont="1" applyFill="1" applyBorder="1" applyAlignment="1" applyProtection="1">
      <alignment horizontal="left"/>
    </xf>
    <xf numFmtId="0" fontId="31" fillId="0" borderId="11" xfId="0" applyFont="1" applyFill="1" applyBorder="1" applyAlignment="1" applyProtection="1">
      <alignment horizontal="left"/>
    </xf>
    <xf numFmtId="0" fontId="43" fillId="0" borderId="13" xfId="0" applyFont="1" applyFill="1" applyBorder="1" applyAlignment="1">
      <alignment horizontal="left" wrapText="1"/>
    </xf>
    <xf numFmtId="0" fontId="44" fillId="0" borderId="13" xfId="0" applyFont="1" applyFill="1" applyBorder="1" applyAlignment="1">
      <alignment horizontal="left" wrapText="1"/>
    </xf>
    <xf numFmtId="0" fontId="31" fillId="0" borderId="13" xfId="0" applyFont="1" applyFill="1" applyBorder="1" applyAlignment="1" applyProtection="1">
      <alignment horizontal="left"/>
    </xf>
    <xf numFmtId="16" fontId="31" fillId="0" borderId="11" xfId="0" applyNumberFormat="1" applyFont="1" applyFill="1" applyBorder="1" applyAlignment="1" applyProtection="1">
      <alignment horizontal="left"/>
    </xf>
    <xf numFmtId="0" fontId="31" fillId="0" borderId="13" xfId="0" applyFont="1" applyFill="1" applyBorder="1" applyAlignment="1">
      <alignment horizontal="left"/>
    </xf>
    <xf numFmtId="172" fontId="44" fillId="0" borderId="19" xfId="0" applyNumberFormat="1" applyFont="1" applyFill="1" applyBorder="1" applyAlignment="1">
      <alignment horizontal="left"/>
    </xf>
    <xf numFmtId="16" fontId="31" fillId="0" borderId="13" xfId="0" applyNumberFormat="1" applyFont="1" applyFill="1" applyBorder="1" applyAlignment="1">
      <alignment horizontal="left"/>
    </xf>
    <xf numFmtId="20" fontId="44" fillId="0" borderId="11" xfId="0" applyNumberFormat="1" applyFont="1" applyFill="1" applyBorder="1" applyAlignment="1" applyProtection="1">
      <alignment horizontal="left"/>
    </xf>
    <xf numFmtId="0" fontId="31" fillId="0" borderId="37" xfId="0" applyFont="1" applyFill="1" applyBorder="1" applyAlignment="1">
      <alignment horizontal="left"/>
    </xf>
    <xf numFmtId="0" fontId="31" fillId="0" borderId="38" xfId="0" applyFont="1" applyFill="1" applyBorder="1" applyAlignment="1">
      <alignment horizontal="left"/>
    </xf>
    <xf numFmtId="16" fontId="31" fillId="0" borderId="38" xfId="0" applyNumberFormat="1" applyFont="1" applyFill="1" applyBorder="1" applyAlignment="1">
      <alignment horizontal="left"/>
    </xf>
    <xf numFmtId="179" fontId="31" fillId="0" borderId="38" xfId="0" applyNumberFormat="1" applyFont="1" applyFill="1" applyBorder="1" applyAlignment="1">
      <alignment horizontal="left"/>
    </xf>
    <xf numFmtId="172" fontId="31" fillId="0" borderId="39" xfId="0" applyNumberFormat="1" applyFont="1" applyFill="1" applyBorder="1" applyAlignment="1">
      <alignment horizontal="left"/>
    </xf>
    <xf numFmtId="178" fontId="44" fillId="0" borderId="73" xfId="0" applyNumberFormat="1" applyFont="1" applyFill="1" applyBorder="1" applyAlignment="1">
      <alignment horizontal="right"/>
    </xf>
    <xf numFmtId="178" fontId="44" fillId="0" borderId="0" xfId="0" applyNumberFormat="1" applyFont="1" applyFill="1" applyBorder="1" applyAlignment="1">
      <alignment horizontal="right"/>
    </xf>
    <xf numFmtId="178" fontId="31" fillId="0" borderId="0" xfId="0" applyNumberFormat="1" applyFont="1" applyFill="1" applyBorder="1" applyAlignment="1" applyProtection="1">
      <alignment horizontal="right"/>
    </xf>
    <xf numFmtId="178" fontId="44" fillId="0" borderId="11" xfId="0" applyNumberFormat="1" applyFont="1" applyFill="1" applyBorder="1" applyAlignment="1">
      <alignment horizontal="right"/>
    </xf>
    <xf numFmtId="178" fontId="31" fillId="0" borderId="11" xfId="0" applyNumberFormat="1" applyFont="1" applyFill="1" applyBorder="1" applyAlignment="1" applyProtection="1">
      <alignment horizontal="right"/>
    </xf>
    <xf numFmtId="178" fontId="44" fillId="0" borderId="11" xfId="0" applyNumberFormat="1" applyFont="1" applyFill="1" applyBorder="1" applyAlignment="1" applyProtection="1">
      <alignment horizontal="right"/>
    </xf>
    <xf numFmtId="178" fontId="31" fillId="0" borderId="11" xfId="0" applyNumberFormat="1" applyFont="1" applyFill="1" applyBorder="1" applyAlignment="1">
      <alignment horizontal="right"/>
    </xf>
    <xf numFmtId="178" fontId="31" fillId="0" borderId="38" xfId="0" applyNumberFormat="1" applyFont="1" applyFill="1" applyBorder="1" applyAlignment="1" applyProtection="1">
      <alignment horizontal="right"/>
    </xf>
    <xf numFmtId="172" fontId="44" fillId="0" borderId="73" xfId="0" applyNumberFormat="1" applyFont="1" applyFill="1" applyBorder="1" applyAlignment="1"/>
    <xf numFmtId="172" fontId="44" fillId="0" borderId="0" xfId="0" applyNumberFormat="1" applyFont="1" applyFill="1" applyBorder="1" applyAlignment="1"/>
    <xf numFmtId="172" fontId="31" fillId="0" borderId="0" xfId="0" applyNumberFormat="1" applyFont="1" applyFill="1" applyBorder="1" applyAlignment="1"/>
    <xf numFmtId="172" fontId="44" fillId="0" borderId="11" xfId="0" quotePrefix="1" applyNumberFormat="1" applyFont="1" applyFill="1" applyBorder="1" applyAlignment="1"/>
    <xf numFmtId="172" fontId="31" fillId="0" borderId="11" xfId="0" applyNumberFormat="1" applyFont="1" applyFill="1" applyBorder="1" applyAlignment="1"/>
    <xf numFmtId="172" fontId="44" fillId="0" borderId="11" xfId="0" applyNumberFormat="1" applyFont="1" applyFill="1" applyBorder="1" applyAlignment="1"/>
    <xf numFmtId="166" fontId="31" fillId="0" borderId="11" xfId="0" applyNumberFormat="1" applyFont="1" applyFill="1" applyBorder="1" applyAlignment="1"/>
    <xf numFmtId="172" fontId="31" fillId="0" borderId="38" xfId="0" applyNumberFormat="1" applyFont="1" applyFill="1" applyBorder="1" applyAlignment="1"/>
    <xf numFmtId="0" fontId="48" fillId="0" borderId="0" xfId="0" applyNumberFormat="1" applyFont="1" applyBorder="1" applyAlignment="1">
      <alignment vertical="distributed" wrapText="1"/>
    </xf>
    <xf numFmtId="0" fontId="48" fillId="0" borderId="0" xfId="0" applyFont="1" applyBorder="1" applyAlignment="1">
      <alignment vertical="distributed" wrapText="1"/>
    </xf>
    <xf numFmtId="0" fontId="51" fillId="0" borderId="0" xfId="57" applyFont="1" applyBorder="1" applyAlignment="1" applyProtection="1">
      <alignment wrapText="1"/>
    </xf>
    <xf numFmtId="0" fontId="48" fillId="0" borderId="0" xfId="0" applyFont="1" applyBorder="1" applyAlignment="1">
      <alignment wrapText="1"/>
    </xf>
    <xf numFmtId="0" fontId="34" fillId="0" borderId="27" xfId="0" applyFont="1" applyFill="1" applyBorder="1" applyAlignment="1" applyProtection="1">
      <alignment horizontal="center"/>
    </xf>
    <xf numFmtId="0" fontId="34" fillId="0" borderId="14" xfId="0" applyFont="1" applyFill="1" applyBorder="1" applyAlignment="1" applyProtection="1">
      <alignment horizontal="center"/>
    </xf>
    <xf numFmtId="0" fontId="34" fillId="0" borderId="20" xfId="0" applyFont="1" applyFill="1" applyBorder="1" applyAlignment="1" applyProtection="1">
      <alignment horizontal="center"/>
    </xf>
    <xf numFmtId="0" fontId="34" fillId="0" borderId="0" xfId="0" applyFont="1" applyFill="1" applyAlignment="1" applyProtection="1">
      <alignment vertical="top" wrapText="1"/>
    </xf>
    <xf numFmtId="0" fontId="0" fillId="0" borderId="0" xfId="0" applyFill="1" applyAlignment="1" applyProtection="1"/>
    <xf numFmtId="0" fontId="55" fillId="0" borderId="0" xfId="0" applyFont="1" applyFill="1" applyBorder="1" applyAlignment="1" applyProtection="1">
      <alignment vertical="top" wrapText="1"/>
    </xf>
    <xf numFmtId="0" fontId="65" fillId="0" borderId="0" xfId="0" applyFont="1" applyFill="1" applyBorder="1" applyAlignment="1" applyProtection="1">
      <alignment vertical="top"/>
    </xf>
    <xf numFmtId="0" fontId="56" fillId="0" borderId="0" xfId="0" applyNumberFormat="1" applyFont="1" applyFill="1" applyBorder="1" applyAlignment="1" applyProtection="1">
      <alignment vertical="top" wrapText="1" shrinkToFit="1"/>
    </xf>
    <xf numFmtId="0" fontId="55" fillId="0" borderId="0" xfId="0" applyFont="1" applyFill="1" applyBorder="1" applyAlignment="1" applyProtection="1">
      <alignment shrinkToFit="1"/>
    </xf>
    <xf numFmtId="0" fontId="55" fillId="0" borderId="0" xfId="0" applyNumberFormat="1" applyFont="1" applyFill="1" applyBorder="1" applyAlignment="1" applyProtection="1">
      <alignment vertical="top" wrapText="1" shrinkToFit="1"/>
    </xf>
    <xf numFmtId="0" fontId="2" fillId="0" borderId="11" xfId="0" applyFont="1" applyFill="1" applyBorder="1" applyAlignment="1">
      <alignment horizontal="center"/>
    </xf>
    <xf numFmtId="0" fontId="2" fillId="0" borderId="18" xfId="0" applyFont="1" applyFill="1" applyBorder="1" applyAlignment="1">
      <alignment horizontal="center" wrapText="1"/>
    </xf>
    <xf numFmtId="0" fontId="2" fillId="0" borderId="23" xfId="0" applyFont="1" applyFill="1" applyBorder="1" applyAlignment="1">
      <alignment horizontal="center" wrapText="1"/>
    </xf>
    <xf numFmtId="0" fontId="2" fillId="0" borderId="14" xfId="0" applyFont="1" applyFill="1" applyBorder="1" applyAlignment="1">
      <alignment horizontal="center"/>
    </xf>
    <xf numFmtId="0" fontId="2" fillId="0" borderId="20" xfId="0" applyFont="1" applyFill="1" applyBorder="1" applyAlignment="1">
      <alignment horizontal="center"/>
    </xf>
    <xf numFmtId="0" fontId="2" fillId="0" borderId="0" xfId="0" applyNumberFormat="1" applyFont="1" applyFill="1" applyBorder="1" applyAlignment="1">
      <alignment vertical="top" wrapText="1"/>
    </xf>
    <xf numFmtId="0" fontId="0" fillId="0" borderId="0" xfId="0" applyBorder="1" applyAlignment="1"/>
    <xf numFmtId="0" fontId="2" fillId="0" borderId="35" xfId="0" applyFont="1" applyFill="1" applyBorder="1" applyAlignment="1">
      <alignment vertical="top" wrapText="1"/>
    </xf>
    <xf numFmtId="0" fontId="2" fillId="0" borderId="0" xfId="0" applyFont="1" applyFill="1" applyBorder="1" applyAlignment="1">
      <alignment vertical="top" wrapText="1"/>
    </xf>
    <xf numFmtId="0" fontId="2" fillId="0" borderId="36" xfId="0" applyFont="1" applyFill="1" applyBorder="1" applyAlignment="1">
      <alignment vertical="top" wrapText="1"/>
    </xf>
    <xf numFmtId="0" fontId="2" fillId="0" borderId="75" xfId="0" applyFont="1" applyFill="1" applyBorder="1" applyAlignment="1">
      <alignment vertical="top" wrapText="1"/>
    </xf>
    <xf numFmtId="0" fontId="2" fillId="0" borderId="15" xfId="0" applyFont="1" applyFill="1" applyBorder="1" applyAlignment="1">
      <alignment vertical="top" wrapText="1"/>
    </xf>
    <xf numFmtId="0" fontId="2" fillId="0" borderId="67" xfId="0" applyFont="1" applyFill="1" applyBorder="1" applyAlignment="1">
      <alignment vertical="top" wrapText="1"/>
    </xf>
    <xf numFmtId="0" fontId="23" fillId="0" borderId="11" xfId="0" applyFont="1" applyFill="1" applyBorder="1" applyAlignment="1">
      <alignment horizontal="center"/>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cellXfs>
  <cellStyles count="10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1 - 20%" xfId="20"/>
    <cellStyle name="Accent1 - 40%" xfId="21"/>
    <cellStyle name="Accent1 - 60%" xfId="22"/>
    <cellStyle name="Accent2" xfId="23" builtinId="33" customBuiltin="1"/>
    <cellStyle name="Accent2 - 20%" xfId="24"/>
    <cellStyle name="Accent2 - 40%" xfId="25"/>
    <cellStyle name="Accent2 - 60%" xfId="26"/>
    <cellStyle name="Accent3" xfId="27" builtinId="37" customBuiltin="1"/>
    <cellStyle name="Accent3 - 20%" xfId="28"/>
    <cellStyle name="Accent3 - 40%" xfId="29"/>
    <cellStyle name="Accent3 - 60%" xfId="30"/>
    <cellStyle name="Accent4" xfId="31" builtinId="41" customBuiltin="1"/>
    <cellStyle name="Accent4 - 20%" xfId="32"/>
    <cellStyle name="Accent4 - 40%" xfId="33"/>
    <cellStyle name="Accent4 - 60%" xfId="34"/>
    <cellStyle name="Accent5" xfId="35" builtinId="45" customBuiltin="1"/>
    <cellStyle name="Accent5 - 20%" xfId="36"/>
    <cellStyle name="Accent5 - 40%" xfId="37"/>
    <cellStyle name="Accent5 - 60%" xfId="38"/>
    <cellStyle name="Accent6" xfId="39" builtinId="49" customBuiltin="1"/>
    <cellStyle name="Accent6 - 20%" xfId="40"/>
    <cellStyle name="Accent6 - 40%" xfId="41"/>
    <cellStyle name="Accent6 - 60%" xfId="42"/>
    <cellStyle name="Bad" xfId="43" builtinId="27" customBuiltin="1"/>
    <cellStyle name="Calculation" xfId="44" builtinId="22" customBuiltin="1"/>
    <cellStyle name="Check Cell" xfId="45" builtinId="23" customBuiltin="1"/>
    <cellStyle name="Comma" xfId="46" builtinId="3"/>
    <cellStyle name="Currency" xfId="47" builtinId="4"/>
    <cellStyle name="Emphasis 1" xfId="48"/>
    <cellStyle name="Emphasis 2" xfId="49"/>
    <cellStyle name="Emphasis 3" xfId="50"/>
    <cellStyle name="Explanatory Text" xfId="51" builtinId="53" customBuiltin="1"/>
    <cellStyle name="Good" xfId="52" builtinId="26" customBuiltin="1"/>
    <cellStyle name="Heading 1" xfId="53" builtinId="16" customBuiltin="1"/>
    <cellStyle name="Heading 2" xfId="54" builtinId="17" customBuiltin="1"/>
    <cellStyle name="Heading 3" xfId="55" builtinId="18" customBuiltin="1"/>
    <cellStyle name="Heading 4" xfId="56" builtinId="19" customBuiltin="1"/>
    <cellStyle name="Hyperlink" xfId="57" builtinId="8"/>
    <cellStyle name="Input" xfId="58" builtinId="20" customBuiltin="1"/>
    <cellStyle name="Linked Cell" xfId="59" builtinId="24" customBuiltin="1"/>
    <cellStyle name="Neutral" xfId="60" builtinId="28" customBuiltin="1"/>
    <cellStyle name="Normal" xfId="0" builtinId="0"/>
    <cellStyle name="Normal_Funding Shift Table Sample" xfId="61"/>
    <cellStyle name="Note" xfId="62" builtinId="10" customBuiltin="1"/>
    <cellStyle name="Output" xfId="63" builtinId="21" customBuiltin="1"/>
    <cellStyle name="SAPBEXaggData" xfId="64"/>
    <cellStyle name="SAPBEXaggDataEmph" xfId="65"/>
    <cellStyle name="SAPBEXaggItem" xfId="66"/>
    <cellStyle name="SAPBEXaggItemX" xfId="67"/>
    <cellStyle name="SAPBEXchaText" xfId="68"/>
    <cellStyle name="SAPBEXexcBad7" xfId="69"/>
    <cellStyle name="SAPBEXexcBad8" xfId="70"/>
    <cellStyle name="SAPBEXexcBad9" xfId="71"/>
    <cellStyle name="SAPBEXexcCritical4" xfId="72"/>
    <cellStyle name="SAPBEXexcCritical5" xfId="73"/>
    <cellStyle name="SAPBEXexcCritical6" xfId="74"/>
    <cellStyle name="SAPBEXexcGood1" xfId="75"/>
    <cellStyle name="SAPBEXexcGood2" xfId="76"/>
    <cellStyle name="SAPBEXexcGood3" xfId="77"/>
    <cellStyle name="SAPBEXfilterDrill" xfId="78"/>
    <cellStyle name="SAPBEXfilterItem" xfId="79"/>
    <cellStyle name="SAPBEXfilterText" xfId="80"/>
    <cellStyle name="SAPBEXformats" xfId="81"/>
    <cellStyle name="SAPBEXheaderItem" xfId="82"/>
    <cellStyle name="SAPBEXheaderText" xfId="83"/>
    <cellStyle name="SAPBEXHLevel0" xfId="84"/>
    <cellStyle name="SAPBEXHLevel0X" xfId="85"/>
    <cellStyle name="SAPBEXHLevel1" xfId="86"/>
    <cellStyle name="SAPBEXHLevel1X" xfId="87"/>
    <cellStyle name="SAPBEXHLevel2" xfId="88"/>
    <cellStyle name="SAPBEXHLevel2X" xfId="89"/>
    <cellStyle name="SAPBEXHLevel3" xfId="90"/>
    <cellStyle name="SAPBEXHLevel3X" xfId="91"/>
    <cellStyle name="SAPBEXinputData" xfId="92"/>
    <cellStyle name="SAPBEXresData" xfId="93"/>
    <cellStyle name="SAPBEXresDataEmph" xfId="94"/>
    <cellStyle name="SAPBEXresItem" xfId="95"/>
    <cellStyle name="SAPBEXresItemX" xfId="96"/>
    <cellStyle name="SAPBEXstdData" xfId="97"/>
    <cellStyle name="SAPBEXstdDataEmph" xfId="98"/>
    <cellStyle name="SAPBEXstdItem" xfId="99"/>
    <cellStyle name="SAPBEXstdItemX" xfId="100"/>
    <cellStyle name="SAPBEXtitle" xfId="101"/>
    <cellStyle name="SAPBEXundefined" xfId="102"/>
    <cellStyle name="Sheet Title" xfId="103"/>
    <cellStyle name="Title" xfId="104" builtinId="15" customBuiltin="1"/>
    <cellStyle name="Total" xfId="105" builtinId="25" customBuiltin="1"/>
    <cellStyle name="Warning Text" xfId="106" builtinId="11"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123825</xdr:rowOff>
    </xdr:from>
    <xdr:to>
      <xdr:col>3</xdr:col>
      <xdr:colOff>228600</xdr:colOff>
      <xdr:row>40</xdr:row>
      <xdr:rowOff>142875</xdr:rowOff>
    </xdr:to>
    <xdr:pic>
      <xdr:nvPicPr>
        <xdr:cNvPr id="7169" name="Picture 1" descr="pgenotag222_60"/>
        <xdr:cNvPicPr>
          <a:picLocks noChangeAspect="1" noChangeArrowheads="1"/>
        </xdr:cNvPicPr>
      </xdr:nvPicPr>
      <xdr:blipFill>
        <a:blip xmlns:r="http://schemas.openxmlformats.org/officeDocument/2006/relationships" r:embed="rId1" cstate="print"/>
        <a:srcRect/>
        <a:stretch>
          <a:fillRect/>
        </a:stretch>
      </xdr:blipFill>
      <xdr:spPr bwMode="auto">
        <a:xfrm>
          <a:off x="0" y="6248400"/>
          <a:ext cx="2057400" cy="533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3</xdr:col>
      <xdr:colOff>247650</xdr:colOff>
      <xdr:row>0</xdr:row>
      <xdr:rowOff>0</xdr:rowOff>
    </xdr:to>
    <xdr:pic>
      <xdr:nvPicPr>
        <xdr:cNvPr id="8193" name="Picture 1" descr="pgenotag222_60"/>
        <xdr:cNvPicPr>
          <a:picLocks noChangeAspect="1" noChangeArrowheads="1"/>
        </xdr:cNvPicPr>
      </xdr:nvPicPr>
      <xdr:blipFill>
        <a:blip xmlns:r="http://schemas.openxmlformats.org/officeDocument/2006/relationships" r:embed="rId1"/>
        <a:srcRect/>
        <a:stretch>
          <a:fillRect/>
        </a:stretch>
      </xdr:blipFill>
      <xdr:spPr bwMode="auto">
        <a:xfrm>
          <a:off x="19050" y="0"/>
          <a:ext cx="2057400"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4</xdr:row>
      <xdr:rowOff>9525</xdr:rowOff>
    </xdr:from>
    <xdr:to>
      <xdr:col>14</xdr:col>
      <xdr:colOff>0</xdr:colOff>
      <xdr:row>4</xdr:row>
      <xdr:rowOff>381000</xdr:rowOff>
    </xdr:to>
    <xdr:sp macro="" textlink="">
      <xdr:nvSpPr>
        <xdr:cNvPr id="6145" name="Text Box 1"/>
        <xdr:cNvSpPr txBox="1">
          <a:spLocks noChangeArrowheads="1"/>
        </xdr:cNvSpPr>
      </xdr:nvSpPr>
      <xdr:spPr bwMode="auto">
        <a:xfrm>
          <a:off x="4914900" y="600075"/>
          <a:ext cx="9182100"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2010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twoCellAnchor>
    <xdr:from>
      <xdr:col>2</xdr:col>
      <xdr:colOff>19050</xdr:colOff>
      <xdr:row>4</xdr:row>
      <xdr:rowOff>19050</xdr:rowOff>
    </xdr:from>
    <xdr:to>
      <xdr:col>14</xdr:col>
      <xdr:colOff>0</xdr:colOff>
      <xdr:row>4</xdr:row>
      <xdr:rowOff>381000</xdr:rowOff>
    </xdr:to>
    <xdr:sp macro="" textlink="">
      <xdr:nvSpPr>
        <xdr:cNvPr id="6153" name="Text Box 9"/>
        <xdr:cNvSpPr txBox="1">
          <a:spLocks noChangeArrowheads="1"/>
        </xdr:cNvSpPr>
      </xdr:nvSpPr>
      <xdr:spPr bwMode="auto">
        <a:xfrm>
          <a:off x="4667250" y="219075"/>
          <a:ext cx="8439150" cy="3619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2011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2.%20BUSINESS%20FINANCE%20WORK\01.%20Reporting\02.%20Program%20Reporting\02.%20Demand%20Response\2011\11.%20November\10-DR%20Budget%2006-08%20-%20November%2011%20YTD%20Actual%20C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t="str">
            <v/>
          </cell>
          <cell r="P33">
            <v>0</v>
          </cell>
        </row>
        <row r="34">
          <cell r="N34" t="str">
            <v/>
          </cell>
          <cell r="P34">
            <v>0</v>
          </cell>
        </row>
        <row r="35">
          <cell r="N35" t="str">
            <v/>
          </cell>
          <cell r="P35">
            <v>0</v>
          </cell>
        </row>
        <row r="36">
          <cell r="N36" t="str">
            <v/>
          </cell>
          <cell r="P36">
            <v>0</v>
          </cell>
        </row>
        <row r="37">
          <cell r="N37" t="str">
            <v/>
          </cell>
          <cell r="P37">
            <v>0</v>
          </cell>
        </row>
        <row r="38">
          <cell r="N38" t="str">
            <v/>
          </cell>
          <cell r="P38">
            <v>0</v>
          </cell>
        </row>
        <row r="39">
          <cell r="N39" t="str">
            <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t="str">
            <v/>
          </cell>
          <cell r="P46">
            <v>0</v>
          </cell>
        </row>
        <row r="47">
          <cell r="N47" t="str">
            <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t="str">
            <v/>
          </cell>
          <cell r="P79">
            <v>0</v>
          </cell>
        </row>
        <row r="80">
          <cell r="N80" t="str">
            <v>TRANSCONTINENTAL DIRECT USA IN</v>
          </cell>
          <cell r="P80">
            <v>165430</v>
          </cell>
        </row>
        <row r="81">
          <cell r="N81" t="str">
            <v>US POSTMASTER</v>
          </cell>
          <cell r="P81">
            <v>0</v>
          </cell>
        </row>
        <row r="82">
          <cell r="N82" t="str">
            <v/>
          </cell>
          <cell r="P82">
            <v>0</v>
          </cell>
        </row>
        <row r="83">
          <cell r="N83" t="str">
            <v/>
          </cell>
          <cell r="P83">
            <v>0</v>
          </cell>
        </row>
        <row r="84">
          <cell r="N84" t="str">
            <v/>
          </cell>
          <cell r="P84">
            <v>8</v>
          </cell>
        </row>
        <row r="85">
          <cell r="N85" t="str">
            <v/>
          </cell>
          <cell r="P85">
            <v>0</v>
          </cell>
        </row>
        <row r="86">
          <cell r="N86" t="str">
            <v/>
          </cell>
          <cell r="P86">
            <v>0</v>
          </cell>
        </row>
        <row r="87">
          <cell r="N87" t="str">
            <v/>
          </cell>
          <cell r="P87">
            <v>0</v>
          </cell>
        </row>
        <row r="88">
          <cell r="N88" t="str">
            <v/>
          </cell>
          <cell r="P88">
            <v>0</v>
          </cell>
        </row>
        <row r="89">
          <cell r="N89" t="str">
            <v/>
          </cell>
          <cell r="P89">
            <v>1</v>
          </cell>
        </row>
        <row r="90">
          <cell r="N90" t="str">
            <v/>
          </cell>
          <cell r="P90">
            <v>1</v>
          </cell>
        </row>
        <row r="91">
          <cell r="N91" t="str">
            <v/>
          </cell>
          <cell r="P91">
            <v>1</v>
          </cell>
        </row>
        <row r="92">
          <cell r="N92" t="str">
            <v/>
          </cell>
          <cell r="P92">
            <v>1</v>
          </cell>
        </row>
        <row r="93">
          <cell r="N93" t="str">
            <v/>
          </cell>
          <cell r="P93">
            <v>1</v>
          </cell>
        </row>
        <row r="94">
          <cell r="N94" t="str">
            <v/>
          </cell>
          <cell r="P94">
            <v>1</v>
          </cell>
        </row>
        <row r="95">
          <cell r="N95" t="str">
            <v/>
          </cell>
          <cell r="P95">
            <v>1</v>
          </cell>
        </row>
        <row r="96">
          <cell r="N96" t="str">
            <v/>
          </cell>
          <cell r="P96">
            <v>1</v>
          </cell>
        </row>
        <row r="97">
          <cell r="N97" t="str">
            <v/>
          </cell>
          <cell r="P97">
            <v>2</v>
          </cell>
        </row>
        <row r="98">
          <cell r="N98" t="str">
            <v/>
          </cell>
          <cell r="P98">
            <v>1</v>
          </cell>
        </row>
        <row r="99">
          <cell r="N99" t="str">
            <v/>
          </cell>
          <cell r="P99">
            <v>1</v>
          </cell>
        </row>
        <row r="100">
          <cell r="N100" t="str">
            <v/>
          </cell>
          <cell r="P100">
            <v>1</v>
          </cell>
        </row>
        <row r="101">
          <cell r="N101" t="str">
            <v/>
          </cell>
          <cell r="P101">
            <v>1</v>
          </cell>
        </row>
        <row r="102">
          <cell r="N102" t="str">
            <v/>
          </cell>
          <cell r="P102">
            <v>2442.12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DREBA-YTD_Pivot"/>
      <sheetName val="11-DREBA-Xpens-Det"/>
      <sheetName val="11-ACEBA-YTD_Pivot"/>
      <sheetName val="11-ACEBA-Xpens-Det"/>
      <sheetName val="11 Captl-Mtrs Pivot"/>
      <sheetName val="11 Capital Ord-Detail"/>
      <sheetName val="DR Lookup Exp"/>
      <sheetName val="DR Lookup Cap"/>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pge.com/mybusiness/energysavingsrebates/demandresponse/c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57"/>
  <sheetViews>
    <sheetView showGridLines="0" tabSelected="1" view="pageLayout" topLeftCell="A20" zoomScaleNormal="100" zoomScaleSheetLayoutView="115" workbookViewId="0">
      <selection activeCell="K40" sqref="K40"/>
    </sheetView>
  </sheetViews>
  <sheetFormatPr defaultRowHeight="12.75"/>
  <cols>
    <col min="1" max="10" width="9.140625" style="8"/>
    <col min="11" max="11" width="25.42578125" style="8" customWidth="1"/>
    <col min="12" max="16384" width="9.140625" style="8"/>
  </cols>
  <sheetData>
    <row r="1" spans="1:11">
      <c r="A1" s="111"/>
      <c r="B1" s="111"/>
      <c r="C1" s="111"/>
      <c r="D1" s="111"/>
      <c r="E1" s="111"/>
      <c r="F1" s="111"/>
      <c r="G1" s="111"/>
      <c r="H1" s="111"/>
      <c r="I1" s="111"/>
      <c r="J1" s="111"/>
      <c r="K1" s="111"/>
    </row>
    <row r="2" spans="1:11">
      <c r="A2" s="112"/>
      <c r="B2" s="112"/>
      <c r="C2" s="112"/>
      <c r="D2" s="112"/>
      <c r="E2" s="112"/>
      <c r="F2" s="112"/>
      <c r="G2" s="112"/>
      <c r="H2" s="112"/>
      <c r="I2" s="112"/>
      <c r="J2" s="112"/>
      <c r="K2" s="112"/>
    </row>
    <row r="3" spans="1:11">
      <c r="A3" s="112"/>
      <c r="B3" s="112"/>
      <c r="C3" s="112"/>
      <c r="D3" s="112"/>
      <c r="E3" s="112"/>
      <c r="F3" s="112"/>
      <c r="G3" s="112"/>
      <c r="H3" s="112"/>
      <c r="I3" s="112"/>
      <c r="J3" s="112"/>
      <c r="K3" s="112"/>
    </row>
    <row r="4" spans="1:11">
      <c r="A4" s="112"/>
      <c r="B4" s="112"/>
      <c r="C4" s="112"/>
      <c r="D4" s="112"/>
      <c r="E4" s="112"/>
      <c r="F4" s="112"/>
      <c r="G4" s="112"/>
      <c r="H4" s="112"/>
      <c r="I4" s="112"/>
      <c r="J4" s="112"/>
      <c r="K4" s="112"/>
    </row>
    <row r="5" spans="1:11">
      <c r="A5" s="112"/>
      <c r="B5" s="112"/>
      <c r="C5" s="112"/>
      <c r="D5" s="112"/>
      <c r="E5" s="112"/>
      <c r="F5" s="112"/>
      <c r="G5" s="112"/>
      <c r="H5" s="112"/>
      <c r="I5" s="112"/>
      <c r="J5" s="112"/>
      <c r="K5" s="112"/>
    </row>
    <row r="6" spans="1:11">
      <c r="A6" s="112"/>
      <c r="B6" s="112"/>
      <c r="C6" s="112"/>
      <c r="D6" s="112"/>
      <c r="E6" s="112"/>
      <c r="F6" s="112"/>
      <c r="G6" s="112"/>
      <c r="H6" s="112"/>
      <c r="I6" s="112"/>
      <c r="J6" s="112"/>
      <c r="K6" s="112"/>
    </row>
    <row r="7" spans="1:11">
      <c r="A7" s="112"/>
      <c r="B7" s="112"/>
      <c r="C7" s="112"/>
      <c r="D7" s="112"/>
      <c r="E7" s="112"/>
      <c r="F7" s="112"/>
      <c r="G7" s="112"/>
      <c r="H7" s="112"/>
      <c r="I7" s="112"/>
      <c r="J7" s="112"/>
      <c r="K7" s="112"/>
    </row>
    <row r="8" spans="1:11">
      <c r="A8" s="112"/>
      <c r="B8" s="112"/>
      <c r="C8" s="112"/>
      <c r="D8" s="112"/>
      <c r="E8" s="112"/>
      <c r="F8" s="112"/>
      <c r="G8" s="112"/>
      <c r="H8" s="112"/>
      <c r="I8" s="112"/>
      <c r="J8" s="112"/>
      <c r="K8" s="112"/>
    </row>
    <row r="9" spans="1:11">
      <c r="A9" s="112"/>
      <c r="B9" s="112"/>
      <c r="C9" s="112"/>
      <c r="D9" s="112"/>
      <c r="E9" s="112"/>
      <c r="F9" s="112"/>
      <c r="G9" s="112"/>
      <c r="H9" s="112"/>
      <c r="I9" s="112"/>
      <c r="J9" s="112"/>
      <c r="K9" s="112"/>
    </row>
    <row r="10" spans="1:11">
      <c r="A10" s="112"/>
      <c r="B10" s="112"/>
      <c r="C10" s="112"/>
      <c r="D10" s="112"/>
      <c r="E10" s="112"/>
      <c r="F10" s="112"/>
      <c r="G10" s="112"/>
      <c r="H10" s="112"/>
      <c r="I10" s="112"/>
      <c r="J10" s="112"/>
      <c r="K10" s="112"/>
    </row>
    <row r="11" spans="1:11">
      <c r="A11" s="112"/>
      <c r="B11" s="112"/>
      <c r="C11" s="112"/>
      <c r="D11" s="112"/>
      <c r="E11" s="112"/>
      <c r="F11" s="112"/>
      <c r="G11" s="112"/>
      <c r="H11" s="112"/>
      <c r="I11" s="112"/>
      <c r="J11" s="112"/>
      <c r="K11" s="112"/>
    </row>
    <row r="12" spans="1:11">
      <c r="A12" s="112"/>
      <c r="B12" s="112"/>
      <c r="C12" s="112"/>
      <c r="D12" s="112"/>
      <c r="E12" s="112"/>
      <c r="F12" s="112"/>
      <c r="G12" s="112"/>
      <c r="H12" s="112"/>
      <c r="I12" s="112"/>
      <c r="J12" s="112"/>
      <c r="K12" s="112"/>
    </row>
    <row r="13" spans="1:11">
      <c r="A13" s="112"/>
      <c r="B13" s="112"/>
      <c r="C13" s="112"/>
      <c r="D13" s="112"/>
      <c r="E13" s="112"/>
      <c r="F13" s="112"/>
      <c r="G13" s="112"/>
      <c r="H13" s="112"/>
      <c r="I13" s="112"/>
      <c r="J13" s="112"/>
      <c r="K13" s="112"/>
    </row>
    <row r="14" spans="1:11">
      <c r="A14" s="112"/>
      <c r="B14" s="112"/>
      <c r="C14" s="112"/>
      <c r="D14" s="112"/>
      <c r="E14" s="112"/>
      <c r="F14" s="112"/>
      <c r="G14" s="112"/>
      <c r="H14" s="112"/>
      <c r="I14" s="112"/>
      <c r="J14" s="112"/>
      <c r="K14" s="112"/>
    </row>
    <row r="15" spans="1:11">
      <c r="A15" s="112"/>
      <c r="B15" s="112"/>
      <c r="C15" s="112"/>
      <c r="D15" s="112"/>
      <c r="E15" s="112"/>
      <c r="F15" s="112"/>
      <c r="G15" s="112"/>
      <c r="H15" s="112"/>
      <c r="I15" s="112"/>
      <c r="J15" s="112"/>
      <c r="K15" s="112"/>
    </row>
    <row r="16" spans="1:11">
      <c r="A16" s="112"/>
      <c r="B16" s="112"/>
      <c r="C16" s="112"/>
      <c r="D16" s="112"/>
      <c r="E16" s="112"/>
      <c r="F16" s="112"/>
      <c r="G16" s="112"/>
      <c r="H16" s="112"/>
      <c r="I16" s="112"/>
      <c r="J16" s="112"/>
      <c r="K16" s="112"/>
    </row>
    <row r="17" spans="1:11">
      <c r="A17" s="112"/>
      <c r="B17" s="112"/>
      <c r="C17" s="112"/>
      <c r="D17" s="112"/>
      <c r="E17" s="112"/>
      <c r="F17" s="112"/>
      <c r="G17" s="112"/>
      <c r="H17" s="112"/>
      <c r="I17" s="112"/>
      <c r="J17" s="112"/>
      <c r="K17" s="112"/>
    </row>
    <row r="18" spans="1:11">
      <c r="A18" s="112"/>
      <c r="B18" s="112"/>
      <c r="C18" s="112"/>
      <c r="D18" s="112"/>
      <c r="E18" s="112"/>
      <c r="F18" s="112"/>
      <c r="G18" s="112"/>
      <c r="H18" s="112"/>
      <c r="I18" s="112"/>
      <c r="J18" s="112"/>
      <c r="K18" s="112"/>
    </row>
    <row r="19" spans="1:11">
      <c r="A19" s="112"/>
      <c r="B19" s="112"/>
      <c r="C19" s="112"/>
      <c r="D19" s="112"/>
      <c r="E19" s="112"/>
      <c r="F19" s="112"/>
      <c r="G19" s="112"/>
      <c r="H19" s="112"/>
      <c r="I19" s="112"/>
      <c r="J19" s="112"/>
      <c r="K19" s="112"/>
    </row>
    <row r="20" spans="1:11" ht="18">
      <c r="A20" s="112"/>
      <c r="B20" s="112"/>
      <c r="C20" s="112"/>
      <c r="D20" s="112"/>
      <c r="E20" s="112"/>
      <c r="F20" s="112"/>
      <c r="G20" s="112"/>
      <c r="H20" s="112"/>
      <c r="I20" s="112"/>
      <c r="J20" s="112"/>
      <c r="K20" s="113" t="s">
        <v>150</v>
      </c>
    </row>
    <row r="21" spans="1:11" ht="18">
      <c r="A21" s="112"/>
      <c r="B21" s="112"/>
      <c r="C21" s="112"/>
      <c r="D21" s="112"/>
      <c r="E21" s="112"/>
      <c r="F21" s="112"/>
      <c r="G21" s="112"/>
      <c r="H21" s="112"/>
      <c r="I21" s="112"/>
      <c r="J21" s="112"/>
      <c r="K21" s="113" t="s">
        <v>205</v>
      </c>
    </row>
    <row r="22" spans="1:11">
      <c r="A22" s="112"/>
      <c r="B22" s="112"/>
      <c r="C22" s="112"/>
      <c r="D22" s="112"/>
      <c r="E22" s="112"/>
      <c r="F22" s="112"/>
      <c r="G22" s="112"/>
      <c r="H22" s="112"/>
      <c r="I22" s="112"/>
      <c r="J22" s="112"/>
      <c r="K22" s="112"/>
    </row>
    <row r="23" spans="1:11">
      <c r="A23" s="112"/>
      <c r="B23" s="112"/>
      <c r="C23" s="112"/>
      <c r="D23" s="112"/>
      <c r="E23" s="112"/>
      <c r="F23" s="112"/>
      <c r="G23" s="112"/>
      <c r="H23" s="112"/>
      <c r="I23" s="112"/>
      <c r="J23" s="112"/>
      <c r="K23" s="112"/>
    </row>
    <row r="24" spans="1:11">
      <c r="A24" s="112"/>
      <c r="B24" s="112"/>
      <c r="C24" s="112"/>
      <c r="D24" s="112"/>
      <c r="E24" s="112"/>
      <c r="F24" s="112"/>
      <c r="G24" s="112"/>
      <c r="H24" s="112"/>
      <c r="I24" s="112"/>
      <c r="J24" s="112"/>
      <c r="K24" s="112"/>
    </row>
    <row r="25" spans="1:11">
      <c r="A25" s="112"/>
      <c r="B25" s="112"/>
      <c r="C25" s="112"/>
      <c r="D25" s="112"/>
      <c r="E25" s="112"/>
      <c r="F25" s="112"/>
      <c r="G25" s="112"/>
      <c r="H25" s="112"/>
      <c r="I25" s="112"/>
      <c r="J25" s="112"/>
      <c r="K25" s="112"/>
    </row>
    <row r="26" spans="1:11">
      <c r="A26" s="112"/>
      <c r="B26" s="112"/>
      <c r="C26" s="112"/>
      <c r="D26" s="112"/>
      <c r="E26" s="112"/>
      <c r="F26" s="112"/>
      <c r="G26" s="112"/>
      <c r="H26" s="112"/>
      <c r="I26" s="112"/>
      <c r="J26" s="112"/>
      <c r="K26" s="112"/>
    </row>
    <row r="27" spans="1:11">
      <c r="A27" s="112"/>
      <c r="B27" s="112"/>
      <c r="C27" s="112"/>
      <c r="D27" s="112"/>
      <c r="E27" s="112"/>
      <c r="F27" s="112"/>
      <c r="G27" s="112"/>
      <c r="H27" s="112"/>
      <c r="I27" s="112"/>
      <c r="J27" s="112"/>
      <c r="K27" s="112"/>
    </row>
    <row r="28" spans="1:11">
      <c r="A28" s="112"/>
      <c r="B28" s="112"/>
      <c r="C28" s="112"/>
      <c r="D28" s="112"/>
      <c r="E28" s="112"/>
      <c r="F28" s="112"/>
      <c r="G28" s="112"/>
      <c r="H28" s="112"/>
      <c r="I28" s="112"/>
      <c r="J28" s="112"/>
      <c r="K28" s="112"/>
    </row>
    <row r="29" spans="1:11">
      <c r="A29" s="112"/>
      <c r="B29" s="112"/>
      <c r="C29" s="112"/>
      <c r="D29" s="112"/>
      <c r="E29" s="112"/>
      <c r="F29" s="112"/>
      <c r="G29" s="112"/>
      <c r="H29" s="112"/>
      <c r="I29" s="112"/>
      <c r="J29" s="112"/>
      <c r="K29" s="112"/>
    </row>
    <row r="30" spans="1:11">
      <c r="A30" s="112"/>
      <c r="B30" s="112"/>
      <c r="C30" s="112"/>
      <c r="D30" s="112"/>
      <c r="E30" s="112"/>
      <c r="F30" s="112"/>
      <c r="G30" s="112"/>
      <c r="H30" s="112"/>
      <c r="I30" s="112"/>
      <c r="J30" s="112"/>
      <c r="K30" s="112"/>
    </row>
    <row r="31" spans="1:11">
      <c r="A31" s="112"/>
      <c r="B31" s="112"/>
      <c r="C31" s="112"/>
      <c r="D31" s="112"/>
      <c r="E31" s="112"/>
      <c r="F31" s="112"/>
      <c r="G31" s="112"/>
      <c r="H31" s="112"/>
      <c r="I31" s="112"/>
      <c r="J31" s="112"/>
      <c r="K31" s="112"/>
    </row>
    <row r="32" spans="1:11">
      <c r="A32" s="112"/>
      <c r="B32" s="112"/>
      <c r="C32" s="112"/>
      <c r="D32" s="112"/>
      <c r="E32" s="112"/>
      <c r="F32" s="112"/>
      <c r="G32" s="112"/>
      <c r="H32" s="112"/>
      <c r="I32" s="112"/>
      <c r="J32" s="112"/>
      <c r="K32" s="112"/>
    </row>
    <row r="33" spans="1:11">
      <c r="A33" s="112"/>
      <c r="B33" s="112"/>
      <c r="C33" s="112"/>
      <c r="D33" s="112"/>
      <c r="E33" s="112"/>
      <c r="F33" s="112"/>
      <c r="G33" s="112"/>
      <c r="H33" s="112"/>
      <c r="I33" s="112"/>
      <c r="J33" s="112"/>
      <c r="K33" s="112"/>
    </row>
    <row r="34" spans="1:11">
      <c r="A34" s="112"/>
      <c r="B34" s="112"/>
      <c r="C34" s="112"/>
      <c r="D34" s="112"/>
      <c r="E34" s="112"/>
      <c r="F34" s="112"/>
      <c r="G34" s="112"/>
      <c r="H34" s="112"/>
      <c r="I34" s="112"/>
      <c r="J34" s="112"/>
      <c r="K34" s="112"/>
    </row>
    <row r="35" spans="1:11">
      <c r="A35" s="112"/>
      <c r="B35" s="112"/>
      <c r="C35" s="112"/>
      <c r="D35" s="112"/>
      <c r="E35" s="112"/>
      <c r="F35" s="112"/>
      <c r="G35" s="112"/>
      <c r="H35" s="112"/>
      <c r="I35" s="112"/>
      <c r="J35" s="112"/>
      <c r="K35" s="112"/>
    </row>
    <row r="36" spans="1:11">
      <c r="A36" s="112"/>
      <c r="B36" s="112"/>
      <c r="C36" s="112"/>
      <c r="D36" s="112"/>
      <c r="E36" s="112"/>
      <c r="F36" s="112"/>
      <c r="G36" s="112"/>
      <c r="H36" s="112"/>
      <c r="I36" s="112"/>
      <c r="J36" s="112"/>
      <c r="K36" s="112"/>
    </row>
    <row r="37" spans="1:11">
      <c r="A37" s="112"/>
      <c r="B37" s="112"/>
      <c r="C37" s="112"/>
      <c r="D37" s="112"/>
      <c r="E37" s="112"/>
      <c r="F37" s="112"/>
      <c r="G37" s="112"/>
      <c r="H37" s="112"/>
      <c r="I37" s="112"/>
      <c r="J37" s="112"/>
      <c r="K37" s="112"/>
    </row>
    <row r="38" spans="1:11">
      <c r="A38" s="112"/>
      <c r="B38" s="112"/>
      <c r="C38" s="112"/>
      <c r="D38" s="112"/>
      <c r="E38" s="112"/>
      <c r="F38" s="112"/>
      <c r="G38" s="112"/>
      <c r="H38" s="112"/>
      <c r="I38" s="112"/>
      <c r="J38" s="112"/>
      <c r="K38" s="112"/>
    </row>
    <row r="39" spans="1:11">
      <c r="A39" s="112"/>
      <c r="B39" s="112"/>
      <c r="C39" s="112"/>
      <c r="D39" s="112"/>
      <c r="E39" s="112"/>
      <c r="F39" s="112"/>
      <c r="G39" s="112"/>
      <c r="H39" s="112"/>
      <c r="I39" s="112"/>
      <c r="J39" s="112"/>
      <c r="K39" s="286"/>
    </row>
    <row r="40" spans="1:11" ht="15">
      <c r="A40" s="112"/>
      <c r="B40" s="112"/>
      <c r="C40" s="112"/>
      <c r="D40" s="112"/>
      <c r="E40" s="112"/>
      <c r="F40" s="112"/>
      <c r="G40" s="112"/>
      <c r="H40" s="112"/>
      <c r="I40" s="112"/>
      <c r="J40" s="112"/>
      <c r="K40" s="502">
        <v>40897</v>
      </c>
    </row>
    <row r="41" spans="1:11">
      <c r="A41" s="344"/>
      <c r="B41" s="344"/>
      <c r="C41" s="344"/>
      <c r="D41" s="344"/>
      <c r="E41" s="344"/>
      <c r="F41" s="344"/>
      <c r="G41" s="344"/>
      <c r="H41" s="344"/>
      <c r="I41" s="344"/>
      <c r="J41" s="344"/>
      <c r="K41" s="344"/>
    </row>
    <row r="42" spans="1:11">
      <c r="A42" s="112"/>
      <c r="B42" s="112"/>
      <c r="C42" s="112"/>
      <c r="D42" s="112"/>
      <c r="E42" s="112"/>
      <c r="F42" s="112"/>
      <c r="G42" s="112"/>
      <c r="H42" s="112"/>
      <c r="I42" s="112"/>
      <c r="J42" s="112"/>
      <c r="K42" s="112"/>
    </row>
    <row r="43" spans="1:11">
      <c r="A43" s="112"/>
      <c r="B43" s="112"/>
      <c r="C43" s="112"/>
      <c r="D43" s="112"/>
      <c r="E43" s="112"/>
      <c r="F43" s="112"/>
      <c r="G43" s="112"/>
      <c r="H43" s="112"/>
      <c r="I43" s="112"/>
      <c r="J43" s="112"/>
      <c r="K43" s="112"/>
    </row>
    <row r="44" spans="1:11">
      <c r="A44" s="112"/>
      <c r="B44" s="112"/>
      <c r="C44" s="112"/>
      <c r="D44" s="112"/>
      <c r="E44" s="112"/>
      <c r="F44" s="112"/>
      <c r="G44" s="112"/>
      <c r="H44" s="112"/>
      <c r="I44" s="112"/>
      <c r="J44" s="112"/>
      <c r="K44" s="112"/>
    </row>
    <row r="45" spans="1:11">
      <c r="A45" s="112"/>
      <c r="B45" s="112"/>
      <c r="C45" s="112"/>
      <c r="D45" s="112"/>
      <c r="E45" s="112"/>
      <c r="F45" s="112"/>
      <c r="G45" s="112"/>
      <c r="H45" s="112"/>
      <c r="I45" s="112"/>
      <c r="J45" s="112"/>
      <c r="K45" s="112"/>
    </row>
    <row r="46" spans="1:11">
      <c r="A46" s="112"/>
      <c r="B46" s="112"/>
      <c r="C46" s="112"/>
      <c r="D46" s="112"/>
      <c r="E46" s="112"/>
      <c r="F46" s="112"/>
      <c r="G46" s="112"/>
      <c r="H46" s="112"/>
      <c r="I46" s="112"/>
      <c r="J46" s="112"/>
      <c r="K46" s="112"/>
    </row>
    <row r="47" spans="1:11">
      <c r="A47" s="112"/>
      <c r="B47" s="112"/>
      <c r="C47" s="112"/>
      <c r="D47" s="112"/>
      <c r="E47" s="112"/>
      <c r="F47" s="112"/>
      <c r="G47" s="112"/>
      <c r="H47" s="112"/>
      <c r="I47" s="112"/>
      <c r="J47" s="112"/>
      <c r="K47" s="112"/>
    </row>
    <row r="48" spans="1:11">
      <c r="A48" s="112"/>
      <c r="B48" s="112"/>
      <c r="C48" s="112"/>
      <c r="D48" s="112"/>
      <c r="E48" s="112"/>
      <c r="F48" s="112"/>
      <c r="G48" s="112"/>
      <c r="H48" s="112"/>
      <c r="I48" s="112"/>
      <c r="J48" s="112"/>
      <c r="K48" s="112"/>
    </row>
    <row r="49" spans="1:11">
      <c r="A49" s="112"/>
      <c r="B49" s="112"/>
      <c r="C49" s="112"/>
      <c r="D49" s="112"/>
      <c r="E49" s="112"/>
      <c r="F49" s="112"/>
      <c r="G49" s="112"/>
      <c r="H49" s="112"/>
      <c r="I49" s="112"/>
      <c r="J49" s="112"/>
      <c r="K49" s="112"/>
    </row>
    <row r="50" spans="1:11">
      <c r="A50" s="112"/>
      <c r="B50" s="112"/>
      <c r="C50" s="112"/>
      <c r="D50" s="112"/>
      <c r="E50" s="112"/>
      <c r="F50" s="112"/>
      <c r="G50" s="112"/>
      <c r="H50" s="112"/>
      <c r="I50" s="112"/>
      <c r="J50" s="112"/>
      <c r="K50" s="112"/>
    </row>
    <row r="51" spans="1:11">
      <c r="A51" s="112"/>
      <c r="B51" s="112"/>
      <c r="C51" s="112"/>
      <c r="D51" s="112"/>
      <c r="E51" s="112"/>
      <c r="F51" s="112"/>
      <c r="G51" s="112"/>
      <c r="H51" s="112"/>
      <c r="I51" s="112"/>
      <c r="J51" s="112"/>
      <c r="K51" s="112"/>
    </row>
    <row r="52" spans="1:11">
      <c r="A52" s="112"/>
      <c r="B52" s="112"/>
      <c r="C52" s="112"/>
      <c r="D52" s="112"/>
      <c r="E52" s="112"/>
      <c r="F52" s="112"/>
      <c r="G52" s="112"/>
      <c r="H52" s="112"/>
      <c r="I52" s="112"/>
      <c r="J52" s="112"/>
      <c r="K52" s="112"/>
    </row>
    <row r="53" spans="1:11">
      <c r="A53" s="112"/>
      <c r="B53" s="112"/>
      <c r="C53" s="112"/>
      <c r="D53" s="112"/>
      <c r="E53" s="112"/>
      <c r="F53" s="112"/>
      <c r="G53" s="112"/>
      <c r="H53" s="112"/>
      <c r="I53" s="112"/>
      <c r="J53" s="112"/>
      <c r="K53" s="112"/>
    </row>
    <row r="54" spans="1:11">
      <c r="A54" s="112"/>
      <c r="B54" s="112"/>
      <c r="C54" s="112"/>
      <c r="D54" s="112"/>
      <c r="E54" s="112"/>
      <c r="F54" s="112"/>
      <c r="G54" s="112"/>
      <c r="H54" s="112"/>
      <c r="I54" s="112"/>
      <c r="J54" s="112"/>
      <c r="K54" s="112"/>
    </row>
    <row r="55" spans="1:11">
      <c r="A55" s="112"/>
      <c r="B55" s="112"/>
      <c r="C55" s="112"/>
      <c r="D55" s="112"/>
      <c r="E55" s="112"/>
      <c r="F55" s="112"/>
      <c r="G55" s="112"/>
      <c r="H55" s="112"/>
      <c r="I55" s="112"/>
      <c r="J55" s="112"/>
      <c r="K55" s="112"/>
    </row>
    <row r="56" spans="1:11">
      <c r="A56" s="112"/>
      <c r="B56" s="112"/>
      <c r="C56" s="112"/>
      <c r="D56" s="112"/>
      <c r="E56" s="112"/>
      <c r="F56" s="112"/>
      <c r="G56" s="112"/>
      <c r="H56" s="112"/>
      <c r="I56" s="112"/>
      <c r="J56" s="112"/>
      <c r="K56" s="112"/>
    </row>
    <row r="57" spans="1:11">
      <c r="A57" s="112"/>
      <c r="B57" s="112"/>
      <c r="C57" s="112"/>
      <c r="D57" s="112"/>
      <c r="E57" s="112"/>
      <c r="F57" s="112"/>
      <c r="G57" s="112"/>
      <c r="H57" s="112"/>
      <c r="I57" s="112"/>
      <c r="J57" s="112"/>
      <c r="K57" s="112"/>
    </row>
  </sheetData>
  <sheetProtection password="C511" sheet="1" objects="1" scenarios="1"/>
  <phoneticPr fontId="31" type="noConversion"/>
  <printOptions horizontalCentered="1"/>
  <pageMargins left="0" right="0" top="0.93854166666666705" bottom="0.25" header="0.13" footer="0.1"/>
  <pageSetup scale="85" orientation="landscape" cellComments="atEnd" r:id="rId1"/>
  <headerFooter differentFirst="1" alignWithMargins="0">
    <oddFooter>&amp;L&amp;F&amp;R&amp;A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19"/>
  <sheetViews>
    <sheetView tabSelected="1" view="pageLayout" topLeftCell="C1" zoomScaleNormal="75" zoomScaleSheetLayoutView="100" workbookViewId="0">
      <selection activeCell="K40" sqref="K40"/>
    </sheetView>
  </sheetViews>
  <sheetFormatPr defaultRowHeight="17.25" customHeight="1"/>
  <cols>
    <col min="1" max="1" width="34" style="528" customWidth="1"/>
    <col min="2" max="2" width="18.85546875" style="528" customWidth="1"/>
    <col min="3" max="4" width="10.7109375" style="528" customWidth="1"/>
    <col min="5" max="5" width="11" style="528" customWidth="1"/>
    <col min="6" max="9" width="10.7109375" style="528" customWidth="1"/>
    <col min="10" max="10" width="11.140625" style="528" customWidth="1"/>
    <col min="11" max="11" width="13.7109375" style="528" customWidth="1"/>
    <col min="12" max="14" width="12.28515625" style="528" customWidth="1"/>
    <col min="15" max="15" width="14" style="528" customWidth="1"/>
    <col min="16" max="16384" width="9.140625" style="528"/>
  </cols>
  <sheetData>
    <row r="1" spans="1:16" ht="85.5" customHeight="1" thickBot="1">
      <c r="A1" s="643" t="s">
        <v>13</v>
      </c>
      <c r="B1" s="644"/>
      <c r="C1" s="644"/>
      <c r="D1" s="644"/>
      <c r="E1" s="644"/>
      <c r="F1" s="644"/>
      <c r="G1" s="644"/>
      <c r="H1" s="644"/>
      <c r="I1" s="644"/>
      <c r="J1" s="644"/>
      <c r="K1" s="644"/>
      <c r="L1" s="644"/>
      <c r="M1" s="644"/>
      <c r="N1" s="644"/>
      <c r="O1" s="644"/>
    </row>
    <row r="2" spans="1:16" ht="30" customHeight="1">
      <c r="A2" s="114" t="s">
        <v>101</v>
      </c>
      <c r="B2" s="115"/>
      <c r="C2" s="116" t="s">
        <v>0</v>
      </c>
      <c r="D2" s="116" t="s">
        <v>1</v>
      </c>
      <c r="E2" s="116" t="s">
        <v>2</v>
      </c>
      <c r="F2" s="116" t="s">
        <v>3</v>
      </c>
      <c r="G2" s="116" t="s">
        <v>4</v>
      </c>
      <c r="H2" s="116" t="s">
        <v>5</v>
      </c>
      <c r="I2" s="116" t="s">
        <v>6</v>
      </c>
      <c r="J2" s="116" t="s">
        <v>7</v>
      </c>
      <c r="K2" s="116" t="s">
        <v>8</v>
      </c>
      <c r="L2" s="116" t="s">
        <v>9</v>
      </c>
      <c r="M2" s="116" t="s">
        <v>10</v>
      </c>
      <c r="N2" s="116" t="s">
        <v>11</v>
      </c>
      <c r="O2" s="117" t="s">
        <v>102</v>
      </c>
    </row>
    <row r="3" spans="1:16" s="25" customFormat="1" ht="19.5" customHeight="1">
      <c r="A3" s="484" t="s">
        <v>200</v>
      </c>
      <c r="B3" s="23" t="s">
        <v>103</v>
      </c>
      <c r="C3" s="24">
        <v>558362.21999999986</v>
      </c>
      <c r="D3" s="238">
        <v>806698.05999999982</v>
      </c>
      <c r="E3" s="239">
        <v>1671249.5999999999</v>
      </c>
      <c r="F3" s="240">
        <v>1000003</v>
      </c>
      <c r="G3" s="24">
        <v>1081699.1800000002</v>
      </c>
      <c r="H3" s="24">
        <v>1412412.2599999998</v>
      </c>
      <c r="I3" s="24">
        <v>1503179.8299999996</v>
      </c>
      <c r="J3" s="24">
        <v>2174467.13</v>
      </c>
      <c r="K3" s="24">
        <v>2372741.5100000002</v>
      </c>
      <c r="L3" s="24">
        <v>2572645.96</v>
      </c>
      <c r="M3" s="24">
        <v>1028163.1599999999</v>
      </c>
      <c r="N3" s="24"/>
      <c r="O3" s="426">
        <f>SUM(C3:N3)</f>
        <v>16181621.91</v>
      </c>
      <c r="P3" s="530"/>
    </row>
    <row r="4" spans="1:16" s="25" customFormat="1" ht="17.25" customHeight="1">
      <c r="A4" s="118"/>
      <c r="C4" s="26"/>
      <c r="D4" s="26"/>
      <c r="E4" s="26"/>
      <c r="F4" s="26"/>
      <c r="G4" s="26"/>
      <c r="H4" s="26"/>
      <c r="I4" s="26"/>
      <c r="J4" s="26"/>
      <c r="K4" s="26"/>
      <c r="L4" s="26"/>
      <c r="M4" s="26"/>
      <c r="N4" s="26"/>
      <c r="O4" s="119"/>
    </row>
    <row r="5" spans="1:16" s="25" customFormat="1" ht="17.25" customHeight="1">
      <c r="A5" s="118"/>
      <c r="C5" s="26"/>
      <c r="D5" s="26"/>
      <c r="E5" s="26"/>
      <c r="F5" s="26"/>
      <c r="G5" s="26"/>
      <c r="H5" s="26"/>
      <c r="I5" s="26"/>
      <c r="J5" s="26"/>
      <c r="K5" s="26"/>
      <c r="L5" s="26"/>
      <c r="M5" s="26"/>
      <c r="N5" s="26"/>
      <c r="O5" s="119"/>
    </row>
    <row r="6" spans="1:16" s="25" customFormat="1" ht="17.25" hidden="1" customHeight="1">
      <c r="A6" s="118"/>
      <c r="C6" s="26"/>
      <c r="D6" s="26"/>
      <c r="E6" s="26"/>
      <c r="F6" s="26"/>
      <c r="G6" s="26"/>
      <c r="H6" s="26"/>
      <c r="I6" s="26"/>
      <c r="J6" s="26"/>
      <c r="K6" s="26"/>
      <c r="L6" s="26"/>
      <c r="M6" s="26"/>
      <c r="N6" s="26"/>
      <c r="O6" s="120"/>
    </row>
    <row r="7" spans="1:16" ht="25.5" customHeight="1">
      <c r="A7" s="121" t="s">
        <v>106</v>
      </c>
      <c r="B7" s="6"/>
      <c r="C7" s="28" t="s">
        <v>0</v>
      </c>
      <c r="D7" s="28" t="s">
        <v>1</v>
      </c>
      <c r="E7" s="28" t="s">
        <v>2</v>
      </c>
      <c r="F7" s="28" t="s">
        <v>3</v>
      </c>
      <c r="G7" s="28" t="s">
        <v>4</v>
      </c>
      <c r="H7" s="28" t="s">
        <v>5</v>
      </c>
      <c r="I7" s="28" t="s">
        <v>6</v>
      </c>
      <c r="J7" s="28" t="s">
        <v>7</v>
      </c>
      <c r="K7" s="28" t="s">
        <v>8</v>
      </c>
      <c r="L7" s="28" t="s">
        <v>9</v>
      </c>
      <c r="M7" s="28" t="s">
        <v>10</v>
      </c>
      <c r="N7" s="28" t="s">
        <v>11</v>
      </c>
      <c r="O7" s="122" t="s">
        <v>104</v>
      </c>
    </row>
    <row r="8" spans="1:16" ht="17.25" customHeight="1">
      <c r="A8" s="484" t="s">
        <v>200</v>
      </c>
      <c r="B8" s="6">
        <v>8084776</v>
      </c>
      <c r="C8" s="24">
        <f>'[2]11-ACEBA-YTD_Pivot'!D25</f>
        <v>0</v>
      </c>
      <c r="D8" s="24">
        <f>'[2]11-ACEBA-YTD_Pivot'!E25</f>
        <v>0</v>
      </c>
      <c r="E8" s="24">
        <f>'[2]11-ACEBA-YTD_Pivot'!F25</f>
        <v>0</v>
      </c>
      <c r="F8" s="24">
        <f>'[2]11-ACEBA-YTD_Pivot'!G25</f>
        <v>0</v>
      </c>
      <c r="G8" s="24">
        <f>'[2]11-ACEBA-YTD_Pivot'!H25</f>
        <v>0</v>
      </c>
      <c r="H8" s="24">
        <f>'[2]11-ACEBA-YTD_Pivot'!I25</f>
        <v>0</v>
      </c>
      <c r="I8" s="24">
        <f>'[2]11-ACEBA-YTD_Pivot'!J25</f>
        <v>0</v>
      </c>
      <c r="J8" s="24">
        <f>'[2]11-ACEBA-YTD_Pivot'!K25</f>
        <v>0</v>
      </c>
      <c r="K8" s="24">
        <f>'[2]11-ACEBA-YTD_Pivot'!L25</f>
        <v>0</v>
      </c>
      <c r="L8" s="24">
        <f>'[2]11-ACEBA-YTD_Pivot'!M25</f>
        <v>0</v>
      </c>
      <c r="M8" s="24">
        <f>'[2]11-ACEBA-YTD_Pivot'!N25</f>
        <v>0</v>
      </c>
      <c r="N8" s="27"/>
      <c r="O8" s="427">
        <f>SUM(C8:N8)</f>
        <v>0</v>
      </c>
    </row>
    <row r="9" spans="1:16" ht="17.25" customHeight="1">
      <c r="A9" s="121"/>
      <c r="B9" s="6"/>
      <c r="C9" s="27"/>
      <c r="D9" s="27"/>
      <c r="E9" s="27"/>
      <c r="F9" s="27"/>
      <c r="G9" s="27"/>
      <c r="H9" s="27"/>
      <c r="I9" s="27"/>
      <c r="J9" s="27"/>
      <c r="K9" s="27"/>
      <c r="L9" s="27"/>
      <c r="M9" s="27"/>
      <c r="N9" s="27"/>
      <c r="O9" s="427"/>
    </row>
    <row r="10" spans="1:16" ht="17.25" customHeight="1" thickBot="1">
      <c r="A10" s="123" t="s">
        <v>105</v>
      </c>
      <c r="B10" s="124"/>
      <c r="C10" s="125">
        <f>SUM(C3:C8)</f>
        <v>558362.21999999986</v>
      </c>
      <c r="D10" s="125">
        <f t="shared" ref="D10:J10" si="0">SUM(D3:D8)</f>
        <v>806698.05999999982</v>
      </c>
      <c r="E10" s="125">
        <f t="shared" si="0"/>
        <v>1671249.5999999999</v>
      </c>
      <c r="F10" s="125">
        <f t="shared" si="0"/>
        <v>1000003</v>
      </c>
      <c r="G10" s="125">
        <f t="shared" si="0"/>
        <v>1081699.1800000002</v>
      </c>
      <c r="H10" s="125">
        <f t="shared" si="0"/>
        <v>1412412.2599999998</v>
      </c>
      <c r="I10" s="125">
        <f>SUM(I3:I8)</f>
        <v>1503179.8299999996</v>
      </c>
      <c r="J10" s="125">
        <f t="shared" si="0"/>
        <v>2174467.13</v>
      </c>
      <c r="K10" s="125">
        <v>2538790.17</v>
      </c>
      <c r="L10" s="125">
        <v>2799082.45</v>
      </c>
      <c r="M10" s="125">
        <v>2799082.45</v>
      </c>
      <c r="N10" s="125"/>
      <c r="O10" s="126">
        <f>SUM(C10:N10)</f>
        <v>18345026.350000001</v>
      </c>
    </row>
    <row r="11" spans="1:16" ht="17.25" customHeight="1">
      <c r="G11" s="529"/>
      <c r="H11" s="529"/>
    </row>
    <row r="12" spans="1:16" ht="17.25" customHeight="1">
      <c r="F12" s="529" t="s">
        <v>13</v>
      </c>
    </row>
    <row r="16" spans="1:16" ht="17.25" customHeight="1">
      <c r="I16" s="528" t="s">
        <v>13</v>
      </c>
    </row>
    <row r="17" spans="9:9" ht="17.25" customHeight="1">
      <c r="I17" s="528" t="s">
        <v>13</v>
      </c>
    </row>
    <row r="18" spans="9:9" ht="17.25" customHeight="1">
      <c r="I18" s="528" t="s">
        <v>13</v>
      </c>
    </row>
    <row r="19" spans="9:9" ht="17.25" customHeight="1">
      <c r="I19" s="528" t="s">
        <v>13</v>
      </c>
    </row>
  </sheetData>
  <sheetProtection password="C511" sheet="1" objects="1" scenarios="1"/>
  <customSheetViews>
    <customSheetView guid="{E5DF83AA-DC53-4EBF-A523-33DA0FE284E8}" showPageBreaks="1" printArea="1" hiddenRows="1" hiddenColumns="1">
      <selection activeCell="A2" sqref="A2"/>
      <pageMargins left="0.4" right="0.4" top="1" bottom="1" header="0.5" footer="0.5"/>
      <pageSetup scale="74" orientation="landscape" r:id="rId1"/>
      <headerFooter alignWithMargins="0"/>
    </customSheetView>
  </customSheetViews>
  <mergeCells count="1">
    <mergeCell ref="A1:O1"/>
  </mergeCells>
  <phoneticPr fontId="31" type="noConversion"/>
  <printOptions horizontalCentered="1"/>
  <pageMargins left="0" right="0" top="1.09375" bottom="0.25" header="0.13" footer="0.1"/>
  <pageSetup paperSize="17" orientation="landscape" cellComments="atEnd" r:id="rId2"/>
  <headerFooter alignWithMargins="0">
    <oddHeader>&amp;C&amp;"Arial,Bold"Pacific Gas and Electric Company 
Interruptible, Curtailment and Demand Response 
ACEBA Account Balance Year-to-Date
November 2011</oddHeader>
    <oddFooter>&amp;L&amp;F&amp;CPage 10 of 11&amp;R&amp;A</oddFooter>
  </headerFooter>
  <ignoredErrors>
    <ignoredError sqref="O3 C10 I10:J10 D10:H10" emptyCellReference="1"/>
    <ignoredError sqref="O8" formulaRange="1" emptyCellReferenc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27"/>
  <sheetViews>
    <sheetView tabSelected="1" view="pageLayout" zoomScaleNormal="75" zoomScaleSheetLayoutView="85" workbookViewId="0">
      <selection activeCell="K40" sqref="K40"/>
    </sheetView>
  </sheetViews>
  <sheetFormatPr defaultRowHeight="12.75"/>
  <cols>
    <col min="1" max="1" width="18.7109375" style="10" customWidth="1"/>
    <col min="2" max="2" width="14.7109375" style="10" customWidth="1"/>
    <col min="3" max="3" width="55.7109375" style="10" customWidth="1"/>
    <col min="4" max="4" width="10.85546875" style="10" customWidth="1"/>
    <col min="5" max="5" width="64.5703125" style="10" customWidth="1"/>
    <col min="6" max="16384" width="9.140625" style="10"/>
  </cols>
  <sheetData>
    <row r="1" spans="1:5">
      <c r="A1" s="12" t="s">
        <v>56</v>
      </c>
      <c r="B1" s="11"/>
      <c r="C1" s="11"/>
    </row>
    <row r="3" spans="1:5" s="12" customFormat="1">
      <c r="A3" s="12" t="s">
        <v>57</v>
      </c>
      <c r="B3" s="12" t="s">
        <v>58</v>
      </c>
    </row>
    <row r="4" spans="1:5" s="12" customFormat="1">
      <c r="B4" s="12" t="s">
        <v>59</v>
      </c>
    </row>
    <row r="6" spans="1:5" ht="13.5" thickBot="1"/>
    <row r="7" spans="1:5" s="13" customFormat="1" ht="13.5" thickBot="1">
      <c r="A7" s="129" t="s">
        <v>63</v>
      </c>
      <c r="B7" s="130" t="s">
        <v>60</v>
      </c>
      <c r="C7" s="130" t="s">
        <v>62</v>
      </c>
      <c r="D7" s="130" t="s">
        <v>20</v>
      </c>
      <c r="E7" s="131" t="s">
        <v>61</v>
      </c>
    </row>
    <row r="8" spans="1:5">
      <c r="A8" s="132" t="s">
        <v>160</v>
      </c>
      <c r="B8" s="128">
        <v>1756000</v>
      </c>
      <c r="C8" s="127" t="s">
        <v>177</v>
      </c>
      <c r="D8" s="183">
        <v>40107</v>
      </c>
      <c r="E8" s="184" t="s">
        <v>161</v>
      </c>
    </row>
    <row r="9" spans="1:5">
      <c r="A9" s="133" t="s">
        <v>64</v>
      </c>
      <c r="B9" s="15">
        <f>SUM(B8:B8)</f>
        <v>1756000</v>
      </c>
      <c r="C9" s="14"/>
      <c r="D9" s="14"/>
      <c r="E9" s="134"/>
    </row>
    <row r="10" spans="1:5" ht="64.5" customHeight="1">
      <c r="A10" s="185" t="s">
        <v>162</v>
      </c>
      <c r="B10" s="186">
        <v>2311998</v>
      </c>
      <c r="C10" s="187" t="s">
        <v>163</v>
      </c>
      <c r="D10" s="188">
        <v>40156</v>
      </c>
      <c r="E10" s="184" t="s">
        <v>164</v>
      </c>
    </row>
    <row r="11" spans="1:5" ht="15" customHeight="1">
      <c r="A11" s="133" t="s">
        <v>64</v>
      </c>
      <c r="B11" s="15">
        <f>SUM(B10)</f>
        <v>2311998</v>
      </c>
      <c r="C11" s="189"/>
      <c r="D11" s="183"/>
      <c r="E11" s="184"/>
    </row>
    <row r="12" spans="1:5" ht="63.75">
      <c r="A12" s="132" t="s">
        <v>165</v>
      </c>
      <c r="B12" s="128">
        <v>3000000</v>
      </c>
      <c r="C12" s="127" t="s">
        <v>166</v>
      </c>
      <c r="D12" s="181">
        <v>40575</v>
      </c>
      <c r="E12" s="182" t="s">
        <v>159</v>
      </c>
    </row>
    <row r="13" spans="1:5">
      <c r="A13" s="133" t="s">
        <v>64</v>
      </c>
      <c r="B13" s="15">
        <f>SUM(B12)</f>
        <v>3000000</v>
      </c>
      <c r="C13" s="14"/>
      <c r="D13" s="14"/>
      <c r="E13" s="134"/>
    </row>
    <row r="14" spans="1:5" ht="13.5" thickBot="1">
      <c r="A14" s="135"/>
      <c r="B14" s="136"/>
      <c r="C14" s="136"/>
      <c r="D14" s="136"/>
      <c r="E14" s="137"/>
    </row>
    <row r="27" spans="3:3">
      <c r="C27" s="11"/>
    </row>
  </sheetData>
  <sheetProtection password="C511" sheet="1" objects="1" scenarios="1"/>
  <customSheetViews>
    <customSheetView guid="{E5DF83AA-DC53-4EBF-A523-33DA0FE284E8}">
      <selection activeCell="A3" sqref="A3"/>
      <pageMargins left="0.5" right="0.5" top="1" bottom="1" header="0.5" footer="0.5"/>
      <pageSetup scale="80" orientation="landscape" r:id="rId1"/>
      <headerFooter alignWithMargins="0"/>
    </customSheetView>
  </customSheetViews>
  <phoneticPr fontId="31" type="noConversion"/>
  <printOptions horizontalCentered="1"/>
  <pageMargins left="0" right="0" top="1.0520833333333333" bottom="0.25" header="0.13" footer="0.1"/>
  <pageSetup paperSize="17" orientation="landscape" cellComments="atEnd" r:id="rId2"/>
  <headerFooter alignWithMargins="0">
    <oddHeader>&amp;C&amp;"Arial,Bold"Pacific Gas and Electric Company 
Fund Shifting Documentation
November 2011</oddHeader>
    <oddFooter>&amp;L&amp;F&amp;CPage 11 of 11&amp;R&amp;A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8"/>
  <sheetViews>
    <sheetView showGridLines="0" tabSelected="1" view="pageLayout" topLeftCell="A4" zoomScaleNormal="100" zoomScaleSheetLayoutView="100" workbookViewId="0">
      <selection activeCell="K40" sqref="K40"/>
    </sheetView>
  </sheetViews>
  <sheetFormatPr defaultRowHeight="12.75"/>
  <cols>
    <col min="1" max="10" width="9.140625" style="455"/>
    <col min="11" max="11" width="25.42578125" style="455" customWidth="1"/>
    <col min="12" max="16384" width="9.140625" style="455"/>
  </cols>
  <sheetData>
    <row r="1" spans="1:11">
      <c r="A1" s="454"/>
      <c r="B1" s="454"/>
      <c r="C1" s="454"/>
      <c r="D1" s="454"/>
      <c r="E1" s="454"/>
      <c r="F1" s="454"/>
      <c r="G1" s="454"/>
      <c r="H1" s="454"/>
      <c r="I1" s="454"/>
      <c r="J1" s="454"/>
      <c r="K1" s="454"/>
    </row>
    <row r="2" spans="1:11">
      <c r="A2" s="456"/>
      <c r="B2" s="456"/>
      <c r="C2" s="456"/>
      <c r="D2" s="456"/>
      <c r="E2" s="456"/>
      <c r="F2" s="456"/>
      <c r="G2" s="456"/>
      <c r="H2" s="456"/>
      <c r="I2" s="456"/>
      <c r="J2" s="456"/>
      <c r="K2" s="456"/>
    </row>
    <row r="3" spans="1:11" s="456" customFormat="1"/>
    <row r="4" spans="1:11" ht="80.25" customHeight="1">
      <c r="A4" s="616" t="s">
        <v>206</v>
      </c>
      <c r="B4" s="616"/>
      <c r="C4" s="616"/>
      <c r="D4" s="616"/>
      <c r="E4" s="616"/>
      <c r="F4" s="616"/>
      <c r="G4" s="616"/>
      <c r="H4" s="616"/>
      <c r="I4" s="616"/>
      <c r="J4" s="616"/>
      <c r="K4" s="616"/>
    </row>
    <row r="5" spans="1:11" ht="19.5" customHeight="1">
      <c r="A5" s="617" t="s">
        <v>148</v>
      </c>
      <c r="B5" s="617"/>
      <c r="C5" s="617"/>
      <c r="D5" s="617"/>
      <c r="E5" s="617"/>
      <c r="F5" s="617"/>
      <c r="G5" s="617"/>
      <c r="H5" s="617"/>
      <c r="I5" s="617"/>
      <c r="J5" s="617"/>
      <c r="K5" s="617"/>
    </row>
    <row r="6" spans="1:11" ht="15">
      <c r="A6" s="618" t="s">
        <v>13</v>
      </c>
      <c r="B6" s="618"/>
      <c r="C6" s="618"/>
      <c r="D6" s="618"/>
      <c r="E6" s="618"/>
      <c r="F6" s="618"/>
      <c r="G6" s="618"/>
      <c r="H6" s="618"/>
      <c r="I6" s="618"/>
      <c r="J6" s="618"/>
      <c r="K6" s="618"/>
    </row>
    <row r="7" spans="1:11" ht="15">
      <c r="A7" s="618" t="s">
        <v>13</v>
      </c>
      <c r="B7" s="618"/>
      <c r="C7" s="618"/>
      <c r="D7" s="618"/>
      <c r="E7" s="618"/>
      <c r="F7" s="618"/>
      <c r="G7" s="618"/>
      <c r="H7" s="618"/>
      <c r="I7" s="618"/>
      <c r="J7" s="618"/>
      <c r="K7" s="618"/>
    </row>
    <row r="8" spans="1:11" ht="15">
      <c r="A8" s="615"/>
      <c r="B8" s="616"/>
      <c r="C8" s="616"/>
      <c r="D8" s="616"/>
      <c r="E8" s="616"/>
      <c r="F8" s="616"/>
      <c r="G8" s="616"/>
      <c r="H8" s="616"/>
      <c r="I8" s="616"/>
      <c r="J8" s="616"/>
      <c r="K8" s="616"/>
    </row>
    <row r="9" spans="1:11">
      <c r="A9" s="456"/>
      <c r="B9" s="456"/>
      <c r="C9" s="456"/>
      <c r="D9" s="456"/>
      <c r="E9" s="456"/>
      <c r="F9" s="456"/>
      <c r="G9" s="456"/>
      <c r="H9" s="456"/>
      <c r="I9" s="456"/>
      <c r="J9" s="456"/>
      <c r="K9" s="456"/>
    </row>
    <row r="10" spans="1:11">
      <c r="A10" s="456"/>
      <c r="B10" s="456"/>
      <c r="C10" s="456"/>
      <c r="D10" s="456"/>
      <c r="E10" s="456"/>
      <c r="F10" s="456"/>
      <c r="G10" s="456"/>
      <c r="H10" s="456"/>
      <c r="I10" s="456"/>
      <c r="J10" s="456"/>
      <c r="K10" s="456"/>
    </row>
    <row r="11" spans="1:11">
      <c r="A11" s="456" t="s">
        <v>13</v>
      </c>
      <c r="B11" s="456"/>
      <c r="C11" s="456"/>
      <c r="D11" s="456"/>
      <c r="E11" s="456"/>
      <c r="F11" s="456"/>
      <c r="G11" s="456"/>
      <c r="H11" s="456"/>
      <c r="I11" s="456"/>
      <c r="J11" s="456"/>
      <c r="K11" s="456"/>
    </row>
    <row r="12" spans="1:11">
      <c r="A12" s="456"/>
      <c r="B12" s="456"/>
      <c r="C12" s="456"/>
      <c r="D12" s="456"/>
      <c r="E12" s="456"/>
      <c r="F12" s="456"/>
      <c r="G12" s="456"/>
      <c r="H12" s="456"/>
      <c r="I12" s="456"/>
      <c r="J12" s="456"/>
      <c r="K12" s="456"/>
    </row>
    <row r="13" spans="1:11">
      <c r="A13" s="456"/>
      <c r="B13" s="456"/>
      <c r="C13" s="456"/>
      <c r="D13" s="456"/>
      <c r="E13" s="456"/>
      <c r="F13" s="456"/>
      <c r="G13" s="456"/>
      <c r="H13" s="456"/>
      <c r="I13" s="456"/>
      <c r="J13" s="456"/>
      <c r="K13" s="456"/>
    </row>
    <row r="14" spans="1:11">
      <c r="A14" s="456"/>
      <c r="B14" s="456"/>
      <c r="C14" s="456"/>
      <c r="D14" s="456"/>
      <c r="E14" s="456"/>
      <c r="F14" s="456"/>
      <c r="G14" s="456"/>
      <c r="H14" s="456"/>
      <c r="I14" s="456"/>
      <c r="J14" s="456"/>
      <c r="K14" s="456"/>
    </row>
    <row r="15" spans="1:11">
      <c r="A15" s="456"/>
      <c r="B15" s="456"/>
      <c r="C15" s="456"/>
      <c r="D15" s="456"/>
      <c r="E15" s="456"/>
      <c r="F15" s="456"/>
      <c r="G15" s="456"/>
      <c r="H15" s="456"/>
      <c r="I15" s="456"/>
      <c r="J15" s="456"/>
      <c r="K15" s="456"/>
    </row>
    <row r="16" spans="1:11">
      <c r="A16" s="456"/>
      <c r="B16" s="456"/>
      <c r="C16" s="456"/>
      <c r="D16" s="456"/>
      <c r="E16" s="456"/>
      <c r="F16" s="456"/>
      <c r="G16" s="456"/>
      <c r="H16" s="456"/>
      <c r="I16" s="456"/>
      <c r="J16" s="456"/>
      <c r="K16" s="456"/>
    </row>
    <row r="17" spans="1:11">
      <c r="A17" s="456"/>
      <c r="B17" s="456"/>
      <c r="C17" s="456"/>
      <c r="D17" s="456"/>
      <c r="E17" s="456"/>
      <c r="F17" s="456"/>
      <c r="G17" s="456"/>
      <c r="H17" s="456"/>
      <c r="I17" s="456"/>
      <c r="J17" s="456"/>
      <c r="K17" s="456"/>
    </row>
    <row r="18" spans="1:11">
      <c r="A18" s="456"/>
      <c r="B18" s="456"/>
      <c r="C18" s="456"/>
      <c r="D18" s="456"/>
      <c r="E18" s="456"/>
      <c r="F18" s="456"/>
      <c r="G18" s="456"/>
      <c r="H18" s="456"/>
      <c r="I18" s="456"/>
      <c r="J18" s="456"/>
      <c r="K18" s="456"/>
    </row>
    <row r="19" spans="1:11">
      <c r="A19" s="456"/>
      <c r="B19" s="456"/>
      <c r="C19" s="456"/>
      <c r="D19" s="456"/>
      <c r="E19" s="456"/>
      <c r="F19" s="456"/>
      <c r="G19" s="456"/>
      <c r="H19" s="456"/>
      <c r="I19" s="456"/>
      <c r="J19" s="456"/>
      <c r="K19" s="456"/>
    </row>
    <row r="20" spans="1:11">
      <c r="A20" s="456"/>
      <c r="B20" s="456"/>
      <c r="C20" s="456"/>
      <c r="D20" s="456"/>
      <c r="E20" s="456"/>
      <c r="F20" s="456"/>
      <c r="G20" s="456"/>
      <c r="H20" s="456"/>
      <c r="I20" s="456"/>
      <c r="J20" s="456"/>
      <c r="K20" s="456"/>
    </row>
    <row r="21" spans="1:11">
      <c r="A21" s="456"/>
      <c r="B21" s="456"/>
      <c r="C21" s="456"/>
      <c r="D21" s="456"/>
      <c r="E21" s="456"/>
      <c r="F21" s="456"/>
      <c r="G21" s="456"/>
      <c r="H21" s="456"/>
      <c r="I21" s="456"/>
      <c r="J21" s="456"/>
      <c r="K21" s="456"/>
    </row>
    <row r="22" spans="1:11">
      <c r="A22" s="456"/>
      <c r="B22" s="456"/>
      <c r="C22" s="456"/>
      <c r="D22" s="456"/>
      <c r="E22" s="456"/>
      <c r="F22" s="456"/>
      <c r="G22" s="456"/>
      <c r="H22" s="456"/>
      <c r="I22" s="456"/>
      <c r="J22" s="456"/>
      <c r="K22" s="456"/>
    </row>
    <row r="23" spans="1:11">
      <c r="A23" s="456"/>
      <c r="B23" s="456"/>
      <c r="C23" s="456"/>
      <c r="D23" s="456"/>
      <c r="E23" s="456"/>
      <c r="F23" s="456"/>
      <c r="G23" s="456"/>
      <c r="H23" s="456"/>
      <c r="I23" s="456"/>
      <c r="J23" s="456"/>
      <c r="K23" s="456"/>
    </row>
    <row r="24" spans="1:11">
      <c r="A24" s="456"/>
      <c r="B24" s="456"/>
      <c r="C24" s="456"/>
      <c r="D24" s="456"/>
      <c r="E24" s="456"/>
      <c r="F24" s="456"/>
      <c r="G24" s="456"/>
      <c r="H24" s="456"/>
      <c r="I24" s="456"/>
      <c r="J24" s="456"/>
      <c r="K24" s="456"/>
    </row>
    <row r="25" spans="1:11">
      <c r="A25" s="456"/>
      <c r="B25" s="456"/>
      <c r="C25" s="456"/>
      <c r="D25" s="456"/>
      <c r="E25" s="456"/>
      <c r="F25" s="456"/>
      <c r="G25" s="456"/>
      <c r="H25" s="456"/>
      <c r="I25" s="456"/>
      <c r="J25" s="456"/>
      <c r="K25" s="456"/>
    </row>
    <row r="26" spans="1:11">
      <c r="A26" s="456"/>
      <c r="B26" s="456"/>
      <c r="C26" s="456"/>
      <c r="D26" s="456"/>
      <c r="E26" s="456"/>
      <c r="F26" s="456"/>
      <c r="G26" s="456"/>
      <c r="H26" s="456"/>
      <c r="I26" s="456"/>
      <c r="J26" s="456"/>
      <c r="K26" s="456"/>
    </row>
    <row r="27" spans="1:11">
      <c r="A27" s="457" t="s">
        <v>149</v>
      </c>
      <c r="B27" s="457"/>
      <c r="C27" s="457"/>
      <c r="D27" s="457"/>
      <c r="E27" s="457"/>
      <c r="F27" s="457"/>
      <c r="G27" s="457"/>
      <c r="H27" s="457"/>
      <c r="I27" s="457"/>
      <c r="J27" s="457"/>
      <c r="K27" s="457"/>
    </row>
    <row r="28" spans="1:11">
      <c r="A28" s="456"/>
      <c r="B28" s="456"/>
      <c r="C28" s="456"/>
      <c r="D28" s="456"/>
      <c r="E28" s="456"/>
      <c r="F28" s="456"/>
      <c r="G28" s="456"/>
      <c r="H28" s="456"/>
      <c r="I28" s="456"/>
      <c r="J28" s="456"/>
      <c r="K28" s="456"/>
    </row>
  </sheetData>
  <sheetProtection password="C511" sheet="1" objects="1" scenarios="1"/>
  <mergeCells count="5">
    <mergeCell ref="A8:K8"/>
    <mergeCell ref="A4:K4"/>
    <mergeCell ref="A5:K5"/>
    <mergeCell ref="A6:K6"/>
    <mergeCell ref="A7:K7"/>
  </mergeCells>
  <phoneticPr fontId="31" type="noConversion"/>
  <hyperlinks>
    <hyperlink ref="A5:K5" r:id="rId1" display="http://www.pge.com/mybusiness/energysavingsrebates/demandresponse/cs/ "/>
  </hyperlinks>
  <printOptions horizontalCentered="1"/>
  <pageMargins left="0" right="0" top="0.93854166666666672" bottom="0.25" header="0.13" footer="0.1"/>
  <pageSetup scale="85" orientation="landscape" cellComments="atEnd" r:id="rId2"/>
  <headerFooter differentFirst="1" alignWithMargins="0">
    <oddFooter>&amp;L&amp;F&amp;R&amp;A</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70"/>
  <sheetViews>
    <sheetView showGridLines="0" tabSelected="1" view="pageLayout" topLeftCell="I31" zoomScaleNormal="100" zoomScaleSheetLayoutView="100" workbookViewId="0">
      <selection activeCell="K40" sqref="K40"/>
    </sheetView>
  </sheetViews>
  <sheetFormatPr defaultRowHeight="12.75"/>
  <cols>
    <col min="1" max="1" width="32.7109375" style="365" customWidth="1"/>
    <col min="2" max="2" width="9.5703125" style="367" customWidth="1"/>
    <col min="3" max="3" width="10.28515625" style="312" customWidth="1"/>
    <col min="4" max="4" width="9.85546875" style="312" customWidth="1"/>
    <col min="5" max="5" width="9.5703125" style="312" customWidth="1"/>
    <col min="6" max="6" width="10.28515625" style="312" customWidth="1"/>
    <col min="7" max="7" width="9.85546875" style="312" customWidth="1"/>
    <col min="8" max="8" width="9.5703125" style="312" customWidth="1"/>
    <col min="9" max="9" width="10.28515625" style="312" customWidth="1"/>
    <col min="10" max="10" width="9.85546875" style="312" customWidth="1"/>
    <col min="11" max="11" width="9.5703125" style="368" customWidth="1"/>
    <col min="12" max="12" width="10.28515625" style="365" customWidth="1"/>
    <col min="13" max="13" width="9.85546875" style="365" customWidth="1"/>
    <col min="14" max="14" width="9.5703125" style="368" customWidth="1"/>
    <col min="15" max="15" width="10.28515625" style="368" customWidth="1"/>
    <col min="16" max="16" width="9.85546875" style="368" customWidth="1"/>
    <col min="17" max="17" width="9.5703125" style="312" customWidth="1"/>
    <col min="18" max="18" width="10.28515625" style="368" customWidth="1"/>
    <col min="19" max="19" width="9.85546875" style="368" customWidth="1"/>
    <col min="20" max="20" width="14.140625" style="144" customWidth="1"/>
    <col min="21" max="21" width="9.7109375" style="365" customWidth="1"/>
    <col min="22" max="22" width="11.42578125" style="365" customWidth="1"/>
    <col min="23" max="23" width="11" style="365" customWidth="1"/>
    <col min="24" max="25" width="9.7109375" style="365" customWidth="1"/>
    <col min="26" max="26" width="12.85546875" style="365" customWidth="1"/>
    <col min="27" max="27" width="8.85546875" style="365" bestFit="1" customWidth="1"/>
    <col min="28" max="28" width="10.5703125" style="365" customWidth="1"/>
    <col min="29" max="29" width="9.85546875" style="365" bestFit="1" customWidth="1"/>
    <col min="30" max="30" width="11.140625" style="365" customWidth="1"/>
    <col min="31" max="31" width="9.85546875" style="365" bestFit="1" customWidth="1"/>
    <col min="32" max="32" width="10.85546875" style="365" customWidth="1"/>
    <col min="33" max="33" width="12.140625" style="365" bestFit="1" customWidth="1"/>
    <col min="34" max="34" width="12.140625" style="365" customWidth="1"/>
    <col min="35" max="35" width="9.5703125" style="365" bestFit="1" customWidth="1"/>
    <col min="36" max="36" width="11.140625" style="365" customWidth="1"/>
    <col min="37" max="37" width="11.7109375" style="365" bestFit="1" customWidth="1"/>
    <col min="38" max="38" width="11.7109375" style="365" customWidth="1"/>
    <col min="39" max="16384" width="9.140625" style="365"/>
  </cols>
  <sheetData>
    <row r="1" spans="1:31" s="144" customFormat="1" ht="11.25" customHeight="1">
      <c r="A1" s="144" t="s">
        <v>107</v>
      </c>
      <c r="B1" s="316"/>
      <c r="C1" s="297"/>
      <c r="D1" s="297"/>
      <c r="E1" s="297"/>
      <c r="F1" s="297"/>
      <c r="G1" s="297"/>
      <c r="H1" s="297"/>
      <c r="I1" s="297"/>
      <c r="J1" s="297"/>
      <c r="K1" s="174"/>
      <c r="N1" s="174"/>
      <c r="O1" s="174"/>
      <c r="P1" s="174"/>
      <c r="Q1" s="297"/>
      <c r="R1" s="174"/>
      <c r="S1" s="174"/>
    </row>
    <row r="2" spans="1:31" s="144" customFormat="1" ht="2.25" customHeight="1">
      <c r="B2" s="316"/>
      <c r="C2" s="297"/>
      <c r="D2" s="297"/>
      <c r="E2" s="297"/>
      <c r="F2" s="297"/>
      <c r="G2" s="297"/>
      <c r="H2" s="297"/>
      <c r="I2" s="297"/>
      <c r="J2" s="297"/>
      <c r="K2" s="174"/>
      <c r="N2" s="174"/>
      <c r="O2" s="174"/>
      <c r="P2" s="174"/>
      <c r="Q2" s="297"/>
      <c r="R2" s="174"/>
      <c r="S2" s="174"/>
    </row>
    <row r="3" spans="1:31" s="144" customFormat="1" ht="11.25" customHeight="1">
      <c r="A3" s="144" t="s">
        <v>68</v>
      </c>
      <c r="B3" s="316"/>
      <c r="C3" s="297"/>
      <c r="D3" s="297"/>
      <c r="E3" s="297"/>
      <c r="F3" s="297"/>
      <c r="G3" s="297"/>
      <c r="H3" s="297"/>
      <c r="I3" s="297"/>
      <c r="J3" s="297"/>
      <c r="K3" s="174"/>
      <c r="N3" s="174"/>
      <c r="O3" s="174"/>
      <c r="P3" s="174"/>
      <c r="Q3" s="297"/>
      <c r="R3" s="174"/>
      <c r="S3" s="174"/>
    </row>
    <row r="4" spans="1:31" s="144" customFormat="1" ht="13.5" hidden="1" customHeight="1">
      <c r="B4" s="316"/>
      <c r="C4" s="297"/>
      <c r="D4" s="297"/>
      <c r="E4" s="297"/>
      <c r="F4" s="297"/>
      <c r="G4" s="297"/>
      <c r="H4" s="297"/>
      <c r="I4" s="297"/>
      <c r="J4" s="297"/>
      <c r="K4" s="174"/>
      <c r="N4" s="174"/>
      <c r="O4" s="174"/>
      <c r="P4" s="174"/>
      <c r="Q4" s="297"/>
      <c r="R4" s="174"/>
      <c r="S4" s="174"/>
    </row>
    <row r="5" spans="1:31" s="144" customFormat="1" hidden="1">
      <c r="B5" s="316"/>
      <c r="C5" s="297">
        <v>2</v>
      </c>
      <c r="D5" s="297">
        <f>C5</f>
        <v>2</v>
      </c>
      <c r="E5" s="297"/>
      <c r="F5" s="297">
        <f>C5+1</f>
        <v>3</v>
      </c>
      <c r="G5" s="297">
        <f>F5</f>
        <v>3</v>
      </c>
      <c r="H5" s="297"/>
      <c r="I5" s="297">
        <f>F5+1</f>
        <v>4</v>
      </c>
      <c r="J5" s="297">
        <f>I5</f>
        <v>4</v>
      </c>
      <c r="K5" s="174"/>
      <c r="L5" s="144">
        <f>I5+1</f>
        <v>5</v>
      </c>
      <c r="M5" s="144">
        <f>L5</f>
        <v>5</v>
      </c>
      <c r="N5" s="174"/>
      <c r="O5" s="174">
        <f>L5+1</f>
        <v>6</v>
      </c>
      <c r="P5" s="174">
        <f>O5</f>
        <v>6</v>
      </c>
      <c r="Q5" s="297"/>
      <c r="R5" s="174">
        <f>O5+1</f>
        <v>7</v>
      </c>
      <c r="S5" s="174">
        <f>R5</f>
        <v>7</v>
      </c>
    </row>
    <row r="6" spans="1:31" s="144" customFormat="1" hidden="1">
      <c r="B6" s="316"/>
      <c r="C6" s="297"/>
      <c r="D6" s="297"/>
      <c r="E6" s="297"/>
      <c r="F6" s="297"/>
      <c r="G6" s="297"/>
      <c r="H6" s="297"/>
      <c r="I6" s="297"/>
      <c r="J6" s="297"/>
      <c r="K6" s="174"/>
      <c r="N6" s="174"/>
      <c r="O6" s="174"/>
      <c r="P6" s="174"/>
      <c r="Q6" s="297"/>
      <c r="R6" s="174"/>
      <c r="S6" s="174"/>
    </row>
    <row r="7" spans="1:31" s="144" customFormat="1" ht="11.25" customHeight="1">
      <c r="A7" s="339"/>
      <c r="B7" s="619" t="s">
        <v>0</v>
      </c>
      <c r="C7" s="620"/>
      <c r="D7" s="621"/>
      <c r="E7" s="619" t="s">
        <v>1</v>
      </c>
      <c r="F7" s="620"/>
      <c r="G7" s="621"/>
      <c r="H7" s="619" t="s">
        <v>2</v>
      </c>
      <c r="I7" s="620"/>
      <c r="J7" s="621"/>
      <c r="K7" s="619" t="s">
        <v>3</v>
      </c>
      <c r="L7" s="620"/>
      <c r="M7" s="621"/>
      <c r="N7" s="619" t="s">
        <v>4</v>
      </c>
      <c r="O7" s="620"/>
      <c r="P7" s="621"/>
      <c r="Q7" s="619" t="s">
        <v>5</v>
      </c>
      <c r="R7" s="620"/>
      <c r="S7" s="621"/>
      <c r="T7" s="488"/>
    </row>
    <row r="8" spans="1:31" s="144" customFormat="1" ht="42" customHeight="1">
      <c r="A8" s="140" t="s">
        <v>22</v>
      </c>
      <c r="B8" s="317" t="s">
        <v>16</v>
      </c>
      <c r="C8" s="318" t="s">
        <v>171</v>
      </c>
      <c r="D8" s="319" t="s">
        <v>172</v>
      </c>
      <c r="E8" s="320" t="s">
        <v>16</v>
      </c>
      <c r="F8" s="318" t="s">
        <v>171</v>
      </c>
      <c r="G8" s="319" t="s">
        <v>172</v>
      </c>
      <c r="H8" s="298" t="s">
        <v>16</v>
      </c>
      <c r="I8" s="318" t="s">
        <v>171</v>
      </c>
      <c r="J8" s="319" t="s">
        <v>172</v>
      </c>
      <c r="K8" s="179" t="s">
        <v>16</v>
      </c>
      <c r="L8" s="142" t="s">
        <v>171</v>
      </c>
      <c r="M8" s="143" t="s">
        <v>172</v>
      </c>
      <c r="N8" s="179" t="s">
        <v>16</v>
      </c>
      <c r="O8" s="296" t="s">
        <v>171</v>
      </c>
      <c r="P8" s="313" t="s">
        <v>172</v>
      </c>
      <c r="Q8" s="298" t="s">
        <v>16</v>
      </c>
      <c r="R8" s="296" t="s">
        <v>171</v>
      </c>
      <c r="S8" s="313" t="s">
        <v>172</v>
      </c>
      <c r="T8" s="489" t="s">
        <v>204</v>
      </c>
    </row>
    <row r="9" spans="1:31" s="144" customFormat="1" ht="12.75" customHeight="1">
      <c r="A9" s="30" t="s">
        <v>23</v>
      </c>
      <c r="B9" s="302"/>
      <c r="C9" s="321"/>
      <c r="D9" s="322"/>
      <c r="E9" s="298"/>
      <c r="F9" s="320"/>
      <c r="G9" s="323"/>
      <c r="H9" s="298"/>
      <c r="I9" s="320"/>
      <c r="J9" s="320"/>
      <c r="K9" s="179"/>
      <c r="L9" s="141"/>
      <c r="M9" s="468"/>
      <c r="N9" s="179"/>
      <c r="O9" s="175"/>
      <c r="P9" s="453"/>
      <c r="Q9" s="298"/>
      <c r="R9" s="175"/>
      <c r="S9" s="453"/>
      <c r="T9" s="490"/>
    </row>
    <row r="10" spans="1:31" s="144" customFormat="1" ht="12" customHeight="1">
      <c r="A10" s="145" t="s">
        <v>71</v>
      </c>
      <c r="B10" s="303">
        <v>190</v>
      </c>
      <c r="C10" s="324">
        <f>IF(B10="","",IF(VLOOKUP($A10,'Ex ante LI &amp; Eligibility Stats'!$A$7:$M$23,C$5,FALSE)="N/A",0,VLOOKUP($A10,'Ex ante LI &amp; Eligibility Stats'!$A$7:$M$23,C$5,FALSE)*B10/1000))</f>
        <v>151.68615591</v>
      </c>
      <c r="D10" s="325">
        <f>IF(B10="","",IF(VLOOKUP($A10,'Ex post LI &amp; Eligibility Stats'!$A$10:$M$26,C$5,FALSE)="N/A",0,VLOOKUP($A10,'Ex post LI &amp; Eligibility Stats'!$A$10:$M$26,C$5,FALSE)*B10/1000))</f>
        <v>149.70099999999999</v>
      </c>
      <c r="E10" s="299">
        <v>193</v>
      </c>
      <c r="F10" s="324">
        <f>IF(E10="","",IF(VLOOKUP($A10,'Ex ante LI &amp; Eligibility Stats'!$A$7:$M$23,F$5,FALSE)="N/A",0,VLOOKUP($A10,'Ex ante LI &amp; Eligibility Stats'!$A$7:$M$23,F$5,FALSE)*E10/1000))</f>
        <v>161.83773425180999</v>
      </c>
      <c r="G10" s="325">
        <f>IF(E10="","",IF(VLOOKUP($A10,'Ex post LI &amp; Eligibility Stats'!$A$10:$M$26,F$5,FALSE)="N/A",0,VLOOKUP($A10,'Ex post LI &amp; Eligibility Stats'!$A$10:$M$26,F$5,FALSE)*E10/1000))</f>
        <v>152.06469999999999</v>
      </c>
      <c r="H10" s="221">
        <v>215</v>
      </c>
      <c r="I10" s="324">
        <f>IF(H10="","",IF(VLOOKUP($A10,'Ex ante LI &amp; Eligibility Stats'!$A$7:$M$23,I$5,FALSE)="N/A",0,VLOOKUP($A10,'Ex ante LI &amp; Eligibility Stats'!$A$7:$M$23,I$5,FALSE)*H10/1000))</f>
        <v>181.82470706064998</v>
      </c>
      <c r="J10" s="325">
        <f>IF(H10="","",IF(VLOOKUP($A10,'Ex post LI &amp; Eligibility Stats'!$A$10:$M$26,I$5,FALSE)="N/A",0,VLOOKUP($A10,'Ex post LI &amp; Eligibility Stats'!$A$10:$M$26,I$5,FALSE)*H10/1000))</f>
        <v>169.39850000000001</v>
      </c>
      <c r="K10" s="225">
        <v>213</v>
      </c>
      <c r="L10" s="213">
        <f>IF(K10="","",IF(VLOOKUP($A10,'Ex ante LI &amp; Eligibility Stats'!$A$7:$M$23,L$5,FALSE)="N/A",0,VLOOKUP($A10,'Ex ante LI &amp; Eligibility Stats'!$A$7:$M$23,L$5,FALSE)*K10/1000))</f>
        <v>200.2632063897</v>
      </c>
      <c r="M10" s="210">
        <f>IF(K10="","",IF(VLOOKUP($A10,'Ex post LI &amp; Eligibility Stats'!$A$10:$M$26,L$5,FALSE)="N/A",0,VLOOKUP($A10,'Ex post LI &amp; Eligibility Stats'!$A$10:$M$26,L$5,FALSE)*K10/1000))</f>
        <v>167.82269999999997</v>
      </c>
      <c r="N10" s="281">
        <v>213</v>
      </c>
      <c r="O10" s="213">
        <f>IF(N10="","",IF(VLOOKUP($A10,'Ex ante LI &amp; Eligibility Stats'!$A$7:$M$23,O$5,FALSE)="N/A",0,VLOOKUP($A10,'Ex ante LI &amp; Eligibility Stats'!$A$7:$M$23,O$5,FALSE)*N10/1000))</f>
        <v>174.46307467761</v>
      </c>
      <c r="P10" s="210">
        <f>IF(N10="","",IF(VLOOKUP($A10,'Ex post LI &amp; Eligibility Stats'!$A$10:$M$26,O$5,FALSE)="N/A",0,VLOOKUP($A10,'Ex post LI &amp; Eligibility Stats'!$A$10:$M$26,O$5,FALSE)*N10/1000))</f>
        <v>167.82269999999997</v>
      </c>
      <c r="Q10" s="299">
        <v>216</v>
      </c>
      <c r="R10" s="213">
        <f>IF(Q10="","",IF(VLOOKUP($A10,'Ex ante LI &amp; Eligibility Stats'!$A$7:$M$23,R$5,FALSE)="N/A",0,VLOOKUP($A10,'Ex ante LI &amp; Eligibility Stats'!$A$7:$M$23,R$5,FALSE)*Q10/1000))</f>
        <v>193.80398773319999</v>
      </c>
      <c r="S10" s="210">
        <f>IF(Q10="","",IF(VLOOKUP($A10,'Ex post LI &amp; Eligibility Stats'!$A$10:$M$26,R$5,FALSE)="N/A",0,VLOOKUP($A10,'Ex post LI &amp; Eligibility Stats'!$A$10:$M$26,R$5,FALSE)*Q10/1000))</f>
        <v>170.18639999999999</v>
      </c>
      <c r="T10" s="491">
        <v>10199</v>
      </c>
    </row>
    <row r="11" spans="1:31" s="144" customFormat="1" ht="12" customHeight="1">
      <c r="A11" s="145" t="s">
        <v>14</v>
      </c>
      <c r="B11" s="287">
        <v>30</v>
      </c>
      <c r="C11" s="326">
        <f>IF(B11="","",IF(VLOOKUP($A11,'Ex ante LI &amp; Eligibility Stats'!$A$7:$M$23,C$5,FALSE)="N/A",0,VLOOKUP($A11,'Ex ante LI &amp; Eligibility Stats'!$A$7:$M$23,C$5,FALSE)*B11/1000))</f>
        <v>0</v>
      </c>
      <c r="D11" s="327">
        <f>IF(B11="","",IF(VLOOKUP($A11,'Ex post LI &amp; Eligibility Stats'!$A$10:$M$26,C$5,FALSE)="N/A",0,VLOOKUP($A11,'Ex post LI &amp; Eligibility Stats'!$A$10:$M$26,C$5,FALSE)*B11/1000))</f>
        <v>0</v>
      </c>
      <c r="E11" s="288">
        <v>29</v>
      </c>
      <c r="F11" s="326">
        <f>IF(E11="","",IF(VLOOKUP($A11,'Ex ante LI &amp; Eligibility Stats'!$A$7:$M$23,F$5,FALSE)="N/A",0,VLOOKUP($A11,'Ex ante LI &amp; Eligibility Stats'!$A$7:$M$23,F$5,FALSE)*E11/1000))</f>
        <v>0</v>
      </c>
      <c r="G11" s="327">
        <f>IF(E11="","",IF(VLOOKUP($A11,'Ex post LI &amp; Eligibility Stats'!$A$10:$M$26,F$5,FALSE)="N/A",0,VLOOKUP($A11,'Ex post LI &amp; Eligibility Stats'!$A$10:$M$26,F$5,FALSE)*E11/1000))</f>
        <v>0</v>
      </c>
      <c r="H11" s="222">
        <v>29</v>
      </c>
      <c r="I11" s="326">
        <f>IF(H11="","",IF(VLOOKUP($A11,'Ex ante LI &amp; Eligibility Stats'!$A$7:$M$23,I$5,FALSE)="N/A",0,VLOOKUP($A11,'Ex ante LI &amp; Eligibility Stats'!$A$7:$M$23,I$5,FALSE)*H11/1000))</f>
        <v>0</v>
      </c>
      <c r="J11" s="327">
        <f>IF(H11="","",IF(VLOOKUP($A11,'Ex post LI &amp; Eligibility Stats'!$A$10:$M$26,I$5,FALSE)="N/A",0,VLOOKUP($A11,'Ex post LI &amp; Eligibility Stats'!$A$10:$M$26,I$5,FALSE)*H11/1000))</f>
        <v>0</v>
      </c>
      <c r="K11" s="226">
        <v>28</v>
      </c>
      <c r="L11" s="214">
        <f>IF(K11="","",IF(VLOOKUP($A11,'Ex ante LI &amp; Eligibility Stats'!$A$7:$M$23,L$5,FALSE)="N/A",0,VLOOKUP($A11,'Ex ante LI &amp; Eligibility Stats'!$A$7:$M$23,L$5,FALSE)*K11/1000))</f>
        <v>0</v>
      </c>
      <c r="M11" s="211">
        <f>IF(K11="","",IF(VLOOKUP($A11,'Ex post LI &amp; Eligibility Stats'!$A$10:$M$26,L$5,FALSE)="N/A",0,VLOOKUP($A11,'Ex post LI &amp; Eligibility Stats'!$A$10:$M$26,L$5,FALSE)*K11/1000))</f>
        <v>0</v>
      </c>
      <c r="N11" s="280">
        <v>28</v>
      </c>
      <c r="O11" s="214">
        <f>IF(N11="","",IF(VLOOKUP($A11,'Ex ante LI &amp; Eligibility Stats'!$A$7:$M$23,O$5,FALSE)="N/A",0,VLOOKUP($A11,'Ex ante LI &amp; Eligibility Stats'!$A$7:$M$23,O$5,FALSE)*N11/1000))</f>
        <v>0</v>
      </c>
      <c r="P11" s="211">
        <f>IF(N11="","",IF(VLOOKUP($A11,'Ex post LI &amp; Eligibility Stats'!$A$10:$M$26,O$5,FALSE)="N/A",0,VLOOKUP($A11,'Ex post LI &amp; Eligibility Stats'!$A$10:$M$26,O$5,FALSE)*N11/1000))</f>
        <v>0</v>
      </c>
      <c r="Q11" s="288">
        <v>28</v>
      </c>
      <c r="R11" s="214">
        <f>IF(Q11="","",IF(VLOOKUP($A11,'Ex ante LI &amp; Eligibility Stats'!$A$7:$M$23,R$5,FALSE)="N/A",0,VLOOKUP($A11,'Ex ante LI &amp; Eligibility Stats'!$A$7:$M$23,R$5,FALSE)*Q11/1000))</f>
        <v>0</v>
      </c>
      <c r="S11" s="211">
        <f>IF(Q11="","",IF(VLOOKUP($A11,'Ex post LI &amp; Eligibility Stats'!$A$10:$M$26,R$5,FALSE)="N/A",0,VLOOKUP($A11,'Ex post LI &amp; Eligibility Stats'!$A$10:$M$26,R$5,FALSE)*Q11/1000))</f>
        <v>0</v>
      </c>
      <c r="T11" s="491">
        <v>0</v>
      </c>
    </row>
    <row r="12" spans="1:31" s="144" customFormat="1" ht="12" customHeight="1">
      <c r="A12" s="145" t="s">
        <v>26</v>
      </c>
      <c r="B12" s="287">
        <v>0</v>
      </c>
      <c r="C12" s="326">
        <f>IF(B12="","",IF(VLOOKUP($A12,'Ex ante LI &amp; Eligibility Stats'!$A$7:$M$23,C$5,FALSE)="N/A",0,VLOOKUP($A12,'Ex ante LI &amp; Eligibility Stats'!$A$7:$M$23,C$5,FALSE)*B12/1000))</f>
        <v>0</v>
      </c>
      <c r="D12" s="327">
        <f>IF(B12="","",IF(VLOOKUP($A12,'Ex post LI &amp; Eligibility Stats'!$A$10:$M$26,C$5,FALSE)="N/A",0,VLOOKUP($A12,'Ex post LI &amp; Eligibility Stats'!$A$10:$M$26,C$5,FALSE)*B12/1000))</f>
        <v>0</v>
      </c>
      <c r="E12" s="288">
        <v>0</v>
      </c>
      <c r="F12" s="326">
        <f>IF(E12="","",IF(VLOOKUP($A12,'Ex ante LI &amp; Eligibility Stats'!$A$7:$M$23,F$5,FALSE)="N/A",0,VLOOKUP($A12,'Ex ante LI &amp; Eligibility Stats'!$A$7:$M$23,F$5,FALSE)*E12/1000))</f>
        <v>0</v>
      </c>
      <c r="G12" s="327">
        <f>IF(E12="","",IF(VLOOKUP($A12,'Ex post LI &amp; Eligibility Stats'!$A$10:$M$26,F$5,FALSE)="N/A",0,VLOOKUP($A12,'Ex post LI &amp; Eligibility Stats'!$A$10:$M$26,F$5,FALSE)*E12/1000))</f>
        <v>0</v>
      </c>
      <c r="H12" s="223">
        <v>0</v>
      </c>
      <c r="I12" s="326">
        <f>IF(H12="","",IF(VLOOKUP($A12,'Ex ante LI &amp; Eligibility Stats'!$A$7:$M$23,I$5,FALSE)="N/A",0,VLOOKUP($A12,'Ex ante LI &amp; Eligibility Stats'!$A$7:$M$23,I$5,FALSE)*H12/1000))</f>
        <v>0</v>
      </c>
      <c r="J12" s="327">
        <f>IF(H12="","",IF(VLOOKUP($A12,'Ex post LI &amp; Eligibility Stats'!$A$10:$M$26,I$5,FALSE)="N/A",0,VLOOKUP($A12,'Ex post LI &amp; Eligibility Stats'!$A$10:$M$26,I$5,FALSE)*H12/1000))</f>
        <v>0</v>
      </c>
      <c r="K12" s="226">
        <v>0</v>
      </c>
      <c r="L12" s="214">
        <f>IF(K12="","",IF(VLOOKUP($A12,'Ex ante LI &amp; Eligibility Stats'!$A$7:$M$23,L$5,FALSE)="N/A",0,VLOOKUP($A12,'Ex ante LI &amp; Eligibility Stats'!$A$7:$M$23,L$5,FALSE)*K12/1000))</f>
        <v>0</v>
      </c>
      <c r="M12" s="211">
        <f>IF(K12="","",IF(VLOOKUP($A12,'Ex post LI &amp; Eligibility Stats'!$A$10:$M$26,L$5,FALSE)="N/A",0,VLOOKUP($A12,'Ex post LI &amp; Eligibility Stats'!$A$10:$M$26,L$5,FALSE)*K12/1000))</f>
        <v>0</v>
      </c>
      <c r="N12" s="280">
        <v>0</v>
      </c>
      <c r="O12" s="214">
        <f>IF(N12="","",IF(VLOOKUP($A12,'Ex ante LI &amp; Eligibility Stats'!$A$7:$M$23,O$5,FALSE)="N/A",0,VLOOKUP($A12,'Ex ante LI &amp; Eligibility Stats'!$A$7:$M$23,O$5,FALSE)*N12/1000))</f>
        <v>0</v>
      </c>
      <c r="P12" s="211">
        <f>IF(N12="","",IF(VLOOKUP($A12,'Ex post LI &amp; Eligibility Stats'!$A$10:$M$26,O$5,FALSE)="N/A",0,VLOOKUP($A12,'Ex post LI &amp; Eligibility Stats'!$A$10:$M$26,O$5,FALSE)*N12/1000))</f>
        <v>0</v>
      </c>
      <c r="Q12" s="288">
        <v>0</v>
      </c>
      <c r="R12" s="214">
        <f>IF(Q12="","",IF(VLOOKUP($A12,'Ex ante LI &amp; Eligibility Stats'!$A$7:$M$23,R$5,FALSE)="N/A",0,VLOOKUP($A12,'Ex ante LI &amp; Eligibility Stats'!$A$7:$M$23,R$5,FALSE)*Q12/1000))</f>
        <v>0</v>
      </c>
      <c r="S12" s="211">
        <f>IF(Q12="","",IF(VLOOKUP($A12,'Ex post LI &amp; Eligibility Stats'!$A$10:$M$26,R$5,FALSE)="N/A",0,VLOOKUP($A12,'Ex post LI &amp; Eligibility Stats'!$A$10:$M$26,R$5,FALSE)*Q12/1000))</f>
        <v>0</v>
      </c>
      <c r="T12" s="491">
        <v>0</v>
      </c>
    </row>
    <row r="13" spans="1:31" s="144" customFormat="1" ht="12" customHeight="1">
      <c r="A13" s="358" t="s">
        <v>194</v>
      </c>
      <c r="B13" s="287">
        <v>3069</v>
      </c>
      <c r="C13" s="326">
        <f>IF(B13="","",IF(VLOOKUP($A13,'Ex ante LI &amp; Eligibility Stats'!$A$7:$M$23,C$5,FALSE)="N/A",0,VLOOKUP($A13,'Ex ante LI &amp; Eligibility Stats'!$A$7:$M$23,C$5,FALSE)*B13/1000))</f>
        <v>0</v>
      </c>
      <c r="D13" s="327">
        <f>IF(B13="","",IF(VLOOKUP($A13,'Ex post LI &amp; Eligibility Stats'!$A$10:$M$26,C$5,FALSE)="N/A",0,VLOOKUP($A13,'Ex post LI &amp; Eligibility Stats'!$A$10:$M$26,C$5,FALSE)*B13/1000))</f>
        <v>0.67518</v>
      </c>
      <c r="E13" s="288">
        <v>3191</v>
      </c>
      <c r="F13" s="326">
        <f>IF(E13="","",IF(VLOOKUP($A13,'Ex ante LI &amp; Eligibility Stats'!$A$7:$M$23,F$5,FALSE)="N/A",0,VLOOKUP($A13,'Ex ante LI &amp; Eligibility Stats'!$A$7:$M$23,F$5,FALSE)*E13/1000))</f>
        <v>0</v>
      </c>
      <c r="G13" s="327">
        <f>IF(E13="","",IF(VLOOKUP($A13,'Ex post LI &amp; Eligibility Stats'!$A$10:$M$26,F$5,FALSE)="N/A",0,VLOOKUP($A13,'Ex post LI &amp; Eligibility Stats'!$A$10:$M$26,F$5,FALSE)*E13/1000))</f>
        <v>0.70201999999999998</v>
      </c>
      <c r="H13" s="223">
        <v>3881</v>
      </c>
      <c r="I13" s="326">
        <f>IF(H13="","",IF(VLOOKUP($A13,'Ex ante LI &amp; Eligibility Stats'!$A$7:$M$23,I$5,FALSE)="N/A",0,VLOOKUP($A13,'Ex ante LI &amp; Eligibility Stats'!$A$7:$M$23,I$5,FALSE)*H13/1000))</f>
        <v>0</v>
      </c>
      <c r="J13" s="327">
        <f>IF(H13="","",IF(VLOOKUP($A13,'Ex post LI &amp; Eligibility Stats'!$A$10:$M$26,I$5,FALSE)="N/A",0,VLOOKUP($A13,'Ex post LI &amp; Eligibility Stats'!$A$10:$M$26,I$5,FALSE)*H13/1000))</f>
        <v>0.85382000000000002</v>
      </c>
      <c r="K13" s="226">
        <v>4443</v>
      </c>
      <c r="L13" s="214">
        <f>IF(K13="","",IF(VLOOKUP($A13,'Ex ante LI &amp; Eligibility Stats'!$A$7:$M$23,L$5,FALSE)="N/A",0,VLOOKUP($A13,'Ex ante LI &amp; Eligibility Stats'!$A$7:$M$23,L$5,FALSE)*K13/1000))</f>
        <v>0</v>
      </c>
      <c r="M13" s="211">
        <f>IF(K13="","",IF(VLOOKUP($A13,'Ex post LI &amp; Eligibility Stats'!$A$10:$M$26,L$5,FALSE)="N/A",0,VLOOKUP($A13,'Ex post LI &amp; Eligibility Stats'!$A$10:$M$26,L$5,FALSE)*K13/1000))</f>
        <v>0.97746</v>
      </c>
      <c r="N13" s="280">
        <v>4961</v>
      </c>
      <c r="O13" s="214">
        <f>IF(N13="","",IF(VLOOKUP($A13,'Ex ante LI &amp; Eligibility Stats'!$A$7:$M$23,O$5,FALSE)="N/A",0,VLOOKUP($A13,'Ex ante LI &amp; Eligibility Stats'!$A$7:$M$23,O$5,FALSE)*N13/1000))</f>
        <v>1.5982150116097</v>
      </c>
      <c r="P13" s="211">
        <f>IF(N13="","",IF(VLOOKUP($A13,'Ex post LI &amp; Eligibility Stats'!$A$10:$M$26,O$5,FALSE)="N/A",0,VLOOKUP($A13,'Ex post LI &amp; Eligibility Stats'!$A$10:$M$26,O$5,FALSE)*N13/1000))</f>
        <v>1.0914200000000001</v>
      </c>
      <c r="Q13" s="288">
        <v>5811</v>
      </c>
      <c r="R13" s="214">
        <f>IF(Q13="","",IF(VLOOKUP($A13,'Ex ante LI &amp; Eligibility Stats'!$A$7:$M$23,R$5,FALSE)="N/A",0,VLOOKUP($A13,'Ex ante LI &amp; Eligibility Stats'!$A$7:$M$23,R$5,FALSE)*Q13/1000))</f>
        <v>2.1259427105669997</v>
      </c>
      <c r="S13" s="211">
        <f>IF(Q13="","",IF(VLOOKUP($A13,'Ex post LI &amp; Eligibility Stats'!$A$10:$M$26,R$5,FALSE)="N/A",0,VLOOKUP($A13,'Ex post LI &amp; Eligibility Stats'!$A$10:$M$26,R$5,FALSE)*Q13/1000))</f>
        <v>1.2784200000000001</v>
      </c>
      <c r="T13" s="491">
        <v>585981</v>
      </c>
    </row>
    <row r="14" spans="1:31" s="144" customFormat="1" ht="12" customHeight="1">
      <c r="A14" s="358" t="s">
        <v>195</v>
      </c>
      <c r="B14" s="328">
        <v>112068</v>
      </c>
      <c r="C14" s="329">
        <f>IF(B14="","",IF(VLOOKUP($A14,'Ex ante LI &amp; Eligibility Stats'!$A$7:$M$23,C$5,FALSE)="N/A",0,VLOOKUP($A14,'Ex ante LI &amp; Eligibility Stats'!$A$7:$M$23,C$5,FALSE)*B14/1000))</f>
        <v>0</v>
      </c>
      <c r="D14" s="330">
        <f>IF(B14="","",IF(VLOOKUP($A14,'Ex post LI &amp; Eligibility Stats'!$A$10:$M$26,C$5,FALSE)="N/A",0,VLOOKUP($A14,'Ex post LI &amp; Eligibility Stats'!$A$10:$M$26,C$5,FALSE)*B14/1000))</f>
        <v>24.654959999999999</v>
      </c>
      <c r="E14" s="308">
        <v>111788</v>
      </c>
      <c r="F14" s="329">
        <f>IF(E14="","",IF(VLOOKUP($A14,'Ex ante LI &amp; Eligibility Stats'!$A$7:$M$23,F$5,FALSE)="N/A",0,VLOOKUP($A14,'Ex ante LI &amp; Eligibility Stats'!$A$7:$M$23,F$5,FALSE)*E14/1000))</f>
        <v>0</v>
      </c>
      <c r="G14" s="330">
        <f>IF(E14="","",IF(VLOOKUP($A14,'Ex post LI &amp; Eligibility Stats'!$A$10:$M$26,F$5,FALSE)="N/A",0,VLOOKUP($A14,'Ex post LI &amp; Eligibility Stats'!$A$10:$M$26,F$5,FALSE)*E14/1000))</f>
        <v>24.593360000000001</v>
      </c>
      <c r="H14" s="224">
        <v>113388</v>
      </c>
      <c r="I14" s="329">
        <f>IF(H14="","",IF(VLOOKUP($A14,'Ex ante LI &amp; Eligibility Stats'!$A$7:$M$23,I$5,FALSE)="N/A",0,VLOOKUP($A14,'Ex ante LI &amp; Eligibility Stats'!$A$7:$M$23,I$5,FALSE)*H14/1000))</f>
        <v>0</v>
      </c>
      <c r="J14" s="330">
        <f>IF(H14="","",IF(VLOOKUP($A14,'Ex post LI &amp; Eligibility Stats'!$A$10:$M$26,I$5,FALSE)="N/A",0,VLOOKUP($A14,'Ex post LI &amp; Eligibility Stats'!$A$10:$M$26,I$5,FALSE)*H14/1000))</f>
        <v>24.945360000000001</v>
      </c>
      <c r="K14" s="227">
        <v>112941</v>
      </c>
      <c r="L14" s="215">
        <f>IF(K14="","",IF(VLOOKUP($A14,'Ex ante LI &amp; Eligibility Stats'!$A$7:$M$23,L$5,FALSE)="N/A",0,VLOOKUP($A14,'Ex ante LI &amp; Eligibility Stats'!$A$7:$M$23,L$5,FALSE)*K14/1000))</f>
        <v>0</v>
      </c>
      <c r="M14" s="212">
        <f>IF(K14="","",IF(VLOOKUP($A14,'Ex post LI &amp; Eligibility Stats'!$A$10:$M$26,L$5,FALSE)="N/A",0,VLOOKUP($A14,'Ex post LI &amp; Eligibility Stats'!$A$10:$M$26,L$5,FALSE)*K14/1000))</f>
        <v>24.847020000000001</v>
      </c>
      <c r="N14" s="282">
        <v>113024</v>
      </c>
      <c r="O14" s="215">
        <f>IF(N14="","",IF(VLOOKUP($A14,'Ex ante LI &amp; Eligibility Stats'!$A$7:$M$23,O$5,FALSE)="N/A",0,VLOOKUP($A14,'Ex ante LI &amp; Eligibility Stats'!$A$7:$M$23,O$5,FALSE)*N14/1000))</f>
        <v>11.372889565056001</v>
      </c>
      <c r="P14" s="212">
        <f>IF(N14="","",IF(VLOOKUP($A14,'Ex post LI &amp; Eligibility Stats'!$A$10:$M$26,O$5,FALSE)="N/A",0,VLOOKUP($A14,'Ex post LI &amp; Eligibility Stats'!$A$10:$M$26,O$5,FALSE)*N14/1000))</f>
        <v>24.865279999999998</v>
      </c>
      <c r="Q14" s="300">
        <v>147658</v>
      </c>
      <c r="R14" s="215">
        <f>IF(Q14="","",IF(VLOOKUP($A14,'Ex ante LI &amp; Eligibility Stats'!$A$7:$M$23,R$5,FALSE)="N/A",0,VLOOKUP($A14,'Ex ante LI &amp; Eligibility Stats'!$A$7:$M$23,R$5,FALSE)*Q14/1000))</f>
        <v>37.435633513824001</v>
      </c>
      <c r="S14" s="212">
        <f>IF(Q14="","",IF(VLOOKUP($A14,'Ex post LI &amp; Eligibility Stats'!$A$10:$M$26,R$5,FALSE)="N/A",0,VLOOKUP($A14,'Ex post LI &amp; Eligibility Stats'!$A$10:$M$26,R$5,FALSE)*Q14/1000))</f>
        <v>32.484760000000001</v>
      </c>
      <c r="T14" s="492">
        <v>3000000</v>
      </c>
    </row>
    <row r="15" spans="1:31" s="144" customFormat="1" ht="12" customHeight="1" thickBot="1">
      <c r="A15" s="31" t="s">
        <v>21</v>
      </c>
      <c r="B15" s="301">
        <f>SUM(B10:B14)</f>
        <v>115357</v>
      </c>
      <c r="C15" s="331">
        <f t="shared" ref="C15:S15" si="0">SUM(C10:C14)</f>
        <v>151.68615591</v>
      </c>
      <c r="D15" s="332">
        <f t="shared" si="0"/>
        <v>175.03113999999999</v>
      </c>
      <c r="E15" s="301">
        <f t="shared" si="0"/>
        <v>115201</v>
      </c>
      <c r="F15" s="331">
        <f t="shared" si="0"/>
        <v>161.83773425180999</v>
      </c>
      <c r="G15" s="332">
        <f t="shared" si="0"/>
        <v>177.36007999999998</v>
      </c>
      <c r="H15" s="301">
        <f t="shared" si="0"/>
        <v>117513</v>
      </c>
      <c r="I15" s="331">
        <f t="shared" si="0"/>
        <v>181.82470706064998</v>
      </c>
      <c r="J15" s="332">
        <f t="shared" si="0"/>
        <v>195.19768000000002</v>
      </c>
      <c r="K15" s="176">
        <f t="shared" si="0"/>
        <v>117625</v>
      </c>
      <c r="L15" s="216">
        <f t="shared" si="0"/>
        <v>200.2632063897</v>
      </c>
      <c r="M15" s="217">
        <f t="shared" si="0"/>
        <v>193.64717999999999</v>
      </c>
      <c r="N15" s="176">
        <f t="shared" si="0"/>
        <v>118226</v>
      </c>
      <c r="O15" s="216">
        <f t="shared" si="0"/>
        <v>187.4341792542757</v>
      </c>
      <c r="P15" s="217">
        <f t="shared" si="0"/>
        <v>193.77939999999995</v>
      </c>
      <c r="Q15" s="301">
        <f t="shared" si="0"/>
        <v>153713</v>
      </c>
      <c r="R15" s="216">
        <f t="shared" si="0"/>
        <v>233.36556395759098</v>
      </c>
      <c r="S15" s="217">
        <f t="shared" si="0"/>
        <v>203.94958</v>
      </c>
      <c r="T15" s="493"/>
    </row>
    <row r="16" spans="1:31" s="144" customFormat="1" ht="12" customHeight="1" thickTop="1">
      <c r="A16" s="30" t="s">
        <v>30</v>
      </c>
      <c r="B16" s="302"/>
      <c r="C16" s="333"/>
      <c r="D16" s="334"/>
      <c r="E16" s="302"/>
      <c r="F16" s="333"/>
      <c r="G16" s="334"/>
      <c r="H16" s="302"/>
      <c r="I16" s="333"/>
      <c r="J16" s="334"/>
      <c r="K16" s="228"/>
      <c r="L16" s="138"/>
      <c r="M16" s="139"/>
      <c r="N16" s="228"/>
      <c r="O16" s="219"/>
      <c r="P16" s="220"/>
      <c r="Q16" s="302"/>
      <c r="R16" s="219"/>
      <c r="S16" s="220"/>
      <c r="T16" s="494"/>
      <c r="U16" s="106"/>
      <c r="V16" s="106"/>
      <c r="W16" s="106"/>
      <c r="X16" s="106"/>
      <c r="Y16" s="106"/>
      <c r="Z16" s="106"/>
      <c r="AA16" s="106"/>
      <c r="AB16" s="106"/>
      <c r="AC16" s="106"/>
      <c r="AD16" s="106"/>
      <c r="AE16" s="106"/>
    </row>
    <row r="17" spans="1:31" s="144" customFormat="1" ht="12" customHeight="1">
      <c r="A17" s="145" t="s">
        <v>72</v>
      </c>
      <c r="B17" s="303">
        <v>258</v>
      </c>
      <c r="C17" s="324">
        <f>IF(B17="","",IF(VLOOKUP($A17,'Ex ante LI &amp; Eligibility Stats'!$A$7:$M$23,C$5,FALSE)="N/A",0,VLOOKUP($A17,'Ex ante LI &amp; Eligibility Stats'!$A$7:$M$23,C$5,FALSE)*B17/1000))</f>
        <v>0</v>
      </c>
      <c r="D17" s="325">
        <f>IF(B17="","",IF(VLOOKUP($A17,'Ex post LI &amp; Eligibility Stats'!$A$10:$M$26,C$5,FALSE)="N/A",0,VLOOKUP($A17,'Ex post LI &amp; Eligibility Stats'!$A$10:$M$26,C$5,FALSE)*B17/1000))</f>
        <v>0</v>
      </c>
      <c r="E17" s="303">
        <v>257</v>
      </c>
      <c r="F17" s="324">
        <f>IF(E17="","",IF(VLOOKUP($A17,'Ex ante LI &amp; Eligibility Stats'!$A$7:$M$23,F$5,FALSE)="N/A",0,VLOOKUP($A17,'Ex ante LI &amp; Eligibility Stats'!$A$7:$M$23,F$5,FALSE)*E17/1000))</f>
        <v>0</v>
      </c>
      <c r="G17" s="325">
        <f>IF(E17="","",IF(VLOOKUP($A17,'Ex post LI &amp; Eligibility Stats'!$A$10:$M$26,F$5,FALSE)="N/A",0,VLOOKUP($A17,'Ex post LI &amp; Eligibility Stats'!$A$10:$M$26,F$5,FALSE)*E17/1000))</f>
        <v>0</v>
      </c>
      <c r="H17" s="303">
        <v>257</v>
      </c>
      <c r="I17" s="324">
        <f>IF(H17="","",IF(VLOOKUP($A17,'Ex ante LI &amp; Eligibility Stats'!$A$7:$M$23,I$5,FALSE)="N/A",0,VLOOKUP($A17,'Ex ante LI &amp; Eligibility Stats'!$A$7:$M$23,I$5,FALSE)*H17/1000))</f>
        <v>0</v>
      </c>
      <c r="J17" s="325">
        <f>IF(H17="","",IF(VLOOKUP($A17,'Ex post LI &amp; Eligibility Stats'!$A$10:$M$26,I$5,FALSE)="N/A",0,VLOOKUP($A17,'Ex post LI &amp; Eligibility Stats'!$A$10:$M$26,I$5,FALSE)*H17/1000))</f>
        <v>0</v>
      </c>
      <c r="K17" s="226">
        <v>281</v>
      </c>
      <c r="L17" s="213">
        <f>IF(K17="","",IF(VLOOKUP($A17,'Ex ante LI &amp; Eligibility Stats'!$A$7:$M$23,L$5,FALSE)="N/A",0,VLOOKUP($A17,'Ex ante LI &amp; Eligibility Stats'!$A$7:$M$23,L$5,FALSE)*K17/1000))</f>
        <v>0</v>
      </c>
      <c r="M17" s="213">
        <f>IF(K17="","",IF(VLOOKUP($A17,'Ex post LI &amp; Eligibility Stats'!$A$10:$M$26,L$5,FALSE)="N/A",0,VLOOKUP($A17,'Ex post LI &amp; Eligibility Stats'!$A$10:$M$26,L$5,FALSE)*K17/1000))</f>
        <v>0</v>
      </c>
      <c r="N17" s="281">
        <v>281</v>
      </c>
      <c r="O17" s="213">
        <f>IF(N17="","",IF(VLOOKUP($A17,'Ex ante LI &amp; Eligibility Stats'!$A$7:$M$23,O$5,FALSE)="N/A",0,VLOOKUP($A17,'Ex ante LI &amp; Eligibility Stats'!$A$7:$M$23,O$5,FALSE)*N17/1000))</f>
        <v>71.750463171790003</v>
      </c>
      <c r="P17" s="210">
        <f>IF(N17="","",IF(VLOOKUP($A17,'Ex post LI &amp; Eligibility Stats'!$A$10:$M$26,O$5,FALSE)="N/A",0,VLOOKUP($A17,'Ex post LI &amp; Eligibility Stats'!$A$10:$M$26,O$5,FALSE)*N17/1000))</f>
        <v>0</v>
      </c>
      <c r="Q17" s="303">
        <v>290</v>
      </c>
      <c r="R17" s="213">
        <f>IF(Q17="","",IF(VLOOKUP($A17,'Ex ante LI &amp; Eligibility Stats'!$A$7:$M$23,R$5,FALSE)="N/A",0,VLOOKUP($A17,'Ex ante LI &amp; Eligibility Stats'!$A$7:$M$23,R$5,FALSE)*Q17/1000))</f>
        <v>74.048520711100011</v>
      </c>
      <c r="S17" s="210">
        <f>IF(Q17="","",IF(VLOOKUP($A17,'Ex post LI &amp; Eligibility Stats'!$A$10:$M$26,R$5,FALSE)="N/A",0,VLOOKUP($A17,'Ex post LI &amp; Eligibility Stats'!$A$10:$M$26,R$5,FALSE)*Q17/1000))</f>
        <v>0</v>
      </c>
      <c r="T17" s="491">
        <v>590834</v>
      </c>
      <c r="U17" s="106"/>
      <c r="V17" s="106"/>
      <c r="W17" s="106"/>
      <c r="X17" s="106"/>
      <c r="Y17" s="106"/>
      <c r="Z17" s="106"/>
      <c r="AA17" s="106"/>
      <c r="AB17" s="106"/>
      <c r="AC17" s="106"/>
      <c r="AD17" s="106"/>
      <c r="AE17" s="106"/>
    </row>
    <row r="18" spans="1:31" s="144" customFormat="1" ht="12" customHeight="1">
      <c r="A18" s="145" t="s">
        <v>73</v>
      </c>
      <c r="B18" s="287">
        <v>859</v>
      </c>
      <c r="C18" s="326">
        <f>IF(B18="","",IF(VLOOKUP($A18,'Ex ante LI &amp; Eligibility Stats'!$A$7:$M$23,C$5,FALSE)="N/A",0,VLOOKUP($A18,'Ex ante LI &amp; Eligibility Stats'!$A$7:$M$23,C$5,FALSE)*B18/1000))</f>
        <v>0</v>
      </c>
      <c r="D18" s="327">
        <f>IF(B18="","",IF(VLOOKUP($A18,'Ex post LI &amp; Eligibility Stats'!$A$10:$M$26,C$5,FALSE)="N/A",0,VLOOKUP($A18,'Ex post LI &amp; Eligibility Stats'!$A$10:$M$26,C$5,FALSE)*B18/1000))</f>
        <v>180.39</v>
      </c>
      <c r="E18" s="287">
        <v>868</v>
      </c>
      <c r="F18" s="326">
        <f>IF(E18="","",IF(VLOOKUP($A18,'Ex ante LI &amp; Eligibility Stats'!$A$7:$M$23,F$5,FALSE)="N/A",0,VLOOKUP($A18,'Ex ante LI &amp; Eligibility Stats'!$A$7:$M$23,F$5,FALSE)*E18/1000))</f>
        <v>0</v>
      </c>
      <c r="G18" s="327">
        <f>IF(E18="","",IF(VLOOKUP($A18,'Ex post LI &amp; Eligibility Stats'!$A$10:$M$26,F$5,FALSE)="N/A",0,VLOOKUP($A18,'Ex post LI &amp; Eligibility Stats'!$A$10:$M$26,F$5,FALSE)*E18/1000))</f>
        <v>182.28</v>
      </c>
      <c r="H18" s="287">
        <v>930</v>
      </c>
      <c r="I18" s="326">
        <f>IF(H18="","",IF(VLOOKUP($A18,'Ex ante LI &amp; Eligibility Stats'!$A$7:$M$23,I$5,FALSE)="N/A",0,VLOOKUP($A18,'Ex ante LI &amp; Eligibility Stats'!$A$7:$M$23,I$5,FALSE)*H18/1000))</f>
        <v>0</v>
      </c>
      <c r="J18" s="327">
        <f>IF(H18="","",IF(VLOOKUP($A18,'Ex post LI &amp; Eligibility Stats'!$A$10:$M$26,I$5,FALSE)="N/A",0,VLOOKUP($A18,'Ex post LI &amp; Eligibility Stats'!$A$10:$M$26,I$5,FALSE)*H18/1000))</f>
        <v>195.3</v>
      </c>
      <c r="K18" s="226">
        <v>956</v>
      </c>
      <c r="L18" s="214">
        <f>IF(K18="","",IF(VLOOKUP($A18,'Ex ante LI &amp; Eligibility Stats'!$A$7:$M$23,L$5,FALSE)="N/A",0,VLOOKUP($A18,'Ex ante LI &amp; Eligibility Stats'!$A$7:$M$23,L$5,FALSE)*K18/1000))</f>
        <v>0</v>
      </c>
      <c r="M18" s="211">
        <f>IF(K18="","",IF(VLOOKUP($A18,'Ex post LI &amp; Eligibility Stats'!$A$10:$M$26,L$5,FALSE)="N/A",0,VLOOKUP($A18,'Ex post LI &amp; Eligibility Stats'!$A$10:$M$26,L$5,FALSE)*K18/1000))</f>
        <v>200.76</v>
      </c>
      <c r="N18" s="279">
        <v>973</v>
      </c>
      <c r="O18" s="214">
        <f>IF(N18="","",IF(VLOOKUP($A18,'Ex ante LI &amp; Eligibility Stats'!$A$7:$M$23,O$5,FALSE)="N/A",0,VLOOKUP($A18,'Ex ante LI &amp; Eligibility Stats'!$A$7:$M$23,O$5,FALSE)*N18/1000))</f>
        <v>173.33785661969</v>
      </c>
      <c r="P18" s="211">
        <f>IF(N18="","",IF(VLOOKUP($A18,'Ex post LI &amp; Eligibility Stats'!$A$10:$M$26,O$5,FALSE)="N/A",0,VLOOKUP($A18,'Ex post LI &amp; Eligibility Stats'!$A$10:$M$26,O$5,FALSE)*N18/1000))</f>
        <v>204.33</v>
      </c>
      <c r="Q18" s="287">
        <v>1181</v>
      </c>
      <c r="R18" s="214">
        <f>IF(Q18="","",IF(VLOOKUP($A18,'Ex ante LI &amp; Eligibility Stats'!$A$7:$M$23,R$5,FALSE)="N/A",0,VLOOKUP($A18,'Ex ante LI &amp; Eligibility Stats'!$A$7:$M$23,R$5,FALSE)*Q18/1000))</f>
        <v>210.39260911393001</v>
      </c>
      <c r="S18" s="211">
        <f>IF(Q18="","",IF(VLOOKUP($A18,'Ex post LI &amp; Eligibility Stats'!$A$10:$M$26,R$5,FALSE)="N/A",0,VLOOKUP($A18,'Ex post LI &amp; Eligibility Stats'!$A$10:$M$26,R$5,FALSE)*Q18/1000))</f>
        <v>248.01</v>
      </c>
      <c r="T18" s="491">
        <v>590834</v>
      </c>
      <c r="U18" s="106"/>
      <c r="V18" s="106"/>
      <c r="W18" s="106"/>
      <c r="X18" s="106"/>
      <c r="Y18" s="106"/>
      <c r="Z18" s="106"/>
      <c r="AA18" s="106"/>
      <c r="AB18" s="106"/>
      <c r="AC18" s="106"/>
      <c r="AD18" s="106"/>
      <c r="AE18" s="106"/>
    </row>
    <row r="19" spans="1:31" s="144" customFormat="1" ht="12" customHeight="1">
      <c r="A19" s="145" t="s">
        <v>129</v>
      </c>
      <c r="B19" s="287">
        <v>0</v>
      </c>
      <c r="C19" s="326">
        <f>IF(B19="","",IF(VLOOKUP($A19,'Ex ante LI &amp; Eligibility Stats'!$A$7:$M$23,C$5,FALSE)="N/A",0,VLOOKUP($A19,'Ex ante LI &amp; Eligibility Stats'!$A$7:$M$23,C$5,FALSE)*B19/1000))</f>
        <v>0</v>
      </c>
      <c r="D19" s="327">
        <f>IF(B19="","",IF(VLOOKUP($A19,'Ex post LI &amp; Eligibility Stats'!$A$10:$M$26,C$5,FALSE)="N/A",0,VLOOKUP($A19,'Ex post LI &amp; Eligibility Stats'!$A$10:$M$26,C$5,FALSE)*B19/1000))</f>
        <v>0</v>
      </c>
      <c r="E19" s="287">
        <v>0</v>
      </c>
      <c r="F19" s="326">
        <f>IF(E19="","",IF(VLOOKUP($A19,'Ex ante LI &amp; Eligibility Stats'!$A$7:$M$23,F$5,FALSE)="N/A",0,VLOOKUP($A19,'Ex ante LI &amp; Eligibility Stats'!$A$7:$M$23,F$5,FALSE)*E19/1000))</f>
        <v>0</v>
      </c>
      <c r="G19" s="327">
        <f>IF(E19="","",IF(VLOOKUP($A19,'Ex post LI &amp; Eligibility Stats'!$A$10:$M$26,F$5,FALSE)="N/A",0,VLOOKUP($A19,'Ex post LI &amp; Eligibility Stats'!$A$10:$M$26,F$5,FALSE)*E19/1000))</f>
        <v>0</v>
      </c>
      <c r="H19" s="287">
        <v>0</v>
      </c>
      <c r="I19" s="326">
        <f>IF(H19="","",IF(VLOOKUP($A19,'Ex ante LI &amp; Eligibility Stats'!$A$7:$M$23,I$5,FALSE)="N/A",0,VLOOKUP($A19,'Ex ante LI &amp; Eligibility Stats'!$A$7:$M$23,I$5,FALSE)*H19/1000))</f>
        <v>0</v>
      </c>
      <c r="J19" s="327">
        <f>IF(H19="","",IF(VLOOKUP($A19,'Ex post LI &amp; Eligibility Stats'!$A$10:$M$26,I$5,FALSE)="N/A",0,VLOOKUP($A19,'Ex post LI &amp; Eligibility Stats'!$A$10:$M$26,I$5,FALSE)*H19/1000))</f>
        <v>0</v>
      </c>
      <c r="K19" s="226">
        <v>0</v>
      </c>
      <c r="L19" s="214">
        <f>IF(K19="","",IF(VLOOKUP($A19,'Ex ante LI &amp; Eligibility Stats'!$A$7:$M$23,L$5,FALSE)="N/A",0,VLOOKUP($A19,'Ex ante LI &amp; Eligibility Stats'!$A$7:$M$23,L$5,FALSE)*K19/1000))</f>
        <v>0</v>
      </c>
      <c r="M19" s="211">
        <f>IF(K19="","",IF(VLOOKUP($A19,'Ex post LI &amp; Eligibility Stats'!$A$10:$M$26,L$5,FALSE)="N/A",0,VLOOKUP($A19,'Ex post LI &amp; Eligibility Stats'!$A$10:$M$26,L$5,FALSE)*K19/1000))</f>
        <v>0</v>
      </c>
      <c r="N19" s="279">
        <v>0</v>
      </c>
      <c r="O19" s="214">
        <f>IF(N19="","",IF(VLOOKUP($A19,'Ex ante LI &amp; Eligibility Stats'!$A$7:$M$23,O$5,FALSE)="N/A",0,VLOOKUP($A19,'Ex ante LI &amp; Eligibility Stats'!$A$7:$M$23,O$5,FALSE)*N19/1000))</f>
        <v>0</v>
      </c>
      <c r="P19" s="211">
        <f>IF(N19="","",IF(VLOOKUP($A19,'Ex post LI &amp; Eligibility Stats'!$A$10:$M$26,O$5,FALSE)="N/A",0,VLOOKUP($A19,'Ex post LI &amp; Eligibility Stats'!$A$10:$M$26,O$5,FALSE)*N19/1000))</f>
        <v>0</v>
      </c>
      <c r="Q19" s="287">
        <v>0</v>
      </c>
      <c r="R19" s="214">
        <f>IF(Q19="","",IF(VLOOKUP($A19,'Ex ante LI &amp; Eligibility Stats'!$A$7:$M$23,R$5,FALSE)="N/A",0,VLOOKUP($A19,'Ex ante LI &amp; Eligibility Stats'!$A$7:$M$23,R$5,FALSE)*Q19/1000))</f>
        <v>0</v>
      </c>
      <c r="S19" s="211">
        <f>IF(Q19="","",IF(VLOOKUP($A19,'Ex post LI &amp; Eligibility Stats'!$A$10:$M$26,R$5,FALSE)="N/A",0,VLOOKUP($A19,'Ex post LI &amp; Eligibility Stats'!$A$10:$M$26,R$5,FALSE)*Q19/1000))</f>
        <v>0</v>
      </c>
      <c r="T19" s="491">
        <v>590834</v>
      </c>
      <c r="U19" s="106"/>
      <c r="V19" s="106"/>
      <c r="W19" s="106"/>
      <c r="X19" s="106"/>
      <c r="Y19" s="106"/>
      <c r="Z19" s="106"/>
      <c r="AA19" s="106"/>
      <c r="AB19" s="106"/>
      <c r="AC19" s="106"/>
      <c r="AD19" s="106"/>
      <c r="AE19" s="106"/>
    </row>
    <row r="20" spans="1:31" s="144" customFormat="1" ht="12" customHeight="1">
      <c r="A20" s="145" t="s">
        <v>130</v>
      </c>
      <c r="B20" s="287">
        <v>0</v>
      </c>
      <c r="C20" s="326">
        <f>IF(B20="","",IF(VLOOKUP($A20,'Ex ante LI &amp; Eligibility Stats'!$A$7:$M$23,C$5,FALSE)="N/A",0,VLOOKUP($A20,'Ex ante LI &amp; Eligibility Stats'!$A$7:$M$23,C$5,FALSE)*B20/1000))</f>
        <v>0</v>
      </c>
      <c r="D20" s="327">
        <f>IF(B20="","",IF(VLOOKUP($A20,'Ex post LI &amp; Eligibility Stats'!$A$10:$M$26,C$5,FALSE)="N/A",0,VLOOKUP($A20,'Ex post LI &amp; Eligibility Stats'!$A$10:$M$26,C$5,FALSE)*B20/1000))</f>
        <v>0</v>
      </c>
      <c r="E20" s="287">
        <v>0</v>
      </c>
      <c r="F20" s="326">
        <f>IF(E20="","",IF(VLOOKUP($A20,'Ex ante LI &amp; Eligibility Stats'!$A$7:$M$23,F$5,FALSE)="N/A",0,VLOOKUP($A20,'Ex ante LI &amp; Eligibility Stats'!$A$7:$M$23,F$5,FALSE)*E20/1000))</f>
        <v>0</v>
      </c>
      <c r="G20" s="327">
        <f>IF(E20="","",IF(VLOOKUP($A20,'Ex post LI &amp; Eligibility Stats'!$A$10:$M$26,F$5,FALSE)="N/A",0,VLOOKUP($A20,'Ex post LI &amp; Eligibility Stats'!$A$10:$M$26,F$5,FALSE)*E20/1000))</f>
        <v>0</v>
      </c>
      <c r="H20" s="287">
        <v>0</v>
      </c>
      <c r="I20" s="326">
        <f>IF(H20="","",IF(VLOOKUP($A20,'Ex ante LI &amp; Eligibility Stats'!$A$7:$M$23,I$5,FALSE)="N/A",0,VLOOKUP($A20,'Ex ante LI &amp; Eligibility Stats'!$A$7:$M$23,I$5,FALSE)*H20/1000))</f>
        <v>0</v>
      </c>
      <c r="J20" s="327">
        <f>IF(H20="","",IF(VLOOKUP($A20,'Ex post LI &amp; Eligibility Stats'!$A$10:$M$26,I$5,FALSE)="N/A",0,VLOOKUP($A20,'Ex post LI &amp; Eligibility Stats'!$A$10:$M$26,I$5,FALSE)*H20/1000))</f>
        <v>0</v>
      </c>
      <c r="K20" s="226">
        <v>0</v>
      </c>
      <c r="L20" s="214">
        <f>IF(K20="","",IF(VLOOKUP($A20,'Ex ante LI &amp; Eligibility Stats'!$A$7:$M$23,L$5,FALSE)="N/A",0,VLOOKUP($A20,'Ex ante LI &amp; Eligibility Stats'!$A$7:$M$23,L$5,FALSE)*K20/1000))</f>
        <v>0</v>
      </c>
      <c r="M20" s="211">
        <f>IF(K20="","",IF(VLOOKUP($A20,'Ex post LI &amp; Eligibility Stats'!$A$10:$M$26,L$5,FALSE)="N/A",0,VLOOKUP($A20,'Ex post LI &amp; Eligibility Stats'!$A$10:$M$26,L$5,FALSE)*K20/1000))</f>
        <v>0</v>
      </c>
      <c r="N20" s="279">
        <v>0</v>
      </c>
      <c r="O20" s="214">
        <f>IF(N20="","",IF(VLOOKUP($A20,'Ex ante LI &amp; Eligibility Stats'!$A$7:$M$23,O$5,FALSE)="N/A",0,VLOOKUP($A20,'Ex ante LI &amp; Eligibility Stats'!$A$7:$M$23,O$5,FALSE)*N20/1000))</f>
        <v>0</v>
      </c>
      <c r="P20" s="211">
        <f>IF(N20="","",IF(VLOOKUP($A20,'Ex post LI &amp; Eligibility Stats'!$A$10:$M$26,O$5,FALSE)="N/A",0,VLOOKUP($A20,'Ex post LI &amp; Eligibility Stats'!$A$10:$M$26,O$5,FALSE)*N20/1000))</f>
        <v>0</v>
      </c>
      <c r="Q20" s="287">
        <v>0</v>
      </c>
      <c r="R20" s="214">
        <f>IF(Q20="","",IF(VLOOKUP($A20,'Ex ante LI &amp; Eligibility Stats'!$A$7:$M$23,R$5,FALSE)="N/A",0,VLOOKUP($A20,'Ex ante LI &amp; Eligibility Stats'!$A$7:$M$23,R$5,FALSE)*Q20/1000))</f>
        <v>0</v>
      </c>
      <c r="S20" s="211">
        <f>IF(Q20="","",IF(VLOOKUP($A20,'Ex post LI &amp; Eligibility Stats'!$A$10:$M$26,R$5,FALSE)="N/A",0,VLOOKUP($A20,'Ex post LI &amp; Eligibility Stats'!$A$10:$M$26,R$5,FALSE)*Q20/1000))</f>
        <v>0</v>
      </c>
      <c r="T20" s="491">
        <v>590834</v>
      </c>
      <c r="U20" s="106"/>
      <c r="V20" s="106"/>
      <c r="W20" s="106"/>
      <c r="X20" s="106"/>
      <c r="Y20" s="106"/>
      <c r="Z20" s="106"/>
      <c r="AA20" s="106"/>
      <c r="AB20" s="106"/>
      <c r="AC20" s="106"/>
      <c r="AD20" s="106"/>
      <c r="AE20" s="106"/>
    </row>
    <row r="21" spans="1:31" s="144" customFormat="1" ht="12" customHeight="1">
      <c r="A21" s="145" t="s">
        <v>15</v>
      </c>
      <c r="B21" s="287">
        <v>1041</v>
      </c>
      <c r="C21" s="326">
        <f>IF(B21="","",IF(VLOOKUP($A21,'Ex ante LI &amp; Eligibility Stats'!$A$7:$M$23,C$5,FALSE)="N/A",0,VLOOKUP($A21,'Ex ante LI &amp; Eligibility Stats'!$A$7:$M$23,C$5,FALSE)*B21/1000))</f>
        <v>69.485177978612995</v>
      </c>
      <c r="D21" s="327">
        <f>IF(B21="","",IF(VLOOKUP($A21,'Ex post LI &amp; Eligibility Stats'!$A$10:$M$26,C$5,FALSE)="N/A",0,VLOOKUP($A21,'Ex post LI &amp; Eligibility Stats'!$A$10:$M$26,C$5,FALSE)*B21/1000))</f>
        <v>67.560900000000004</v>
      </c>
      <c r="E21" s="288">
        <v>1041</v>
      </c>
      <c r="F21" s="326">
        <f>IF(E21="","",IF(VLOOKUP($A21,'Ex ante LI &amp; Eligibility Stats'!$A$7:$M$23,F$5,FALSE)="N/A",0,VLOOKUP($A21,'Ex ante LI &amp; Eligibility Stats'!$A$7:$M$23,F$5,FALSE)*E21/1000))</f>
        <v>72.462507603816007</v>
      </c>
      <c r="G21" s="327">
        <f>IF(E21="","",IF(VLOOKUP($A21,'Ex post LI &amp; Eligibility Stats'!$A$10:$M$26,F$5,FALSE)="N/A",0,VLOOKUP($A21,'Ex post LI &amp; Eligibility Stats'!$A$10:$M$26,F$5,FALSE)*E21/1000))</f>
        <v>67.560900000000004</v>
      </c>
      <c r="H21" s="288">
        <v>1035</v>
      </c>
      <c r="I21" s="326">
        <f>IF(H21="","",IF(VLOOKUP($A21,'Ex ante LI &amp; Eligibility Stats'!$A$7:$M$23,I$5,FALSE)="N/A",0,VLOOKUP($A21,'Ex ante LI &amp; Eligibility Stats'!$A$7:$M$23,I$5,FALSE)*H21/1000))</f>
        <v>72.257703991425004</v>
      </c>
      <c r="J21" s="327">
        <f>IF(H21="","",IF(VLOOKUP($A21,'Ex post LI &amp; Eligibility Stats'!$A$10:$M$26,I$5,FALSE)="N/A",0,VLOOKUP($A21,'Ex post LI &amp; Eligibility Stats'!$A$10:$M$26,I$5,FALSE)*H21/1000))</f>
        <v>67.171499999999995</v>
      </c>
      <c r="K21" s="226">
        <v>1046</v>
      </c>
      <c r="L21" s="214">
        <f>IF(K21="","",IF(VLOOKUP($A21,'Ex ante LI &amp; Eligibility Stats'!$A$7:$M$23,L$5,FALSE)="N/A",0,VLOOKUP($A21,'Ex ante LI &amp; Eligibility Stats'!$A$7:$M$23,L$5,FALSE)*K21/1000))</f>
        <v>74.038589037492002</v>
      </c>
      <c r="M21" s="211">
        <f>IF(K21="","",IF(VLOOKUP($A21,'Ex post LI &amp; Eligibility Stats'!$A$10:$M$26,L$5,FALSE)="N/A",0,VLOOKUP($A21,'Ex post LI &amp; Eligibility Stats'!$A$10:$M$26,L$5,FALSE)*K21/1000))</f>
        <v>67.885400000000004</v>
      </c>
      <c r="N21" s="280">
        <v>1069</v>
      </c>
      <c r="O21" s="214">
        <f>IF(N21="","",IF(VLOOKUP($A21,'Ex ante LI &amp; Eligibility Stats'!$A$7:$M$23,O$5,FALSE)="N/A",0,VLOOKUP($A21,'Ex ante LI &amp; Eligibility Stats'!$A$7:$M$23,O$5,FALSE)*N21/1000))</f>
        <v>69.448523298715003</v>
      </c>
      <c r="P21" s="211">
        <f>IF(N21="","",IF(VLOOKUP($A21,'Ex post LI &amp; Eligibility Stats'!$A$10:$M$26,O$5,FALSE)="N/A",0,VLOOKUP($A21,'Ex post LI &amp; Eligibility Stats'!$A$10:$M$26,O$5,FALSE)*N21/1000))</f>
        <v>69.378100000000003</v>
      </c>
      <c r="Q21" s="288">
        <v>1068</v>
      </c>
      <c r="R21" s="214">
        <f>IF(Q21="","",IF(VLOOKUP($A21,'Ex ante LI &amp; Eligibility Stats'!$A$7:$M$23,R$5,FALSE)="N/A",0,VLOOKUP($A21,'Ex ante LI &amp; Eligibility Stats'!$A$7:$M$23,R$5,FALSE)*Q21/1000))</f>
        <v>75.215628641304008</v>
      </c>
      <c r="S21" s="211">
        <f>IF(Q21="","",IF(VLOOKUP($A21,'Ex post LI &amp; Eligibility Stats'!$A$10:$M$26,R$5,FALSE)="N/A",0,VLOOKUP($A21,'Ex post LI &amp; Eligibility Stats'!$A$10:$M$26,R$5,FALSE)*Q21/1000))</f>
        <v>69.313200000000009</v>
      </c>
      <c r="T21" s="491">
        <v>10199</v>
      </c>
      <c r="U21" s="106"/>
      <c r="V21" s="106"/>
      <c r="W21" s="106"/>
      <c r="X21" s="106"/>
      <c r="Y21" s="106"/>
      <c r="Z21" s="106"/>
      <c r="AA21" s="106"/>
      <c r="AB21" s="106"/>
      <c r="AC21" s="106"/>
      <c r="AD21" s="106"/>
      <c r="AE21" s="106"/>
    </row>
    <row r="22" spans="1:31" s="144" customFormat="1" ht="12" customHeight="1">
      <c r="A22" s="145" t="s">
        <v>183</v>
      </c>
      <c r="B22" s="287">
        <v>1996</v>
      </c>
      <c r="C22" s="326">
        <f>IF(B22="","",IF(VLOOKUP($A22,'Ex ante LI &amp; Eligibility Stats'!$A$7:$M$23,C$5,FALSE)="N/A",0,VLOOKUP($A22,'Ex ante LI &amp; Eligibility Stats'!$A$7:$M$23,C$5,FALSE)*B22/1000))</f>
        <v>30.075698568979998</v>
      </c>
      <c r="D22" s="327">
        <f>IF(B22="","",IF(VLOOKUP($A22,'Ex post LI &amp; Eligibility Stats'!$A$10:$M$26,C$5,FALSE)="N/A",0,VLOOKUP($A22,'Ex post LI &amp; Eligibility Stats'!$A$10:$M$26,C$5,FALSE)*B22/1000))</f>
        <v>27.544800000000002</v>
      </c>
      <c r="E22" s="287">
        <v>1965</v>
      </c>
      <c r="F22" s="326">
        <f>IF(E22="","",IF(VLOOKUP($A22,'Ex ante LI &amp; Eligibility Stats'!$A$7:$M$23,F$5,FALSE)="N/A",0,VLOOKUP($A22,'Ex ante LI &amp; Eligibility Stats'!$A$7:$M$23,F$5,FALSE)*E22/1000))</f>
        <v>29.631618434669999</v>
      </c>
      <c r="G22" s="327">
        <f>IF(E22="","",IF(VLOOKUP($A22,'Ex post LI &amp; Eligibility Stats'!$A$10:$M$26,F$5,FALSE)="N/A",0,VLOOKUP($A22,'Ex post LI &amp; Eligibility Stats'!$A$10:$M$26,F$5,FALSE)*E22/1000))</f>
        <v>27.117000000000001</v>
      </c>
      <c r="H22" s="287">
        <v>1965</v>
      </c>
      <c r="I22" s="326">
        <f>IF(H22="","",IF(VLOOKUP($A22,'Ex ante LI &amp; Eligibility Stats'!$A$7:$M$23,I$5,FALSE)="N/A",0,VLOOKUP($A22,'Ex ante LI &amp; Eligibility Stats'!$A$7:$M$23,I$5,FALSE)*H22/1000))</f>
        <v>29.649495195090001</v>
      </c>
      <c r="J22" s="327">
        <f>IF(H22="","",IF(VLOOKUP($A22,'Ex post LI &amp; Eligibility Stats'!$A$10:$M$26,I$5,FALSE)="N/A",0,VLOOKUP($A22,'Ex post LI &amp; Eligibility Stats'!$A$10:$M$26,I$5,FALSE)*H22/1000))</f>
        <v>27.117000000000001</v>
      </c>
      <c r="K22" s="226">
        <v>1921</v>
      </c>
      <c r="L22" s="214">
        <f>IF(K22="","",IF(VLOOKUP($A22,'Ex ante LI &amp; Eligibility Stats'!$A$7:$M$23,L$5,FALSE)="N/A",0,VLOOKUP($A22,'Ex ante LI &amp; Eligibility Stats'!$A$7:$M$23,L$5,FALSE)*K22/1000))</f>
        <v>28.093933136482004</v>
      </c>
      <c r="M22" s="211">
        <f>IF(K22="","",IF(VLOOKUP($A22,'Ex post LI &amp; Eligibility Stats'!$A$10:$M$26,L$5,FALSE)="N/A",0,VLOOKUP($A22,'Ex post LI &amp; Eligibility Stats'!$A$10:$M$26,L$5,FALSE)*K22/1000))</f>
        <v>26.509800000000002</v>
      </c>
      <c r="N22" s="279">
        <v>1872</v>
      </c>
      <c r="O22" s="214">
        <f>IF(N22="","",IF(VLOOKUP($A22,'Ex ante LI &amp; Eligibility Stats'!$A$7:$M$23,O$5,FALSE)="N/A",0,VLOOKUP($A22,'Ex ante LI &amp; Eligibility Stats'!$A$7:$M$23,O$5,FALSE)*N22/1000))</f>
        <v>28.720093203360001</v>
      </c>
      <c r="P22" s="211">
        <f>IF(N22="","",IF(VLOOKUP($A22,'Ex post LI &amp; Eligibility Stats'!$A$10:$M$26,O$5,FALSE)="N/A",0,VLOOKUP($A22,'Ex post LI &amp; Eligibility Stats'!$A$10:$M$26,O$5,FALSE)*N22/1000))</f>
        <v>25.833600000000001</v>
      </c>
      <c r="Q22" s="287">
        <v>1851</v>
      </c>
      <c r="R22" s="214">
        <f>IF(Q22="","",IF(VLOOKUP($A22,'Ex ante LI &amp; Eligibility Stats'!$A$7:$M$23,R$5,FALSE)="N/A",0,VLOOKUP($A22,'Ex ante LI &amp; Eligibility Stats'!$A$7:$M$23,R$5,FALSE)*Q22/1000))</f>
        <v>20.370272541926997</v>
      </c>
      <c r="S22" s="211">
        <f>IF(Q22="","",IF(VLOOKUP($A22,'Ex post LI &amp; Eligibility Stats'!$A$10:$M$26,R$5,FALSE)="N/A",0,VLOOKUP($A22,'Ex post LI &amp; Eligibility Stats'!$A$10:$M$26,R$5,FALSE)*Q22/1000))</f>
        <v>25.543800000000005</v>
      </c>
      <c r="T22" s="491">
        <v>161391</v>
      </c>
      <c r="U22" s="106"/>
      <c r="V22" s="106"/>
      <c r="W22" s="106"/>
      <c r="X22" s="106"/>
      <c r="Y22" s="106"/>
      <c r="Z22" s="106"/>
      <c r="AA22" s="106"/>
      <c r="AB22" s="106"/>
      <c r="AC22" s="106"/>
      <c r="AD22" s="106"/>
      <c r="AE22" s="106"/>
    </row>
    <row r="23" spans="1:31" s="144" customFormat="1" ht="12" customHeight="1">
      <c r="A23" s="145" t="s">
        <v>133</v>
      </c>
      <c r="B23" s="287">
        <v>106</v>
      </c>
      <c r="C23" s="326">
        <f>IF(B23="","",IF(VLOOKUP($A23,'Ex ante LI &amp; Eligibility Stats'!$A$7:$M$23,C$5,FALSE)="N/A",0,VLOOKUP($A23,'Ex ante LI &amp; Eligibility Stats'!$A$7:$M$23,C$5,FALSE)*B23/1000))</f>
        <v>0</v>
      </c>
      <c r="D23" s="327">
        <f>IF(B23="","",IF(VLOOKUP($A23,'Ex post LI &amp; Eligibility Stats'!$A$10:$M$26,C$5,FALSE)="N/A",0,VLOOKUP($A23,'Ex post LI &amp; Eligibility Stats'!$A$10:$M$26,C$5,FALSE)*B23/1000))</f>
        <v>1.4416</v>
      </c>
      <c r="E23" s="287">
        <v>105</v>
      </c>
      <c r="F23" s="326">
        <f>IF(E23="","",IF(VLOOKUP($A23,'Ex ante LI &amp; Eligibility Stats'!$A$7:$M$23,F$5,FALSE)="N/A",0,VLOOKUP($A23,'Ex ante LI &amp; Eligibility Stats'!$A$7:$M$23,F$5,FALSE)*E23/1000))</f>
        <v>0</v>
      </c>
      <c r="G23" s="327">
        <f>IF(E23="","",IF(VLOOKUP($A23,'Ex post LI &amp; Eligibility Stats'!$A$10:$M$26,F$5,FALSE)="N/A",0,VLOOKUP($A23,'Ex post LI &amp; Eligibility Stats'!$A$10:$M$26,F$5,FALSE)*E23/1000))</f>
        <v>1.4279999999999999</v>
      </c>
      <c r="H23" s="287">
        <v>105</v>
      </c>
      <c r="I23" s="326">
        <f>IF(H23="","",IF(VLOOKUP($A23,'Ex ante LI &amp; Eligibility Stats'!$A$7:$M$23,I$5,FALSE)="N/A",0,VLOOKUP($A23,'Ex ante LI &amp; Eligibility Stats'!$A$7:$M$23,I$5,FALSE)*H23/1000))</f>
        <v>0</v>
      </c>
      <c r="J23" s="327">
        <f>IF(H23="","",IF(VLOOKUP($A23,'Ex post LI &amp; Eligibility Stats'!$A$10:$M$26,I$5,FALSE)="N/A",0,VLOOKUP($A23,'Ex post LI &amp; Eligibility Stats'!$A$10:$M$26,I$5,FALSE)*H23/1000))</f>
        <v>1.4279999999999999</v>
      </c>
      <c r="K23" s="226">
        <v>122</v>
      </c>
      <c r="L23" s="214">
        <f>IF(K23="","",IF(VLOOKUP($A23,'Ex ante LI &amp; Eligibility Stats'!$A$7:$M$23,L$5,FALSE)="N/A",0,VLOOKUP($A23,'Ex ante LI &amp; Eligibility Stats'!$A$7:$M$23,L$5,FALSE)*K23/1000))</f>
        <v>0</v>
      </c>
      <c r="M23" s="211">
        <f>IF(K23="","",IF(VLOOKUP($A23,'Ex post LI &amp; Eligibility Stats'!$A$10:$M$26,L$5,FALSE)="N/A",0,VLOOKUP($A23,'Ex post LI &amp; Eligibility Stats'!$A$10:$M$26,L$5,FALSE)*K23/1000))</f>
        <v>1.6592</v>
      </c>
      <c r="N23" s="289">
        <v>113</v>
      </c>
      <c r="O23" s="214">
        <f>IF(N23="","",IF(VLOOKUP($A23,'Ex ante LI &amp; Eligibility Stats'!$A$7:$M$23,O$5,FALSE)="N/A",0,VLOOKUP($A23,'Ex ante LI &amp; Eligibility Stats'!$A$7:$M$23,O$5,FALSE)*N23/1000))</f>
        <v>0.70232121037259987</v>
      </c>
      <c r="P23" s="211">
        <f>IF(N23="","",IF(VLOOKUP($A23,'Ex post LI &amp; Eligibility Stats'!$A$10:$M$26,O$5,FALSE)="N/A",0,VLOOKUP($A23,'Ex post LI &amp; Eligibility Stats'!$A$10:$M$26,O$5,FALSE)*N23/1000))</f>
        <v>1.5367999999999999</v>
      </c>
      <c r="Q23" s="287">
        <v>113</v>
      </c>
      <c r="R23" s="214">
        <f>IF(Q23="","",IF(VLOOKUP($A23,'Ex ante LI &amp; Eligibility Stats'!$A$7:$M$23,R$5,FALSE)="N/A",0,VLOOKUP($A23,'Ex ante LI &amp; Eligibility Stats'!$A$7:$M$23,R$5,FALSE)*Q23/1000))</f>
        <v>0.78863354011230002</v>
      </c>
      <c r="S23" s="211">
        <f>IF(Q23="","",IF(VLOOKUP($A23,'Ex post LI &amp; Eligibility Stats'!$A$10:$M$26,R$5,FALSE)="N/A",0,VLOOKUP($A23,'Ex post LI &amp; Eligibility Stats'!$A$10:$M$26,R$5,FALSE)*Q23/1000))</f>
        <v>1.5367999999999999</v>
      </c>
      <c r="T23" s="491">
        <v>100833</v>
      </c>
      <c r="U23" s="106"/>
      <c r="V23" s="106"/>
      <c r="W23" s="106"/>
      <c r="X23" s="106"/>
      <c r="Y23" s="106"/>
      <c r="Z23" s="106"/>
      <c r="AA23" s="106"/>
      <c r="AB23" s="106"/>
      <c r="AC23" s="106"/>
      <c r="AD23" s="106"/>
      <c r="AE23" s="106"/>
    </row>
    <row r="24" spans="1:31" s="144" customFormat="1" ht="12" customHeight="1">
      <c r="A24" s="145" t="s">
        <v>134</v>
      </c>
      <c r="B24" s="287">
        <v>49</v>
      </c>
      <c r="C24" s="326">
        <f>IF(B24="","",IF(VLOOKUP($A24,'Ex ante LI &amp; Eligibility Stats'!$A$7:$M$23,C$5,FALSE)="N/A",0,VLOOKUP($A24,'Ex ante LI &amp; Eligibility Stats'!$A$7:$M$23,C$5,FALSE)*B24/1000))</f>
        <v>0</v>
      </c>
      <c r="D24" s="327">
        <f>IF(B24="","",IF(VLOOKUP($A24,'Ex post LI &amp; Eligibility Stats'!$A$10:$M$26,C$5,FALSE)="N/A",0,VLOOKUP($A24,'Ex post LI &amp; Eligibility Stats'!$A$10:$M$26,C$5,FALSE)*B24/1000))</f>
        <v>1.421</v>
      </c>
      <c r="E24" s="287">
        <v>52</v>
      </c>
      <c r="F24" s="326">
        <f>IF(E24="","",IF(VLOOKUP($A24,'Ex ante LI &amp; Eligibility Stats'!$A$7:$M$23,F$5,FALSE)="N/A",0,VLOOKUP($A24,'Ex ante LI &amp; Eligibility Stats'!$A$7:$M$23,F$5,FALSE)*E24/1000))</f>
        <v>0</v>
      </c>
      <c r="G24" s="327">
        <f>IF(E24="","",IF(VLOOKUP($A24,'Ex post LI &amp; Eligibility Stats'!$A$10:$M$26,F$5,FALSE)="N/A",0,VLOOKUP($A24,'Ex post LI &amp; Eligibility Stats'!$A$10:$M$26,F$5,FALSE)*E24/1000))</f>
        <v>1.508</v>
      </c>
      <c r="H24" s="287">
        <v>51</v>
      </c>
      <c r="I24" s="326">
        <f>IF(H24="","",IF(VLOOKUP($A24,'Ex ante LI &amp; Eligibility Stats'!$A$7:$M$23,I$5,FALSE)="N/A",0,VLOOKUP($A24,'Ex ante LI &amp; Eligibility Stats'!$A$7:$M$23,I$5,FALSE)*H24/1000))</f>
        <v>0</v>
      </c>
      <c r="J24" s="327">
        <f>IF(H24="","",IF(VLOOKUP($A24,'Ex post LI &amp; Eligibility Stats'!$A$10:$M$26,I$5,FALSE)="N/A",0,VLOOKUP($A24,'Ex post LI &amp; Eligibility Stats'!$A$10:$M$26,I$5,FALSE)*H24/1000))</f>
        <v>1.4790000000000001</v>
      </c>
      <c r="K24" s="226">
        <v>51</v>
      </c>
      <c r="L24" s="214">
        <f>IF(K24="","",IF(VLOOKUP($A24,'Ex ante LI &amp; Eligibility Stats'!$A$7:$M$23,L$5,FALSE)="N/A",0,VLOOKUP($A24,'Ex ante LI &amp; Eligibility Stats'!$A$7:$M$23,L$5,FALSE)*K24/1000))</f>
        <v>0</v>
      </c>
      <c r="M24" s="211">
        <f>IF(K24="","",IF(VLOOKUP($A24,'Ex post LI &amp; Eligibility Stats'!$A$10:$M$26,L$5,FALSE)="N/A",0,VLOOKUP($A24,'Ex post LI &amp; Eligibility Stats'!$A$10:$M$26,L$5,FALSE)*K24/1000))</f>
        <v>1.4790000000000001</v>
      </c>
      <c r="N24" s="289">
        <v>50</v>
      </c>
      <c r="O24" s="214">
        <f>IF(N24="","",IF(VLOOKUP($A24,'Ex ante LI &amp; Eligibility Stats'!$A$7:$M$23,O$5,FALSE)="N/A",0,VLOOKUP($A24,'Ex ante LI &amp; Eligibility Stats'!$A$7:$M$23,O$5,FALSE)*N24/1000))</f>
        <v>0.99493653840000007</v>
      </c>
      <c r="P24" s="211">
        <f>IF(N24="","",IF(VLOOKUP($A24,'Ex post LI &amp; Eligibility Stats'!$A$10:$M$26,O$5,FALSE)="N/A",0,VLOOKUP($A24,'Ex post LI &amp; Eligibility Stats'!$A$10:$M$26,O$5,FALSE)*N24/1000))</f>
        <v>1.45</v>
      </c>
      <c r="Q24" s="287">
        <v>50</v>
      </c>
      <c r="R24" s="214">
        <f>IF(Q24="","",IF(VLOOKUP($A24,'Ex ante LI &amp; Eligibility Stats'!$A$7:$M$23,R$5,FALSE)="N/A",0,VLOOKUP($A24,'Ex ante LI &amp; Eligibility Stats'!$A$7:$M$23,R$5,FALSE)*Q24/1000))</f>
        <v>1.2462904479999999</v>
      </c>
      <c r="S24" s="211">
        <f>IF(Q24="","",IF(VLOOKUP($A24,'Ex post LI &amp; Eligibility Stats'!$A$10:$M$26,R$5,FALSE)="N/A",0,VLOOKUP($A24,'Ex post LI &amp; Eligibility Stats'!$A$10:$M$26,R$5,FALSE)*Q24/1000))</f>
        <v>1.45</v>
      </c>
      <c r="T24" s="491">
        <v>100833</v>
      </c>
      <c r="U24" s="106"/>
      <c r="V24" s="106"/>
      <c r="W24" s="106"/>
      <c r="X24" s="106"/>
      <c r="Y24" s="106"/>
      <c r="Z24" s="106"/>
      <c r="AA24" s="106"/>
      <c r="AB24" s="106"/>
      <c r="AC24" s="106"/>
      <c r="AD24" s="106"/>
      <c r="AE24" s="106"/>
    </row>
    <row r="25" spans="1:31" s="144" customFormat="1" ht="12" customHeight="1">
      <c r="A25" s="145" t="s">
        <v>135</v>
      </c>
      <c r="B25" s="287">
        <v>137</v>
      </c>
      <c r="C25" s="326">
        <f>IF(B25="","",IF(VLOOKUP($A25,'Ex ante LI &amp; Eligibility Stats'!$A$7:$M$23,C$5,FALSE)="N/A",0,VLOOKUP($A25,'Ex ante LI &amp; Eligibility Stats'!$A$7:$M$23,C$5,FALSE)*B25/1000))</f>
        <v>0</v>
      </c>
      <c r="D25" s="327">
        <f>IF(B25="","",IF(VLOOKUP($A25,'Ex post LI &amp; Eligibility Stats'!$A$10:$M$26,C$5,FALSE)="N/A",0,VLOOKUP($A25,'Ex post LI &amp; Eligibility Stats'!$A$10:$M$26,C$5,FALSE)*B25/1000))</f>
        <v>3.0139999999999998</v>
      </c>
      <c r="E25" s="287">
        <v>139</v>
      </c>
      <c r="F25" s="326">
        <f>IF(E25="","",IF(VLOOKUP($A25,'Ex ante LI &amp; Eligibility Stats'!$A$7:$M$23,F$5,FALSE)="N/A",0,VLOOKUP($A25,'Ex ante LI &amp; Eligibility Stats'!$A$7:$M$23,F$5,FALSE)*E25/1000))</f>
        <v>0</v>
      </c>
      <c r="G25" s="327">
        <f>IF(E25="","",IF(VLOOKUP($A25,'Ex post LI &amp; Eligibility Stats'!$A$10:$M$26,F$5,FALSE)="N/A",0,VLOOKUP($A25,'Ex post LI &amp; Eligibility Stats'!$A$10:$M$26,F$5,FALSE)*E25/1000))</f>
        <v>3.0579999999999998</v>
      </c>
      <c r="H25" s="287">
        <v>137</v>
      </c>
      <c r="I25" s="326">
        <f>IF(H25="","",IF(VLOOKUP($A25,'Ex ante LI &amp; Eligibility Stats'!$A$7:$M$23,I$5,FALSE)="N/A",0,VLOOKUP($A25,'Ex ante LI &amp; Eligibility Stats'!$A$7:$M$23,I$5,FALSE)*H25/1000))</f>
        <v>0</v>
      </c>
      <c r="J25" s="327">
        <f>IF(H25="","",IF(VLOOKUP($A25,'Ex post LI &amp; Eligibility Stats'!$A$10:$M$26,I$5,FALSE)="N/A",0,VLOOKUP($A25,'Ex post LI &amp; Eligibility Stats'!$A$10:$M$26,I$5,FALSE)*H25/1000))</f>
        <v>3.0139999999999998</v>
      </c>
      <c r="K25" s="226">
        <v>117</v>
      </c>
      <c r="L25" s="214">
        <f>IF(K25="","",IF(VLOOKUP($A25,'Ex ante LI &amp; Eligibility Stats'!$A$7:$M$23,L$5,FALSE)="N/A",0,VLOOKUP($A25,'Ex ante LI &amp; Eligibility Stats'!$A$7:$M$23,L$5,FALSE)*K25/1000))</f>
        <v>0</v>
      </c>
      <c r="M25" s="211">
        <f>IF(K25="","",IF(VLOOKUP($A25,'Ex post LI &amp; Eligibility Stats'!$A$10:$M$26,L$5,FALSE)="N/A",0,VLOOKUP($A25,'Ex post LI &amp; Eligibility Stats'!$A$10:$M$26,L$5,FALSE)*K25/1000))</f>
        <v>2.5739999999999998</v>
      </c>
      <c r="N25" s="289">
        <v>117</v>
      </c>
      <c r="O25" s="214">
        <f>IF(N25="","",IF(VLOOKUP($A25,'Ex ante LI &amp; Eligibility Stats'!$A$7:$M$23,O$5,FALSE)="N/A",0,VLOOKUP($A25,'Ex ante LI &amp; Eligibility Stats'!$A$7:$M$23,O$5,FALSE)*N25/1000))</f>
        <v>2.0097063238590001</v>
      </c>
      <c r="P25" s="211">
        <f>IF(N25="","",IF(VLOOKUP($A25,'Ex post LI &amp; Eligibility Stats'!$A$10:$M$26,O$5,FALSE)="N/A",0,VLOOKUP($A25,'Ex post LI &amp; Eligibility Stats'!$A$10:$M$26,O$5,FALSE)*N25/1000))</f>
        <v>2.5739999999999998</v>
      </c>
      <c r="Q25" s="287">
        <v>132</v>
      </c>
      <c r="R25" s="214">
        <f>IF(Q25="","",IF(VLOOKUP($A25,'Ex ante LI &amp; Eligibility Stats'!$A$7:$M$23,R$5,FALSE)="N/A",0,VLOOKUP($A25,'Ex ante LI &amp; Eligibility Stats'!$A$7:$M$23,R$5,FALSE)*Q25/1000))</f>
        <v>2.62065285042</v>
      </c>
      <c r="S25" s="211">
        <f>IF(Q25="","",IF(VLOOKUP($A25,'Ex post LI &amp; Eligibility Stats'!$A$10:$M$26,R$5,FALSE)="N/A",0,VLOOKUP($A25,'Ex post LI &amp; Eligibility Stats'!$A$10:$M$26,R$5,FALSE)*Q25/1000))</f>
        <v>2.9039999999999999</v>
      </c>
      <c r="T25" s="491">
        <v>100833</v>
      </c>
      <c r="U25" s="106"/>
      <c r="V25" s="106"/>
      <c r="W25" s="106"/>
      <c r="X25" s="106"/>
      <c r="Y25" s="106"/>
      <c r="Z25" s="106"/>
      <c r="AA25" s="106"/>
      <c r="AB25" s="106"/>
      <c r="AC25" s="106"/>
      <c r="AD25" s="106"/>
      <c r="AE25" s="106"/>
    </row>
    <row r="26" spans="1:31" s="144" customFormat="1" ht="12" customHeight="1">
      <c r="A26" s="145" t="s">
        <v>136</v>
      </c>
      <c r="B26" s="287">
        <v>16</v>
      </c>
      <c r="C26" s="326">
        <f>IF(B26="","",IF(VLOOKUP($A26,'Ex ante LI &amp; Eligibility Stats'!$A$7:$M$23,C$5,FALSE)="N/A",0,VLOOKUP($A26,'Ex ante LI &amp; Eligibility Stats'!$A$7:$M$23,C$5,FALSE)*B26/1000))</f>
        <v>0</v>
      </c>
      <c r="D26" s="327">
        <f>IF(B26="","",IF(VLOOKUP($A26,'Ex post LI &amp; Eligibility Stats'!$A$10:$M$26,C$5,FALSE)="N/A",0,VLOOKUP($A26,'Ex post LI &amp; Eligibility Stats'!$A$10:$M$26,C$5,FALSE)*B26/1000))</f>
        <v>20.384</v>
      </c>
      <c r="E26" s="287">
        <v>16</v>
      </c>
      <c r="F26" s="326">
        <f>IF(E26="","",IF(VLOOKUP($A26,'Ex ante LI &amp; Eligibility Stats'!$A$7:$M$23,F$5,FALSE)="N/A",0,VLOOKUP($A26,'Ex ante LI &amp; Eligibility Stats'!$A$7:$M$23,F$5,FALSE)*E26/1000))</f>
        <v>0</v>
      </c>
      <c r="G26" s="327">
        <f>IF(E26="","",IF(VLOOKUP($A26,'Ex post LI &amp; Eligibility Stats'!$A$10:$M$26,F$5,FALSE)="N/A",0,VLOOKUP($A26,'Ex post LI &amp; Eligibility Stats'!$A$10:$M$26,F$5,FALSE)*E26/1000))</f>
        <v>20.384</v>
      </c>
      <c r="H26" s="287">
        <v>14</v>
      </c>
      <c r="I26" s="326">
        <f>IF(H26="","",IF(VLOOKUP($A26,'Ex ante LI &amp; Eligibility Stats'!$A$7:$M$23,I$5,FALSE)="N/A",0,VLOOKUP($A26,'Ex ante LI &amp; Eligibility Stats'!$A$7:$M$23,I$5,FALSE)*H26/1000))</f>
        <v>0</v>
      </c>
      <c r="J26" s="327">
        <f>IF(H26="","",IF(VLOOKUP($A26,'Ex post LI &amp; Eligibility Stats'!$A$10:$M$26,I$5,FALSE)="N/A",0,VLOOKUP($A26,'Ex post LI &amp; Eligibility Stats'!$A$10:$M$26,I$5,FALSE)*H26/1000))</f>
        <v>17.835999999999999</v>
      </c>
      <c r="K26" s="226">
        <v>15</v>
      </c>
      <c r="L26" s="214">
        <f>IF(K26="","",IF(VLOOKUP($A26,'Ex ante LI &amp; Eligibility Stats'!$A$7:$M$23,L$5,FALSE)="N/A",0,VLOOKUP($A26,'Ex ante LI &amp; Eligibility Stats'!$A$7:$M$23,L$5,FALSE)*K26/1000))</f>
        <v>0</v>
      </c>
      <c r="M26" s="211">
        <f>IF(K26="","",IF(VLOOKUP($A26,'Ex post LI &amp; Eligibility Stats'!$A$10:$M$26,L$5,FALSE)="N/A",0,VLOOKUP($A26,'Ex post LI &amp; Eligibility Stats'!$A$10:$M$26,L$5,FALSE)*K26/1000))</f>
        <v>19.11</v>
      </c>
      <c r="N26" s="289">
        <v>15</v>
      </c>
      <c r="O26" s="214">
        <f>IF(N26="","",IF(VLOOKUP($A26,'Ex ante LI &amp; Eligibility Stats'!$A$7:$M$23,O$5,FALSE)="N/A",0,VLOOKUP($A26,'Ex ante LI &amp; Eligibility Stats'!$A$7:$M$23,O$5,FALSE)*N26/1000))</f>
        <v>13.025983984349999</v>
      </c>
      <c r="P26" s="211">
        <f>IF(N26="","",IF(VLOOKUP($A26,'Ex post LI &amp; Eligibility Stats'!$A$10:$M$26,O$5,FALSE)="N/A",0,VLOOKUP($A26,'Ex post LI &amp; Eligibility Stats'!$A$10:$M$26,O$5,FALSE)*N26/1000))</f>
        <v>19.11</v>
      </c>
      <c r="Q26" s="287">
        <v>15</v>
      </c>
      <c r="R26" s="214">
        <f>IF(Q26="","",IF(VLOOKUP($A26,'Ex ante LI &amp; Eligibility Stats'!$A$7:$M$23,R$5,FALSE)="N/A",0,VLOOKUP($A26,'Ex ante LI &amp; Eligibility Stats'!$A$7:$M$23,R$5,FALSE)*Q26/1000))</f>
        <v>12.234506662649999</v>
      </c>
      <c r="S26" s="211">
        <f>IF(Q26="","",IF(VLOOKUP($A26,'Ex post LI &amp; Eligibility Stats'!$A$10:$M$26,R$5,FALSE)="N/A",0,VLOOKUP($A26,'Ex post LI &amp; Eligibility Stats'!$A$10:$M$26,R$5,FALSE)*Q26/1000))</f>
        <v>19.11</v>
      </c>
      <c r="T26" s="491">
        <v>100833</v>
      </c>
      <c r="U26" s="106"/>
      <c r="V26" s="106"/>
      <c r="W26" s="106"/>
      <c r="X26" s="106"/>
      <c r="Y26" s="106"/>
      <c r="Z26" s="106"/>
      <c r="AA26" s="106"/>
      <c r="AB26" s="106"/>
      <c r="AC26" s="106"/>
      <c r="AD26" s="106"/>
      <c r="AE26" s="106"/>
    </row>
    <row r="27" spans="1:31" s="144" customFormat="1" ht="12" customHeight="1">
      <c r="A27" s="358" t="s">
        <v>193</v>
      </c>
      <c r="B27" s="287">
        <v>0</v>
      </c>
      <c r="C27" s="326">
        <f>IF(B27="","",IF(VLOOKUP($A27,'Ex ante LI &amp; Eligibility Stats'!$A$7:$M$23,C$5,FALSE)="N/A",0,VLOOKUP($A27,'Ex ante LI &amp; Eligibility Stats'!$A$7:$M$23,C$5,FALSE)*B27/1000))</f>
        <v>0</v>
      </c>
      <c r="D27" s="327">
        <f>IF(B27="","",IF(VLOOKUP($A27,'Ex post LI &amp; Eligibility Stats'!$A$10:$M$26,C$5,FALSE)="N/A",0,VLOOKUP($A27,'Ex post LI &amp; Eligibility Stats'!$A$10:$M$26,C$5,FALSE)*B27/1000))</f>
        <v>0</v>
      </c>
      <c r="E27" s="288">
        <v>0</v>
      </c>
      <c r="F27" s="326">
        <f>IF(E27="","",IF(VLOOKUP($A27,'Ex ante LI &amp; Eligibility Stats'!$A$7:$M$23,F$5,FALSE)="N/A",0,VLOOKUP($A27,'Ex ante LI &amp; Eligibility Stats'!$A$7:$M$23,F$5,FALSE)*E27/1000))</f>
        <v>0</v>
      </c>
      <c r="G27" s="327">
        <f>IF(E27="","",IF(VLOOKUP($A27,'Ex post LI &amp; Eligibility Stats'!$A$10:$M$26,F$5,FALSE)="N/A",0,VLOOKUP($A27,'Ex post LI &amp; Eligibility Stats'!$A$10:$M$26,F$5,FALSE)*E27/1000))</f>
        <v>0</v>
      </c>
      <c r="H27" s="288">
        <v>0</v>
      </c>
      <c r="I27" s="326">
        <f>IF(H27="","",IF(VLOOKUP($A27,'Ex ante LI &amp; Eligibility Stats'!$A$7:$M$23,I$5,FALSE)="N/A",0,VLOOKUP($A27,'Ex ante LI &amp; Eligibility Stats'!$A$7:$M$23,I$5,FALSE)*H27/1000))</f>
        <v>0</v>
      </c>
      <c r="J27" s="327">
        <f>IF(H27="","",IF(VLOOKUP($A27,'Ex post LI &amp; Eligibility Stats'!$A$10:$M$26,I$5,FALSE)="N/A",0,VLOOKUP($A27,'Ex post LI &amp; Eligibility Stats'!$A$10:$M$26,I$5,FALSE)*H27/1000))</f>
        <v>0</v>
      </c>
      <c r="K27" s="226">
        <v>0</v>
      </c>
      <c r="L27" s="214">
        <f>IF(K27="","",IF(VLOOKUP($A27,'Ex ante LI &amp; Eligibility Stats'!$A$7:$M$23,L$5,FALSE)="N/A",0,VLOOKUP($A27,'Ex ante LI &amp; Eligibility Stats'!$A$7:$M$23,L$5,FALSE)*K27/1000))</f>
        <v>0</v>
      </c>
      <c r="M27" s="211">
        <f>IF(K27="","",IF(VLOOKUP($A27,'Ex post LI &amp; Eligibility Stats'!$A$10:$M$26,L$5,FALSE)="N/A",0,VLOOKUP($A27,'Ex post LI &amp; Eligibility Stats'!$A$10:$M$26,L$5,FALSE)*K27/1000))</f>
        <v>0</v>
      </c>
      <c r="N27" s="280">
        <v>0</v>
      </c>
      <c r="O27" s="214">
        <f>IF(N27="","",IF(VLOOKUP($A27,'Ex ante LI &amp; Eligibility Stats'!$A$7:$M$23,O$5,FALSE)="N/A",0,VLOOKUP($A27,'Ex ante LI &amp; Eligibility Stats'!$A$7:$M$23,O$5,FALSE)*N27/1000))</f>
        <v>0</v>
      </c>
      <c r="P27" s="211">
        <f>IF(N27="","",IF(VLOOKUP($A27,'Ex post LI &amp; Eligibility Stats'!$A$10:$M$26,O$5,FALSE)="N/A",0,VLOOKUP($A27,'Ex post LI &amp; Eligibility Stats'!$A$10:$M$26,O$5,FALSE)*N27/1000))</f>
        <v>0</v>
      </c>
      <c r="Q27" s="288">
        <v>0</v>
      </c>
      <c r="R27" s="214">
        <f>IF(Q27="","",IF(VLOOKUP($A27,'Ex ante LI &amp; Eligibility Stats'!$A$7:$M$23,R$5,FALSE)="N/A",0,VLOOKUP($A27,'Ex ante LI &amp; Eligibility Stats'!$A$7:$M$23,R$5,FALSE)*Q27/1000))</f>
        <v>0</v>
      </c>
      <c r="S27" s="211">
        <f>IF(Q27="","",IF(VLOOKUP($A27,'Ex post LI &amp; Eligibility Stats'!$A$10:$M$26,R$5,FALSE)="N/A",0,VLOOKUP($A27,'Ex post LI &amp; Eligibility Stats'!$A$10:$M$26,R$5,FALSE)*Q27/1000))</f>
        <v>0</v>
      </c>
      <c r="T27" s="491">
        <v>0</v>
      </c>
    </row>
    <row r="28" spans="1:31" s="144" customFormat="1" ht="12" customHeight="1">
      <c r="A28" s="358" t="s">
        <v>196</v>
      </c>
      <c r="B28" s="328">
        <v>23951</v>
      </c>
      <c r="C28" s="329">
        <f>IF(B28="","",IF(VLOOKUP($A28,'Ex ante LI &amp; Eligibility Stats'!$A$7:$M$23,C$5,FALSE)="N/A",0,VLOOKUP($A28,'Ex ante LI &amp; Eligibility Stats'!$A$7:$M$23,C$5,FALSE)*B28/1000))</f>
        <v>0</v>
      </c>
      <c r="D28" s="330">
        <f>IF(B28="","",IF(VLOOKUP($A28,'Ex post LI &amp; Eligibility Stats'!$A$10:$M$26,C$5,FALSE)="N/A",0,VLOOKUP($A28,'Ex post LI &amp; Eligibility Stats'!$A$10:$M$26,C$5,FALSE)*B28/1000))</f>
        <v>6.2272600000000002</v>
      </c>
      <c r="E28" s="308">
        <v>23749</v>
      </c>
      <c r="F28" s="329">
        <f>IF(E28="","",IF(VLOOKUP($A28,'Ex ante LI &amp; Eligibility Stats'!$A$7:$M$23,F$5,FALSE)="N/A",0,VLOOKUP($A28,'Ex ante LI &amp; Eligibility Stats'!$A$7:$M$23,F$5,FALSE)*E28/1000))</f>
        <v>0</v>
      </c>
      <c r="G28" s="330">
        <f>IF(E28="","",IF(VLOOKUP($A28,'Ex post LI &amp; Eligibility Stats'!$A$10:$M$26,F$5,FALSE)="N/A",0,VLOOKUP($A28,'Ex post LI &amp; Eligibility Stats'!$A$10:$M$26,F$5,FALSE)*E28/1000))</f>
        <v>6.1747399999999999</v>
      </c>
      <c r="H28" s="308">
        <v>23577</v>
      </c>
      <c r="I28" s="329">
        <f>IF(H28="","",IF(VLOOKUP($A28,'Ex ante LI &amp; Eligibility Stats'!$A$7:$M$23,I$5,FALSE)="N/A",0,VLOOKUP($A28,'Ex ante LI &amp; Eligibility Stats'!$A$7:$M$23,I$5,FALSE)*H28/1000))</f>
        <v>0</v>
      </c>
      <c r="J28" s="330">
        <f>IF(H28="","",IF(VLOOKUP($A28,'Ex post LI &amp; Eligibility Stats'!$A$10:$M$26,I$5,FALSE)="N/A",0,VLOOKUP($A28,'Ex post LI &amp; Eligibility Stats'!$A$10:$M$26,I$5,FALSE)*H28/1000))</f>
        <v>6.13002</v>
      </c>
      <c r="K28" s="227">
        <v>23577</v>
      </c>
      <c r="L28" s="215">
        <f>IF(K28="","",IF(VLOOKUP($A28,'Ex ante LI &amp; Eligibility Stats'!$A$7:$M$23,L$5,FALSE)="N/A",0,VLOOKUP($A28,'Ex ante LI &amp; Eligibility Stats'!$A$7:$M$23,L$5,FALSE)*K28/1000))</f>
        <v>0</v>
      </c>
      <c r="M28" s="212">
        <f>IF(K28="","",IF(VLOOKUP($A28,'Ex post LI &amp; Eligibility Stats'!$A$10:$M$26,L$5,FALSE)="N/A",0,VLOOKUP($A28,'Ex post LI &amp; Eligibility Stats'!$A$10:$M$26,L$5,FALSE)*K28/1000))</f>
        <v>6.13002</v>
      </c>
      <c r="N28" s="282">
        <v>23185</v>
      </c>
      <c r="O28" s="215">
        <f>IF(N28="","",IF(VLOOKUP($A28,'Ex ante LI &amp; Eligibility Stats'!$A$7:$M$23,O$5,FALSE)="N/A",0,VLOOKUP($A28,'Ex ante LI &amp; Eligibility Stats'!$A$7:$M$23,O$5,FALSE)*N28/1000))</f>
        <v>1.7040256265</v>
      </c>
      <c r="P28" s="212">
        <f>IF(N28="","",IF(VLOOKUP($A28,'Ex post LI &amp; Eligibility Stats'!$A$10:$M$26,O$5,FALSE)="N/A",0,VLOOKUP($A28,'Ex post LI &amp; Eligibility Stats'!$A$10:$M$26,O$5,FALSE)*N28/1000))</f>
        <v>6.0281000000000002</v>
      </c>
      <c r="Q28" s="304">
        <v>22974</v>
      </c>
      <c r="R28" s="215">
        <f>IF(Q28="","",IF(VLOOKUP($A28,'Ex ante LI &amp; Eligibility Stats'!$A$7:$M$23,R$5,FALSE)="N/A",0,VLOOKUP($A28,'Ex ante LI &amp; Eligibility Stats'!$A$7:$M$23,R$5,FALSE)*Q28/1000))</f>
        <v>2.9759242245599999</v>
      </c>
      <c r="S28" s="212">
        <f>IF(Q28="","",IF(VLOOKUP($A28,'Ex post LI &amp; Eligibility Stats'!$A$10:$M$26,R$5,FALSE)="N/A",0,VLOOKUP($A28,'Ex post LI &amp; Eligibility Stats'!$A$10:$M$26,R$5,FALSE)*Q28/1000))</f>
        <v>5.9732399999999997</v>
      </c>
      <c r="T28" s="492">
        <v>3000000</v>
      </c>
    </row>
    <row r="29" spans="1:31" s="144" customFormat="1" ht="12" customHeight="1" thickBot="1">
      <c r="A29" s="31" t="s">
        <v>31</v>
      </c>
      <c r="B29" s="301">
        <f t="shared" ref="B29:S29" si="1">SUM(B17:B28)</f>
        <v>28413</v>
      </c>
      <c r="C29" s="331">
        <f t="shared" si="1"/>
        <v>99.560876547592997</v>
      </c>
      <c r="D29" s="331">
        <f t="shared" si="1"/>
        <v>307.98356000000001</v>
      </c>
      <c r="E29" s="301">
        <f t="shared" si="1"/>
        <v>28192</v>
      </c>
      <c r="F29" s="331">
        <f t="shared" si="1"/>
        <v>102.09412603848601</v>
      </c>
      <c r="G29" s="331">
        <f t="shared" si="1"/>
        <v>309.51063999999997</v>
      </c>
      <c r="H29" s="301">
        <f t="shared" si="1"/>
        <v>28071</v>
      </c>
      <c r="I29" s="331">
        <f t="shared" si="1"/>
        <v>101.907199186515</v>
      </c>
      <c r="J29" s="331">
        <f t="shared" si="1"/>
        <v>319.47552000000002</v>
      </c>
      <c r="K29" s="176">
        <f t="shared" si="1"/>
        <v>28086</v>
      </c>
      <c r="L29" s="216">
        <f t="shared" si="1"/>
        <v>102.13252217397401</v>
      </c>
      <c r="M29" s="216">
        <f t="shared" si="1"/>
        <v>326.10741999999999</v>
      </c>
      <c r="N29" s="176">
        <f t="shared" si="1"/>
        <v>27675</v>
      </c>
      <c r="O29" s="216">
        <f t="shared" si="1"/>
        <v>361.69390997703664</v>
      </c>
      <c r="P29" s="216">
        <f t="shared" si="1"/>
        <v>330.24060000000003</v>
      </c>
      <c r="Q29" s="301">
        <f t="shared" si="1"/>
        <v>27674</v>
      </c>
      <c r="R29" s="216">
        <f t="shared" si="1"/>
        <v>399.89303873400343</v>
      </c>
      <c r="S29" s="216">
        <f t="shared" si="1"/>
        <v>373.84103999999996</v>
      </c>
      <c r="T29" s="495"/>
      <c r="U29" s="106"/>
      <c r="V29" s="106"/>
      <c r="W29" s="106"/>
      <c r="X29" s="106"/>
      <c r="Y29" s="106"/>
      <c r="Z29" s="106"/>
      <c r="AA29" s="106"/>
      <c r="AB29" s="106"/>
      <c r="AC29" s="106"/>
      <c r="AD29" s="106"/>
      <c r="AE29" s="106"/>
    </row>
    <row r="30" spans="1:31" s="144" customFormat="1" ht="14.25" thickTop="1" thickBot="1">
      <c r="A30" s="32" t="s">
        <v>24</v>
      </c>
      <c r="B30" s="301">
        <f t="shared" ref="B30:S30" si="2">+B15+B29</f>
        <v>143770</v>
      </c>
      <c r="C30" s="331">
        <f t="shared" si="2"/>
        <v>251.24703245759298</v>
      </c>
      <c r="D30" s="335">
        <f t="shared" si="2"/>
        <v>483.0147</v>
      </c>
      <c r="E30" s="301">
        <f t="shared" si="2"/>
        <v>143393</v>
      </c>
      <c r="F30" s="331">
        <f t="shared" si="2"/>
        <v>263.93186029029602</v>
      </c>
      <c r="G30" s="335">
        <f t="shared" si="2"/>
        <v>486.87071999999995</v>
      </c>
      <c r="H30" s="301">
        <f t="shared" si="2"/>
        <v>145584</v>
      </c>
      <c r="I30" s="331">
        <f t="shared" si="2"/>
        <v>283.731906247165</v>
      </c>
      <c r="J30" s="335">
        <f t="shared" si="2"/>
        <v>514.67320000000007</v>
      </c>
      <c r="K30" s="176">
        <f t="shared" si="2"/>
        <v>145711</v>
      </c>
      <c r="L30" s="216">
        <f t="shared" si="2"/>
        <v>302.39572856367403</v>
      </c>
      <c r="M30" s="218">
        <f t="shared" si="2"/>
        <v>519.75459999999998</v>
      </c>
      <c r="N30" s="176">
        <f t="shared" si="2"/>
        <v>145901</v>
      </c>
      <c r="O30" s="216">
        <f t="shared" si="2"/>
        <v>549.12808923131229</v>
      </c>
      <c r="P30" s="218">
        <f t="shared" si="2"/>
        <v>524.02</v>
      </c>
      <c r="Q30" s="301">
        <f t="shared" si="2"/>
        <v>181387</v>
      </c>
      <c r="R30" s="216">
        <f t="shared" si="2"/>
        <v>633.25860269159443</v>
      </c>
      <c r="S30" s="218">
        <f t="shared" si="2"/>
        <v>577.79061999999999</v>
      </c>
      <c r="T30" s="493"/>
      <c r="U30" s="106"/>
      <c r="V30" s="106"/>
      <c r="W30" s="106"/>
      <c r="X30" s="106"/>
      <c r="Y30" s="106"/>
      <c r="Z30" s="106"/>
      <c r="AA30" s="106"/>
      <c r="AB30" s="106"/>
      <c r="AC30" s="106"/>
      <c r="AD30" s="106"/>
      <c r="AE30" s="106"/>
    </row>
    <row r="31" spans="1:31" s="144" customFormat="1" ht="3" customHeight="1" thickTop="1">
      <c r="A31" s="276"/>
      <c r="B31" s="305"/>
      <c r="C31" s="346"/>
      <c r="D31" s="336"/>
      <c r="E31" s="305"/>
      <c r="F31" s="346"/>
      <c r="G31" s="347"/>
      <c r="H31" s="305"/>
      <c r="I31" s="346"/>
      <c r="J31" s="347"/>
      <c r="K31" s="348"/>
      <c r="L31" s="349"/>
      <c r="M31" s="350"/>
      <c r="N31" s="348"/>
      <c r="O31" s="351"/>
      <c r="P31" s="314"/>
      <c r="Q31" s="305"/>
      <c r="R31" s="351"/>
      <c r="S31" s="314"/>
      <c r="T31" s="496"/>
      <c r="U31" s="106"/>
      <c r="V31" s="106"/>
      <c r="W31" s="106"/>
      <c r="X31" s="106"/>
      <c r="Y31" s="106"/>
      <c r="Z31" s="106"/>
      <c r="AA31" s="106"/>
      <c r="AB31" s="106"/>
      <c r="AC31" s="106"/>
      <c r="AD31" s="106"/>
      <c r="AE31" s="106"/>
    </row>
    <row r="32" spans="1:31" s="144" customFormat="1" ht="4.5" hidden="1" customHeight="1">
      <c r="A32" s="276"/>
      <c r="B32" s="305"/>
      <c r="C32" s="346"/>
      <c r="D32" s="336"/>
      <c r="E32" s="305"/>
      <c r="F32" s="346"/>
      <c r="G32" s="347"/>
      <c r="H32" s="305"/>
      <c r="I32" s="346"/>
      <c r="J32" s="347"/>
      <c r="K32" s="348"/>
      <c r="L32" s="349"/>
      <c r="M32" s="350"/>
      <c r="N32" s="348"/>
      <c r="O32" s="351"/>
      <c r="P32" s="314"/>
      <c r="Q32" s="305"/>
      <c r="R32" s="351"/>
      <c r="S32" s="314"/>
      <c r="T32" s="496"/>
      <c r="U32" s="106"/>
      <c r="V32" s="106"/>
      <c r="W32" s="106"/>
      <c r="X32" s="106"/>
      <c r="Y32" s="106"/>
      <c r="Z32" s="106"/>
      <c r="AA32" s="106"/>
      <c r="AB32" s="106"/>
      <c r="AC32" s="106"/>
      <c r="AD32" s="106"/>
      <c r="AE32" s="106"/>
    </row>
    <row r="33" spans="1:21" s="144" customFormat="1" ht="4.5" hidden="1" customHeight="1">
      <c r="A33" s="145"/>
      <c r="B33" s="305"/>
      <c r="C33" s="306"/>
      <c r="D33" s="306"/>
      <c r="E33" s="306"/>
      <c r="F33" s="306"/>
      <c r="G33" s="306"/>
      <c r="H33" s="306"/>
      <c r="I33" s="306"/>
      <c r="J33" s="306"/>
      <c r="K33" s="352"/>
      <c r="L33" s="353"/>
      <c r="M33" s="353"/>
      <c r="N33" s="352"/>
      <c r="O33" s="352"/>
      <c r="P33" s="352"/>
      <c r="Q33" s="306"/>
      <c r="R33" s="352"/>
      <c r="S33" s="352"/>
      <c r="T33" s="497"/>
    </row>
    <row r="34" spans="1:21" s="144" customFormat="1" hidden="1">
      <c r="A34" s="145"/>
      <c r="B34" s="305"/>
      <c r="C34" s="306">
        <f>C5+6</f>
        <v>8</v>
      </c>
      <c r="D34" s="306">
        <f>D5+6</f>
        <v>8</v>
      </c>
      <c r="E34" s="306"/>
      <c r="F34" s="306">
        <f>F5+6</f>
        <v>9</v>
      </c>
      <c r="G34" s="306">
        <f>G5+6</f>
        <v>9</v>
      </c>
      <c r="H34" s="306"/>
      <c r="I34" s="306">
        <f>I5+6</f>
        <v>10</v>
      </c>
      <c r="J34" s="306">
        <f>J5+6</f>
        <v>10</v>
      </c>
      <c r="K34" s="352"/>
      <c r="L34" s="353">
        <f>L5+6</f>
        <v>11</v>
      </c>
      <c r="M34" s="353">
        <f>M5+6</f>
        <v>11</v>
      </c>
      <c r="N34" s="352"/>
      <c r="O34" s="352">
        <f>O5+6</f>
        <v>12</v>
      </c>
      <c r="P34" s="352">
        <f>P5+6</f>
        <v>12</v>
      </c>
      <c r="Q34" s="306"/>
      <c r="R34" s="352">
        <f>R5+6</f>
        <v>13</v>
      </c>
      <c r="S34" s="352">
        <f>S5+6</f>
        <v>13</v>
      </c>
      <c r="T34" s="497"/>
    </row>
    <row r="35" spans="1:21" s="144" customFormat="1" ht="11.25" customHeight="1">
      <c r="A35" s="354"/>
      <c r="B35" s="619" t="s">
        <v>6</v>
      </c>
      <c r="C35" s="620"/>
      <c r="D35" s="621"/>
      <c r="E35" s="619" t="s">
        <v>7</v>
      </c>
      <c r="F35" s="620"/>
      <c r="G35" s="621"/>
      <c r="H35" s="619" t="s">
        <v>8</v>
      </c>
      <c r="I35" s="620"/>
      <c r="J35" s="621"/>
      <c r="K35" s="619" t="s">
        <v>9</v>
      </c>
      <c r="L35" s="620"/>
      <c r="M35" s="621"/>
      <c r="N35" s="619" t="s">
        <v>10</v>
      </c>
      <c r="O35" s="620"/>
      <c r="P35" s="621"/>
      <c r="Q35" s="619" t="s">
        <v>11</v>
      </c>
      <c r="R35" s="620"/>
      <c r="S35" s="621"/>
      <c r="T35" s="498"/>
      <c r="U35" s="355"/>
    </row>
    <row r="36" spans="1:21" s="144" customFormat="1" ht="43.5" customHeight="1">
      <c r="A36" s="30" t="s">
        <v>22</v>
      </c>
      <c r="B36" s="356" t="s">
        <v>16</v>
      </c>
      <c r="C36" s="318" t="s">
        <v>171</v>
      </c>
      <c r="D36" s="319" t="s">
        <v>172</v>
      </c>
      <c r="E36" s="298" t="s">
        <v>16</v>
      </c>
      <c r="F36" s="318" t="s">
        <v>171</v>
      </c>
      <c r="G36" s="319" t="s">
        <v>172</v>
      </c>
      <c r="H36" s="298" t="s">
        <v>16</v>
      </c>
      <c r="I36" s="318" t="s">
        <v>171</v>
      </c>
      <c r="J36" s="319" t="s">
        <v>172</v>
      </c>
      <c r="K36" s="179" t="s">
        <v>16</v>
      </c>
      <c r="L36" s="142" t="s">
        <v>171</v>
      </c>
      <c r="M36" s="143" t="s">
        <v>172</v>
      </c>
      <c r="N36" s="179" t="s">
        <v>16</v>
      </c>
      <c r="O36" s="296" t="s">
        <v>171</v>
      </c>
      <c r="P36" s="313" t="s">
        <v>172</v>
      </c>
      <c r="Q36" s="298" t="s">
        <v>16</v>
      </c>
      <c r="R36" s="296" t="s">
        <v>171</v>
      </c>
      <c r="S36" s="313" t="s">
        <v>172</v>
      </c>
      <c r="T36" s="489" t="s">
        <v>204</v>
      </c>
      <c r="U36" s="353"/>
    </row>
    <row r="37" spans="1:21" s="144" customFormat="1">
      <c r="A37" s="30" t="s">
        <v>23</v>
      </c>
      <c r="B37" s="356"/>
      <c r="C37" s="320"/>
      <c r="D37" s="357"/>
      <c r="E37" s="298"/>
      <c r="F37" s="320"/>
      <c r="G37" s="357"/>
      <c r="H37" s="298"/>
      <c r="I37" s="320"/>
      <c r="J37" s="320"/>
      <c r="K37" s="179"/>
      <c r="L37" s="141"/>
      <c r="M37" s="468"/>
      <c r="N37" s="179"/>
      <c r="O37" s="175"/>
      <c r="P37" s="453"/>
      <c r="Q37" s="298"/>
      <c r="R37" s="175"/>
      <c r="S37" s="453"/>
      <c r="T37" s="490"/>
      <c r="U37" s="353"/>
    </row>
    <row r="38" spans="1:21" s="144" customFormat="1" ht="11.25" customHeight="1">
      <c r="A38" s="358" t="s">
        <v>71</v>
      </c>
      <c r="B38" s="303">
        <v>217</v>
      </c>
      <c r="C38" s="324">
        <f>IF(B38="","",IF(VLOOKUP($A38,'Ex ante LI &amp; Eligibility Stats'!$A$7:$M$23,C$34,FALSE)="N/A",0,VLOOKUP($A38,'Ex ante LI &amp; Eligibility Stats'!$A$7:$M$23,C$34,FALSE)*B38/1000))</f>
        <v>198.79900801312999</v>
      </c>
      <c r="D38" s="325">
        <f>IF(B38="","",IF(VLOOKUP($A38,'Ex post LI &amp; Eligibility Stats'!$A$10:$M$26,C$34,FALSE)="N/A",0,VLOOKUP($A38,'Ex post LI &amp; Eligibility Stats'!$A$10:$M$26,C$34,FALSE)*B38/1000))</f>
        <v>170.9743</v>
      </c>
      <c r="E38" s="299">
        <v>218</v>
      </c>
      <c r="F38" s="324">
        <f>IF(E38="","",IF(VLOOKUP($A38,'Ex ante LI &amp; Eligibility Stats'!$A$7:$M$23,F$34,FALSE)="N/A",0,VLOOKUP($A38,'Ex ante LI &amp; Eligibility Stats'!$A$7:$M$23,F$34,FALSE)*E38/1000))</f>
        <v>195.78346354140001</v>
      </c>
      <c r="G38" s="325">
        <f>IF(E38="","",IF(VLOOKUP($A38,'Ex post LI &amp; Eligibility Stats'!$A$10:$M$26,F$34,FALSE)="N/A",0,VLOOKUP($A38,'Ex post LI &amp; Eligibility Stats'!$A$10:$M$26,F$34,FALSE)*E38/1000))</f>
        <v>171.76219999999998</v>
      </c>
      <c r="H38" s="299">
        <v>224</v>
      </c>
      <c r="I38" s="324">
        <f>IF(H38="","",IF(VLOOKUP($A38,'Ex ante LI &amp; Eligibility Stats'!$A$7:$M$23,I$34,FALSE)="N/A",0,VLOOKUP($A38,'Ex ante LI &amp; Eligibility Stats'!$A$7:$M$23,I$34,FALSE)*H38/1000))</f>
        <v>198.46231799072001</v>
      </c>
      <c r="J38" s="325">
        <f>IF(H38="","",IF(VLOOKUP($A38,'Ex post LI &amp; Eligibility Stats'!$A$10:$M$26,I$34,FALSE)="N/A",0,VLOOKUP($A38,'Ex post LI &amp; Eligibility Stats'!$A$10:$M$26,I$34,FALSE)*H38/1000))</f>
        <v>176.4896</v>
      </c>
      <c r="K38" s="281">
        <v>227</v>
      </c>
      <c r="L38" s="471">
        <f>IF(K38="","",IF(VLOOKUP($A38,'Ex ante LI &amp; Eligibility Stats'!$A$7:$M$23,L$34,FALSE)="N/A",0,VLOOKUP($A38,'Ex ante LI &amp; Eligibility Stats'!$A$7:$M$23,L$34,FALSE)*K38/1000))</f>
        <v>224.68678541299002</v>
      </c>
      <c r="M38" s="472">
        <f>IF(K38="","",IF(VLOOKUP($A38,'Ex post LI &amp; Eligibility Stats'!$A$10:$M$26,L$34,FALSE)="N/A",0,VLOOKUP($A38,'Ex post LI &amp; Eligibility Stats'!$A$10:$M$26,L$34,FALSE)*K38/1000))</f>
        <v>178.85329999999999</v>
      </c>
      <c r="N38" s="281">
        <v>228</v>
      </c>
      <c r="O38" s="213">
        <f>IF(N38="","",IF(VLOOKUP($A38,'Ex ante LI &amp; Eligibility Stats'!$A$7:$M$23,O$34,FALSE)="N/A",0,VLOOKUP($A38,'Ex ante LI &amp; Eligibility Stats'!$A$7:$M$23,O$34,FALSE)*N38/1000))</f>
        <v>215.94680374391999</v>
      </c>
      <c r="P38" s="210">
        <f>IF(N38="","",IF(VLOOKUP($A38,'Ex post LI &amp; Eligibility Stats'!$A$10:$M$26,O$34,FALSE)="N/A",0,VLOOKUP($A38,'Ex post LI &amp; Eligibility Stats'!$A$10:$M$26,O$34,FALSE)*N38/1000))</f>
        <v>179.64119999999997</v>
      </c>
      <c r="Q38" s="307"/>
      <c r="R38" s="213" t="str">
        <f>IF(Q38="","",IF(VLOOKUP($A38,'Ex ante LI &amp; Eligibility Stats'!$A$7:$M$23,R$34,FALSE)="N/A",0,VLOOKUP($A38,'Ex ante LI &amp; Eligibility Stats'!$A$7:$M$23,R$34,FALSE)*Q38/1000))</f>
        <v/>
      </c>
      <c r="S38" s="213" t="str">
        <f>IF(Q38="","",IF(VLOOKUP($A38,'Ex post LI &amp; Eligibility Stats'!$A$10:$M$26,R$34,FALSE)="N/A",0,VLOOKUP($A38,'Ex post LI &amp; Eligibility Stats'!$A$10:$M$26,R$34,FALSE)*Q38/1000))</f>
        <v/>
      </c>
      <c r="T38" s="491">
        <v>10199</v>
      </c>
      <c r="U38" s="353"/>
    </row>
    <row r="39" spans="1:21" s="144" customFormat="1" ht="11.25" customHeight="1">
      <c r="A39" s="358" t="s">
        <v>14</v>
      </c>
      <c r="B39" s="287">
        <v>28</v>
      </c>
      <c r="C39" s="326">
        <f>IF(B39="","",IF(VLOOKUP($A39,'Ex ante LI &amp; Eligibility Stats'!$A$7:$M$23,C$34,FALSE)="N/A",0,VLOOKUP($A39,'Ex ante LI &amp; Eligibility Stats'!$A$7:$M$23,C$34,FALSE)*B39/1000))</f>
        <v>0</v>
      </c>
      <c r="D39" s="327">
        <f>IF(B39="","",IF(VLOOKUP($A39,'Ex post LI &amp; Eligibility Stats'!$A$10:$M$26,C$34,FALSE)="N/A",0,VLOOKUP($A39,'Ex post LI &amp; Eligibility Stats'!$A$10:$M$26,C$34,FALSE)*B39/1000))</f>
        <v>0</v>
      </c>
      <c r="E39" s="288">
        <v>28</v>
      </c>
      <c r="F39" s="326">
        <f>IF(E39="","",IF(VLOOKUP($A39,'Ex ante LI &amp; Eligibility Stats'!$A$7:$M$23,F$34,FALSE)="N/A",0,VLOOKUP($A39,'Ex ante LI &amp; Eligibility Stats'!$A$7:$M$23,F$34,FALSE)*E39/1000))</f>
        <v>0</v>
      </c>
      <c r="G39" s="327">
        <f>IF(E39="","",IF(VLOOKUP($A39,'Ex post LI &amp; Eligibility Stats'!$A$10:$M$26,F$34,FALSE)="N/A",0,VLOOKUP($A39,'Ex post LI &amp; Eligibility Stats'!$A$10:$M$26,F$34,FALSE)*E39/1000))</f>
        <v>0</v>
      </c>
      <c r="H39" s="288">
        <v>28</v>
      </c>
      <c r="I39" s="326">
        <f>IF(H39="","",IF(VLOOKUP($A39,'Ex ante LI &amp; Eligibility Stats'!$A$7:$M$23,I$34,FALSE)="N/A",0,VLOOKUP($A39,'Ex ante LI &amp; Eligibility Stats'!$A$7:$M$23,I$34,FALSE)*H39/1000))</f>
        <v>0</v>
      </c>
      <c r="J39" s="327">
        <f>IF(H39="","",IF(VLOOKUP($A39,'Ex post LI &amp; Eligibility Stats'!$A$10:$M$26,I$34,FALSE)="N/A",0,VLOOKUP($A39,'Ex post LI &amp; Eligibility Stats'!$A$10:$M$26,I$34,FALSE)*H39/1000))</f>
        <v>0</v>
      </c>
      <c r="K39" s="280">
        <v>28</v>
      </c>
      <c r="L39" s="473">
        <f>IF(K39="","",IF(VLOOKUP($A39,'Ex ante LI &amp; Eligibility Stats'!$A$7:$M$23,L$34,FALSE)="N/A",0,VLOOKUP($A39,'Ex ante LI &amp; Eligibility Stats'!$A$7:$M$23,L$34,FALSE)*K39/1000))</f>
        <v>0</v>
      </c>
      <c r="M39" s="474">
        <f>IF(K39="","",IF(VLOOKUP($A39,'Ex post LI &amp; Eligibility Stats'!$A$10:$M$26,L$34,FALSE)="N/A",0,VLOOKUP($A39,'Ex post LI &amp; Eligibility Stats'!$A$10:$M$26,L$34,FALSE)*K39/1000))</f>
        <v>0</v>
      </c>
      <c r="N39" s="280">
        <v>28</v>
      </c>
      <c r="O39" s="214">
        <f>IF(N39="","",IF(VLOOKUP($A39,'Ex ante LI &amp; Eligibility Stats'!$A$7:$M$23,O$34,FALSE)="N/A",0,VLOOKUP($A39,'Ex ante LI &amp; Eligibility Stats'!$A$7:$M$23,O$34,FALSE)*N39/1000))</f>
        <v>0</v>
      </c>
      <c r="P39" s="211">
        <f>IF(N39="","",IF(VLOOKUP($A39,'Ex post LI &amp; Eligibility Stats'!$A$10:$M$26,O$34,FALSE)="N/A",0,VLOOKUP($A39,'Ex post LI &amp; Eligibility Stats'!$A$10:$M$26,O$34,FALSE)*N39/1000))</f>
        <v>0</v>
      </c>
      <c r="Q39" s="288"/>
      <c r="R39" s="214" t="str">
        <f>IF(Q39="","",IF(VLOOKUP($A39,'Ex ante LI &amp; Eligibility Stats'!$A$7:$M$23,R$34,FALSE)="N/A",0,VLOOKUP($A39,'Ex ante LI &amp; Eligibility Stats'!$A$7:$M$23,R$34,FALSE)*Q39/1000))</f>
        <v/>
      </c>
      <c r="S39" s="214" t="str">
        <f>IF(Q39="","",IF(VLOOKUP($A39,'Ex post LI &amp; Eligibility Stats'!$A$10:$M$26,R$34,FALSE)="N/A",0,VLOOKUP($A39,'Ex post LI &amp; Eligibility Stats'!$A$10:$M$26,R$34,FALSE)*Q39/1000))</f>
        <v/>
      </c>
      <c r="T39" s="491">
        <v>0</v>
      </c>
      <c r="U39" s="353"/>
    </row>
    <row r="40" spans="1:21" s="144" customFormat="1" ht="11.25" customHeight="1">
      <c r="A40" s="358" t="s">
        <v>26</v>
      </c>
      <c r="B40" s="287">
        <v>0</v>
      </c>
      <c r="C40" s="326">
        <f>IF(B40="","",IF(VLOOKUP($A40,'Ex ante LI &amp; Eligibility Stats'!$A$7:$M$23,C$34,FALSE)="N/A",0,VLOOKUP($A40,'Ex ante LI &amp; Eligibility Stats'!$A$7:$M$23,C$34,FALSE)*B40/1000))</f>
        <v>0</v>
      </c>
      <c r="D40" s="327">
        <f>IF(B40="","",IF(VLOOKUP($A40,'Ex post LI &amp; Eligibility Stats'!$A$10:$M$26,C$34,FALSE)="N/A",0,VLOOKUP($A40,'Ex post LI &amp; Eligibility Stats'!$A$10:$M$26,C$34,FALSE)*B40/1000))</f>
        <v>0</v>
      </c>
      <c r="E40" s="288">
        <v>0</v>
      </c>
      <c r="F40" s="326">
        <f>IF(E40="","",IF(VLOOKUP($A40,'Ex ante LI &amp; Eligibility Stats'!$A$7:$M$23,F$34,FALSE)="N/A",0,VLOOKUP($A40,'Ex ante LI &amp; Eligibility Stats'!$A$7:$M$23,F$34,FALSE)*E40/1000))</f>
        <v>0</v>
      </c>
      <c r="G40" s="327">
        <f>IF(E40="","",IF(VLOOKUP($A40,'Ex post LI &amp; Eligibility Stats'!$A$10:$M$26,F$34,FALSE)="N/A",0,VLOOKUP($A40,'Ex post LI &amp; Eligibility Stats'!$A$10:$M$26,F$34,FALSE)*E40/1000))</f>
        <v>0</v>
      </c>
      <c r="H40" s="288">
        <v>0</v>
      </c>
      <c r="I40" s="326">
        <f>IF(H40="","",IF(VLOOKUP($A40,'Ex ante LI &amp; Eligibility Stats'!$A$7:$M$23,I$34,FALSE)="N/A",0,VLOOKUP($A40,'Ex ante LI &amp; Eligibility Stats'!$A$7:$M$23,I$34,FALSE)*H40/1000))</f>
        <v>0</v>
      </c>
      <c r="J40" s="327">
        <f>IF(H40="","",IF(VLOOKUP($A40,'Ex post LI &amp; Eligibility Stats'!$A$10:$M$26,I$34,FALSE)="N/A",0,VLOOKUP($A40,'Ex post LI &amp; Eligibility Stats'!$A$10:$M$26,I$34,FALSE)*H40/1000))</f>
        <v>0</v>
      </c>
      <c r="K40" s="280">
        <v>0</v>
      </c>
      <c r="L40" s="473">
        <f>IF(K40="","",IF(VLOOKUP($A40,'Ex ante LI &amp; Eligibility Stats'!$A$7:$M$23,L$34,FALSE)="N/A",0,VLOOKUP($A40,'Ex ante LI &amp; Eligibility Stats'!$A$7:$M$23,L$34,FALSE)*K40/1000))</f>
        <v>0</v>
      </c>
      <c r="M40" s="474">
        <f>IF(K40="","",IF(VLOOKUP($A40,'Ex post LI &amp; Eligibility Stats'!$A$10:$M$26,L$34,FALSE)="N/A",0,VLOOKUP($A40,'Ex post LI &amp; Eligibility Stats'!$A$10:$M$26,L$34,FALSE)*K40/1000))</f>
        <v>0</v>
      </c>
      <c r="N40" s="280">
        <v>0</v>
      </c>
      <c r="O40" s="214">
        <f>IF(N40="","",IF(VLOOKUP($A40,'Ex ante LI &amp; Eligibility Stats'!$A$7:$M$23,O$34,FALSE)="N/A",0,VLOOKUP($A40,'Ex ante LI &amp; Eligibility Stats'!$A$7:$M$23,O$34,FALSE)*N40/1000))</f>
        <v>0</v>
      </c>
      <c r="P40" s="211">
        <f>IF(N40="","",IF(VLOOKUP($A40,'Ex post LI &amp; Eligibility Stats'!$A$10:$M$26,O$34,FALSE)="N/A",0,VLOOKUP($A40,'Ex post LI &amp; Eligibility Stats'!$A$10:$M$26,O$34,FALSE)*N40/1000))</f>
        <v>0</v>
      </c>
      <c r="Q40" s="288"/>
      <c r="R40" s="214" t="str">
        <f>IF(Q40="","",IF(VLOOKUP($A40,'Ex ante LI &amp; Eligibility Stats'!$A$7:$M$23,R$34,FALSE)="N/A",0,VLOOKUP($A40,'Ex ante LI &amp; Eligibility Stats'!$A$7:$M$23,R$34,FALSE)*Q40/1000))</f>
        <v/>
      </c>
      <c r="S40" s="214" t="str">
        <f>IF(Q40="","",IF(VLOOKUP($A40,'Ex post LI &amp; Eligibility Stats'!$A$10:$M$26,R$34,FALSE)="N/A",0,VLOOKUP($A40,'Ex post LI &amp; Eligibility Stats'!$A$10:$M$26,R$34,FALSE)*Q40/1000))</f>
        <v/>
      </c>
      <c r="T40" s="491">
        <v>0</v>
      </c>
      <c r="U40" s="353"/>
    </row>
    <row r="41" spans="1:21" s="144" customFormat="1" ht="11.25" customHeight="1">
      <c r="A41" s="358" t="s">
        <v>194</v>
      </c>
      <c r="B41" s="287">
        <v>6005</v>
      </c>
      <c r="C41" s="326">
        <f>IF(B41="","",IF(VLOOKUP($A41,'Ex ante LI &amp; Eligibility Stats'!$A$7:$M$23,C$34,FALSE)="N/A",0,VLOOKUP($A41,'Ex ante LI &amp; Eligibility Stats'!$A$7:$M$23,C$34,FALSE)*B41/1000))</f>
        <v>2.934538793217</v>
      </c>
      <c r="D41" s="327">
        <f>IF(B41="","",IF(VLOOKUP($A41,'Ex post LI &amp; Eligibility Stats'!$A$10:$M$26,C$34,FALSE)="N/A",0,VLOOKUP($A41,'Ex post LI &amp; Eligibility Stats'!$A$10:$M$26,C$34,FALSE)*B41/1000))</f>
        <v>1.3210999999999999</v>
      </c>
      <c r="E41" s="288">
        <v>6163</v>
      </c>
      <c r="F41" s="326">
        <f>IF(E41="","",IF(VLOOKUP($A41,'Ex ante LI &amp; Eligibility Stats'!$A$7:$M$23,F$34,FALSE)="N/A",0,VLOOKUP($A41,'Ex ante LI &amp; Eligibility Stats'!$A$7:$M$23,F$34,FALSE)*E41/1000))</f>
        <v>2.2493375051513</v>
      </c>
      <c r="G41" s="327">
        <f>IF(E41="","",IF(VLOOKUP($A41,'Ex post LI &amp; Eligibility Stats'!$A$10:$M$26,F$34,FALSE)="N/A",0,VLOOKUP($A41,'Ex post LI &amp; Eligibility Stats'!$A$10:$M$26,F$34,FALSE)*E41/1000))</f>
        <v>1.3558599999999998</v>
      </c>
      <c r="H41" s="288">
        <v>6361</v>
      </c>
      <c r="I41" s="326">
        <f>IF(H41="","",IF(VLOOKUP($A41,'Ex ante LI &amp; Eligibility Stats'!$A$7:$M$23,I$34,FALSE)="N/A",0,VLOOKUP($A41,'Ex ante LI &amp; Eligibility Stats'!$A$7:$M$23,I$34,FALSE)*H41/1000))</f>
        <v>3.3121757380136003</v>
      </c>
      <c r="J41" s="327">
        <f>IF(H41="","",IF(VLOOKUP($A41,'Ex post LI &amp; Eligibility Stats'!$A$10:$M$26,I$34,FALSE)="N/A",0,VLOOKUP($A41,'Ex post LI &amp; Eligibility Stats'!$A$10:$M$26,I$34,FALSE)*H41/1000))</f>
        <v>1.3994200000000001</v>
      </c>
      <c r="K41" s="280">
        <v>6429</v>
      </c>
      <c r="L41" s="473">
        <f>IF(K41="","",IF(VLOOKUP($A41,'Ex ante LI &amp; Eligibility Stats'!$A$7:$M$23,L$34,FALSE)="N/A",0,VLOOKUP($A41,'Ex ante LI &amp; Eligibility Stats'!$A$7:$M$23,L$34,FALSE)*K41/1000))</f>
        <v>1.2807181114442998</v>
      </c>
      <c r="M41" s="474">
        <f>IF(K41="","",IF(VLOOKUP($A41,'Ex post LI &amp; Eligibility Stats'!$A$10:$M$26,L$34,FALSE)="N/A",0,VLOOKUP($A41,'Ex post LI &amp; Eligibility Stats'!$A$10:$M$26,L$34,FALSE)*K41/1000))</f>
        <v>1.4143800000000002</v>
      </c>
      <c r="N41" s="280">
        <v>6424</v>
      </c>
      <c r="O41" s="214">
        <f>IF(N41="","",IF(VLOOKUP($A41,'Ex ante LI &amp; Eligibility Stats'!$A$7:$M$23,O$34,FALSE)="N/A",0,VLOOKUP($A41,'Ex ante LI &amp; Eligibility Stats'!$A$7:$M$23,O$34,FALSE)*N41/1000))</f>
        <v>0</v>
      </c>
      <c r="P41" s="211">
        <f>IF(N41="","",IF(VLOOKUP($A41,'Ex post LI &amp; Eligibility Stats'!$A$10:$M$26,O$34,FALSE)="N/A",0,VLOOKUP($A41,'Ex post LI &amp; Eligibility Stats'!$A$10:$M$26,O$34,FALSE)*N41/1000))</f>
        <v>1.4132799999999999</v>
      </c>
      <c r="Q41" s="288"/>
      <c r="R41" s="214" t="str">
        <f>IF(Q41="","",IF(VLOOKUP($A41,'Ex ante LI &amp; Eligibility Stats'!$A$7:$M$23,R$34,FALSE)="N/A",0,VLOOKUP($A41,'Ex ante LI &amp; Eligibility Stats'!$A$7:$M$23,R$34,FALSE)*Q41/1000))</f>
        <v/>
      </c>
      <c r="S41" s="214" t="str">
        <f>IF(Q41="","",IF(VLOOKUP($A41,'Ex post LI &amp; Eligibility Stats'!$A$10:$M$26,R$34,FALSE)="N/A",0,VLOOKUP($A41,'Ex post LI &amp; Eligibility Stats'!$A$10:$M$26,R$34,FALSE)*Q41/1000))</f>
        <v/>
      </c>
      <c r="T41" s="491">
        <v>585981</v>
      </c>
      <c r="U41" s="353"/>
    </row>
    <row r="42" spans="1:21" s="144" customFormat="1" ht="11.25" customHeight="1">
      <c r="A42" s="358" t="s">
        <v>195</v>
      </c>
      <c r="B42" s="328">
        <v>151467</v>
      </c>
      <c r="C42" s="329">
        <f>IF(B42="","",IF(VLOOKUP($A42,'Ex ante LI &amp; Eligibility Stats'!$A$7:$M$23,C$34,FALSE)="N/A",0,VLOOKUP($A42,'Ex ante LI &amp; Eligibility Stats'!$A$7:$M$23,C$34,FALSE)*B42/1000))</f>
        <v>78.9534203839968</v>
      </c>
      <c r="D42" s="330">
        <f>IF(B42="","",IF(VLOOKUP($A42,'Ex post LI &amp; Eligibility Stats'!$A$10:$M$26,C$34,FALSE)="N/A",0,VLOOKUP($A42,'Ex post LI &amp; Eligibility Stats'!$A$10:$M$26,C$34,FALSE)*B42/1000))</f>
        <v>33.322739999999996</v>
      </c>
      <c r="E42" s="308">
        <v>153097</v>
      </c>
      <c r="F42" s="329">
        <f>IF(E42="","",IF(VLOOKUP($A42,'Ex ante LI &amp; Eligibility Stats'!$A$7:$M$23,F$34,FALSE)="N/A",0,VLOOKUP($A42,'Ex ante LI &amp; Eligibility Stats'!$A$7:$M$23,F$34,FALSE)*E42/1000))</f>
        <v>54.878523549997702</v>
      </c>
      <c r="G42" s="330">
        <f>IF(E42="","",IF(VLOOKUP($A42,'Ex post LI &amp; Eligibility Stats'!$A$10:$M$26,F$34,FALSE)="N/A",0,VLOOKUP($A42,'Ex post LI &amp; Eligibility Stats'!$A$10:$M$26,F$34,FALSE)*E42/1000))</f>
        <v>33.681340000000006</v>
      </c>
      <c r="H42" s="308">
        <v>154811</v>
      </c>
      <c r="I42" s="329">
        <f>IF(H42="","",IF(VLOOKUP($A42,'Ex ante LI &amp; Eligibility Stats'!$A$7:$M$23,I$34,FALSE)="N/A",0,VLOOKUP($A42,'Ex ante LI &amp; Eligibility Stats'!$A$7:$M$23,I$34,FALSE)*H42/1000))</f>
        <v>45.621756385165796</v>
      </c>
      <c r="J42" s="330">
        <f>IF(H42="","",IF(VLOOKUP($A42,'Ex post LI &amp; Eligibility Stats'!$A$10:$M$26,I$34,FALSE)="N/A",0,VLOOKUP($A42,'Ex post LI &amp; Eligibility Stats'!$A$10:$M$26,I$34,FALSE)*H42/1000))</f>
        <v>34.058419999999998</v>
      </c>
      <c r="K42" s="282">
        <v>158521</v>
      </c>
      <c r="L42" s="475">
        <f>IF(K42="","",IF(VLOOKUP($A42,'Ex ante LI &amp; Eligibility Stats'!$A$7:$M$23,L$34,FALSE)="N/A",0,VLOOKUP($A42,'Ex ante LI &amp; Eligibility Stats'!$A$7:$M$23,L$34,FALSE)*K42/1000))</f>
        <v>8.9930009538600011</v>
      </c>
      <c r="M42" s="476">
        <f>IF(K42="","",IF(VLOOKUP($A42,'Ex post LI &amp; Eligibility Stats'!$A$10:$M$26,L$34,FALSE)="N/A",0,VLOOKUP($A42,'Ex post LI &amp; Eligibility Stats'!$A$10:$M$26,L$34,FALSE)*K42/1000))</f>
        <v>34.87462</v>
      </c>
      <c r="N42" s="282">
        <v>158894</v>
      </c>
      <c r="O42" s="215">
        <f>IF(N42="","",IF(VLOOKUP($A42,'Ex ante LI &amp; Eligibility Stats'!$A$7:$M$23,O$34,FALSE)="N/A",0,VLOOKUP($A42,'Ex ante LI &amp; Eligibility Stats'!$A$7:$M$23,O$34,FALSE)*N42/1000))</f>
        <v>0</v>
      </c>
      <c r="P42" s="212">
        <f>IF(N42="","",IF(VLOOKUP($A42,'Ex post LI &amp; Eligibility Stats'!$A$10:$M$26,O$34,FALSE)="N/A",0,VLOOKUP($A42,'Ex post LI &amp; Eligibility Stats'!$A$10:$M$26,O$34,FALSE)*N42/1000))</f>
        <v>34.956679999999999</v>
      </c>
      <c r="Q42" s="308"/>
      <c r="R42" s="215" t="str">
        <f>IF(Q42="","",IF(VLOOKUP($A42,'Ex ante LI &amp; Eligibility Stats'!$A$7:$M$23,R$34,FALSE)="N/A",0,VLOOKUP($A42,'Ex ante LI &amp; Eligibility Stats'!$A$7:$M$23,R$34,FALSE)*Q42/1000))</f>
        <v/>
      </c>
      <c r="S42" s="215" t="str">
        <f>IF(Q42="","",IF(VLOOKUP($A42,'Ex post LI &amp; Eligibility Stats'!$A$10:$M$26,R$34,FALSE)="N/A",0,VLOOKUP($A42,'Ex post LI &amp; Eligibility Stats'!$A$10:$M$26,R$34,FALSE)*Q42/1000))</f>
        <v/>
      </c>
      <c r="T42" s="492">
        <v>3000000</v>
      </c>
      <c r="U42" s="353"/>
    </row>
    <row r="43" spans="1:21" s="144" customFormat="1" ht="12.75" customHeight="1" thickBot="1">
      <c r="A43" s="31" t="s">
        <v>21</v>
      </c>
      <c r="B43" s="301">
        <f t="shared" ref="B43:S43" si="3">SUM(B38:B42)</f>
        <v>157717</v>
      </c>
      <c r="C43" s="331">
        <f t="shared" si="3"/>
        <v>280.68696719034381</v>
      </c>
      <c r="D43" s="332">
        <f t="shared" si="3"/>
        <v>205.61813999999998</v>
      </c>
      <c r="E43" s="301">
        <f t="shared" si="3"/>
        <v>159506</v>
      </c>
      <c r="F43" s="331">
        <f t="shared" si="3"/>
        <v>252.91132459654901</v>
      </c>
      <c r="G43" s="332">
        <f t="shared" si="3"/>
        <v>206.79939999999999</v>
      </c>
      <c r="H43" s="301">
        <f t="shared" si="3"/>
        <v>161424</v>
      </c>
      <c r="I43" s="331">
        <f t="shared" si="3"/>
        <v>247.39625011389938</v>
      </c>
      <c r="J43" s="332">
        <f t="shared" si="3"/>
        <v>211.94743999999997</v>
      </c>
      <c r="K43" s="176">
        <f t="shared" si="3"/>
        <v>165205</v>
      </c>
      <c r="L43" s="477">
        <f t="shared" si="3"/>
        <v>234.9605044782943</v>
      </c>
      <c r="M43" s="478">
        <f t="shared" si="3"/>
        <v>215.14229999999998</v>
      </c>
      <c r="N43" s="176">
        <f t="shared" si="3"/>
        <v>165574</v>
      </c>
      <c r="O43" s="216">
        <f t="shared" si="3"/>
        <v>215.94680374391999</v>
      </c>
      <c r="P43" s="217">
        <f t="shared" si="3"/>
        <v>216.01115999999996</v>
      </c>
      <c r="Q43" s="301">
        <f t="shared" si="3"/>
        <v>0</v>
      </c>
      <c r="R43" s="216">
        <f t="shared" si="3"/>
        <v>0</v>
      </c>
      <c r="S43" s="217">
        <f t="shared" si="3"/>
        <v>0</v>
      </c>
      <c r="T43" s="493"/>
      <c r="U43" s="353"/>
    </row>
    <row r="44" spans="1:21" s="144" customFormat="1" ht="11.25" customHeight="1" thickTop="1">
      <c r="A44" s="30" t="s">
        <v>30</v>
      </c>
      <c r="B44" s="302"/>
      <c r="C44" s="333"/>
      <c r="D44" s="334"/>
      <c r="E44" s="302"/>
      <c r="F44" s="333"/>
      <c r="G44" s="334"/>
      <c r="H44" s="302"/>
      <c r="I44" s="333"/>
      <c r="J44" s="334"/>
      <c r="K44" s="177"/>
      <c r="L44" s="138"/>
      <c r="M44" s="139"/>
      <c r="N44" s="177"/>
      <c r="O44" s="219"/>
      <c r="P44" s="220"/>
      <c r="Q44" s="302"/>
      <c r="R44" s="219"/>
      <c r="S44" s="220"/>
      <c r="T44" s="494"/>
      <c r="U44" s="353"/>
    </row>
    <row r="45" spans="1:21" s="144" customFormat="1" ht="11.25" customHeight="1">
      <c r="A45" s="358" t="s">
        <v>72</v>
      </c>
      <c r="B45" s="303">
        <v>291</v>
      </c>
      <c r="C45" s="324">
        <f>IF(B45="","",IF(VLOOKUP($A45,'Ex ante LI &amp; Eligibility Stats'!$A$7:$M$23,C$34,FALSE)="N/A",0,VLOOKUP($A45,'Ex ante LI &amp; Eligibility Stats'!$A$7:$M$23,C$34,FALSE)*B45/1000))</f>
        <v>74.303860437690005</v>
      </c>
      <c r="D45" s="325">
        <f>IF(B45="","",IF(VLOOKUP($A45,'Ex post LI &amp; Eligibility Stats'!$A$10:$M$26,C$34,FALSE)="N/A",0,VLOOKUP($A45,'Ex post LI &amp; Eligibility Stats'!$A$10:$M$26,C$34,FALSE)*B45/1000))</f>
        <v>0</v>
      </c>
      <c r="E45" s="303">
        <v>296</v>
      </c>
      <c r="F45" s="324">
        <f>IF(E45="","",IF(VLOOKUP($A45,'Ex ante LI &amp; Eligibility Stats'!$A$7:$M$23,F$34,FALSE)="N/A",0,VLOOKUP($A45,'Ex ante LI &amp; Eligibility Stats'!$A$7:$M$23,F$34,FALSE)*E45/1000))</f>
        <v>75.580559070639993</v>
      </c>
      <c r="G45" s="325">
        <f>IF(E45="","",IF(VLOOKUP($A45,'Ex post LI &amp; Eligibility Stats'!$A$10:$M$26,F$34,FALSE)="N/A",0,VLOOKUP($A45,'Ex post LI &amp; Eligibility Stats'!$A$10:$M$26,F$34,FALSE)*E45/1000))</f>
        <v>0</v>
      </c>
      <c r="H45" s="303">
        <v>296</v>
      </c>
      <c r="I45" s="324">
        <f>IF(H45="","",IF(VLOOKUP($A45,'Ex ante LI &amp; Eligibility Stats'!$A$7:$M$23,I$34,FALSE)="N/A",0,VLOOKUP($A45,'Ex ante LI &amp; Eligibility Stats'!$A$7:$M$23,I$34,FALSE)*H45/1000))</f>
        <v>75.580559070639993</v>
      </c>
      <c r="J45" s="325">
        <f>IF(H45="","",IF(VLOOKUP($A45,'Ex post LI &amp; Eligibility Stats'!$A$10:$M$26,I$34,FALSE)="N/A",0,VLOOKUP($A45,'Ex post LI &amp; Eligibility Stats'!$A$10:$M$26,I$34,FALSE)*H45/1000))</f>
        <v>0</v>
      </c>
      <c r="K45" s="479">
        <v>296</v>
      </c>
      <c r="L45" s="471">
        <f>IF(K45="","",IF(VLOOKUP($A45,'Ex ante LI &amp; Eligibility Stats'!$A$7:$M$23,L$34,FALSE)="N/A",0,VLOOKUP($A45,'Ex ante LI &amp; Eligibility Stats'!$A$7:$M$23,L$34,FALSE)*K45/1000))</f>
        <v>75.580559070639993</v>
      </c>
      <c r="M45" s="472">
        <f>IF(K45="","",IF(VLOOKUP($A45,'Ex post LI &amp; Eligibility Stats'!$A$10:$M$26,L$34,FALSE)="N/A",0,VLOOKUP($A45,'Ex post LI &amp; Eligibility Stats'!$A$10:$M$26,L$34,FALSE)*K45/1000))</f>
        <v>0</v>
      </c>
      <c r="N45" s="503">
        <v>291</v>
      </c>
      <c r="O45" s="213">
        <f>IF(N45="","",IF(VLOOKUP($A45,'Ex ante LI &amp; Eligibility Stats'!$A$7:$M$23,O$34,FALSE)="N/A",0,VLOOKUP($A45,'Ex ante LI &amp; Eligibility Stats'!$A$7:$M$23,O$34,FALSE)*N45/1000))</f>
        <v>0</v>
      </c>
      <c r="P45" s="210">
        <f>IF(N45="","",IF(VLOOKUP($A45,'Ex post LI &amp; Eligibility Stats'!$A$10:$M$26,O$34,FALSE)="N/A",0,VLOOKUP($A45,'Ex post LI &amp; Eligibility Stats'!$A$10:$M$26,O$34,FALSE)*N45/1000))</f>
        <v>0</v>
      </c>
      <c r="Q45" s="303"/>
      <c r="R45" s="213" t="str">
        <f>IF(Q45="","",IF(VLOOKUP($A45,'Ex ante LI &amp; Eligibility Stats'!$A$7:$M$23,R$34,FALSE)="N/A",0,VLOOKUP($A45,'Ex ante LI &amp; Eligibility Stats'!$A$7:$M$23,R$34,FALSE)*Q45/1000))</f>
        <v/>
      </c>
      <c r="S45" s="213" t="str">
        <f>IF(Q45="","",IF(VLOOKUP($A45,'Ex post LI &amp; Eligibility Stats'!$A$10:$M$26,R$34,FALSE)="N/A",0,VLOOKUP($A45,'Ex post LI &amp; Eligibility Stats'!$A$10:$M$26,R$34,FALSE)*Q45/1000))</f>
        <v/>
      </c>
      <c r="T45" s="491">
        <v>590834</v>
      </c>
      <c r="U45" s="353"/>
    </row>
    <row r="46" spans="1:21" s="144" customFormat="1" ht="11.25" customHeight="1">
      <c r="A46" s="358" t="s">
        <v>73</v>
      </c>
      <c r="B46" s="287">
        <v>1266</v>
      </c>
      <c r="C46" s="326">
        <f>IF(B46="","",IF(VLOOKUP($A46,'Ex ante LI &amp; Eligibility Stats'!$A$7:$M$23,C$34,FALSE)="N/A",0,VLOOKUP($A46,'Ex ante LI &amp; Eligibility Stats'!$A$7:$M$23,C$34,FALSE)*B46/1000))</f>
        <v>225.53517623898</v>
      </c>
      <c r="D46" s="327">
        <f>IF(B46="","",IF(VLOOKUP($A46,'Ex post LI &amp; Eligibility Stats'!$A$10:$M$26,C$34,FALSE)="N/A",0,VLOOKUP($A46,'Ex post LI &amp; Eligibility Stats'!$A$10:$M$26,C$34,FALSE)*B46/1000))</f>
        <v>265.86</v>
      </c>
      <c r="E46" s="287">
        <v>1445</v>
      </c>
      <c r="F46" s="326">
        <f>IF(E46="","",IF(VLOOKUP($A46,'Ex ante LI &amp; Eligibility Stats'!$A$7:$M$23,F$34,FALSE)="N/A",0,VLOOKUP($A46,'Ex ante LI &amp; Eligibility Stats'!$A$7:$M$23,F$34,FALSE)*E46/1000))</f>
        <v>257.42364112585</v>
      </c>
      <c r="G46" s="327">
        <f>IF(E46="","",IF(VLOOKUP($A46,'Ex post LI &amp; Eligibility Stats'!$A$10:$M$26,F$34,FALSE)="N/A",0,VLOOKUP($A46,'Ex post LI &amp; Eligibility Stats'!$A$10:$M$26,F$34,FALSE)*E46/1000))</f>
        <v>303.45</v>
      </c>
      <c r="H46" s="287">
        <v>1489</v>
      </c>
      <c r="I46" s="326">
        <f>IF(H46="","",IF(VLOOKUP($A46,'Ex ante LI &amp; Eligibility Stats'!$A$7:$M$23,I$34,FALSE)="N/A",0,VLOOKUP($A46,'Ex ante LI &amp; Eligibility Stats'!$A$7:$M$23,I$34,FALSE)*H46/1000))</f>
        <v>265.26214646117</v>
      </c>
      <c r="J46" s="327">
        <f>IF(H46="","",IF(VLOOKUP($A46,'Ex post LI &amp; Eligibility Stats'!$A$10:$M$26,I$34,FALSE)="N/A",0,VLOOKUP($A46,'Ex post LI &amp; Eligibility Stats'!$A$10:$M$26,I$34,FALSE)*H46/1000))</f>
        <v>312.69</v>
      </c>
      <c r="K46" s="480">
        <v>1510</v>
      </c>
      <c r="L46" s="473">
        <f>IF(K46="","",IF(VLOOKUP($A46,'Ex ante LI &amp; Eligibility Stats'!$A$7:$M$23,L$34,FALSE)="N/A",0,VLOOKUP($A46,'Ex ante LI &amp; Eligibility Stats'!$A$7:$M$23,L$34,FALSE)*K46/1000))</f>
        <v>269.00325128030005</v>
      </c>
      <c r="M46" s="474">
        <f>IF(K46="","",IF(VLOOKUP($A46,'Ex post LI &amp; Eligibility Stats'!$A$10:$M$26,L$34,FALSE)="N/A",0,VLOOKUP($A46,'Ex post LI &amp; Eligibility Stats'!$A$10:$M$26,L$34,FALSE)*K46/1000))</f>
        <v>317.10000000000002</v>
      </c>
      <c r="N46" s="279">
        <v>1505</v>
      </c>
      <c r="O46" s="214">
        <f>IF(N46="","",IF(VLOOKUP($A46,'Ex ante LI &amp; Eligibility Stats'!$A$7:$M$23,O$34,FALSE)="N/A",0,VLOOKUP($A46,'Ex ante LI &amp; Eligibility Stats'!$A$7:$M$23,O$34,FALSE)*N46/1000))</f>
        <v>0</v>
      </c>
      <c r="P46" s="211">
        <f>IF(N46="","",IF(VLOOKUP($A46,'Ex post LI &amp; Eligibility Stats'!$A$10:$M$26,O$34,FALSE)="N/A",0,VLOOKUP($A46,'Ex post LI &amp; Eligibility Stats'!$A$10:$M$26,O$34,FALSE)*N46/1000))</f>
        <v>316.05</v>
      </c>
      <c r="Q46" s="287"/>
      <c r="R46" s="214" t="str">
        <f>IF(Q46="","",IF(VLOOKUP($A46,'Ex ante LI &amp; Eligibility Stats'!$A$7:$M$23,R$34,FALSE)="N/A",0,VLOOKUP($A46,'Ex ante LI &amp; Eligibility Stats'!$A$7:$M$23,R$34,FALSE)*Q46/1000))</f>
        <v/>
      </c>
      <c r="S46" s="214" t="str">
        <f>IF(Q46="","",IF(VLOOKUP($A46,'Ex post LI &amp; Eligibility Stats'!$A$10:$M$26,R$34,FALSE)="N/A",0,VLOOKUP($A46,'Ex post LI &amp; Eligibility Stats'!$A$10:$M$26,R$34,FALSE)*Q46/1000))</f>
        <v/>
      </c>
      <c r="T46" s="491">
        <v>590834</v>
      </c>
      <c r="U46" s="353"/>
    </row>
    <row r="47" spans="1:21" s="144" customFormat="1" ht="11.25" customHeight="1">
      <c r="A47" s="358" t="s">
        <v>129</v>
      </c>
      <c r="B47" s="359">
        <v>141</v>
      </c>
      <c r="C47" s="326">
        <f>IF(B47="","",IF(VLOOKUP($A47,'Ex ante LI &amp; Eligibility Stats'!$A$7:$M$23,C$34,FALSE)="N/A",0,VLOOKUP($A47,'Ex ante LI &amp; Eligibility Stats'!$A$7:$M$23,C$34,FALSE)*B47/1000))</f>
        <v>4.8027995380109996</v>
      </c>
      <c r="D47" s="327">
        <f>IF(B47="","",IF(VLOOKUP($A47,'Ex post LI &amp; Eligibility Stats'!$A$10:$M$26,C$34,FALSE)="N/A",0,VLOOKUP($A47,'Ex post LI &amp; Eligibility Stats'!$A$10:$M$26,C$34,FALSE)*B47/1000))</f>
        <v>4.2300000000000004</v>
      </c>
      <c r="E47" s="287">
        <v>178</v>
      </c>
      <c r="F47" s="326">
        <f>IF(E47="","",IF(VLOOKUP($A47,'Ex ante LI &amp; Eligibility Stats'!$A$7:$M$23,F$34,FALSE)="N/A",0,VLOOKUP($A47,'Ex ante LI &amp; Eligibility Stats'!$A$7:$M$23,F$34,FALSE)*E47/1000))</f>
        <v>5.96997451971</v>
      </c>
      <c r="G47" s="327">
        <f>IF(E47="","",IF(VLOOKUP($A47,'Ex post LI &amp; Eligibility Stats'!$A$10:$M$26,F$34,FALSE)="N/A",0,VLOOKUP($A47,'Ex post LI &amp; Eligibility Stats'!$A$10:$M$26,F$34,FALSE)*E47/1000))</f>
        <v>5.34</v>
      </c>
      <c r="H47" s="287">
        <v>185</v>
      </c>
      <c r="I47" s="326">
        <f>IF(H47="","",IF(VLOOKUP($A47,'Ex ante LI &amp; Eligibility Stats'!$A$7:$M$23,I$34,FALSE)="N/A",0,VLOOKUP($A47,'Ex ante LI &amp; Eligibility Stats'!$A$7:$M$23,I$34,FALSE)*H47/1000))</f>
        <v>6.2210437012499993</v>
      </c>
      <c r="J47" s="327">
        <f>IF(H47="","",IF(VLOOKUP($A47,'Ex post LI &amp; Eligibility Stats'!$A$10:$M$26,I$34,FALSE)="N/A",0,VLOOKUP($A47,'Ex post LI &amp; Eligibility Stats'!$A$10:$M$26,I$34,FALSE)*H47/1000))</f>
        <v>5.55</v>
      </c>
      <c r="K47" s="480">
        <v>0</v>
      </c>
      <c r="L47" s="473">
        <f>IF(K47="","",IF(VLOOKUP($A47,'Ex ante LI &amp; Eligibility Stats'!$A$7:$M$23,L$34,FALSE)="N/A",0,VLOOKUP($A47,'Ex ante LI &amp; Eligibility Stats'!$A$7:$M$23,L$34,FALSE)*K47/1000))</f>
        <v>0</v>
      </c>
      <c r="M47" s="474">
        <f>IF(K47="","",IF(VLOOKUP($A47,'Ex post LI &amp; Eligibility Stats'!$A$10:$M$26,L$34,FALSE)="N/A",0,VLOOKUP($A47,'Ex post LI &amp; Eligibility Stats'!$A$10:$M$26,L$34,FALSE)*K47/1000))</f>
        <v>0</v>
      </c>
      <c r="N47" s="279">
        <v>0</v>
      </c>
      <c r="O47" s="214">
        <f>IF(N47="","",IF(VLOOKUP($A47,'Ex ante LI &amp; Eligibility Stats'!$A$7:$M$23,O$34,FALSE)="N/A",0,VLOOKUP($A47,'Ex ante LI &amp; Eligibility Stats'!$A$7:$M$23,O$34,FALSE)*N47/1000))</f>
        <v>0</v>
      </c>
      <c r="P47" s="211">
        <f>IF(N47="","",IF(VLOOKUP($A47,'Ex post LI &amp; Eligibility Stats'!$A$10:$M$26,O$34,FALSE)="N/A",0,VLOOKUP($A47,'Ex post LI &amp; Eligibility Stats'!$A$10:$M$26,O$34,FALSE)*N47/1000))</f>
        <v>0</v>
      </c>
      <c r="Q47" s="287"/>
      <c r="R47" s="214" t="str">
        <f>IF(Q47="","",IF(VLOOKUP($A47,'Ex ante LI &amp; Eligibility Stats'!$A$7:$M$23,R$34,FALSE)="N/A",0,VLOOKUP($A47,'Ex ante LI &amp; Eligibility Stats'!$A$7:$M$23,R$34,FALSE)*Q47/1000))</f>
        <v/>
      </c>
      <c r="S47" s="214" t="str">
        <f>IF(Q47="","",IF(VLOOKUP($A47,'Ex post LI &amp; Eligibility Stats'!$A$10:$M$26,R$34,FALSE)="N/A",0,VLOOKUP($A47,'Ex post LI &amp; Eligibility Stats'!$A$10:$M$26,R$34,FALSE)*Q47/1000))</f>
        <v/>
      </c>
      <c r="T47" s="491">
        <v>590834</v>
      </c>
      <c r="U47" s="353"/>
    </row>
    <row r="48" spans="1:21" s="144" customFormat="1" ht="11.25" customHeight="1">
      <c r="A48" s="358" t="s">
        <v>130</v>
      </c>
      <c r="B48" s="359">
        <v>238</v>
      </c>
      <c r="C48" s="326">
        <f>IF(B48="","",IF(VLOOKUP($A48,'Ex ante LI &amp; Eligibility Stats'!$A$7:$M$23,C$34,FALSE)="N/A",0,VLOOKUP($A48,'Ex ante LI &amp; Eligibility Stats'!$A$7:$M$23,C$34,FALSE)*B48/1000))</f>
        <v>19.971865098374</v>
      </c>
      <c r="D48" s="327">
        <f>IF(B48="","",IF(VLOOKUP($A48,'Ex post LI &amp; Eligibility Stats'!$A$10:$M$26,C$34,FALSE)="N/A",0,VLOOKUP($A48,'Ex post LI &amp; Eligibility Stats'!$A$10:$M$26,C$34,FALSE)*B48/1000))</f>
        <v>19.04</v>
      </c>
      <c r="E48" s="287">
        <v>214</v>
      </c>
      <c r="F48" s="326">
        <f>IF(E48="","",IF(VLOOKUP($A48,'Ex ante LI &amp; Eligibility Stats'!$A$7:$M$23,F$34,FALSE)="N/A",0,VLOOKUP($A48,'Ex ante LI &amp; Eligibility Stats'!$A$7:$M$23,F$34,FALSE)*E48/1000))</f>
        <v>18.135638029186001</v>
      </c>
      <c r="G48" s="327">
        <f>IF(E48="","",IF(VLOOKUP($A48,'Ex post LI &amp; Eligibility Stats'!$A$10:$M$26,F$34,FALSE)="N/A",0,VLOOKUP($A48,'Ex post LI &amp; Eligibility Stats'!$A$10:$M$26,F$34,FALSE)*E48/1000))</f>
        <v>17.12</v>
      </c>
      <c r="H48" s="287">
        <v>214</v>
      </c>
      <c r="I48" s="326">
        <f>IF(H48="","",IF(VLOOKUP($A48,'Ex ante LI &amp; Eligibility Stats'!$A$7:$M$23,I$34,FALSE)="N/A",0,VLOOKUP($A48,'Ex ante LI &amp; Eligibility Stats'!$A$7:$M$23,I$34,FALSE)*H48/1000))</f>
        <v>18.023898141901999</v>
      </c>
      <c r="J48" s="327">
        <f>IF(H48="","",IF(VLOOKUP($A48,'Ex post LI &amp; Eligibility Stats'!$A$10:$M$26,I$34,FALSE)="N/A",0,VLOOKUP($A48,'Ex post LI &amp; Eligibility Stats'!$A$10:$M$26,I$34,FALSE)*H48/1000))</f>
        <v>17.12</v>
      </c>
      <c r="K48" s="480">
        <v>0</v>
      </c>
      <c r="L48" s="473">
        <f>IF(K48="","",IF(VLOOKUP($A48,'Ex ante LI &amp; Eligibility Stats'!$A$7:$M$23,L$34,FALSE)="N/A",0,VLOOKUP($A48,'Ex ante LI &amp; Eligibility Stats'!$A$7:$M$23,L$34,FALSE)*K48/1000))</f>
        <v>0</v>
      </c>
      <c r="M48" s="474">
        <f>IF(K48="","",IF(VLOOKUP($A48,'Ex post LI &amp; Eligibility Stats'!$A$10:$M$26,L$34,FALSE)="N/A",0,VLOOKUP($A48,'Ex post LI &amp; Eligibility Stats'!$A$10:$M$26,L$34,FALSE)*K48/1000))</f>
        <v>0</v>
      </c>
      <c r="N48" s="279">
        <v>0</v>
      </c>
      <c r="O48" s="214">
        <f>IF(N48="","",IF(VLOOKUP($A48,'Ex ante LI &amp; Eligibility Stats'!$A$7:$M$23,O$34,FALSE)="N/A",0,VLOOKUP($A48,'Ex ante LI &amp; Eligibility Stats'!$A$7:$M$23,O$34,FALSE)*N48/1000))</f>
        <v>0</v>
      </c>
      <c r="P48" s="211">
        <f>IF(N48="","",IF(VLOOKUP($A48,'Ex post LI &amp; Eligibility Stats'!$A$10:$M$26,O$34,FALSE)="N/A",0,VLOOKUP($A48,'Ex post LI &amp; Eligibility Stats'!$A$10:$M$26,O$34,FALSE)*N48/1000))</f>
        <v>0</v>
      </c>
      <c r="Q48" s="287"/>
      <c r="R48" s="214" t="str">
        <f>IF(Q48="","",IF(VLOOKUP($A48,'Ex ante LI &amp; Eligibility Stats'!$A$7:$M$23,R$34,FALSE)="N/A",0,VLOOKUP($A48,'Ex ante LI &amp; Eligibility Stats'!$A$7:$M$23,R$34,FALSE)*Q48/1000))</f>
        <v/>
      </c>
      <c r="S48" s="214" t="str">
        <f>IF(Q48="","",IF(VLOOKUP($A48,'Ex post LI &amp; Eligibility Stats'!$A$10:$M$26,R$34,FALSE)="N/A",0,VLOOKUP($A48,'Ex post LI &amp; Eligibility Stats'!$A$10:$M$26,R$34,FALSE)*Q48/1000))</f>
        <v/>
      </c>
      <c r="T48" s="491">
        <v>590834</v>
      </c>
      <c r="U48" s="353"/>
    </row>
    <row r="49" spans="1:26" s="144" customFormat="1" ht="11.25" customHeight="1">
      <c r="A49" s="358" t="s">
        <v>15</v>
      </c>
      <c r="B49" s="359">
        <v>1058</v>
      </c>
      <c r="C49" s="326">
        <f>IF(B49="","",IF(VLOOKUP($A49,'Ex ante LI &amp; Eligibility Stats'!$A$7:$M$23,C$34,FALSE)="N/A",0,VLOOKUP($A49,'Ex ante LI &amp; Eligibility Stats'!$A$7:$M$23,C$34,FALSE)*B49/1000))</f>
        <v>72.485247861882002</v>
      </c>
      <c r="D49" s="327">
        <f>IF(B49="","",IF(VLOOKUP($A49,'Ex post LI &amp; Eligibility Stats'!$A$10:$M$26,C$34,FALSE)="N/A",0,VLOOKUP($A49,'Ex post LI &amp; Eligibility Stats'!$A$10:$M$26,C$34,FALSE)*B49/1000))</f>
        <v>68.664200000000008</v>
      </c>
      <c r="E49" s="288">
        <v>1054</v>
      </c>
      <c r="F49" s="326">
        <f>IF(E49="","",IF(VLOOKUP($A49,'Ex ante LI &amp; Eligibility Stats'!$A$7:$M$23,F$34,FALSE)="N/A",0,VLOOKUP($A49,'Ex ante LI &amp; Eligibility Stats'!$A$7:$M$23,F$34,FALSE)*E49/1000))</f>
        <v>68.836855878867993</v>
      </c>
      <c r="G49" s="327">
        <f>IF(E49="","",IF(VLOOKUP($A49,'Ex post LI &amp; Eligibility Stats'!$A$10:$M$26,F$34,FALSE)="N/A",0,VLOOKUP($A49,'Ex post LI &amp; Eligibility Stats'!$A$10:$M$26,F$34,FALSE)*E49/1000))</f>
        <v>68.404600000000002</v>
      </c>
      <c r="H49" s="288">
        <v>1060</v>
      </c>
      <c r="I49" s="326">
        <f>IF(H49="","",IF(VLOOKUP($A49,'Ex ante LI &amp; Eligibility Stats'!$A$7:$M$23,I$34,FALSE)="N/A",0,VLOOKUP($A49,'Ex ante LI &amp; Eligibility Stats'!$A$7:$M$23,I$34,FALSE)*H49/1000))</f>
        <v>72.240125860980001</v>
      </c>
      <c r="J49" s="327">
        <f>IF(H49="","",IF(VLOOKUP($A49,'Ex post LI &amp; Eligibility Stats'!$A$10:$M$26,I$34,FALSE)="N/A",0,VLOOKUP($A49,'Ex post LI &amp; Eligibility Stats'!$A$10:$M$26,I$34,FALSE)*H49/1000))</f>
        <v>68.793999999999997</v>
      </c>
      <c r="K49" s="280">
        <v>1049</v>
      </c>
      <c r="L49" s="473">
        <f>IF(K49="","",IF(VLOOKUP($A49,'Ex ante LI &amp; Eligibility Stats'!$A$7:$M$23,L$34,FALSE)="N/A",0,VLOOKUP($A49,'Ex ante LI &amp; Eligibility Stats'!$A$7:$M$23,L$34,FALSE)*K49/1000))</f>
        <v>68.636593926196994</v>
      </c>
      <c r="M49" s="474">
        <f>IF(K49="","",IF(VLOOKUP($A49,'Ex post LI &amp; Eligibility Stats'!$A$10:$M$26,L$34,FALSE)="N/A",0,VLOOKUP($A49,'Ex post LI &amp; Eligibility Stats'!$A$10:$M$26,L$34,FALSE)*K49/1000))</f>
        <v>68.080100000000002</v>
      </c>
      <c r="N49" s="280">
        <v>1044</v>
      </c>
      <c r="O49" s="214">
        <f>IF(N49="","",IF(VLOOKUP($A49,'Ex ante LI &amp; Eligibility Stats'!$A$7:$M$23,O$34,FALSE)="N/A",0,VLOOKUP($A49,'Ex ante LI &amp; Eligibility Stats'!$A$7:$M$23,O$34,FALSE)*N49/1000))</f>
        <v>73.205755472052005</v>
      </c>
      <c r="P49" s="211">
        <f>IF(N49="","",IF(VLOOKUP($A49,'Ex post LI &amp; Eligibility Stats'!$A$10:$M$26,O$34,FALSE)="N/A",0,VLOOKUP($A49,'Ex post LI &amp; Eligibility Stats'!$A$10:$M$26,O$34,FALSE)*N49/1000))</f>
        <v>67.755600000000001</v>
      </c>
      <c r="Q49" s="309"/>
      <c r="R49" s="214" t="str">
        <f>IF(Q49="","",IF(VLOOKUP($A49,'Ex ante LI &amp; Eligibility Stats'!$A$7:$M$23,R$34,FALSE)="N/A",0,VLOOKUP($A49,'Ex ante LI &amp; Eligibility Stats'!$A$7:$M$23,R$34,FALSE)*Q49/1000))</f>
        <v/>
      </c>
      <c r="S49" s="214" t="str">
        <f>IF(Q49="","",IF(VLOOKUP($A49,'Ex post LI &amp; Eligibility Stats'!$A$10:$M$26,R$34,FALSE)="N/A",0,VLOOKUP($A49,'Ex post LI &amp; Eligibility Stats'!$A$10:$M$26,R$34,FALSE)*Q49/1000))</f>
        <v/>
      </c>
      <c r="T49" s="491">
        <v>10199</v>
      </c>
      <c r="U49" s="353"/>
    </row>
    <row r="50" spans="1:26" s="144" customFormat="1" ht="11.25" customHeight="1">
      <c r="A50" s="358" t="s">
        <v>183</v>
      </c>
      <c r="B50" s="287">
        <v>1888</v>
      </c>
      <c r="C50" s="326">
        <f>IF(B50="","",IF(VLOOKUP($A50,'Ex ante LI &amp; Eligibility Stats'!$A$7:$M$23,C$34,FALSE)="N/A",0,VLOOKUP($A50,'Ex ante LI &amp; Eligibility Stats'!$A$7:$M$23,C$34,FALSE)*B50/1000))</f>
        <v>23.266674341984</v>
      </c>
      <c r="D50" s="327">
        <f>IF(B50="","",IF(VLOOKUP($A50,'Ex post LI &amp; Eligibility Stats'!$A$10:$M$26,C$34,FALSE)="N/A",0,VLOOKUP($A50,'Ex post LI &amp; Eligibility Stats'!$A$10:$M$26,C$34,FALSE)*B50/1000))</f>
        <v>26.054400000000001</v>
      </c>
      <c r="E50" s="287">
        <v>1952</v>
      </c>
      <c r="F50" s="326">
        <f>IF(E50="","",IF(VLOOKUP($A50,'Ex ante LI &amp; Eligibility Stats'!$A$7:$M$23,F$34,FALSE)="N/A",0,VLOOKUP($A50,'Ex ante LI &amp; Eligibility Stats'!$A$7:$M$23,F$34,FALSE)*E50/1000))</f>
        <v>23.947933840960001</v>
      </c>
      <c r="G50" s="327">
        <f>IF(E50="","",IF(VLOOKUP($A50,'Ex post LI &amp; Eligibility Stats'!$A$10:$M$26,F$34,FALSE)="N/A",0,VLOOKUP($A50,'Ex post LI &amp; Eligibility Stats'!$A$10:$M$26,F$34,FALSE)*E50/1000))</f>
        <v>26.937600000000003</v>
      </c>
      <c r="H50" s="287">
        <v>1904</v>
      </c>
      <c r="I50" s="326">
        <f>IF(H50="","",IF(VLOOKUP($A50,'Ex ante LI &amp; Eligibility Stats'!$A$7:$M$23,I$34,FALSE)="N/A",0,VLOOKUP($A50,'Ex ante LI &amp; Eligibility Stats'!$A$7:$M$23,I$34,FALSE)*H50/1000))</f>
        <v>27.83690923776</v>
      </c>
      <c r="J50" s="327">
        <f>IF(H50="","",IF(VLOOKUP($A50,'Ex post LI &amp; Eligibility Stats'!$A$10:$M$26,I$34,FALSE)="N/A",0,VLOOKUP($A50,'Ex post LI &amp; Eligibility Stats'!$A$10:$M$26,I$34,FALSE)*H50/1000))</f>
        <v>26.275200000000002</v>
      </c>
      <c r="K50" s="279">
        <v>1937</v>
      </c>
      <c r="L50" s="473">
        <f>IF(K50="","",IF(VLOOKUP($A50,'Ex ante LI &amp; Eligibility Stats'!$A$7:$M$23,L$34,FALSE)="N/A",0,VLOOKUP($A50,'Ex ante LI &amp; Eligibility Stats'!$A$7:$M$23,L$34,FALSE)*K50/1000))</f>
        <v>26.847455758265998</v>
      </c>
      <c r="M50" s="474">
        <f>IF(K50="","",IF(VLOOKUP($A50,'Ex post LI &amp; Eligibility Stats'!$A$10:$M$26,L$34,FALSE)="N/A",0,VLOOKUP($A50,'Ex post LI &amp; Eligibility Stats'!$A$10:$M$26,L$34,FALSE)*K50/1000))</f>
        <v>26.730600000000003</v>
      </c>
      <c r="N50" s="279">
        <v>1963</v>
      </c>
      <c r="O50" s="214">
        <f>IF(N50="","",IF(VLOOKUP($A50,'Ex ante LI &amp; Eligibility Stats'!$A$7:$M$23,O$34,FALSE)="N/A",0,VLOOKUP($A50,'Ex ante LI &amp; Eligibility Stats'!$A$7:$M$23,O$34,FALSE)*N50/1000))</f>
        <v>11.720154962023299</v>
      </c>
      <c r="P50" s="211">
        <f>IF(N50="","",IF(VLOOKUP($A50,'Ex post LI &amp; Eligibility Stats'!$A$10:$M$26,O$34,FALSE)="N/A",0,VLOOKUP($A50,'Ex post LI &amp; Eligibility Stats'!$A$10:$M$26,O$34,FALSE)*N50/1000))</f>
        <v>27.089400000000001</v>
      </c>
      <c r="Q50" s="287"/>
      <c r="R50" s="214" t="str">
        <f>IF(Q50="","",IF(VLOOKUP($A50,'Ex ante LI &amp; Eligibility Stats'!$A$7:$M$23,R$34,FALSE)="N/A",0,VLOOKUP($A50,'Ex ante LI &amp; Eligibility Stats'!$A$7:$M$23,R$34,FALSE)*Q50/1000))</f>
        <v/>
      </c>
      <c r="S50" s="214" t="str">
        <f>IF(Q50="","",IF(VLOOKUP($A50,'Ex post LI &amp; Eligibility Stats'!$A$10:$M$26,R$34,FALSE)="N/A",0,VLOOKUP($A50,'Ex post LI &amp; Eligibility Stats'!$A$10:$M$26,R$34,FALSE)*Q50/1000))</f>
        <v/>
      </c>
      <c r="T50" s="491">
        <v>161391</v>
      </c>
      <c r="U50" s="353"/>
    </row>
    <row r="51" spans="1:26" s="144" customFormat="1" ht="11.25" customHeight="1">
      <c r="A51" s="358" t="s">
        <v>133</v>
      </c>
      <c r="B51" s="287">
        <v>119</v>
      </c>
      <c r="C51" s="326">
        <f>IF(B51="","",IF(VLOOKUP($A51,'Ex ante LI &amp; Eligibility Stats'!$A$7:$M$23,C$34,FALSE)="N/A",0,VLOOKUP($A51,'Ex ante LI &amp; Eligibility Stats'!$A$7:$M$23,C$34,FALSE)*B51/1000))</f>
        <v>0.80058304983790007</v>
      </c>
      <c r="D51" s="327">
        <f>IF(B51="","",IF(VLOOKUP($A51,'Ex post LI &amp; Eligibility Stats'!$A$10:$M$26,C$34,FALSE)="N/A",0,VLOOKUP($A51,'Ex post LI &amp; Eligibility Stats'!$A$10:$M$26,C$34,FALSE)*B51/1000))</f>
        <v>1.6183999999999998</v>
      </c>
      <c r="E51" s="287">
        <v>121</v>
      </c>
      <c r="F51" s="326">
        <f>IF(E51="","",IF(VLOOKUP($A51,'Ex ante LI &amp; Eligibility Stats'!$A$7:$M$23,F$34,FALSE)="N/A",0,VLOOKUP($A51,'Ex ante LI &amp; Eligibility Stats'!$A$7:$M$23,F$34,FALSE)*E51/1000))</f>
        <v>0.81665492081360003</v>
      </c>
      <c r="G51" s="327">
        <f>IF(E51="","",IF(VLOOKUP($A51,'Ex post LI &amp; Eligibility Stats'!$A$10:$M$26,F$34,FALSE)="N/A",0,VLOOKUP($A51,'Ex post LI &amp; Eligibility Stats'!$A$10:$M$26,F$34,FALSE)*E51/1000))</f>
        <v>1.6456</v>
      </c>
      <c r="H51" s="287">
        <v>122</v>
      </c>
      <c r="I51" s="326">
        <f>IF(H51="","",IF(VLOOKUP($A51,'Ex ante LI &amp; Eligibility Stats'!$A$7:$M$23,I$34,FALSE)="N/A",0,VLOOKUP($A51,'Ex ante LI &amp; Eligibility Stats'!$A$7:$M$23,I$34,FALSE)*H51/1000))</f>
        <v>0.80368315926239997</v>
      </c>
      <c r="J51" s="327">
        <f>IF(H51="","",IF(VLOOKUP($A51,'Ex post LI &amp; Eligibility Stats'!$A$10:$M$26,I$34,FALSE)="N/A",0,VLOOKUP($A51,'Ex post LI &amp; Eligibility Stats'!$A$10:$M$26,I$34,FALSE)*H51/1000))</f>
        <v>1.6592</v>
      </c>
      <c r="K51" s="480">
        <v>116</v>
      </c>
      <c r="L51" s="473">
        <f>IF(K51="","",IF(VLOOKUP($A51,'Ex ante LI &amp; Eligibility Stats'!$A$7:$M$23,L$34,FALSE)="N/A",0,VLOOKUP($A51,'Ex ante LI &amp; Eligibility Stats'!$A$7:$M$23,L$34,FALSE)*K51/1000))</f>
        <v>0.66450775758559999</v>
      </c>
      <c r="M51" s="474">
        <f>IF(K51="","",IF(VLOOKUP($A51,'Ex post LI &amp; Eligibility Stats'!$A$10:$M$26,L$34,FALSE)="N/A",0,VLOOKUP($A51,'Ex post LI &amp; Eligibility Stats'!$A$10:$M$26,L$34,FALSE)*K51/1000))</f>
        <v>1.5775999999999999</v>
      </c>
      <c r="N51" s="279">
        <v>115</v>
      </c>
      <c r="O51" s="214">
        <f>IF(N51="","",IF(VLOOKUP($A51,'Ex ante LI &amp; Eligibility Stats'!$A$7:$M$23,O$34,FALSE)="N/A",0,VLOOKUP($A51,'Ex ante LI &amp; Eligibility Stats'!$A$7:$M$23,O$34,FALSE)*N51/1000))</f>
        <v>0</v>
      </c>
      <c r="P51" s="211">
        <f>IF(N51="","",IF(VLOOKUP($A51,'Ex post LI &amp; Eligibility Stats'!$A$10:$M$26,O$34,FALSE)="N/A",0,VLOOKUP($A51,'Ex post LI &amp; Eligibility Stats'!$A$10:$M$26,O$34,FALSE)*N51/1000))</f>
        <v>1.5640000000000001</v>
      </c>
      <c r="Q51" s="287"/>
      <c r="R51" s="214" t="str">
        <f>IF(Q51="","",IF(VLOOKUP($A51,'Ex ante LI &amp; Eligibility Stats'!$A$7:$M$23,R$34,FALSE)="N/A",0,VLOOKUP($A51,'Ex ante LI &amp; Eligibility Stats'!$A$7:$M$23,R$34,FALSE)*Q51/1000))</f>
        <v/>
      </c>
      <c r="S51" s="214" t="str">
        <f>IF(Q51="","",IF(VLOOKUP($A51,'Ex post LI &amp; Eligibility Stats'!$A$10:$M$26,R$34,FALSE)="N/A",0,VLOOKUP($A51,'Ex post LI &amp; Eligibility Stats'!$A$10:$M$26,R$34,FALSE)*Q51/1000))</f>
        <v/>
      </c>
      <c r="T51" s="491">
        <v>100833</v>
      </c>
      <c r="U51" s="353"/>
    </row>
    <row r="52" spans="1:26" s="144" customFormat="1" ht="11.25" customHeight="1">
      <c r="A52" s="358" t="s">
        <v>134</v>
      </c>
      <c r="B52" s="287">
        <v>48</v>
      </c>
      <c r="C52" s="326">
        <f>IF(B52="","",IF(VLOOKUP($A52,'Ex ante LI &amp; Eligibility Stats'!$A$7:$M$23,C$34,FALSE)="N/A",0,VLOOKUP($A52,'Ex ante LI &amp; Eligibility Stats'!$A$7:$M$23,C$34,FALSE)*B52/1000))</f>
        <v>1.1375226069119999</v>
      </c>
      <c r="D52" s="327">
        <f>IF(B52="","",IF(VLOOKUP($A52,'Ex post LI &amp; Eligibility Stats'!$A$10:$M$26,C$34,FALSE)="N/A",0,VLOOKUP($A52,'Ex post LI &amp; Eligibility Stats'!$A$10:$M$26,C$34,FALSE)*B52/1000))</f>
        <v>1.3919999999999999</v>
      </c>
      <c r="E52" s="287">
        <v>48</v>
      </c>
      <c r="F52" s="326">
        <f>IF(E52="","",IF(VLOOKUP($A52,'Ex ante LI &amp; Eligibility Stats'!$A$7:$M$23,F$34,FALSE)="N/A",0,VLOOKUP($A52,'Ex ante LI &amp; Eligibility Stats'!$A$7:$M$23,F$34,FALSE)*E52/1000))</f>
        <v>1.1191699484159998</v>
      </c>
      <c r="G52" s="327">
        <f>IF(E52="","",IF(VLOOKUP($A52,'Ex post LI &amp; Eligibility Stats'!$A$10:$M$26,F$34,FALSE)="N/A",0,VLOOKUP($A52,'Ex post LI &amp; Eligibility Stats'!$A$10:$M$26,F$34,FALSE)*E52/1000))</f>
        <v>1.3919999999999999</v>
      </c>
      <c r="H52" s="287">
        <v>47</v>
      </c>
      <c r="I52" s="326">
        <f>IF(H52="","",IF(VLOOKUP($A52,'Ex ante LI &amp; Eligibility Stats'!$A$7:$M$23,I$34,FALSE)="N/A",0,VLOOKUP($A52,'Ex ante LI &amp; Eligibility Stats'!$A$7:$M$23,I$34,FALSE)*H52/1000))</f>
        <v>1.0480338378649998</v>
      </c>
      <c r="J52" s="327">
        <f>IF(H52="","",IF(VLOOKUP($A52,'Ex post LI &amp; Eligibility Stats'!$A$10:$M$26,I$34,FALSE)="N/A",0,VLOOKUP($A52,'Ex post LI &amp; Eligibility Stats'!$A$10:$M$26,I$34,FALSE)*H52/1000))</f>
        <v>1.363</v>
      </c>
      <c r="K52" s="480">
        <v>46</v>
      </c>
      <c r="L52" s="473">
        <f>IF(K52="","",IF(VLOOKUP($A52,'Ex ante LI &amp; Eligibility Stats'!$A$7:$M$23,L$34,FALSE)="N/A",0,VLOOKUP($A52,'Ex ante LI &amp; Eligibility Stats'!$A$7:$M$23,L$34,FALSE)*K52/1000))</f>
        <v>1.0354660199280001</v>
      </c>
      <c r="M52" s="474">
        <f>IF(K52="","",IF(VLOOKUP($A52,'Ex post LI &amp; Eligibility Stats'!$A$10:$M$26,L$34,FALSE)="N/A",0,VLOOKUP($A52,'Ex post LI &amp; Eligibility Stats'!$A$10:$M$26,L$34,FALSE)*K52/1000))</f>
        <v>1.3340000000000001</v>
      </c>
      <c r="N52" s="279">
        <v>46</v>
      </c>
      <c r="O52" s="214">
        <f>IF(N52="","",IF(VLOOKUP($A52,'Ex ante LI &amp; Eligibility Stats'!$A$7:$M$23,O$34,FALSE)="N/A",0,VLOOKUP($A52,'Ex ante LI &amp; Eligibility Stats'!$A$7:$M$23,O$34,FALSE)*N52/1000))</f>
        <v>0</v>
      </c>
      <c r="P52" s="211">
        <f>IF(N52="","",IF(VLOOKUP($A52,'Ex post LI &amp; Eligibility Stats'!$A$10:$M$26,O$34,FALSE)="N/A",0,VLOOKUP($A52,'Ex post LI &amp; Eligibility Stats'!$A$10:$M$26,O$34,FALSE)*N52/1000))</f>
        <v>1.3340000000000001</v>
      </c>
      <c r="Q52" s="287"/>
      <c r="R52" s="214" t="str">
        <f>IF(Q52="","",IF(VLOOKUP($A52,'Ex ante LI &amp; Eligibility Stats'!$A$7:$M$23,R$34,FALSE)="N/A",0,VLOOKUP($A52,'Ex ante LI &amp; Eligibility Stats'!$A$7:$M$23,R$34,FALSE)*Q52/1000))</f>
        <v/>
      </c>
      <c r="S52" s="214" t="str">
        <f>IF(Q52="","",IF(VLOOKUP($A52,'Ex post LI &amp; Eligibility Stats'!$A$10:$M$26,R$34,FALSE)="N/A",0,VLOOKUP($A52,'Ex post LI &amp; Eligibility Stats'!$A$10:$M$26,R$34,FALSE)*Q52/1000))</f>
        <v/>
      </c>
      <c r="T52" s="491">
        <v>100833</v>
      </c>
      <c r="U52" s="353"/>
    </row>
    <row r="53" spans="1:26" s="144" customFormat="1" ht="11.25" customHeight="1">
      <c r="A53" s="358" t="s">
        <v>135</v>
      </c>
      <c r="B53" s="287">
        <v>129</v>
      </c>
      <c r="C53" s="326">
        <f>IF(B53="","",IF(VLOOKUP($A53,'Ex ante LI &amp; Eligibility Stats'!$A$7:$M$23,C$34,FALSE)="N/A",0,VLOOKUP($A53,'Ex ante LI &amp; Eligibility Stats'!$A$7:$M$23,C$34,FALSE)*B53/1000))</f>
        <v>2.4725516095889999</v>
      </c>
      <c r="D53" s="327">
        <f>IF(B53="","",IF(VLOOKUP($A53,'Ex post LI &amp; Eligibility Stats'!$A$10:$M$26,C$34,FALSE)="N/A",0,VLOOKUP($A53,'Ex post LI &amp; Eligibility Stats'!$A$10:$M$26,C$34,FALSE)*B53/1000))</f>
        <v>2.8380000000000001</v>
      </c>
      <c r="E53" s="287">
        <v>128</v>
      </c>
      <c r="F53" s="326">
        <f>IF(E53="","",IF(VLOOKUP($A53,'Ex ante LI &amp; Eligibility Stats'!$A$7:$M$23,F$34,FALSE)="N/A",0,VLOOKUP($A53,'Ex ante LI &amp; Eligibility Stats'!$A$7:$M$23,F$34,FALSE)*E53/1000))</f>
        <v>2.4581285802239998</v>
      </c>
      <c r="G53" s="327">
        <f>IF(E53="","",IF(VLOOKUP($A53,'Ex post LI &amp; Eligibility Stats'!$A$10:$M$26,F$34,FALSE)="N/A",0,VLOOKUP($A53,'Ex post LI &amp; Eligibility Stats'!$A$10:$M$26,F$34,FALSE)*E53/1000))</f>
        <v>2.8159999999999998</v>
      </c>
      <c r="H53" s="287">
        <v>129</v>
      </c>
      <c r="I53" s="326">
        <f>IF(H53="","",IF(VLOOKUP($A53,'Ex ante LI &amp; Eligibility Stats'!$A$7:$M$23,I$34,FALSE)="N/A",0,VLOOKUP($A53,'Ex ante LI &amp; Eligibility Stats'!$A$7:$M$23,I$34,FALSE)*H53/1000))</f>
        <v>2.316658036857</v>
      </c>
      <c r="J53" s="327">
        <f>IF(H53="","",IF(VLOOKUP($A53,'Ex post LI &amp; Eligibility Stats'!$A$10:$M$26,I$34,FALSE)="N/A",0,VLOOKUP($A53,'Ex post LI &amp; Eligibility Stats'!$A$10:$M$26,I$34,FALSE)*H53/1000))</f>
        <v>2.8380000000000001</v>
      </c>
      <c r="K53" s="480">
        <v>130</v>
      </c>
      <c r="L53" s="473">
        <f>IF(K53="","",IF(VLOOKUP($A53,'Ex ante LI &amp; Eligibility Stats'!$A$7:$M$23,L$34,FALSE)="N/A",0,VLOOKUP($A53,'Ex ante LI &amp; Eligibility Stats'!$A$7:$M$23,L$34,FALSE)*K53/1000))</f>
        <v>2.3170967635399999</v>
      </c>
      <c r="M53" s="474">
        <f>IF(K53="","",IF(VLOOKUP($A53,'Ex post LI &amp; Eligibility Stats'!$A$10:$M$26,L$34,FALSE)="N/A",0,VLOOKUP($A53,'Ex post LI &amp; Eligibility Stats'!$A$10:$M$26,L$34,FALSE)*K53/1000))</f>
        <v>2.86</v>
      </c>
      <c r="N53" s="279">
        <v>129</v>
      </c>
      <c r="O53" s="214">
        <f>IF(N53="","",IF(VLOOKUP($A53,'Ex ante LI &amp; Eligibility Stats'!$A$7:$M$23,O$34,FALSE)="N/A",0,VLOOKUP($A53,'Ex ante LI &amp; Eligibility Stats'!$A$7:$M$23,O$34,FALSE)*N53/1000))</f>
        <v>0</v>
      </c>
      <c r="P53" s="211">
        <f>IF(N53="","",IF(VLOOKUP($A53,'Ex post LI &amp; Eligibility Stats'!$A$10:$M$26,O$34,FALSE)="N/A",0,VLOOKUP($A53,'Ex post LI &amp; Eligibility Stats'!$A$10:$M$26,O$34,FALSE)*N53/1000))</f>
        <v>2.8380000000000001</v>
      </c>
      <c r="Q53" s="287"/>
      <c r="R53" s="214" t="str">
        <f>IF(Q53="","",IF(VLOOKUP($A53,'Ex ante LI &amp; Eligibility Stats'!$A$7:$M$23,R$34,FALSE)="N/A",0,VLOOKUP($A53,'Ex ante LI &amp; Eligibility Stats'!$A$7:$M$23,R$34,FALSE)*Q53/1000))</f>
        <v/>
      </c>
      <c r="S53" s="214" t="str">
        <f>IF(Q53="","",IF(VLOOKUP($A53,'Ex post LI &amp; Eligibility Stats'!$A$10:$M$26,R$34,FALSE)="N/A",0,VLOOKUP($A53,'Ex post LI &amp; Eligibility Stats'!$A$10:$M$26,R$34,FALSE)*Q53/1000))</f>
        <v/>
      </c>
      <c r="T53" s="491">
        <v>100833</v>
      </c>
      <c r="U53" s="353"/>
    </row>
    <row r="54" spans="1:26" s="144" customFormat="1" ht="11.25" customHeight="1">
      <c r="A54" s="358" t="s">
        <v>136</v>
      </c>
      <c r="B54" s="287">
        <v>15</v>
      </c>
      <c r="C54" s="326">
        <f>IF(B54="","",IF(VLOOKUP($A54,'Ex ante LI &amp; Eligibility Stats'!$A$7:$M$23,C$34,FALSE)="N/A",0,VLOOKUP($A54,'Ex ante LI &amp; Eligibility Stats'!$A$7:$M$23,C$34,FALSE)*B54/1000))</f>
        <v>12.040871729099999</v>
      </c>
      <c r="D54" s="327">
        <f>IF(B54="","",IF(VLOOKUP($A54,'Ex post LI &amp; Eligibility Stats'!$A$10:$M$26,C$34,FALSE)="N/A",0,VLOOKUP($A54,'Ex post LI &amp; Eligibility Stats'!$A$10:$M$26,C$34,FALSE)*B54/1000))</f>
        <v>19.11</v>
      </c>
      <c r="E54" s="287">
        <v>14</v>
      </c>
      <c r="F54" s="326">
        <f>IF(E54="","",IF(VLOOKUP($A54,'Ex ante LI &amp; Eligibility Stats'!$A$7:$M$23,F$34,FALSE)="N/A",0,VLOOKUP($A54,'Ex ante LI &amp; Eligibility Stats'!$A$7:$M$23,F$34,FALSE)*E54/1000))</f>
        <v>10.482827538820001</v>
      </c>
      <c r="G54" s="327">
        <f>IF(E54="","",IF(VLOOKUP($A54,'Ex post LI &amp; Eligibility Stats'!$A$10:$M$26,F$34,FALSE)="N/A",0,VLOOKUP($A54,'Ex post LI &amp; Eligibility Stats'!$A$10:$M$26,F$34,FALSE)*E54/1000))</f>
        <v>17.835999999999999</v>
      </c>
      <c r="H54" s="287">
        <v>15</v>
      </c>
      <c r="I54" s="326">
        <f>IF(H54="","",IF(VLOOKUP($A54,'Ex ante LI &amp; Eligibility Stats'!$A$7:$M$23,I$34,FALSE)="N/A",0,VLOOKUP($A54,'Ex ante LI &amp; Eligibility Stats'!$A$7:$M$23,I$34,FALSE)*H54/1000))</f>
        <v>9.8025881836500002</v>
      </c>
      <c r="J54" s="327">
        <f>IF(H54="","",IF(VLOOKUP($A54,'Ex post LI &amp; Eligibility Stats'!$A$10:$M$26,I$34,FALSE)="N/A",0,VLOOKUP($A54,'Ex post LI &amp; Eligibility Stats'!$A$10:$M$26,I$34,FALSE)*H54/1000))</f>
        <v>19.11</v>
      </c>
      <c r="K54" s="480">
        <v>14</v>
      </c>
      <c r="L54" s="473">
        <f>IF(K54="","",IF(VLOOKUP($A54,'Ex ante LI &amp; Eligibility Stats'!$A$7:$M$23,L$34,FALSE)="N/A",0,VLOOKUP($A54,'Ex ante LI &amp; Eligibility Stats'!$A$7:$M$23,L$34,FALSE)*K54/1000))</f>
        <v>8.9506584976199992</v>
      </c>
      <c r="M54" s="474">
        <f>IF(K54="","",IF(VLOOKUP($A54,'Ex post LI &amp; Eligibility Stats'!$A$10:$M$26,L$34,FALSE)="N/A",0,VLOOKUP($A54,'Ex post LI &amp; Eligibility Stats'!$A$10:$M$26,L$34,FALSE)*K54/1000))</f>
        <v>17.835999999999999</v>
      </c>
      <c r="N54" s="279">
        <v>14</v>
      </c>
      <c r="O54" s="214">
        <f>IF(N54="","",IF(VLOOKUP($A54,'Ex ante LI &amp; Eligibility Stats'!$A$7:$M$23,O$34,FALSE)="N/A",0,VLOOKUP($A54,'Ex ante LI &amp; Eligibility Stats'!$A$7:$M$23,O$34,FALSE)*N54/1000))</f>
        <v>0</v>
      </c>
      <c r="P54" s="211">
        <f>IF(N54="","",IF(VLOOKUP($A54,'Ex post LI &amp; Eligibility Stats'!$A$10:$M$26,O$34,FALSE)="N/A",0,VLOOKUP($A54,'Ex post LI &amp; Eligibility Stats'!$A$10:$M$26,O$34,FALSE)*N54/1000))</f>
        <v>17.835999999999999</v>
      </c>
      <c r="Q54" s="287"/>
      <c r="R54" s="214" t="str">
        <f>IF(Q54="","",IF(VLOOKUP($A54,'Ex ante LI &amp; Eligibility Stats'!$A$7:$M$23,R$34,FALSE)="N/A",0,VLOOKUP($A54,'Ex ante LI &amp; Eligibility Stats'!$A$7:$M$23,R$34,FALSE)*Q54/1000))</f>
        <v/>
      </c>
      <c r="S54" s="214" t="str">
        <f>IF(Q54="","",IF(VLOOKUP($A54,'Ex post LI &amp; Eligibility Stats'!$A$10:$M$26,R$34,FALSE)="N/A",0,VLOOKUP($A54,'Ex post LI &amp; Eligibility Stats'!$A$10:$M$26,R$34,FALSE)*Q54/1000))</f>
        <v/>
      </c>
      <c r="T54" s="491">
        <v>100833</v>
      </c>
      <c r="U54" s="353"/>
    </row>
    <row r="55" spans="1:26" s="144" customFormat="1" ht="11.25" customHeight="1">
      <c r="A55" s="358" t="s">
        <v>193</v>
      </c>
      <c r="B55" s="287">
        <v>0</v>
      </c>
      <c r="C55" s="326">
        <f>IF(B55="","",IF(VLOOKUP($A55,'Ex ante LI &amp; Eligibility Stats'!$A$7:$M$23,C$34,FALSE)="N/A",0,VLOOKUP($A55,'Ex ante LI &amp; Eligibility Stats'!$A$7:$M$23,C$34,FALSE)*B55/1000))</f>
        <v>0</v>
      </c>
      <c r="D55" s="327">
        <f>IF(B55="","",IF(VLOOKUP($A55,'Ex post LI &amp; Eligibility Stats'!$A$10:$M$26,C$34,FALSE)="N/A",0,VLOOKUP($A55,'Ex post LI &amp; Eligibility Stats'!$A$10:$M$26,C$34,FALSE)*B55/1000))</f>
        <v>0</v>
      </c>
      <c r="E55" s="288">
        <v>0</v>
      </c>
      <c r="F55" s="326">
        <f>IF(E55="","",IF(VLOOKUP($A55,'Ex ante LI &amp; Eligibility Stats'!$A$7:$M$23,F$34,FALSE)="N/A",0,VLOOKUP($A55,'Ex ante LI &amp; Eligibility Stats'!$A$7:$M$23,F$34,FALSE)*E55/1000))</f>
        <v>0</v>
      </c>
      <c r="G55" s="327">
        <f>IF(E55="","",IF(VLOOKUP($A55,'Ex post LI &amp; Eligibility Stats'!$A$10:$M$26,F$34,FALSE)="N/A",0,VLOOKUP($A55,'Ex post LI &amp; Eligibility Stats'!$A$10:$M$26,F$34,FALSE)*E55/1000))</f>
        <v>0</v>
      </c>
      <c r="H55" s="288">
        <v>0</v>
      </c>
      <c r="I55" s="326">
        <f>IF(H55="","",IF(VLOOKUP($A55,'Ex ante LI &amp; Eligibility Stats'!$A$7:$M$23,I$34,FALSE)="N/A",0,VLOOKUP($A55,'Ex ante LI &amp; Eligibility Stats'!$A$7:$M$23,I$34,FALSE)*H55/1000))</f>
        <v>0</v>
      </c>
      <c r="J55" s="327">
        <f>IF(H55="","",IF(VLOOKUP($A55,'Ex post LI &amp; Eligibility Stats'!$A$10:$M$26,I$34,FALSE)="N/A",0,VLOOKUP($A55,'Ex post LI &amp; Eligibility Stats'!$A$10:$M$26,I$34,FALSE)*H55/1000))</f>
        <v>0</v>
      </c>
      <c r="K55" s="481">
        <v>0</v>
      </c>
      <c r="L55" s="473">
        <f>IF(K55="","",IF(VLOOKUP($A55,'Ex ante LI &amp; Eligibility Stats'!$A$7:$M$23,L$34,FALSE)="N/A",0,VLOOKUP($A55,'Ex ante LI &amp; Eligibility Stats'!$A$7:$M$23,L$34,FALSE)*K55/1000))</f>
        <v>0</v>
      </c>
      <c r="M55" s="474">
        <f>IF(K55="","",IF(VLOOKUP($A55,'Ex post LI &amp; Eligibility Stats'!$A$10:$M$26,L$34,FALSE)="N/A",0,VLOOKUP($A55,'Ex post LI &amp; Eligibility Stats'!$A$10:$M$26,L$34,FALSE)*K55/1000))</f>
        <v>0</v>
      </c>
      <c r="N55" s="280">
        <v>0</v>
      </c>
      <c r="O55" s="214">
        <f>IF(N55="","",IF(VLOOKUP($A55,'Ex ante LI &amp; Eligibility Stats'!$A$7:$M$23,O$34,FALSE)="N/A",0,VLOOKUP($A55,'Ex ante LI &amp; Eligibility Stats'!$A$7:$M$23,O$34,FALSE)*N55/1000))</f>
        <v>0</v>
      </c>
      <c r="P55" s="211">
        <f>IF(N55="","",IF(VLOOKUP($A55,'Ex post LI &amp; Eligibility Stats'!$A$10:$M$26,O$34,FALSE)="N/A",0,VLOOKUP($A55,'Ex post LI &amp; Eligibility Stats'!$A$10:$M$26,O$34,FALSE)*N55/1000))</f>
        <v>0</v>
      </c>
      <c r="Q55" s="288"/>
      <c r="R55" s="214" t="str">
        <f>IF(Q55="","",IF(VLOOKUP($A55,'Ex ante LI &amp; Eligibility Stats'!$A$7:$M$23,R$34,FALSE)="N/A",0,VLOOKUP($A55,'Ex ante LI &amp; Eligibility Stats'!$A$7:$M$23,R$34,FALSE)*Q55/1000))</f>
        <v/>
      </c>
      <c r="S55" s="214" t="str">
        <f>IF(Q55="","",IF(VLOOKUP($A55,'Ex post LI &amp; Eligibility Stats'!$A$10:$M$26,R$34,FALSE)="N/A",0,VLOOKUP($A55,'Ex post LI &amp; Eligibility Stats'!$A$10:$M$26,R$34,FALSE)*Q55/1000))</f>
        <v/>
      </c>
      <c r="T55" s="491">
        <v>0</v>
      </c>
      <c r="U55" s="353"/>
    </row>
    <row r="56" spans="1:26" s="144" customFormat="1" ht="11.25" customHeight="1">
      <c r="A56" s="358" t="s">
        <v>196</v>
      </c>
      <c r="B56" s="328">
        <v>22938</v>
      </c>
      <c r="C56" s="329">
        <f>IF(B56="","",IF(VLOOKUP($A56,'Ex ante LI &amp; Eligibility Stats'!$A$7:$M$23,C$34,FALSE)="N/A",0,VLOOKUP($A56,'Ex ante LI &amp; Eligibility Stats'!$A$7:$M$23,C$34,FALSE)*B56/1000))</f>
        <v>6.9606195943200007</v>
      </c>
      <c r="D56" s="330">
        <f>IF(B56="","",IF(VLOOKUP($A56,'Ex post LI &amp; Eligibility Stats'!$A$10:$M$26,C$34,FALSE)="N/A",0,VLOOKUP($A56,'Ex post LI &amp; Eligibility Stats'!$A$10:$M$26,C$34,FALSE)*B56/1000))</f>
        <v>5.9638800000000005</v>
      </c>
      <c r="E56" s="308">
        <v>22796</v>
      </c>
      <c r="F56" s="329">
        <f>IF(E56="","",IF(VLOOKUP($A56,'Ex ante LI &amp; Eligibility Stats'!$A$7:$M$23,F$34,FALSE)="N/A",0,VLOOKUP($A56,'Ex ante LI &amp; Eligibility Stats'!$A$7:$M$23,F$34,FALSE)*E56/1000))</f>
        <v>4.5318069586399998</v>
      </c>
      <c r="G56" s="330">
        <f>IF(E56="","",IF(VLOOKUP($A56,'Ex post LI &amp; Eligibility Stats'!$A$10:$M$26,F$34,FALSE)="N/A",0,VLOOKUP($A56,'Ex post LI &amp; Eligibility Stats'!$A$10:$M$26,F$34,FALSE)*E56/1000))</f>
        <v>5.9269600000000002</v>
      </c>
      <c r="H56" s="308">
        <v>22608</v>
      </c>
      <c r="I56" s="329">
        <f>IF(H56="","",IF(VLOOKUP($A56,'Ex ante LI &amp; Eligibility Stats'!$A$7:$M$23,I$34,FALSE)="N/A",0,VLOOKUP($A56,'Ex ante LI &amp; Eligibility Stats'!$A$7:$M$23,I$34,FALSE)*H56/1000))</f>
        <v>3.8597336179200004</v>
      </c>
      <c r="J56" s="330">
        <f>IF(H56="","",IF(VLOOKUP($A56,'Ex post LI &amp; Eligibility Stats'!$A$10:$M$26,I$34,FALSE)="N/A",0,VLOOKUP($A56,'Ex post LI &amp; Eligibility Stats'!$A$10:$M$26,I$34,FALSE)*H56/1000))</f>
        <v>5.8780799999999997</v>
      </c>
      <c r="K56" s="282">
        <v>22440</v>
      </c>
      <c r="L56" s="475">
        <f>IF(K56="","",IF(VLOOKUP($A56,'Ex ante LI &amp; Eligibility Stats'!$A$7:$M$23,L$34,FALSE)="N/A",0,VLOOKUP($A56,'Ex ante LI &amp; Eligibility Stats'!$A$7:$M$23,L$34,FALSE)*K56/1000))</f>
        <v>1.6497919416</v>
      </c>
      <c r="M56" s="476">
        <f>IF(K56="","",IF(VLOOKUP($A56,'Ex post LI &amp; Eligibility Stats'!$A$10:$M$26,L$34,FALSE)="N/A",0,VLOOKUP($A56,'Ex post LI &amp; Eligibility Stats'!$A$10:$M$26,L$34,FALSE)*K56/1000))</f>
        <v>5.8344000000000005</v>
      </c>
      <c r="N56" s="282">
        <v>22308</v>
      </c>
      <c r="O56" s="215">
        <f>IF(N56="","",IF(VLOOKUP($A56,'Ex ante LI &amp; Eligibility Stats'!$A$7:$M$23,O$34,FALSE)="N/A",0,VLOOKUP($A56,'Ex ante LI &amp; Eligibility Stats'!$A$7:$M$23,O$34,FALSE)*N56/1000))</f>
        <v>0.46690644000000003</v>
      </c>
      <c r="P56" s="212">
        <f>IF(N56="","",IF(VLOOKUP($A56,'Ex post LI &amp; Eligibility Stats'!$A$10:$M$26,O$34,FALSE)="N/A",0,VLOOKUP($A56,'Ex post LI &amp; Eligibility Stats'!$A$10:$M$26,O$34,FALSE)*N56/1000))</f>
        <v>5.8000800000000003</v>
      </c>
      <c r="Q56" s="308"/>
      <c r="R56" s="215" t="str">
        <f>IF(Q56="","",IF(VLOOKUP($A56,'Ex ante LI &amp; Eligibility Stats'!$A$7:$M$23,R$34,FALSE)="N/A",0,VLOOKUP($A56,'Ex ante LI &amp; Eligibility Stats'!$A$7:$M$23,R$34,FALSE)*Q56/1000))</f>
        <v/>
      </c>
      <c r="S56" s="215" t="str">
        <f>IF(Q56="","",IF(VLOOKUP($A56,'Ex post LI &amp; Eligibility Stats'!$A$10:$M$26,R$34,FALSE)="N/A",0,VLOOKUP($A56,'Ex post LI &amp; Eligibility Stats'!$A$10:$M$26,R$34,FALSE)*Q56/1000))</f>
        <v/>
      </c>
      <c r="T56" s="492">
        <v>3000000</v>
      </c>
      <c r="U56" s="353"/>
    </row>
    <row r="57" spans="1:26" s="144" customFormat="1" ht="12" customHeight="1" thickBot="1">
      <c r="A57" s="31" t="s">
        <v>31</v>
      </c>
      <c r="B57" s="301">
        <f t="shared" ref="B57:S57" si="4">SUM(B45:B56)</f>
        <v>28131</v>
      </c>
      <c r="C57" s="331">
        <f t="shared" si="4"/>
        <v>443.77777210667989</v>
      </c>
      <c r="D57" s="331">
        <f t="shared" si="4"/>
        <v>414.77088000000009</v>
      </c>
      <c r="E57" s="301">
        <f t="shared" si="4"/>
        <v>28246</v>
      </c>
      <c r="F57" s="331">
        <f t="shared" si="4"/>
        <v>469.30319041212761</v>
      </c>
      <c r="G57" s="331">
        <f t="shared" si="4"/>
        <v>450.86876000000001</v>
      </c>
      <c r="H57" s="301">
        <f t="shared" si="4"/>
        <v>28069</v>
      </c>
      <c r="I57" s="331">
        <f t="shared" si="4"/>
        <v>482.99537930925641</v>
      </c>
      <c r="J57" s="331">
        <f t="shared" si="4"/>
        <v>461.27748000000003</v>
      </c>
      <c r="K57" s="176">
        <f t="shared" si="4"/>
        <v>27538</v>
      </c>
      <c r="L57" s="477">
        <f t="shared" si="4"/>
        <v>454.68538101567663</v>
      </c>
      <c r="M57" s="477">
        <f t="shared" si="4"/>
        <v>441.35270000000008</v>
      </c>
      <c r="N57" s="176">
        <f t="shared" si="4"/>
        <v>27415</v>
      </c>
      <c r="O57" s="216">
        <f t="shared" si="4"/>
        <v>85.392816874075308</v>
      </c>
      <c r="P57" s="216">
        <f t="shared" si="4"/>
        <v>440.26708000000008</v>
      </c>
      <c r="Q57" s="301">
        <f t="shared" si="4"/>
        <v>0</v>
      </c>
      <c r="R57" s="216">
        <f t="shared" si="4"/>
        <v>0</v>
      </c>
      <c r="S57" s="216">
        <f t="shared" si="4"/>
        <v>0</v>
      </c>
      <c r="T57" s="493"/>
      <c r="U57" s="353"/>
    </row>
    <row r="58" spans="1:26" s="144" customFormat="1" ht="13.5" customHeight="1" thickTop="1">
      <c r="A58" s="277" t="s">
        <v>24</v>
      </c>
      <c r="B58" s="310">
        <f t="shared" ref="B58:S58" si="5">+B43+B57</f>
        <v>185848</v>
      </c>
      <c r="C58" s="329">
        <f t="shared" si="5"/>
        <v>724.4647392970237</v>
      </c>
      <c r="D58" s="337">
        <f t="shared" si="5"/>
        <v>620.38902000000007</v>
      </c>
      <c r="E58" s="310">
        <f t="shared" si="5"/>
        <v>187752</v>
      </c>
      <c r="F58" s="329">
        <f t="shared" si="5"/>
        <v>722.21451500867659</v>
      </c>
      <c r="G58" s="337">
        <f t="shared" si="5"/>
        <v>657.66815999999994</v>
      </c>
      <c r="H58" s="310">
        <f t="shared" si="5"/>
        <v>189493</v>
      </c>
      <c r="I58" s="329">
        <f t="shared" si="5"/>
        <v>730.39162942315579</v>
      </c>
      <c r="J58" s="337">
        <f t="shared" si="5"/>
        <v>673.22492</v>
      </c>
      <c r="K58" s="278">
        <f t="shared" si="5"/>
        <v>192743</v>
      </c>
      <c r="L58" s="475">
        <f t="shared" si="5"/>
        <v>689.64588549397092</v>
      </c>
      <c r="M58" s="482">
        <f t="shared" si="5"/>
        <v>656.49500000000012</v>
      </c>
      <c r="N58" s="278">
        <f t="shared" si="5"/>
        <v>192989</v>
      </c>
      <c r="O58" s="215">
        <f t="shared" si="5"/>
        <v>301.33962061799531</v>
      </c>
      <c r="P58" s="315">
        <f t="shared" si="5"/>
        <v>656.2782400000001</v>
      </c>
      <c r="Q58" s="310">
        <f t="shared" si="5"/>
        <v>0</v>
      </c>
      <c r="R58" s="215">
        <f t="shared" si="5"/>
        <v>0</v>
      </c>
      <c r="S58" s="315">
        <f t="shared" si="5"/>
        <v>0</v>
      </c>
      <c r="T58" s="499"/>
      <c r="U58" s="353"/>
    </row>
    <row r="59" spans="1:26" s="275" customFormat="1" ht="12.75" customHeight="1">
      <c r="A59" s="624" t="s">
        <v>184</v>
      </c>
      <c r="B59" s="625"/>
      <c r="C59" s="625"/>
      <c r="D59" s="625"/>
      <c r="E59" s="625"/>
      <c r="F59" s="625"/>
      <c r="G59" s="625"/>
      <c r="H59" s="625"/>
      <c r="I59" s="625"/>
      <c r="J59" s="625"/>
      <c r="K59" s="625"/>
      <c r="L59" s="625"/>
      <c r="M59" s="625"/>
      <c r="N59" s="625"/>
      <c r="O59" s="625"/>
      <c r="P59" s="625"/>
      <c r="Q59" s="625"/>
      <c r="R59" s="625"/>
      <c r="S59" s="625"/>
      <c r="T59" s="625"/>
    </row>
    <row r="60" spans="1:26" s="452" customFormat="1" ht="23.25" customHeight="1">
      <c r="A60" s="626" t="s">
        <v>169</v>
      </c>
      <c r="B60" s="627"/>
      <c r="C60" s="627"/>
      <c r="D60" s="627"/>
      <c r="E60" s="627"/>
      <c r="F60" s="627"/>
      <c r="G60" s="627"/>
      <c r="H60" s="627"/>
      <c r="I60" s="627"/>
      <c r="J60" s="627"/>
      <c r="K60" s="627"/>
      <c r="L60" s="627"/>
      <c r="M60" s="627"/>
      <c r="N60" s="627"/>
      <c r="O60" s="627"/>
      <c r="P60" s="627"/>
      <c r="Q60" s="627"/>
      <c r="R60" s="627"/>
      <c r="S60" s="627"/>
      <c r="T60" s="627"/>
    </row>
    <row r="61" spans="1:26" s="452" customFormat="1" ht="23.25" customHeight="1">
      <c r="A61" s="626" t="s">
        <v>173</v>
      </c>
      <c r="B61" s="627"/>
      <c r="C61" s="627"/>
      <c r="D61" s="627"/>
      <c r="E61" s="627"/>
      <c r="F61" s="627"/>
      <c r="G61" s="627"/>
      <c r="H61" s="627"/>
      <c r="I61" s="627"/>
      <c r="J61" s="627"/>
      <c r="K61" s="627"/>
      <c r="L61" s="627"/>
      <c r="M61" s="627"/>
      <c r="N61" s="627"/>
      <c r="O61" s="627"/>
      <c r="P61" s="627"/>
      <c r="Q61" s="627"/>
      <c r="R61" s="627"/>
      <c r="S61" s="627"/>
      <c r="T61" s="627"/>
    </row>
    <row r="62" spans="1:26" s="205" customFormat="1" ht="44.25" customHeight="1">
      <c r="A62" s="628" t="s">
        <v>170</v>
      </c>
      <c r="B62" s="627"/>
      <c r="C62" s="627"/>
      <c r="D62" s="627"/>
      <c r="E62" s="627"/>
      <c r="F62" s="627"/>
      <c r="G62" s="627"/>
      <c r="H62" s="627"/>
      <c r="I62" s="627"/>
      <c r="J62" s="627"/>
      <c r="K62" s="627"/>
      <c r="L62" s="627"/>
      <c r="M62" s="627"/>
      <c r="N62" s="627"/>
      <c r="O62" s="627"/>
      <c r="P62" s="627"/>
      <c r="Q62" s="627"/>
      <c r="R62" s="627"/>
      <c r="S62" s="627"/>
      <c r="T62" s="627"/>
    </row>
    <row r="63" spans="1:26" s="205" customFormat="1" ht="13.5" customHeight="1">
      <c r="A63" s="360"/>
      <c r="B63" s="361"/>
      <c r="C63" s="361"/>
      <c r="D63" s="361"/>
      <c r="E63" s="361"/>
      <c r="F63" s="361"/>
      <c r="G63" s="361"/>
      <c r="H63" s="361"/>
      <c r="I63" s="361"/>
      <c r="J63" s="361"/>
      <c r="K63" s="361"/>
      <c r="L63" s="361"/>
      <c r="M63" s="361"/>
      <c r="N63" s="362"/>
      <c r="O63" s="178"/>
      <c r="P63" s="178"/>
      <c r="Q63" s="311"/>
      <c r="R63" s="178"/>
      <c r="S63" s="178"/>
      <c r="T63" s="500"/>
    </row>
    <row r="64" spans="1:26" s="312" customFormat="1" ht="13.5" customHeight="1">
      <c r="A64" s="361"/>
      <c r="B64" s="361"/>
      <c r="C64" s="361"/>
      <c r="D64" s="361"/>
      <c r="E64" s="361"/>
      <c r="F64" s="361"/>
      <c r="G64" s="361"/>
      <c r="H64" s="361"/>
      <c r="I64" s="361"/>
      <c r="J64" s="361"/>
      <c r="K64" s="361"/>
      <c r="L64" s="361"/>
      <c r="M64" s="361"/>
      <c r="N64" s="362"/>
      <c r="O64" s="178"/>
      <c r="P64" s="178"/>
      <c r="Q64" s="311"/>
      <c r="R64" s="178"/>
      <c r="S64" s="178"/>
      <c r="T64" s="500"/>
      <c r="U64" s="311"/>
      <c r="V64" s="311"/>
      <c r="W64" s="311"/>
      <c r="X64" s="311"/>
      <c r="Y64" s="311"/>
      <c r="Z64" s="311"/>
    </row>
    <row r="65" spans="1:26" s="312" customFormat="1" ht="13.5" customHeight="1">
      <c r="A65" s="363"/>
      <c r="B65" s="451"/>
      <c r="C65" s="451"/>
      <c r="D65" s="451"/>
      <c r="E65" s="451"/>
      <c r="F65" s="451"/>
      <c r="G65" s="451"/>
      <c r="H65" s="451"/>
      <c r="I65" s="451"/>
      <c r="J65" s="451"/>
      <c r="K65" s="469"/>
      <c r="L65" s="469"/>
      <c r="M65" s="469"/>
      <c r="N65" s="364"/>
      <c r="O65" s="178"/>
      <c r="P65" s="178"/>
      <c r="Q65" s="311"/>
      <c r="R65" s="178"/>
      <c r="S65" s="178"/>
      <c r="T65" s="500"/>
      <c r="U65" s="311"/>
      <c r="V65" s="311"/>
      <c r="W65" s="311"/>
      <c r="X65" s="311"/>
      <c r="Y65" s="311"/>
      <c r="Z65" s="311"/>
    </row>
    <row r="66" spans="1:26" s="312" customFormat="1" ht="13.5" customHeight="1">
      <c r="A66" s="451"/>
      <c r="B66" s="451"/>
      <c r="C66" s="451"/>
      <c r="D66" s="451"/>
      <c r="E66" s="451"/>
      <c r="F66" s="451"/>
      <c r="G66" s="451"/>
      <c r="H66" s="451"/>
      <c r="I66" s="451"/>
      <c r="J66" s="451"/>
      <c r="K66" s="469"/>
      <c r="L66" s="469"/>
      <c r="M66" s="469"/>
      <c r="N66" s="364"/>
      <c r="O66" s="178"/>
      <c r="P66" s="178"/>
      <c r="Q66" s="311"/>
      <c r="R66" s="178"/>
      <c r="S66" s="178"/>
      <c r="T66" s="500"/>
      <c r="U66" s="311"/>
      <c r="V66" s="311"/>
      <c r="W66" s="311"/>
      <c r="X66" s="311"/>
      <c r="Y66" s="311"/>
      <c r="Z66" s="311"/>
    </row>
    <row r="67" spans="1:26" ht="13.5" customHeight="1">
      <c r="A67" s="33"/>
      <c r="B67" s="338"/>
      <c r="C67" s="311"/>
      <c r="D67" s="311"/>
      <c r="E67" s="311"/>
      <c r="F67" s="311"/>
      <c r="G67" s="311"/>
      <c r="H67" s="311"/>
      <c r="I67" s="311"/>
      <c r="J67" s="311"/>
      <c r="K67" s="178"/>
      <c r="L67" s="33"/>
      <c r="M67" s="33"/>
      <c r="N67" s="178"/>
      <c r="O67" s="178"/>
      <c r="P67" s="178"/>
      <c r="Q67" s="311"/>
      <c r="R67" s="178"/>
      <c r="S67" s="178"/>
      <c r="T67" s="366"/>
      <c r="U67" s="33"/>
      <c r="V67" s="33"/>
      <c r="W67" s="33"/>
      <c r="X67" s="33"/>
      <c r="Y67" s="33"/>
      <c r="Z67" s="33"/>
    </row>
    <row r="68" spans="1:26" ht="13.5" customHeight="1">
      <c r="A68" s="622"/>
      <c r="B68" s="623"/>
      <c r="C68" s="623"/>
      <c r="D68" s="623"/>
      <c r="E68" s="623"/>
      <c r="F68" s="623"/>
      <c r="G68" s="623"/>
      <c r="H68" s="623"/>
      <c r="I68" s="623"/>
      <c r="J68" s="623"/>
      <c r="K68" s="623"/>
      <c r="L68" s="623"/>
      <c r="M68" s="623"/>
      <c r="N68" s="623"/>
      <c r="O68" s="623"/>
      <c r="P68" s="623"/>
      <c r="Q68" s="623"/>
      <c r="R68" s="623"/>
      <c r="S68" s="623"/>
      <c r="T68" s="623"/>
    </row>
    <row r="69" spans="1:26" ht="13.5" customHeight="1">
      <c r="A69" s="366"/>
    </row>
    <row r="70" spans="1:26" ht="13.5" customHeight="1">
      <c r="A70" s="33"/>
    </row>
  </sheetData>
  <sheetProtection password="C511" sheet="1" objects="1" scenarios="1"/>
  <customSheetViews>
    <customSheetView guid="{E5DF83AA-DC53-4EBF-A523-33DA0FE284E8}" scale="75" showPageBreaks="1" showGridLines="0" printArea="1">
      <selection activeCell="A5" sqref="A5"/>
      <rowBreaks count="1" manualBreakCount="1">
        <brk id="56" max="13" man="1"/>
      </rowBreaks>
      <pageMargins left="0" right="0" top="0.8" bottom="0.17" header="0.3" footer="0.15"/>
      <printOptions horizontalCentered="1"/>
      <pageSetup scale="57" orientation="landscape" cellComments="atEnd" r:id="rId1"/>
      <headerFooter alignWithMargins="0">
        <oddHeader>&amp;C&amp;"Arial,Bold"Table I-1 
Pacific Gas and Electric Company 
Interruptible and Price Responsive Programs
 Subscription Statistics - Enrolled MW
 January 2010</oddHeader>
        <oddFooter>&amp;L&amp;F&amp;R&amp;D</oddFooter>
      </headerFooter>
    </customSheetView>
  </customSheetViews>
  <mergeCells count="17">
    <mergeCell ref="A68:T68"/>
    <mergeCell ref="A59:T59"/>
    <mergeCell ref="N35:P35"/>
    <mergeCell ref="Q35:S35"/>
    <mergeCell ref="B35:D35"/>
    <mergeCell ref="E35:G35"/>
    <mergeCell ref="H35:J35"/>
    <mergeCell ref="K35:M35"/>
    <mergeCell ref="A60:T60"/>
    <mergeCell ref="A62:T62"/>
    <mergeCell ref="A61:T61"/>
    <mergeCell ref="Q7:S7"/>
    <mergeCell ref="K7:M7"/>
    <mergeCell ref="N7:P7"/>
    <mergeCell ref="B7:D7"/>
    <mergeCell ref="E7:G7"/>
    <mergeCell ref="H7:J7"/>
  </mergeCells>
  <phoneticPr fontId="0" type="noConversion"/>
  <printOptions horizontalCentered="1"/>
  <pageMargins left="0" right="0" top="0.93854166666666672" bottom="0.25" header="0.13" footer="0.1"/>
  <pageSetup paperSize="17" scale="85" orientation="landscape" cellComments="atEnd" r:id="rId2"/>
  <headerFooter alignWithMargins="0">
    <oddHeader>&amp;C&amp;"Arial,Bold"Table I-1 
Pacific Gas and Electric Company 
Interruptible and Price Responsive Programs
 Subscription Statistics - Enrolled MW
November 2011</oddHeader>
    <oddFooter>&amp;L&amp;F&amp;CPage 3 of 11&amp;R&amp;A</oddFooter>
  </headerFooter>
  <ignoredErrors>
    <ignoredError sqref="H57 K57 Q57 E57 N15 Q15 B57 N57 L10:M14 R10:S14 E15 H15 K15 Q43 N43 K43 H43 E43 Q44:Q56 R43:S56 N44 O43:P56 K44 L43:M56 H44 I43:J56 C43:D56 F43:G56 B43:B44 B29:K29 N29:Q29 C10:D14 C17:D28 F10:G14 F17:G28 I10:J14 I17:J28 L17:M28 O10:P14 O17:P28 R17:S28 C38:D42 E44 F38:G38 F42:G42 F40:G40 I40:J40 F39:G39 I39:J39 I38:J38 F41:G41 I41:J41 I42:J42 L38:M38 L39:M39 L40:M40 L41:M41 L42:M42 O38:S38 O39:S39 O40:S40 O41:S41 O42:S42"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27"/>
  <sheetViews>
    <sheetView showGridLines="0" tabSelected="1" view="pageLayout" topLeftCell="J1" zoomScaleNormal="75" zoomScaleSheetLayoutView="100" workbookViewId="0">
      <selection activeCell="K40" sqref="K40"/>
    </sheetView>
  </sheetViews>
  <sheetFormatPr defaultRowHeight="12.75"/>
  <cols>
    <col min="1" max="1" width="35.7109375" style="8" customWidth="1"/>
    <col min="2" max="2" width="11.140625" style="8" customWidth="1"/>
    <col min="3" max="3" width="10" style="8" customWidth="1"/>
    <col min="4" max="4" width="8.7109375" style="8" customWidth="1"/>
    <col min="5" max="5" width="7.5703125" style="8" customWidth="1"/>
    <col min="6" max="6" width="7.140625" style="8" customWidth="1"/>
    <col min="7" max="7" width="7.28515625" style="8" customWidth="1"/>
    <col min="8" max="8" width="7.140625" style="8" customWidth="1"/>
    <col min="9" max="9" width="9.5703125" style="8" customWidth="1"/>
    <col min="10" max="10" width="11.5703125" style="8" customWidth="1"/>
    <col min="11" max="11" width="9.42578125" style="8" customWidth="1"/>
    <col min="12" max="12" width="11.140625" style="8" customWidth="1"/>
    <col min="13" max="13" width="10.7109375" style="8" customWidth="1"/>
    <col min="14" max="14" width="13.28515625" style="8" customWidth="1"/>
    <col min="15" max="15" width="52.140625" style="8" customWidth="1"/>
    <col min="16" max="17" width="26.7109375" style="8" hidden="1" customWidth="1"/>
    <col min="18" max="18" width="46.28515625" style="8" customWidth="1"/>
    <col min="19" max="19" width="10.85546875" style="8" customWidth="1"/>
    <col min="20" max="20" width="12.140625" style="8" bestFit="1" customWidth="1"/>
    <col min="21" max="21" width="12.140625" style="8" customWidth="1"/>
    <col min="22" max="22" width="9.5703125" style="8" bestFit="1" customWidth="1"/>
    <col min="23" max="23" width="11.140625" style="8" customWidth="1"/>
    <col min="24" max="24" width="11.7109375" style="8" bestFit="1" customWidth="1"/>
    <col min="25" max="25" width="11.7109375" style="8" customWidth="1"/>
    <col min="26" max="16384" width="9.140625" style="8"/>
  </cols>
  <sheetData>
    <row r="1" spans="1:17">
      <c r="A1" s="535" t="s">
        <v>67</v>
      </c>
      <c r="B1" s="536"/>
      <c r="C1" s="536"/>
      <c r="D1" s="536"/>
      <c r="E1" s="536"/>
      <c r="F1" s="536"/>
      <c r="G1" s="536"/>
      <c r="H1" s="536"/>
      <c r="I1" s="536"/>
      <c r="J1" s="536"/>
      <c r="K1" s="536"/>
      <c r="L1" s="536"/>
      <c r="M1" s="536"/>
      <c r="N1" s="536"/>
      <c r="O1" s="537"/>
    </row>
    <row r="2" spans="1:17" ht="6.75" customHeight="1">
      <c r="A2" s="420"/>
      <c r="B2" s="112"/>
      <c r="C2" s="112"/>
      <c r="D2" s="112"/>
      <c r="E2" s="112"/>
      <c r="F2" s="112"/>
      <c r="G2" s="112"/>
      <c r="H2" s="112"/>
      <c r="I2" s="112"/>
      <c r="J2" s="112"/>
      <c r="K2" s="112"/>
      <c r="L2" s="112"/>
      <c r="M2" s="112"/>
      <c r="N2" s="112"/>
      <c r="O2" s="538"/>
    </row>
    <row r="3" spans="1:17" ht="6.75" customHeight="1">
      <c r="A3" s="539"/>
      <c r="B3" s="112"/>
      <c r="C3" s="112"/>
      <c r="D3" s="112"/>
      <c r="E3" s="112"/>
      <c r="F3" s="112"/>
      <c r="G3" s="112"/>
      <c r="H3" s="112"/>
      <c r="I3" s="112"/>
      <c r="J3" s="112"/>
      <c r="K3" s="112"/>
      <c r="L3" s="112"/>
      <c r="M3" s="112"/>
      <c r="N3" s="112"/>
      <c r="O3" s="538"/>
    </row>
    <row r="4" spans="1:17" ht="6.75" customHeight="1">
      <c r="A4" s="539"/>
      <c r="B4" s="112"/>
      <c r="C4" s="112"/>
      <c r="D4" s="112"/>
      <c r="E4" s="112"/>
      <c r="F4" s="112"/>
      <c r="G4" s="112"/>
      <c r="H4" s="112"/>
      <c r="I4" s="112"/>
      <c r="J4" s="112"/>
      <c r="K4" s="112"/>
      <c r="L4" s="112"/>
      <c r="M4" s="112"/>
      <c r="N4" s="112"/>
      <c r="O4" s="538"/>
    </row>
    <row r="5" spans="1:17" ht="12.75" customHeight="1">
      <c r="A5" s="540"/>
      <c r="B5" s="629" t="s">
        <v>109</v>
      </c>
      <c r="C5" s="629"/>
      <c r="D5" s="629"/>
      <c r="E5" s="629"/>
      <c r="F5" s="629"/>
      <c r="G5" s="629"/>
      <c r="H5" s="629"/>
      <c r="I5" s="629"/>
      <c r="J5" s="629"/>
      <c r="K5" s="629"/>
      <c r="L5" s="629"/>
      <c r="M5" s="629"/>
      <c r="N5" s="630" t="s">
        <v>185</v>
      </c>
      <c r="O5" s="408"/>
      <c r="P5" s="632" t="s">
        <v>139</v>
      </c>
      <c r="Q5" s="633"/>
    </row>
    <row r="6" spans="1:17" ht="48" customHeight="1">
      <c r="A6" s="401" t="s">
        <v>51</v>
      </c>
      <c r="B6" s="531" t="s">
        <v>0</v>
      </c>
      <c r="C6" s="531" t="s">
        <v>1</v>
      </c>
      <c r="D6" s="531" t="s">
        <v>2</v>
      </c>
      <c r="E6" s="531" t="s">
        <v>3</v>
      </c>
      <c r="F6" s="531" t="s">
        <v>4</v>
      </c>
      <c r="G6" s="531" t="s">
        <v>5</v>
      </c>
      <c r="H6" s="531" t="s">
        <v>6</v>
      </c>
      <c r="I6" s="531" t="s">
        <v>52</v>
      </c>
      <c r="J6" s="531" t="s">
        <v>53</v>
      </c>
      <c r="K6" s="531" t="s">
        <v>9</v>
      </c>
      <c r="L6" s="531" t="s">
        <v>54</v>
      </c>
      <c r="M6" s="531" t="s">
        <v>11</v>
      </c>
      <c r="N6" s="631"/>
      <c r="O6" s="541" t="s">
        <v>114</v>
      </c>
      <c r="P6" s="532" t="s">
        <v>140</v>
      </c>
      <c r="Q6" s="17" t="s">
        <v>141</v>
      </c>
    </row>
    <row r="7" spans="1:17" ht="38.25">
      <c r="A7" s="542" t="s">
        <v>74</v>
      </c>
      <c r="B7" s="206">
        <v>798.34818900000005</v>
      </c>
      <c r="C7" s="206">
        <v>838.53748316999997</v>
      </c>
      <c r="D7" s="206">
        <v>845.69631190999996</v>
      </c>
      <c r="E7" s="206">
        <v>940.20284690000005</v>
      </c>
      <c r="F7" s="206">
        <v>819.07546796999998</v>
      </c>
      <c r="G7" s="206">
        <v>897.24068394999995</v>
      </c>
      <c r="H7" s="206">
        <v>916.12446089000002</v>
      </c>
      <c r="I7" s="206">
        <v>898.08928230000004</v>
      </c>
      <c r="J7" s="206">
        <v>885.99249103</v>
      </c>
      <c r="K7" s="206">
        <v>989.80962737000004</v>
      </c>
      <c r="L7" s="206">
        <v>947.13510413999995</v>
      </c>
      <c r="M7" s="206">
        <v>793.28852849999998</v>
      </c>
      <c r="N7" s="207">
        <v>10199</v>
      </c>
      <c r="O7" s="543" t="s">
        <v>113</v>
      </c>
    </row>
    <row r="8" spans="1:17" ht="76.5">
      <c r="A8" s="542" t="s">
        <v>14</v>
      </c>
      <c r="B8" s="206" t="s">
        <v>32</v>
      </c>
      <c r="C8" s="206" t="s">
        <v>32</v>
      </c>
      <c r="D8" s="206" t="s">
        <v>32</v>
      </c>
      <c r="E8" s="206" t="s">
        <v>32</v>
      </c>
      <c r="F8" s="206" t="s">
        <v>32</v>
      </c>
      <c r="G8" s="206" t="s">
        <v>32</v>
      </c>
      <c r="H8" s="206" t="s">
        <v>32</v>
      </c>
      <c r="I8" s="206" t="s">
        <v>32</v>
      </c>
      <c r="J8" s="206" t="s">
        <v>32</v>
      </c>
      <c r="K8" s="206" t="s">
        <v>32</v>
      </c>
      <c r="L8" s="206" t="s">
        <v>32</v>
      </c>
      <c r="M8" s="206" t="s">
        <v>32</v>
      </c>
      <c r="N8" s="207" t="s">
        <v>32</v>
      </c>
      <c r="O8" s="543" t="s">
        <v>111</v>
      </c>
    </row>
    <row r="9" spans="1:17" ht="63.75">
      <c r="A9" s="542" t="s">
        <v>26</v>
      </c>
      <c r="B9" s="206" t="s">
        <v>32</v>
      </c>
      <c r="C9" s="206" t="s">
        <v>32</v>
      </c>
      <c r="D9" s="206" t="s">
        <v>32</v>
      </c>
      <c r="E9" s="206" t="s">
        <v>32</v>
      </c>
      <c r="F9" s="206" t="s">
        <v>32</v>
      </c>
      <c r="G9" s="206" t="s">
        <v>32</v>
      </c>
      <c r="H9" s="206" t="s">
        <v>32</v>
      </c>
      <c r="I9" s="206" t="s">
        <v>32</v>
      </c>
      <c r="J9" s="206" t="s">
        <v>32</v>
      </c>
      <c r="K9" s="206" t="s">
        <v>32</v>
      </c>
      <c r="L9" s="206" t="s">
        <v>32</v>
      </c>
      <c r="M9" s="206" t="s">
        <v>32</v>
      </c>
      <c r="N9" s="207" t="s">
        <v>32</v>
      </c>
      <c r="O9" s="543" t="s">
        <v>112</v>
      </c>
    </row>
    <row r="10" spans="1:17" ht="38.25">
      <c r="A10" s="544" t="s">
        <v>194</v>
      </c>
      <c r="B10" s="206">
        <v>0</v>
      </c>
      <c r="C10" s="206">
        <v>0</v>
      </c>
      <c r="D10" s="206">
        <v>0</v>
      </c>
      <c r="E10" s="206">
        <v>0</v>
      </c>
      <c r="F10" s="206">
        <v>0.32215581770000001</v>
      </c>
      <c r="G10" s="206">
        <v>0.36584799699999998</v>
      </c>
      <c r="H10" s="206">
        <v>0.48868256339999999</v>
      </c>
      <c r="I10" s="206">
        <v>0.36497444509999999</v>
      </c>
      <c r="J10" s="206">
        <v>0.52070047760000004</v>
      </c>
      <c r="K10" s="206">
        <v>0.1992095367</v>
      </c>
      <c r="L10" s="206">
        <v>0</v>
      </c>
      <c r="M10" s="206">
        <v>0</v>
      </c>
      <c r="N10" s="207">
        <v>585981</v>
      </c>
      <c r="O10" s="543" t="s">
        <v>132</v>
      </c>
    </row>
    <row r="11" spans="1:17" ht="38.25">
      <c r="A11" s="544" t="s">
        <v>195</v>
      </c>
      <c r="B11" s="206" t="s">
        <v>32</v>
      </c>
      <c r="C11" s="206" t="s">
        <v>32</v>
      </c>
      <c r="D11" s="206" t="s">
        <v>32</v>
      </c>
      <c r="E11" s="206" t="s">
        <v>32</v>
      </c>
      <c r="F11" s="206">
        <v>0.100623669</v>
      </c>
      <c r="G11" s="206">
        <v>0.253529328</v>
      </c>
      <c r="H11" s="206">
        <v>0.52125823039999997</v>
      </c>
      <c r="I11" s="206">
        <v>0.3584559041</v>
      </c>
      <c r="J11" s="206">
        <v>0.2946932478</v>
      </c>
      <c r="K11" s="206">
        <v>5.6730660000000002E-2</v>
      </c>
      <c r="L11" s="206" t="s">
        <v>32</v>
      </c>
      <c r="M11" s="206" t="s">
        <v>32</v>
      </c>
      <c r="N11" s="207">
        <v>3000000</v>
      </c>
      <c r="O11" s="543" t="s">
        <v>131</v>
      </c>
    </row>
    <row r="12" spans="1:17" ht="51">
      <c r="A12" s="542" t="s">
        <v>72</v>
      </c>
      <c r="B12" s="206">
        <v>0</v>
      </c>
      <c r="C12" s="206">
        <v>0</v>
      </c>
      <c r="D12" s="206">
        <v>0</v>
      </c>
      <c r="E12" s="206">
        <v>0</v>
      </c>
      <c r="F12" s="206">
        <v>255.33972659</v>
      </c>
      <c r="G12" s="206">
        <v>255.33972659</v>
      </c>
      <c r="H12" s="206">
        <v>255.33972659</v>
      </c>
      <c r="I12" s="206">
        <v>255.33972659</v>
      </c>
      <c r="J12" s="206">
        <v>255.33972659</v>
      </c>
      <c r="K12" s="206">
        <v>255.33972659</v>
      </c>
      <c r="L12" s="206">
        <v>0</v>
      </c>
      <c r="M12" s="206">
        <v>0</v>
      </c>
      <c r="N12" s="207">
        <v>590834</v>
      </c>
      <c r="O12" s="543" t="s">
        <v>119</v>
      </c>
    </row>
    <row r="13" spans="1:17" ht="51">
      <c r="A13" s="542" t="s">
        <v>73</v>
      </c>
      <c r="B13" s="206">
        <v>0</v>
      </c>
      <c r="C13" s="206">
        <v>0</v>
      </c>
      <c r="D13" s="206">
        <v>0</v>
      </c>
      <c r="E13" s="206">
        <v>0</v>
      </c>
      <c r="F13" s="206">
        <v>178.14784853</v>
      </c>
      <c r="G13" s="206">
        <v>178.14784853</v>
      </c>
      <c r="H13" s="206">
        <v>178.14784853</v>
      </c>
      <c r="I13" s="206">
        <v>178.14784853</v>
      </c>
      <c r="J13" s="206">
        <v>178.14784853</v>
      </c>
      <c r="K13" s="206">
        <v>178.14784853</v>
      </c>
      <c r="L13" s="206">
        <v>0</v>
      </c>
      <c r="M13" s="206">
        <v>0</v>
      </c>
      <c r="N13" s="207">
        <v>590834</v>
      </c>
      <c r="O13" s="543" t="s">
        <v>120</v>
      </c>
    </row>
    <row r="14" spans="1:17" ht="51">
      <c r="A14" s="542" t="s">
        <v>129</v>
      </c>
      <c r="B14" s="206">
        <v>0</v>
      </c>
      <c r="C14" s="206">
        <v>0</v>
      </c>
      <c r="D14" s="206">
        <v>0</v>
      </c>
      <c r="E14" s="206">
        <v>0</v>
      </c>
      <c r="F14" s="206">
        <v>30.595883828000002</v>
      </c>
      <c r="G14" s="206">
        <v>34.140253383999998</v>
      </c>
      <c r="H14" s="206">
        <v>34.062408071</v>
      </c>
      <c r="I14" s="206">
        <v>33.539182695000001</v>
      </c>
      <c r="J14" s="206">
        <v>33.627263249999999</v>
      </c>
      <c r="K14" s="206">
        <v>32.112615554999998</v>
      </c>
      <c r="L14" s="206">
        <v>0</v>
      </c>
      <c r="M14" s="206">
        <v>0</v>
      </c>
      <c r="N14" s="207">
        <v>590834</v>
      </c>
      <c r="O14" s="543" t="s">
        <v>118</v>
      </c>
    </row>
    <row r="15" spans="1:17" ht="51">
      <c r="A15" s="542" t="s">
        <v>130</v>
      </c>
      <c r="B15" s="206">
        <v>0</v>
      </c>
      <c r="C15" s="206">
        <v>0</v>
      </c>
      <c r="D15" s="206">
        <v>0</v>
      </c>
      <c r="E15" s="206">
        <v>0</v>
      </c>
      <c r="F15" s="206">
        <v>72.265732892000003</v>
      </c>
      <c r="G15" s="206">
        <v>82.668491337000006</v>
      </c>
      <c r="H15" s="206">
        <v>83.915399573000002</v>
      </c>
      <c r="I15" s="206">
        <v>84.745972098999999</v>
      </c>
      <c r="J15" s="206">
        <v>84.223823092999993</v>
      </c>
      <c r="K15" s="206">
        <v>75.797354800999997</v>
      </c>
      <c r="L15" s="206">
        <v>0</v>
      </c>
      <c r="M15" s="206">
        <v>0</v>
      </c>
      <c r="N15" s="207">
        <v>590834</v>
      </c>
      <c r="O15" s="543" t="s">
        <v>118</v>
      </c>
    </row>
    <row r="16" spans="1:17" ht="51">
      <c r="A16" s="542" t="s">
        <v>15</v>
      </c>
      <c r="B16" s="206">
        <v>66.748489892999999</v>
      </c>
      <c r="C16" s="206">
        <v>69.608556776</v>
      </c>
      <c r="D16" s="206">
        <v>69.814206755000001</v>
      </c>
      <c r="E16" s="206">
        <v>70.782589901999998</v>
      </c>
      <c r="F16" s="206">
        <v>64.965877735000007</v>
      </c>
      <c r="G16" s="206">
        <v>70.426618578000003</v>
      </c>
      <c r="H16" s="206">
        <v>68.511576429000002</v>
      </c>
      <c r="I16" s="206">
        <v>65.310109941999997</v>
      </c>
      <c r="J16" s="206">
        <v>68.151062132999996</v>
      </c>
      <c r="K16" s="206">
        <v>65.430499452999996</v>
      </c>
      <c r="L16" s="206">
        <v>70.120455433000004</v>
      </c>
      <c r="M16" s="206">
        <v>56.150050389</v>
      </c>
      <c r="N16" s="207">
        <v>10199</v>
      </c>
      <c r="O16" s="543" t="s">
        <v>117</v>
      </c>
    </row>
    <row r="17" spans="1:18" ht="66.75" customHeight="1">
      <c r="A17" s="542" t="s">
        <v>183</v>
      </c>
      <c r="B17" s="206">
        <v>15.067985255</v>
      </c>
      <c r="C17" s="206">
        <v>15.079704037999999</v>
      </c>
      <c r="D17" s="206">
        <v>15.088801626</v>
      </c>
      <c r="E17" s="206">
        <v>14.624639842000001</v>
      </c>
      <c r="F17" s="206">
        <v>15.34193013</v>
      </c>
      <c r="G17" s="206">
        <v>11.005009477</v>
      </c>
      <c r="H17" s="206">
        <v>12.323450393</v>
      </c>
      <c r="I17" s="206">
        <v>12.268408730000001</v>
      </c>
      <c r="J17" s="206">
        <v>14.62022544</v>
      </c>
      <c r="K17" s="206">
        <v>13.860328217999999</v>
      </c>
      <c r="L17" s="206">
        <v>5.9705323291000001</v>
      </c>
      <c r="M17" s="206">
        <v>5.8448003421000001</v>
      </c>
      <c r="N17" s="207">
        <v>161391</v>
      </c>
      <c r="O17" s="545" t="s">
        <v>192</v>
      </c>
      <c r="R17" s="345"/>
    </row>
    <row r="18" spans="1:18" ht="51">
      <c r="A18" s="542" t="s">
        <v>133</v>
      </c>
      <c r="B18" s="206">
        <v>0</v>
      </c>
      <c r="C18" s="206">
        <v>0</v>
      </c>
      <c r="D18" s="206">
        <v>0</v>
      </c>
      <c r="E18" s="206">
        <v>0</v>
      </c>
      <c r="F18" s="206">
        <v>6.2152319501999997</v>
      </c>
      <c r="G18" s="206">
        <v>6.9790578770999998</v>
      </c>
      <c r="H18" s="206">
        <v>6.7275886540999998</v>
      </c>
      <c r="I18" s="206">
        <v>6.7492142216</v>
      </c>
      <c r="J18" s="206">
        <v>6.5875668791999997</v>
      </c>
      <c r="K18" s="206">
        <v>5.7285151515999999</v>
      </c>
      <c r="L18" s="206">
        <v>0</v>
      </c>
      <c r="M18" s="206">
        <v>0</v>
      </c>
      <c r="N18" s="207">
        <v>100833</v>
      </c>
      <c r="O18" s="543" t="s">
        <v>110</v>
      </c>
    </row>
    <row r="19" spans="1:18" ht="51">
      <c r="A19" s="542" t="s">
        <v>134</v>
      </c>
      <c r="B19" s="206">
        <v>0</v>
      </c>
      <c r="C19" s="206">
        <v>0</v>
      </c>
      <c r="D19" s="206">
        <v>0</v>
      </c>
      <c r="E19" s="206">
        <v>0</v>
      </c>
      <c r="F19" s="206">
        <v>19.898730768</v>
      </c>
      <c r="G19" s="206">
        <v>24.925808960000001</v>
      </c>
      <c r="H19" s="206">
        <v>23.698387644</v>
      </c>
      <c r="I19" s="206">
        <v>23.316040592</v>
      </c>
      <c r="J19" s="206">
        <v>22.298592294999999</v>
      </c>
      <c r="K19" s="206">
        <v>22.510130868000001</v>
      </c>
      <c r="L19" s="206">
        <v>0</v>
      </c>
      <c r="M19" s="206">
        <v>0</v>
      </c>
      <c r="N19" s="207">
        <v>100833</v>
      </c>
      <c r="O19" s="543" t="s">
        <v>110</v>
      </c>
    </row>
    <row r="20" spans="1:18" ht="51">
      <c r="A20" s="542" t="s">
        <v>135</v>
      </c>
      <c r="B20" s="206">
        <v>0</v>
      </c>
      <c r="C20" s="206">
        <v>0</v>
      </c>
      <c r="D20" s="206">
        <v>0</v>
      </c>
      <c r="E20" s="206">
        <v>0</v>
      </c>
      <c r="F20" s="206">
        <v>17.176977127000001</v>
      </c>
      <c r="G20" s="206">
        <v>19.853430684999999</v>
      </c>
      <c r="H20" s="206">
        <v>19.167066740999999</v>
      </c>
      <c r="I20" s="206">
        <v>19.204129533</v>
      </c>
      <c r="J20" s="206">
        <v>17.958589433</v>
      </c>
      <c r="K20" s="206">
        <v>17.823821257999999</v>
      </c>
      <c r="L20" s="206">
        <v>0</v>
      </c>
      <c r="M20" s="206">
        <v>0</v>
      </c>
      <c r="N20" s="207">
        <v>100833</v>
      </c>
      <c r="O20" s="543" t="s">
        <v>110</v>
      </c>
    </row>
    <row r="21" spans="1:18" ht="51">
      <c r="A21" s="542" t="s">
        <v>136</v>
      </c>
      <c r="B21" s="206">
        <v>0</v>
      </c>
      <c r="C21" s="206">
        <v>0</v>
      </c>
      <c r="D21" s="206">
        <v>0</v>
      </c>
      <c r="E21" s="206">
        <v>0</v>
      </c>
      <c r="F21" s="206">
        <v>868.39893228999995</v>
      </c>
      <c r="G21" s="206">
        <v>815.63377750999996</v>
      </c>
      <c r="H21" s="206">
        <v>802.72478193999996</v>
      </c>
      <c r="I21" s="206">
        <v>748.77339562999998</v>
      </c>
      <c r="J21" s="206">
        <v>653.50587890999998</v>
      </c>
      <c r="K21" s="206">
        <v>639.33274983000001</v>
      </c>
      <c r="L21" s="206">
        <v>0</v>
      </c>
      <c r="M21" s="206">
        <v>0</v>
      </c>
      <c r="N21" s="207">
        <v>100833</v>
      </c>
      <c r="O21" s="543" t="s">
        <v>110</v>
      </c>
    </row>
    <row r="22" spans="1:18" ht="38.25">
      <c r="A22" s="544" t="s">
        <v>193</v>
      </c>
      <c r="B22" s="206" t="s">
        <v>32</v>
      </c>
      <c r="C22" s="206" t="s">
        <v>32</v>
      </c>
      <c r="D22" s="206" t="s">
        <v>32</v>
      </c>
      <c r="E22" s="206" t="s">
        <v>32</v>
      </c>
      <c r="F22" s="206" t="s">
        <v>32</v>
      </c>
      <c r="G22" s="206" t="s">
        <v>32</v>
      </c>
      <c r="H22" s="206" t="s">
        <v>32</v>
      </c>
      <c r="I22" s="206" t="s">
        <v>32</v>
      </c>
      <c r="J22" s="206" t="s">
        <v>32</v>
      </c>
      <c r="K22" s="206" t="s">
        <v>32</v>
      </c>
      <c r="L22" s="206" t="s">
        <v>32</v>
      </c>
      <c r="M22" s="206" t="s">
        <v>32</v>
      </c>
      <c r="N22" s="207" t="s">
        <v>32</v>
      </c>
      <c r="O22" s="543" t="s">
        <v>115</v>
      </c>
    </row>
    <row r="23" spans="1:18" ht="51.75" thickBot="1">
      <c r="A23" s="546" t="s">
        <v>196</v>
      </c>
      <c r="B23" s="547" t="s">
        <v>32</v>
      </c>
      <c r="C23" s="547" t="s">
        <v>32</v>
      </c>
      <c r="D23" s="547" t="s">
        <v>32</v>
      </c>
      <c r="E23" s="547" t="s">
        <v>32</v>
      </c>
      <c r="F23" s="547">
        <v>7.3496900000000004E-2</v>
      </c>
      <c r="G23" s="547">
        <v>0.12953444</v>
      </c>
      <c r="H23" s="547">
        <v>0.30345364000000002</v>
      </c>
      <c r="I23" s="547">
        <v>0.19879833999999999</v>
      </c>
      <c r="J23" s="547">
        <v>0.17072424</v>
      </c>
      <c r="K23" s="547">
        <v>7.3520139999999998E-2</v>
      </c>
      <c r="L23" s="547">
        <v>2.0930000000000001E-2</v>
      </c>
      <c r="M23" s="547">
        <v>2.0965299999999999E-2</v>
      </c>
      <c r="N23" s="548">
        <v>3000000</v>
      </c>
      <c r="O23" s="549" t="s">
        <v>116</v>
      </c>
    </row>
    <row r="24" spans="1:18" ht="39.75" customHeight="1">
      <c r="A24" s="634"/>
      <c r="B24" s="634"/>
      <c r="C24" s="634"/>
      <c r="D24" s="634"/>
      <c r="E24" s="634"/>
      <c r="F24" s="634"/>
      <c r="G24" s="634"/>
      <c r="H24" s="634"/>
      <c r="I24" s="634"/>
      <c r="J24" s="634"/>
      <c r="K24" s="634"/>
      <c r="L24" s="634"/>
      <c r="M24" s="634"/>
      <c r="N24" s="634"/>
      <c r="O24" s="635"/>
    </row>
    <row r="25" spans="1:18">
      <c r="A25" s="534"/>
      <c r="B25" s="534"/>
      <c r="C25" s="534"/>
      <c r="D25" s="534"/>
      <c r="E25" s="534"/>
      <c r="F25" s="534"/>
      <c r="G25" s="534"/>
      <c r="H25" s="534"/>
      <c r="I25" s="534"/>
      <c r="J25" s="534"/>
      <c r="K25" s="534"/>
      <c r="L25" s="534"/>
      <c r="M25" s="534"/>
      <c r="N25" s="534"/>
      <c r="O25" s="534"/>
    </row>
    <row r="26" spans="1:18">
      <c r="A26" s="4"/>
      <c r="B26" s="20"/>
      <c r="C26" s="4"/>
      <c r="D26" s="20"/>
      <c r="E26" s="19"/>
      <c r="F26" s="20"/>
      <c r="G26" s="19"/>
      <c r="H26" s="21"/>
      <c r="I26" s="19"/>
      <c r="J26" s="21"/>
      <c r="K26" s="19"/>
      <c r="L26" s="21"/>
      <c r="M26" s="19"/>
      <c r="N26" s="21"/>
      <c r="O26" s="21"/>
    </row>
    <row r="27" spans="1:18">
      <c r="A27" s="18"/>
    </row>
  </sheetData>
  <sheetProtection password="C511" sheet="1" objects="1" scenarios="1"/>
  <customSheetViews>
    <customSheetView guid="{E5DF83AA-DC53-4EBF-A523-33DA0FE284E8}" scale="75" topLeftCell="A4">
      <selection activeCell="B18" sqref="B18"/>
      <pageMargins left="0.75" right="0.75" top="1" bottom="1" header="0.5" footer="0.5"/>
      <pageSetup orientation="portrait" r:id="rId1"/>
      <headerFooter alignWithMargins="0"/>
    </customSheetView>
  </customSheetViews>
  <mergeCells count="4">
    <mergeCell ref="B5:M5"/>
    <mergeCell ref="N5:N6"/>
    <mergeCell ref="P5:Q5"/>
    <mergeCell ref="A24:O24"/>
  </mergeCells>
  <phoneticPr fontId="31" type="noConversion"/>
  <printOptions horizontalCentered="1"/>
  <pageMargins left="0" right="0" top="0.69" bottom="0.25" header="0.13" footer="0.1"/>
  <pageSetup paperSize="17" scale="72" orientation="landscape" cellComments="atEnd" r:id="rId2"/>
  <headerFooter alignWithMargins="0">
    <oddHeader>&amp;C&amp;"Arial,Bold"
Pacific Gas and Electric Company 
Average Ex Ante Load Impact kW / Customer
November 2011</oddHeader>
    <oddFooter>&amp;L&amp;F&amp;CPage 4 of 11&amp;R&amp;A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29"/>
  <sheetViews>
    <sheetView showGridLines="0" tabSelected="1" view="pageLayout" topLeftCell="B1" zoomScaleNormal="75" zoomScaleSheetLayoutView="70" workbookViewId="0">
      <selection activeCell="K40" sqref="K40"/>
    </sheetView>
  </sheetViews>
  <sheetFormatPr defaultRowHeight="12.75"/>
  <cols>
    <col min="1" max="1" width="37.28515625" style="8" customWidth="1"/>
    <col min="2" max="2" width="11.140625" style="8" bestFit="1" customWidth="1"/>
    <col min="3" max="3" width="10" style="8" bestFit="1" customWidth="1"/>
    <col min="4" max="4" width="8.7109375" style="8" customWidth="1"/>
    <col min="5" max="5" width="8.5703125" style="8" customWidth="1"/>
    <col min="6" max="6" width="8.42578125" style="8" customWidth="1"/>
    <col min="7" max="8" width="8.140625" style="8" customWidth="1"/>
    <col min="9" max="9" width="9.5703125" style="8" customWidth="1"/>
    <col min="10" max="10" width="11.5703125" style="8" customWidth="1"/>
    <col min="11" max="11" width="9.42578125" style="8" customWidth="1"/>
    <col min="12" max="12" width="11.140625" style="8" customWidth="1"/>
    <col min="13" max="13" width="10.7109375" style="8" customWidth="1"/>
    <col min="14" max="14" width="13.28515625" style="8" customWidth="1"/>
    <col min="15" max="15" width="66.7109375" style="8" customWidth="1"/>
    <col min="16" max="16" width="15" style="8" bestFit="1" customWidth="1"/>
    <col min="17" max="17" width="10.5703125" style="8" customWidth="1"/>
    <col min="18" max="18" width="9.85546875" style="8" bestFit="1" customWidth="1"/>
    <col min="19" max="19" width="11.140625" style="8" customWidth="1"/>
    <col min="20" max="20" width="9.85546875" style="8" bestFit="1" customWidth="1"/>
    <col min="21" max="21" width="10.85546875" style="8" customWidth="1"/>
    <col min="22" max="22" width="12.140625" style="8" bestFit="1" customWidth="1"/>
    <col min="23" max="23" width="12.140625" style="8" customWidth="1"/>
    <col min="24" max="24" width="9.5703125" style="8" bestFit="1" customWidth="1"/>
    <col min="25" max="25" width="11.140625" style="8" customWidth="1"/>
    <col min="26" max="26" width="11.7109375" style="8" bestFit="1" customWidth="1"/>
    <col min="27" max="27" width="11.7109375" style="8" customWidth="1"/>
    <col min="28" max="16384" width="9.140625" style="8"/>
  </cols>
  <sheetData>
    <row r="1" spans="1:15">
      <c r="A1" s="535" t="s">
        <v>67</v>
      </c>
      <c r="B1" s="536"/>
      <c r="C1" s="536"/>
      <c r="D1" s="536"/>
      <c r="E1" s="536"/>
      <c r="F1" s="536"/>
      <c r="G1" s="536"/>
      <c r="H1" s="536"/>
      <c r="I1" s="536"/>
      <c r="J1" s="536"/>
      <c r="K1" s="536"/>
      <c r="L1" s="536"/>
      <c r="M1" s="536"/>
      <c r="N1" s="536"/>
      <c r="O1" s="537"/>
    </row>
    <row r="2" spans="1:15" ht="6.75" customHeight="1">
      <c r="A2" s="420"/>
      <c r="B2" s="112"/>
      <c r="C2" s="112"/>
      <c r="D2" s="112"/>
      <c r="E2" s="112"/>
      <c r="F2" s="112"/>
      <c r="G2" s="112"/>
      <c r="H2" s="112"/>
      <c r="I2" s="112"/>
      <c r="J2" s="112"/>
      <c r="K2" s="112"/>
      <c r="L2" s="112"/>
      <c r="M2" s="112"/>
      <c r="N2" s="112"/>
      <c r="O2" s="538"/>
    </row>
    <row r="3" spans="1:15" ht="6.75" customHeight="1">
      <c r="A3" s="420"/>
      <c r="B3" s="112"/>
      <c r="C3" s="112"/>
      <c r="D3" s="112"/>
      <c r="E3" s="112"/>
      <c r="F3" s="112"/>
      <c r="G3" s="112"/>
      <c r="H3" s="112"/>
      <c r="I3" s="112"/>
      <c r="J3" s="112"/>
      <c r="K3" s="112"/>
      <c r="L3" s="112"/>
      <c r="M3" s="112"/>
      <c r="N3" s="112"/>
      <c r="O3" s="538"/>
    </row>
    <row r="4" spans="1:15" ht="6.75" customHeight="1">
      <c r="A4" s="420"/>
      <c r="B4" s="112"/>
      <c r="C4" s="112"/>
      <c r="D4" s="112"/>
      <c r="E4" s="112"/>
      <c r="F4" s="112"/>
      <c r="G4" s="112"/>
      <c r="H4" s="112"/>
      <c r="I4" s="112"/>
      <c r="J4" s="112"/>
      <c r="K4" s="112"/>
      <c r="L4" s="112"/>
      <c r="M4" s="112"/>
      <c r="N4" s="112"/>
      <c r="O4" s="538"/>
    </row>
    <row r="5" spans="1:15" ht="6.75" customHeight="1">
      <c r="A5" s="420"/>
      <c r="B5" s="112"/>
      <c r="C5" s="112"/>
      <c r="D5" s="112"/>
      <c r="E5" s="112"/>
      <c r="F5" s="112"/>
      <c r="G5" s="112"/>
      <c r="H5" s="112"/>
      <c r="I5" s="112"/>
      <c r="J5" s="112"/>
      <c r="K5" s="112"/>
      <c r="L5" s="112"/>
      <c r="M5" s="112"/>
      <c r="N5" s="112"/>
      <c r="O5" s="538"/>
    </row>
    <row r="6" spans="1:15" ht="6.75" customHeight="1">
      <c r="A6" s="539"/>
      <c r="B6" s="112"/>
      <c r="C6" s="112"/>
      <c r="D6" s="112"/>
      <c r="E6" s="112"/>
      <c r="F6" s="112"/>
      <c r="G6" s="112"/>
      <c r="H6" s="112"/>
      <c r="I6" s="112"/>
      <c r="J6" s="112"/>
      <c r="K6" s="112"/>
      <c r="L6" s="112"/>
      <c r="M6" s="112"/>
      <c r="N6" s="112"/>
      <c r="O6" s="538"/>
    </row>
    <row r="7" spans="1:15" ht="6.75" customHeight="1">
      <c r="A7" s="539"/>
      <c r="B7" s="112"/>
      <c r="C7" s="112"/>
      <c r="D7" s="112"/>
      <c r="E7" s="112"/>
      <c r="F7" s="112"/>
      <c r="G7" s="112"/>
      <c r="H7" s="112"/>
      <c r="I7" s="112"/>
      <c r="J7" s="112"/>
      <c r="K7" s="112"/>
      <c r="L7" s="112"/>
      <c r="M7" s="112"/>
      <c r="N7" s="112"/>
      <c r="O7" s="538"/>
    </row>
    <row r="8" spans="1:15" ht="12.75" customHeight="1">
      <c r="A8" s="540"/>
      <c r="B8" s="629" t="s">
        <v>108</v>
      </c>
      <c r="C8" s="629"/>
      <c r="D8" s="629"/>
      <c r="E8" s="629"/>
      <c r="F8" s="629"/>
      <c r="G8" s="629"/>
      <c r="H8" s="629"/>
      <c r="I8" s="629"/>
      <c r="J8" s="629"/>
      <c r="K8" s="629"/>
      <c r="L8" s="629"/>
      <c r="M8" s="629"/>
      <c r="N8" s="630" t="s">
        <v>185</v>
      </c>
      <c r="O8" s="408"/>
    </row>
    <row r="9" spans="1:15" ht="45.75" customHeight="1">
      <c r="A9" s="401" t="s">
        <v>51</v>
      </c>
      <c r="B9" s="531" t="s">
        <v>0</v>
      </c>
      <c r="C9" s="531" t="s">
        <v>1</v>
      </c>
      <c r="D9" s="531" t="s">
        <v>2</v>
      </c>
      <c r="E9" s="531" t="s">
        <v>3</v>
      </c>
      <c r="F9" s="531" t="s">
        <v>4</v>
      </c>
      <c r="G9" s="531" t="s">
        <v>5</v>
      </c>
      <c r="H9" s="531" t="s">
        <v>6</v>
      </c>
      <c r="I9" s="531" t="s">
        <v>52</v>
      </c>
      <c r="J9" s="531" t="s">
        <v>53</v>
      </c>
      <c r="K9" s="531" t="s">
        <v>9</v>
      </c>
      <c r="L9" s="531" t="s">
        <v>54</v>
      </c>
      <c r="M9" s="531" t="s">
        <v>11</v>
      </c>
      <c r="N9" s="631"/>
      <c r="O9" s="550" t="s">
        <v>114</v>
      </c>
    </row>
    <row r="10" spans="1:15" ht="25.5">
      <c r="A10" s="542" t="s">
        <v>74</v>
      </c>
      <c r="B10" s="208">
        <v>787.9</v>
      </c>
      <c r="C10" s="208">
        <v>787.9</v>
      </c>
      <c r="D10" s="208">
        <v>787.9</v>
      </c>
      <c r="E10" s="208">
        <v>787.9</v>
      </c>
      <c r="F10" s="208">
        <v>787.9</v>
      </c>
      <c r="G10" s="208">
        <v>787.9</v>
      </c>
      <c r="H10" s="208">
        <v>787.9</v>
      </c>
      <c r="I10" s="208">
        <v>787.9</v>
      </c>
      <c r="J10" s="208">
        <v>787.9</v>
      </c>
      <c r="K10" s="208">
        <v>787.9</v>
      </c>
      <c r="L10" s="208">
        <v>787.9</v>
      </c>
      <c r="M10" s="208">
        <v>787.9</v>
      </c>
      <c r="N10" s="34">
        <v>10199</v>
      </c>
      <c r="O10" s="543" t="s">
        <v>113</v>
      </c>
    </row>
    <row r="11" spans="1:15" ht="63.75">
      <c r="A11" s="542" t="s">
        <v>14</v>
      </c>
      <c r="B11" s="209" t="s">
        <v>32</v>
      </c>
      <c r="C11" s="209" t="s">
        <v>32</v>
      </c>
      <c r="D11" s="209" t="s">
        <v>32</v>
      </c>
      <c r="E11" s="209" t="s">
        <v>32</v>
      </c>
      <c r="F11" s="209" t="s">
        <v>32</v>
      </c>
      <c r="G11" s="209" t="s">
        <v>32</v>
      </c>
      <c r="H11" s="209" t="s">
        <v>32</v>
      </c>
      <c r="I11" s="209" t="s">
        <v>32</v>
      </c>
      <c r="J11" s="209" t="s">
        <v>32</v>
      </c>
      <c r="K11" s="209" t="s">
        <v>32</v>
      </c>
      <c r="L11" s="209" t="s">
        <v>32</v>
      </c>
      <c r="M11" s="209" t="s">
        <v>32</v>
      </c>
      <c r="N11" s="102" t="s">
        <v>32</v>
      </c>
      <c r="O11" s="543" t="s">
        <v>111</v>
      </c>
    </row>
    <row r="12" spans="1:15" ht="51">
      <c r="A12" s="542" t="s">
        <v>26</v>
      </c>
      <c r="B12" s="209" t="s">
        <v>32</v>
      </c>
      <c r="C12" s="209" t="s">
        <v>32</v>
      </c>
      <c r="D12" s="209" t="s">
        <v>32</v>
      </c>
      <c r="E12" s="209" t="s">
        <v>32</v>
      </c>
      <c r="F12" s="209" t="s">
        <v>32</v>
      </c>
      <c r="G12" s="209" t="s">
        <v>32</v>
      </c>
      <c r="H12" s="209" t="s">
        <v>32</v>
      </c>
      <c r="I12" s="209" t="s">
        <v>32</v>
      </c>
      <c r="J12" s="209" t="s">
        <v>32</v>
      </c>
      <c r="K12" s="209" t="s">
        <v>32</v>
      </c>
      <c r="L12" s="209" t="s">
        <v>32</v>
      </c>
      <c r="M12" s="209" t="s">
        <v>32</v>
      </c>
      <c r="N12" s="102" t="s">
        <v>32</v>
      </c>
      <c r="O12" s="543" t="s">
        <v>112</v>
      </c>
    </row>
    <row r="13" spans="1:15" ht="25.5">
      <c r="A13" s="544" t="s">
        <v>194</v>
      </c>
      <c r="B13" s="206">
        <v>0.22</v>
      </c>
      <c r="C13" s="206">
        <v>0.22</v>
      </c>
      <c r="D13" s="206">
        <v>0.22</v>
      </c>
      <c r="E13" s="206">
        <v>0.22</v>
      </c>
      <c r="F13" s="206">
        <v>0.22</v>
      </c>
      <c r="G13" s="206">
        <v>0.22</v>
      </c>
      <c r="H13" s="206">
        <v>0.22</v>
      </c>
      <c r="I13" s="206">
        <v>0.22</v>
      </c>
      <c r="J13" s="206">
        <v>0.22</v>
      </c>
      <c r="K13" s="206">
        <v>0.22</v>
      </c>
      <c r="L13" s="206">
        <v>0.22</v>
      </c>
      <c r="M13" s="206">
        <v>0.22</v>
      </c>
      <c r="N13" s="77">
        <v>585981</v>
      </c>
      <c r="O13" s="543" t="s">
        <v>132</v>
      </c>
    </row>
    <row r="14" spans="1:15" ht="25.5">
      <c r="A14" s="544" t="s">
        <v>195</v>
      </c>
      <c r="B14" s="206">
        <v>0.22</v>
      </c>
      <c r="C14" s="206">
        <v>0.22</v>
      </c>
      <c r="D14" s="206">
        <v>0.22</v>
      </c>
      <c r="E14" s="206">
        <v>0.22</v>
      </c>
      <c r="F14" s="206">
        <v>0.22</v>
      </c>
      <c r="G14" s="206">
        <v>0.22</v>
      </c>
      <c r="H14" s="206">
        <v>0.22</v>
      </c>
      <c r="I14" s="206">
        <v>0.22</v>
      </c>
      <c r="J14" s="206">
        <v>0.22</v>
      </c>
      <c r="K14" s="206">
        <v>0.22</v>
      </c>
      <c r="L14" s="206">
        <v>0.22</v>
      </c>
      <c r="M14" s="206">
        <v>0.22</v>
      </c>
      <c r="N14" s="551">
        <v>3000000</v>
      </c>
      <c r="O14" s="543" t="s">
        <v>131</v>
      </c>
    </row>
    <row r="15" spans="1:15" ht="38.25">
      <c r="A15" s="542" t="s">
        <v>72</v>
      </c>
      <c r="B15" s="209" t="s">
        <v>32</v>
      </c>
      <c r="C15" s="209" t="s">
        <v>32</v>
      </c>
      <c r="D15" s="209" t="s">
        <v>32</v>
      </c>
      <c r="E15" s="209" t="s">
        <v>32</v>
      </c>
      <c r="F15" s="209" t="s">
        <v>32</v>
      </c>
      <c r="G15" s="209" t="s">
        <v>32</v>
      </c>
      <c r="H15" s="209" t="s">
        <v>32</v>
      </c>
      <c r="I15" s="209" t="s">
        <v>32</v>
      </c>
      <c r="J15" s="209" t="s">
        <v>32</v>
      </c>
      <c r="K15" s="209" t="s">
        <v>32</v>
      </c>
      <c r="L15" s="209" t="s">
        <v>32</v>
      </c>
      <c r="M15" s="209" t="s">
        <v>32</v>
      </c>
      <c r="N15" s="102">
        <v>590834</v>
      </c>
      <c r="O15" s="543" t="s">
        <v>119</v>
      </c>
    </row>
    <row r="16" spans="1:15" ht="38.25">
      <c r="A16" s="542" t="s">
        <v>73</v>
      </c>
      <c r="B16" s="206">
        <v>210</v>
      </c>
      <c r="C16" s="206">
        <v>210</v>
      </c>
      <c r="D16" s="206">
        <v>210</v>
      </c>
      <c r="E16" s="206">
        <v>210</v>
      </c>
      <c r="F16" s="206">
        <v>210</v>
      </c>
      <c r="G16" s="206">
        <v>210</v>
      </c>
      <c r="H16" s="206">
        <v>210</v>
      </c>
      <c r="I16" s="206">
        <v>210</v>
      </c>
      <c r="J16" s="206">
        <v>210</v>
      </c>
      <c r="K16" s="206">
        <v>210</v>
      </c>
      <c r="L16" s="206">
        <v>210</v>
      </c>
      <c r="M16" s="206">
        <v>210</v>
      </c>
      <c r="N16" s="102">
        <v>590834</v>
      </c>
      <c r="O16" s="543" t="s">
        <v>120</v>
      </c>
    </row>
    <row r="17" spans="1:16" ht="38.25">
      <c r="A17" s="542" t="s">
        <v>129</v>
      </c>
      <c r="B17" s="206">
        <v>30</v>
      </c>
      <c r="C17" s="206">
        <v>30</v>
      </c>
      <c r="D17" s="206">
        <v>30</v>
      </c>
      <c r="E17" s="206">
        <v>30</v>
      </c>
      <c r="F17" s="206">
        <v>30</v>
      </c>
      <c r="G17" s="206">
        <v>30</v>
      </c>
      <c r="H17" s="206">
        <v>30</v>
      </c>
      <c r="I17" s="206">
        <v>30</v>
      </c>
      <c r="J17" s="206">
        <v>30</v>
      </c>
      <c r="K17" s="206">
        <v>30</v>
      </c>
      <c r="L17" s="206">
        <v>30</v>
      </c>
      <c r="M17" s="206">
        <v>30</v>
      </c>
      <c r="N17" s="102">
        <v>590834</v>
      </c>
      <c r="O17" s="543" t="s">
        <v>118</v>
      </c>
    </row>
    <row r="18" spans="1:16" ht="38.25">
      <c r="A18" s="542" t="s">
        <v>130</v>
      </c>
      <c r="B18" s="206">
        <v>80</v>
      </c>
      <c r="C18" s="206">
        <v>80</v>
      </c>
      <c r="D18" s="206">
        <v>80</v>
      </c>
      <c r="E18" s="206">
        <v>80</v>
      </c>
      <c r="F18" s="206">
        <v>80</v>
      </c>
      <c r="G18" s="206">
        <v>80</v>
      </c>
      <c r="H18" s="206">
        <v>80</v>
      </c>
      <c r="I18" s="206">
        <v>80</v>
      </c>
      <c r="J18" s="206">
        <v>80</v>
      </c>
      <c r="K18" s="206">
        <v>80</v>
      </c>
      <c r="L18" s="206">
        <v>80</v>
      </c>
      <c r="M18" s="206">
        <v>80</v>
      </c>
      <c r="N18" s="102">
        <v>590834</v>
      </c>
      <c r="O18" s="543" t="s">
        <v>118</v>
      </c>
    </row>
    <row r="19" spans="1:16" ht="38.25">
      <c r="A19" s="542" t="s">
        <v>15</v>
      </c>
      <c r="B19" s="206">
        <v>64.900000000000006</v>
      </c>
      <c r="C19" s="206">
        <v>64.900000000000006</v>
      </c>
      <c r="D19" s="206">
        <v>64.900000000000006</v>
      </c>
      <c r="E19" s="206">
        <v>64.900000000000006</v>
      </c>
      <c r="F19" s="206">
        <v>64.900000000000006</v>
      </c>
      <c r="G19" s="206">
        <v>64.900000000000006</v>
      </c>
      <c r="H19" s="206">
        <v>64.900000000000006</v>
      </c>
      <c r="I19" s="206">
        <v>64.900000000000006</v>
      </c>
      <c r="J19" s="206">
        <v>64.900000000000006</v>
      </c>
      <c r="K19" s="206">
        <v>64.900000000000006</v>
      </c>
      <c r="L19" s="206">
        <v>64.900000000000006</v>
      </c>
      <c r="M19" s="206">
        <v>64.900000000000006</v>
      </c>
      <c r="N19" s="102">
        <v>10199</v>
      </c>
      <c r="O19" s="543" t="s">
        <v>117</v>
      </c>
    </row>
    <row r="20" spans="1:16" ht="51">
      <c r="A20" s="542" t="s">
        <v>183</v>
      </c>
      <c r="B20" s="206">
        <v>13.8</v>
      </c>
      <c r="C20" s="206">
        <v>13.8</v>
      </c>
      <c r="D20" s="206">
        <v>13.8</v>
      </c>
      <c r="E20" s="206">
        <v>13.8</v>
      </c>
      <c r="F20" s="206">
        <v>13.8</v>
      </c>
      <c r="G20" s="206">
        <v>13.8</v>
      </c>
      <c r="H20" s="206">
        <v>13.8</v>
      </c>
      <c r="I20" s="206">
        <v>13.8</v>
      </c>
      <c r="J20" s="206">
        <v>13.8</v>
      </c>
      <c r="K20" s="206">
        <v>13.8</v>
      </c>
      <c r="L20" s="206">
        <v>13.8</v>
      </c>
      <c r="M20" s="206">
        <v>13.8</v>
      </c>
      <c r="N20" s="102">
        <v>161391</v>
      </c>
      <c r="O20" s="545" t="s">
        <v>192</v>
      </c>
      <c r="P20" s="345" t="s">
        <v>13</v>
      </c>
    </row>
    <row r="21" spans="1:16" ht="38.25">
      <c r="A21" s="542" t="s">
        <v>133</v>
      </c>
      <c r="B21" s="208">
        <v>13.6</v>
      </c>
      <c r="C21" s="208">
        <v>13.6</v>
      </c>
      <c r="D21" s="208">
        <v>13.6</v>
      </c>
      <c r="E21" s="208">
        <v>13.6</v>
      </c>
      <c r="F21" s="208">
        <v>13.6</v>
      </c>
      <c r="G21" s="208">
        <v>13.6</v>
      </c>
      <c r="H21" s="208">
        <v>13.6</v>
      </c>
      <c r="I21" s="208">
        <v>13.6</v>
      </c>
      <c r="J21" s="208">
        <v>13.6</v>
      </c>
      <c r="K21" s="208">
        <v>13.6</v>
      </c>
      <c r="L21" s="208">
        <v>13.6</v>
      </c>
      <c r="M21" s="208">
        <v>13.6</v>
      </c>
      <c r="N21" s="102">
        <v>100833</v>
      </c>
      <c r="O21" s="543" t="s">
        <v>110</v>
      </c>
    </row>
    <row r="22" spans="1:16" ht="38.25">
      <c r="A22" s="542" t="s">
        <v>134</v>
      </c>
      <c r="B22" s="208">
        <v>29</v>
      </c>
      <c r="C22" s="208">
        <v>29</v>
      </c>
      <c r="D22" s="208">
        <v>29</v>
      </c>
      <c r="E22" s="208">
        <v>29</v>
      </c>
      <c r="F22" s="208">
        <v>29</v>
      </c>
      <c r="G22" s="208">
        <v>29</v>
      </c>
      <c r="H22" s="208">
        <v>29</v>
      </c>
      <c r="I22" s="208">
        <v>29</v>
      </c>
      <c r="J22" s="208">
        <v>29</v>
      </c>
      <c r="K22" s="208">
        <v>29</v>
      </c>
      <c r="L22" s="208">
        <v>29</v>
      </c>
      <c r="M22" s="208">
        <v>29</v>
      </c>
      <c r="N22" s="102">
        <v>100833</v>
      </c>
      <c r="O22" s="543" t="s">
        <v>110</v>
      </c>
    </row>
    <row r="23" spans="1:16" ht="38.25">
      <c r="A23" s="542" t="s">
        <v>135</v>
      </c>
      <c r="B23" s="206">
        <v>22</v>
      </c>
      <c r="C23" s="206">
        <v>22</v>
      </c>
      <c r="D23" s="206">
        <v>22</v>
      </c>
      <c r="E23" s="206">
        <v>22</v>
      </c>
      <c r="F23" s="206">
        <v>22</v>
      </c>
      <c r="G23" s="206">
        <v>22</v>
      </c>
      <c r="H23" s="206">
        <v>22</v>
      </c>
      <c r="I23" s="206">
        <v>22</v>
      </c>
      <c r="J23" s="206">
        <v>22</v>
      </c>
      <c r="K23" s="206">
        <v>22</v>
      </c>
      <c r="L23" s="206">
        <v>22</v>
      </c>
      <c r="M23" s="206">
        <v>22</v>
      </c>
      <c r="N23" s="102">
        <v>100833</v>
      </c>
      <c r="O23" s="543" t="s">
        <v>110</v>
      </c>
    </row>
    <row r="24" spans="1:16" ht="38.25">
      <c r="A24" s="542" t="s">
        <v>136</v>
      </c>
      <c r="B24" s="206">
        <v>1274</v>
      </c>
      <c r="C24" s="206">
        <v>1274</v>
      </c>
      <c r="D24" s="206">
        <v>1274</v>
      </c>
      <c r="E24" s="206">
        <v>1274</v>
      </c>
      <c r="F24" s="206">
        <v>1274</v>
      </c>
      <c r="G24" s="206">
        <v>1274</v>
      </c>
      <c r="H24" s="206">
        <v>1274</v>
      </c>
      <c r="I24" s="206">
        <v>1274</v>
      </c>
      <c r="J24" s="206">
        <v>1274</v>
      </c>
      <c r="K24" s="206">
        <v>1274</v>
      </c>
      <c r="L24" s="206">
        <v>1274</v>
      </c>
      <c r="M24" s="206">
        <v>1274</v>
      </c>
      <c r="N24" s="102">
        <v>100833</v>
      </c>
      <c r="O24" s="543" t="s">
        <v>110</v>
      </c>
    </row>
    <row r="25" spans="1:16" ht="25.5">
      <c r="A25" s="544" t="s">
        <v>193</v>
      </c>
      <c r="B25" s="209" t="s">
        <v>32</v>
      </c>
      <c r="C25" s="209" t="s">
        <v>32</v>
      </c>
      <c r="D25" s="209" t="s">
        <v>32</v>
      </c>
      <c r="E25" s="209" t="s">
        <v>32</v>
      </c>
      <c r="F25" s="209" t="s">
        <v>32</v>
      </c>
      <c r="G25" s="209" t="s">
        <v>32</v>
      </c>
      <c r="H25" s="209" t="s">
        <v>32</v>
      </c>
      <c r="I25" s="209" t="s">
        <v>32</v>
      </c>
      <c r="J25" s="209" t="s">
        <v>32</v>
      </c>
      <c r="K25" s="209" t="s">
        <v>32</v>
      </c>
      <c r="L25" s="209" t="s">
        <v>32</v>
      </c>
      <c r="M25" s="209" t="s">
        <v>32</v>
      </c>
      <c r="N25" s="102" t="s">
        <v>174</v>
      </c>
      <c r="O25" s="543" t="s">
        <v>115</v>
      </c>
    </row>
    <row r="26" spans="1:16" ht="51">
      <c r="A26" s="544" t="s">
        <v>196</v>
      </c>
      <c r="B26" s="206">
        <v>0.26</v>
      </c>
      <c r="C26" s="206">
        <v>0.26</v>
      </c>
      <c r="D26" s="206">
        <v>0.26</v>
      </c>
      <c r="E26" s="206">
        <v>0.26</v>
      </c>
      <c r="F26" s="206">
        <v>0.26</v>
      </c>
      <c r="G26" s="206">
        <v>0.26</v>
      </c>
      <c r="H26" s="206">
        <v>0.26</v>
      </c>
      <c r="I26" s="206">
        <v>0.26</v>
      </c>
      <c r="J26" s="206">
        <v>0.26</v>
      </c>
      <c r="K26" s="206">
        <v>0.26</v>
      </c>
      <c r="L26" s="206">
        <v>0.26</v>
      </c>
      <c r="M26" s="206">
        <v>0.26</v>
      </c>
      <c r="N26" s="77">
        <v>3000000</v>
      </c>
      <c r="O26" s="543" t="s">
        <v>116</v>
      </c>
    </row>
    <row r="27" spans="1:16" ht="15" customHeight="1">
      <c r="A27" s="552"/>
      <c r="B27" s="553"/>
      <c r="C27" s="553"/>
      <c r="D27" s="553"/>
      <c r="E27" s="553"/>
      <c r="F27" s="553"/>
      <c r="G27" s="553"/>
      <c r="H27" s="553"/>
      <c r="I27" s="553"/>
      <c r="J27" s="553"/>
      <c r="K27" s="553"/>
      <c r="L27" s="553"/>
      <c r="M27" s="553"/>
      <c r="N27" s="112"/>
      <c r="O27" s="538"/>
    </row>
    <row r="28" spans="1:16" ht="12.75" customHeight="1">
      <c r="A28" s="636" t="s">
        <v>175</v>
      </c>
      <c r="B28" s="637"/>
      <c r="C28" s="637"/>
      <c r="D28" s="637"/>
      <c r="E28" s="637"/>
      <c r="F28" s="637"/>
      <c r="G28" s="637"/>
      <c r="H28" s="637"/>
      <c r="I28" s="637"/>
      <c r="J28" s="637"/>
      <c r="K28" s="637"/>
      <c r="L28" s="637"/>
      <c r="M28" s="637"/>
      <c r="N28" s="637"/>
      <c r="O28" s="638"/>
    </row>
    <row r="29" spans="1:16" ht="27.75" customHeight="1" thickBot="1">
      <c r="A29" s="639"/>
      <c r="B29" s="640"/>
      <c r="C29" s="640"/>
      <c r="D29" s="640"/>
      <c r="E29" s="640"/>
      <c r="F29" s="640"/>
      <c r="G29" s="640"/>
      <c r="H29" s="640"/>
      <c r="I29" s="640"/>
      <c r="J29" s="640"/>
      <c r="K29" s="640"/>
      <c r="L29" s="640"/>
      <c r="M29" s="640"/>
      <c r="N29" s="640"/>
      <c r="O29" s="641"/>
    </row>
  </sheetData>
  <sheetProtection password="C511" sheet="1" objects="1" scenarios="1"/>
  <customSheetViews>
    <customSheetView guid="{E5DF83AA-DC53-4EBF-A523-33DA0FE284E8}" scale="75" showPageBreaks="1" showGridLines="0" printArea="1" view="pageBreakPreview">
      <selection activeCell="M15" sqref="A15:M15"/>
      <pageMargins left="0.1" right="0.1" top="0.75" bottom="0.75" header="0.3" footer="0.28000000000000003"/>
      <printOptions horizontalCentered="1"/>
      <pageSetup scale="67" orientation="landscape" cellComments="asDisplayed" r:id="rId1"/>
      <headerFooter alignWithMargins="0">
        <oddHeader>&amp;C&amp;"Arial,Bold"Pacific Gas and Electric Company
Average Load Impact kW / Customer</oddHeader>
        <oddFooter>&amp;L&amp;F&amp;R&amp;D</oddFooter>
      </headerFooter>
    </customSheetView>
  </customSheetViews>
  <mergeCells count="3">
    <mergeCell ref="B8:M8"/>
    <mergeCell ref="N8:N9"/>
    <mergeCell ref="A28:O29"/>
  </mergeCells>
  <phoneticPr fontId="0" type="noConversion"/>
  <printOptions horizontalCentered="1"/>
  <pageMargins left="0" right="0" top="0.93854166666666705" bottom="0.25" header="0.13" footer="0.1"/>
  <pageSetup paperSize="17" scale="72" orientation="landscape" cellComments="atEnd" r:id="rId2"/>
  <headerFooter alignWithMargins="0">
    <oddHeader>&amp;C&amp;"Arial,Bold"
Pacific Gas and Electric Company 
Average Ex Post Load Impact kW / Customer
November 2011</oddHeader>
    <oddFooter>&amp;L&amp;F&amp;CPage 5 of 11&amp;R&amp;A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Y82"/>
  <sheetViews>
    <sheetView showGridLines="0" tabSelected="1" view="pageLayout" topLeftCell="J31" zoomScaleNormal="75" zoomScaleSheetLayoutView="85" workbookViewId="0">
      <selection activeCell="K40" sqref="K40"/>
    </sheetView>
  </sheetViews>
  <sheetFormatPr defaultRowHeight="12.75"/>
  <cols>
    <col min="1" max="1" width="45.85546875" style="55" customWidth="1"/>
    <col min="2" max="3" width="10.85546875" style="55" customWidth="1"/>
    <col min="4" max="4" width="10.7109375" style="55" customWidth="1"/>
    <col min="5" max="5" width="12.7109375" style="55" customWidth="1"/>
    <col min="6" max="8" width="10.5703125" style="55" customWidth="1"/>
    <col min="9" max="9" width="12.7109375" style="55" customWidth="1"/>
    <col min="10" max="12" width="10.7109375" style="55" customWidth="1"/>
    <col min="13" max="13" width="12.7109375" style="55" customWidth="1"/>
    <col min="14" max="16" width="10.7109375" style="55" customWidth="1"/>
    <col min="17" max="17" width="12.7109375" style="55" customWidth="1"/>
    <col min="18" max="20" width="10.7109375" style="55" customWidth="1"/>
    <col min="21" max="21" width="12.7109375" style="55" customWidth="1"/>
    <col min="22" max="24" width="10.7109375" style="55" customWidth="1"/>
    <col min="25" max="25" width="12.7109375" style="55" customWidth="1"/>
    <col min="26" max="16384" width="9.140625" style="55"/>
  </cols>
  <sheetData>
    <row r="1" spans="1:25">
      <c r="A1" s="47" t="s">
        <v>121</v>
      </c>
    </row>
    <row r="3" spans="1:25" ht="21.75" customHeight="1">
      <c r="A3" s="369">
        <v>2011</v>
      </c>
      <c r="B3" s="642" t="s">
        <v>0</v>
      </c>
      <c r="C3" s="642"/>
      <c r="D3" s="642"/>
      <c r="E3" s="642"/>
      <c r="F3" s="642" t="s">
        <v>1</v>
      </c>
      <c r="G3" s="642"/>
      <c r="H3" s="642"/>
      <c r="I3" s="642"/>
      <c r="J3" s="642" t="s">
        <v>2</v>
      </c>
      <c r="K3" s="642"/>
      <c r="L3" s="642"/>
      <c r="M3" s="642"/>
      <c r="N3" s="642" t="s">
        <v>3</v>
      </c>
      <c r="O3" s="642"/>
      <c r="P3" s="642"/>
      <c r="Q3" s="642"/>
      <c r="R3" s="642" t="s">
        <v>4</v>
      </c>
      <c r="S3" s="642"/>
      <c r="T3" s="642"/>
      <c r="U3" s="642"/>
      <c r="V3" s="642" t="s">
        <v>5</v>
      </c>
      <c r="W3" s="642"/>
      <c r="X3" s="642"/>
      <c r="Y3" s="642"/>
    </row>
    <row r="4" spans="1:25" ht="44.25" customHeight="1">
      <c r="A4" s="470" t="s">
        <v>50</v>
      </c>
      <c r="B4" s="109" t="s">
        <v>122</v>
      </c>
      <c r="C4" s="109" t="s">
        <v>123</v>
      </c>
      <c r="D4" s="109" t="s">
        <v>124</v>
      </c>
      <c r="E4" s="109" t="s">
        <v>125</v>
      </c>
      <c r="F4" s="109" t="s">
        <v>122</v>
      </c>
      <c r="G4" s="109" t="s">
        <v>123</v>
      </c>
      <c r="H4" s="109" t="s">
        <v>124</v>
      </c>
      <c r="I4" s="109" t="s">
        <v>125</v>
      </c>
      <c r="J4" s="109" t="s">
        <v>122</v>
      </c>
      <c r="K4" s="109" t="s">
        <v>123</v>
      </c>
      <c r="L4" s="109" t="s">
        <v>124</v>
      </c>
      <c r="M4" s="109" t="s">
        <v>125</v>
      </c>
      <c r="N4" s="109" t="s">
        <v>122</v>
      </c>
      <c r="O4" s="109" t="s">
        <v>123</v>
      </c>
      <c r="P4" s="109" t="s">
        <v>124</v>
      </c>
      <c r="Q4" s="109" t="s">
        <v>125</v>
      </c>
      <c r="R4" s="109" t="s">
        <v>122</v>
      </c>
      <c r="S4" s="109" t="s">
        <v>123</v>
      </c>
      <c r="T4" s="109" t="s">
        <v>124</v>
      </c>
      <c r="U4" s="109" t="s">
        <v>125</v>
      </c>
      <c r="V4" s="109" t="s">
        <v>122</v>
      </c>
      <c r="W4" s="109" t="s">
        <v>123</v>
      </c>
      <c r="X4" s="109" t="s">
        <v>124</v>
      </c>
      <c r="Y4" s="109" t="s">
        <v>125</v>
      </c>
    </row>
    <row r="5" spans="1:25">
      <c r="A5" s="370" t="s">
        <v>72</v>
      </c>
      <c r="B5" s="371"/>
      <c r="C5" s="81">
        <v>0</v>
      </c>
      <c r="D5" s="371">
        <v>0</v>
      </c>
      <c r="E5" s="372">
        <f>SUM(B5:D5)</f>
        <v>0</v>
      </c>
      <c r="F5" s="35"/>
      <c r="G5" s="104">
        <f>SUM(C5+0)</f>
        <v>0</v>
      </c>
      <c r="H5" s="105">
        <v>0</v>
      </c>
      <c r="I5" s="37">
        <f>SUM(F5:H5)</f>
        <v>0</v>
      </c>
      <c r="J5" s="38"/>
      <c r="K5" s="104">
        <v>0</v>
      </c>
      <c r="L5" s="104">
        <v>0</v>
      </c>
      <c r="M5" s="37">
        <f>SUM(J5:L5)</f>
        <v>0</v>
      </c>
      <c r="N5" s="38"/>
      <c r="O5" s="104">
        <v>0</v>
      </c>
      <c r="P5" s="105">
        <v>0</v>
      </c>
      <c r="Q5" s="37">
        <f>SUM(N5:P5)</f>
        <v>0</v>
      </c>
      <c r="R5" s="107"/>
      <c r="S5" s="104">
        <v>0</v>
      </c>
      <c r="T5" s="105">
        <v>0</v>
      </c>
      <c r="U5" s="37">
        <f t="shared" ref="U5:U10" si="0">SUM(R5:T5)</f>
        <v>0</v>
      </c>
      <c r="V5" s="38"/>
      <c r="W5" s="104">
        <v>0</v>
      </c>
      <c r="X5" s="104">
        <v>0</v>
      </c>
      <c r="Y5" s="37">
        <f>SUM(V5:X5)</f>
        <v>0</v>
      </c>
    </row>
    <row r="6" spans="1:25">
      <c r="A6" s="370" t="s">
        <v>73</v>
      </c>
      <c r="B6" s="371"/>
      <c r="C6" s="81">
        <v>0</v>
      </c>
      <c r="D6" s="371">
        <v>0</v>
      </c>
      <c r="E6" s="372">
        <f t="shared" ref="E6:E16" si="1">SUM(B6:D6)</f>
        <v>0</v>
      </c>
      <c r="F6" s="35"/>
      <c r="G6" s="104">
        <f>SUM(C6+0)</f>
        <v>0</v>
      </c>
      <c r="H6" s="105">
        <v>0</v>
      </c>
      <c r="I6" s="37">
        <f t="shared" ref="I6:I16" si="2">SUM(F6:H6)</f>
        <v>0</v>
      </c>
      <c r="J6" s="38"/>
      <c r="K6" s="104">
        <v>0</v>
      </c>
      <c r="L6" s="104">
        <v>0</v>
      </c>
      <c r="M6" s="37">
        <f t="shared" ref="M6:M16" si="3">SUM(J6:L6)</f>
        <v>0</v>
      </c>
      <c r="N6" s="38"/>
      <c r="O6" s="104">
        <v>0</v>
      </c>
      <c r="P6" s="105">
        <v>0</v>
      </c>
      <c r="Q6" s="37">
        <f t="shared" ref="Q6:Q16" si="4">SUM(N6:P6)</f>
        <v>0</v>
      </c>
      <c r="R6" s="107"/>
      <c r="S6" s="104">
        <v>0</v>
      </c>
      <c r="T6" s="105">
        <v>0</v>
      </c>
      <c r="U6" s="37">
        <f t="shared" si="0"/>
        <v>0</v>
      </c>
      <c r="V6" s="38"/>
      <c r="W6" s="104">
        <v>0</v>
      </c>
      <c r="X6" s="104">
        <v>0</v>
      </c>
      <c r="Y6" s="37">
        <f t="shared" ref="Y6:Y16" si="5">SUM(V6:X6)</f>
        <v>0</v>
      </c>
    </row>
    <row r="7" spans="1:25">
      <c r="A7" s="370" t="s">
        <v>129</v>
      </c>
      <c r="B7" s="371"/>
      <c r="C7" s="81">
        <v>0</v>
      </c>
      <c r="D7" s="371">
        <v>0</v>
      </c>
      <c r="E7" s="372">
        <f t="shared" si="1"/>
        <v>0</v>
      </c>
      <c r="F7" s="35"/>
      <c r="G7" s="104">
        <f>SUM(C7+0.425)</f>
        <v>0.42499999999999999</v>
      </c>
      <c r="H7" s="105">
        <v>0</v>
      </c>
      <c r="I7" s="37">
        <f t="shared" si="2"/>
        <v>0.42499999999999999</v>
      </c>
      <c r="J7" s="38"/>
      <c r="K7" s="104">
        <v>2.4609999999999999</v>
      </c>
      <c r="L7" s="104">
        <v>0</v>
      </c>
      <c r="M7" s="37">
        <f t="shared" si="3"/>
        <v>2.4609999999999999</v>
      </c>
      <c r="N7" s="38"/>
      <c r="O7" s="104">
        <f>K7+1.5</f>
        <v>3.9609999999999999</v>
      </c>
      <c r="P7" s="105">
        <v>0</v>
      </c>
      <c r="Q7" s="37">
        <f t="shared" si="4"/>
        <v>3.9609999999999999</v>
      </c>
      <c r="S7" s="107">
        <f>O7+1</f>
        <v>4.9610000000000003</v>
      </c>
      <c r="T7" s="105">
        <v>0</v>
      </c>
      <c r="U7" s="37">
        <f>SUM(S7:T7)</f>
        <v>4.9610000000000003</v>
      </c>
      <c r="V7" s="38"/>
      <c r="W7" s="104">
        <f>SUM(S7+1.3)</f>
        <v>6.2610000000000001</v>
      </c>
      <c r="X7" s="104">
        <v>0</v>
      </c>
      <c r="Y7" s="37">
        <f t="shared" si="5"/>
        <v>6.2610000000000001</v>
      </c>
    </row>
    <row r="8" spans="1:25">
      <c r="A8" s="370" t="s">
        <v>130</v>
      </c>
      <c r="B8" s="371"/>
      <c r="C8" s="81">
        <v>0</v>
      </c>
      <c r="D8" s="371">
        <v>0</v>
      </c>
      <c r="E8" s="372">
        <f t="shared" si="1"/>
        <v>0</v>
      </c>
      <c r="F8" s="35"/>
      <c r="G8" s="104">
        <f>SUM(C8+0.425)</f>
        <v>0.42499999999999999</v>
      </c>
      <c r="H8" s="105">
        <v>0</v>
      </c>
      <c r="I8" s="37">
        <f t="shared" si="2"/>
        <v>0.42499999999999999</v>
      </c>
      <c r="J8" s="38"/>
      <c r="K8" s="104">
        <v>2.4609999999999999</v>
      </c>
      <c r="L8" s="104">
        <v>0</v>
      </c>
      <c r="M8" s="37">
        <f t="shared" si="3"/>
        <v>2.4609999999999999</v>
      </c>
      <c r="N8" s="38"/>
      <c r="O8" s="104">
        <f>K8+1.5</f>
        <v>3.9609999999999999</v>
      </c>
      <c r="P8" s="105">
        <v>0</v>
      </c>
      <c r="Q8" s="37">
        <f t="shared" si="4"/>
        <v>3.9609999999999999</v>
      </c>
      <c r="R8" s="107" t="s">
        <v>13</v>
      </c>
      <c r="S8" s="107">
        <f>O8+1</f>
        <v>4.9610000000000003</v>
      </c>
      <c r="T8" s="105">
        <v>0</v>
      </c>
      <c r="U8" s="37">
        <f t="shared" si="0"/>
        <v>4.9610000000000003</v>
      </c>
      <c r="V8" s="38"/>
      <c r="W8" s="104">
        <f>SUM(S8+1.3)</f>
        <v>6.2610000000000001</v>
      </c>
      <c r="X8" s="104">
        <v>0</v>
      </c>
      <c r="Y8" s="37">
        <f t="shared" si="5"/>
        <v>6.2610000000000001</v>
      </c>
    </row>
    <row r="9" spans="1:25">
      <c r="A9" s="370" t="s">
        <v>15</v>
      </c>
      <c r="B9" s="371"/>
      <c r="C9" s="81">
        <v>0</v>
      </c>
      <c r="D9" s="371">
        <v>0</v>
      </c>
      <c r="E9" s="372">
        <f t="shared" si="1"/>
        <v>0</v>
      </c>
      <c r="F9" s="35"/>
      <c r="G9" s="104">
        <f t="shared" ref="G9:G16" si="6">SUM(C9+0)</f>
        <v>0</v>
      </c>
      <c r="H9" s="105">
        <v>0</v>
      </c>
      <c r="I9" s="37">
        <f t="shared" si="2"/>
        <v>0</v>
      </c>
      <c r="J9" s="38"/>
      <c r="K9" s="104">
        <v>0</v>
      </c>
      <c r="L9" s="104">
        <v>0</v>
      </c>
      <c r="M9" s="37">
        <f t="shared" si="3"/>
        <v>0</v>
      </c>
      <c r="N9" s="38"/>
      <c r="O9" s="104">
        <v>0</v>
      </c>
      <c r="P9" s="105">
        <v>0</v>
      </c>
      <c r="Q9" s="37">
        <f t="shared" si="4"/>
        <v>0</v>
      </c>
      <c r="R9" s="107"/>
      <c r="S9" s="104">
        <v>0</v>
      </c>
      <c r="T9" s="105">
        <v>0</v>
      </c>
      <c r="U9" s="37">
        <f t="shared" si="0"/>
        <v>0</v>
      </c>
      <c r="V9" s="38"/>
      <c r="W9" s="342">
        <f>SUM(S9+0.8)</f>
        <v>0.8</v>
      </c>
      <c r="X9" s="104">
        <v>0</v>
      </c>
      <c r="Y9" s="37">
        <f t="shared" si="5"/>
        <v>0.8</v>
      </c>
    </row>
    <row r="10" spans="1:25">
      <c r="A10" s="370" t="s">
        <v>183</v>
      </c>
      <c r="B10" s="371"/>
      <c r="C10" s="371">
        <v>0.35</v>
      </c>
      <c r="D10" s="371">
        <v>0</v>
      </c>
      <c r="E10" s="372">
        <f t="shared" si="1"/>
        <v>0.35</v>
      </c>
      <c r="F10" s="35"/>
      <c r="G10" s="104">
        <f t="shared" si="6"/>
        <v>0.35</v>
      </c>
      <c r="H10" s="105">
        <v>0</v>
      </c>
      <c r="I10" s="37">
        <f t="shared" si="2"/>
        <v>0.35</v>
      </c>
      <c r="J10" s="38"/>
      <c r="K10" s="104">
        <v>0.35</v>
      </c>
      <c r="L10" s="104">
        <v>0</v>
      </c>
      <c r="M10" s="37">
        <f t="shared" si="3"/>
        <v>0.35</v>
      </c>
      <c r="N10" s="38"/>
      <c r="O10" s="104">
        <f>K10+0</f>
        <v>0.35</v>
      </c>
      <c r="P10" s="105">
        <v>0</v>
      </c>
      <c r="Q10" s="37">
        <f t="shared" si="4"/>
        <v>0.35</v>
      </c>
      <c r="R10" s="107"/>
      <c r="S10" s="104">
        <f>SUM(O10+0)</f>
        <v>0.35</v>
      </c>
      <c r="T10" s="105">
        <v>0</v>
      </c>
      <c r="U10" s="372">
        <f t="shared" si="0"/>
        <v>0.35</v>
      </c>
      <c r="V10" s="38"/>
      <c r="W10" s="104">
        <f>SUM(S10+0)</f>
        <v>0.35</v>
      </c>
      <c r="X10" s="104">
        <v>0</v>
      </c>
      <c r="Y10" s="37">
        <f t="shared" si="5"/>
        <v>0.35</v>
      </c>
    </row>
    <row r="11" spans="1:25">
      <c r="A11" s="370" t="s">
        <v>133</v>
      </c>
      <c r="B11" s="371"/>
      <c r="C11" s="81">
        <v>0</v>
      </c>
      <c r="D11" s="371">
        <v>0</v>
      </c>
      <c r="E11" s="372">
        <f t="shared" si="1"/>
        <v>0</v>
      </c>
      <c r="F11" s="35"/>
      <c r="G11" s="104">
        <f t="shared" si="6"/>
        <v>0</v>
      </c>
      <c r="H11" s="105">
        <v>0</v>
      </c>
      <c r="I11" s="37">
        <f t="shared" si="2"/>
        <v>0</v>
      </c>
      <c r="J11" s="38"/>
      <c r="K11" s="104">
        <v>0</v>
      </c>
      <c r="L11" s="104">
        <v>0</v>
      </c>
      <c r="M11" s="37">
        <f t="shared" si="3"/>
        <v>0</v>
      </c>
      <c r="N11" s="38"/>
      <c r="O11" s="104">
        <v>0</v>
      </c>
      <c r="P11" s="105">
        <v>0</v>
      </c>
      <c r="Q11" s="37">
        <f t="shared" si="4"/>
        <v>0</v>
      </c>
      <c r="R11" s="107"/>
      <c r="S11" s="104">
        <v>0</v>
      </c>
      <c r="T11" s="105">
        <v>0</v>
      </c>
      <c r="U11" s="372">
        <f t="shared" ref="U11:U16" si="7">SUM(R11:T11)</f>
        <v>0</v>
      </c>
      <c r="V11" s="38"/>
      <c r="W11" s="104">
        <v>0</v>
      </c>
      <c r="X11" s="104">
        <v>0</v>
      </c>
      <c r="Y11" s="37">
        <f t="shared" si="5"/>
        <v>0</v>
      </c>
    </row>
    <row r="12" spans="1:25">
      <c r="A12" s="370" t="s">
        <v>134</v>
      </c>
      <c r="B12" s="371"/>
      <c r="C12" s="81">
        <v>0</v>
      </c>
      <c r="D12" s="371">
        <v>0</v>
      </c>
      <c r="E12" s="372">
        <f t="shared" si="1"/>
        <v>0</v>
      </c>
      <c r="F12" s="35"/>
      <c r="G12" s="104">
        <f t="shared" si="6"/>
        <v>0</v>
      </c>
      <c r="H12" s="105">
        <v>0</v>
      </c>
      <c r="I12" s="37">
        <f t="shared" si="2"/>
        <v>0</v>
      </c>
      <c r="J12" s="38"/>
      <c r="K12" s="104">
        <v>0</v>
      </c>
      <c r="L12" s="104">
        <v>0</v>
      </c>
      <c r="M12" s="37">
        <f t="shared" si="3"/>
        <v>0</v>
      </c>
      <c r="N12" s="38"/>
      <c r="O12" s="104">
        <v>0</v>
      </c>
      <c r="P12" s="105">
        <v>0</v>
      </c>
      <c r="Q12" s="37">
        <f t="shared" si="4"/>
        <v>0</v>
      </c>
      <c r="R12" s="107"/>
      <c r="S12" s="104">
        <v>0</v>
      </c>
      <c r="T12" s="105">
        <v>0</v>
      </c>
      <c r="U12" s="372">
        <f t="shared" si="7"/>
        <v>0</v>
      </c>
      <c r="V12" s="38"/>
      <c r="W12" s="104">
        <v>0</v>
      </c>
      <c r="X12" s="104">
        <v>0</v>
      </c>
      <c r="Y12" s="37">
        <f t="shared" si="5"/>
        <v>0</v>
      </c>
    </row>
    <row r="13" spans="1:25">
      <c r="A13" s="370" t="s">
        <v>135</v>
      </c>
      <c r="B13" s="371"/>
      <c r="C13" s="81">
        <v>0</v>
      </c>
      <c r="D13" s="371">
        <v>0</v>
      </c>
      <c r="E13" s="372">
        <f t="shared" si="1"/>
        <v>0</v>
      </c>
      <c r="F13" s="35"/>
      <c r="G13" s="104">
        <f t="shared" si="6"/>
        <v>0</v>
      </c>
      <c r="H13" s="105">
        <v>0</v>
      </c>
      <c r="I13" s="37">
        <f t="shared" si="2"/>
        <v>0</v>
      </c>
      <c r="J13" s="38"/>
      <c r="K13" s="104">
        <v>0</v>
      </c>
      <c r="L13" s="104">
        <v>0</v>
      </c>
      <c r="M13" s="37">
        <f t="shared" si="3"/>
        <v>0</v>
      </c>
      <c r="N13" s="38"/>
      <c r="O13" s="104">
        <v>0</v>
      </c>
      <c r="P13" s="105">
        <v>0</v>
      </c>
      <c r="Q13" s="37">
        <f t="shared" si="4"/>
        <v>0</v>
      </c>
      <c r="R13" s="107"/>
      <c r="S13" s="104">
        <v>0</v>
      </c>
      <c r="T13" s="105">
        <v>0</v>
      </c>
      <c r="U13" s="372">
        <f t="shared" si="7"/>
        <v>0</v>
      </c>
      <c r="V13" s="38"/>
      <c r="W13" s="104">
        <v>0</v>
      </c>
      <c r="X13" s="104">
        <v>0</v>
      </c>
      <c r="Y13" s="37">
        <f t="shared" si="5"/>
        <v>0</v>
      </c>
    </row>
    <row r="14" spans="1:25">
      <c r="A14" s="370" t="s">
        <v>136</v>
      </c>
      <c r="B14" s="371"/>
      <c r="C14" s="81">
        <v>0</v>
      </c>
      <c r="D14" s="371">
        <v>0</v>
      </c>
      <c r="E14" s="372">
        <f t="shared" si="1"/>
        <v>0</v>
      </c>
      <c r="F14" s="35"/>
      <c r="G14" s="104">
        <f t="shared" si="6"/>
        <v>0</v>
      </c>
      <c r="H14" s="105">
        <v>0</v>
      </c>
      <c r="I14" s="37">
        <f t="shared" si="2"/>
        <v>0</v>
      </c>
      <c r="J14" s="38"/>
      <c r="K14" s="104">
        <v>0</v>
      </c>
      <c r="L14" s="104">
        <v>0</v>
      </c>
      <c r="M14" s="37">
        <f t="shared" si="3"/>
        <v>0</v>
      </c>
      <c r="N14" s="38"/>
      <c r="O14" s="104">
        <v>0</v>
      </c>
      <c r="P14" s="105">
        <v>0</v>
      </c>
      <c r="Q14" s="37">
        <f t="shared" si="4"/>
        <v>0</v>
      </c>
      <c r="R14" s="107"/>
      <c r="S14" s="104">
        <v>0</v>
      </c>
      <c r="T14" s="105">
        <v>0</v>
      </c>
      <c r="U14" s="372">
        <f t="shared" si="7"/>
        <v>0</v>
      </c>
      <c r="V14" s="38"/>
      <c r="W14" s="104">
        <v>0</v>
      </c>
      <c r="X14" s="104">
        <v>0</v>
      </c>
      <c r="Y14" s="37">
        <f t="shared" si="5"/>
        <v>0</v>
      </c>
    </row>
    <row r="15" spans="1:25">
      <c r="A15" s="370" t="s">
        <v>193</v>
      </c>
      <c r="B15" s="371"/>
      <c r="C15" s="81">
        <v>0</v>
      </c>
      <c r="D15" s="371">
        <v>0</v>
      </c>
      <c r="E15" s="372">
        <f t="shared" si="1"/>
        <v>0</v>
      </c>
      <c r="F15" s="35"/>
      <c r="G15" s="104">
        <f t="shared" si="6"/>
        <v>0</v>
      </c>
      <c r="H15" s="105">
        <v>0</v>
      </c>
      <c r="I15" s="37">
        <f t="shared" si="2"/>
        <v>0</v>
      </c>
      <c r="J15" s="38"/>
      <c r="K15" s="104">
        <v>0</v>
      </c>
      <c r="L15" s="104">
        <v>0</v>
      </c>
      <c r="M15" s="37">
        <f t="shared" si="3"/>
        <v>0</v>
      </c>
      <c r="N15" s="38"/>
      <c r="O15" s="104">
        <v>0</v>
      </c>
      <c r="P15" s="105">
        <v>0</v>
      </c>
      <c r="Q15" s="37">
        <f t="shared" si="4"/>
        <v>0</v>
      </c>
      <c r="R15" s="107"/>
      <c r="S15" s="104">
        <v>0</v>
      </c>
      <c r="T15" s="105">
        <v>0</v>
      </c>
      <c r="U15" s="372">
        <f t="shared" si="7"/>
        <v>0</v>
      </c>
      <c r="V15" s="38"/>
      <c r="W15" s="104">
        <v>0</v>
      </c>
      <c r="X15" s="104">
        <v>0</v>
      </c>
      <c r="Y15" s="37">
        <f t="shared" si="5"/>
        <v>0</v>
      </c>
    </row>
    <row r="16" spans="1:25">
      <c r="A16" s="370" t="s">
        <v>196</v>
      </c>
      <c r="B16" s="371"/>
      <c r="C16" s="81">
        <v>0</v>
      </c>
      <c r="D16" s="371">
        <v>0</v>
      </c>
      <c r="E16" s="372">
        <f t="shared" si="1"/>
        <v>0</v>
      </c>
      <c r="F16" s="35"/>
      <c r="G16" s="104">
        <f t="shared" si="6"/>
        <v>0</v>
      </c>
      <c r="H16" s="105">
        <v>0</v>
      </c>
      <c r="I16" s="37">
        <f t="shared" si="2"/>
        <v>0</v>
      </c>
      <c r="J16" s="38"/>
      <c r="K16" s="104">
        <v>0</v>
      </c>
      <c r="L16" s="104">
        <v>0</v>
      </c>
      <c r="M16" s="37">
        <f t="shared" si="3"/>
        <v>0</v>
      </c>
      <c r="N16" s="38"/>
      <c r="O16" s="104">
        <v>0</v>
      </c>
      <c r="P16" s="105">
        <v>0</v>
      </c>
      <c r="Q16" s="37">
        <f t="shared" si="4"/>
        <v>0</v>
      </c>
      <c r="R16" s="107"/>
      <c r="S16" s="104">
        <v>0</v>
      </c>
      <c r="T16" s="105">
        <v>0</v>
      </c>
      <c r="U16" s="372">
        <f t="shared" si="7"/>
        <v>0</v>
      </c>
      <c r="V16" s="38"/>
      <c r="W16" s="104">
        <v>0</v>
      </c>
      <c r="X16" s="104">
        <v>0</v>
      </c>
      <c r="Y16" s="37">
        <f t="shared" si="5"/>
        <v>0</v>
      </c>
    </row>
    <row r="17" spans="1:25" s="47" customFormat="1">
      <c r="A17" s="61" t="s">
        <v>64</v>
      </c>
      <c r="B17" s="41"/>
      <c r="C17" s="41">
        <f t="shared" ref="C17:Y17" si="8">SUM(C5:C16)</f>
        <v>0.35</v>
      </c>
      <c r="D17" s="41">
        <f t="shared" si="8"/>
        <v>0</v>
      </c>
      <c r="E17" s="41">
        <f t="shared" si="8"/>
        <v>0.35</v>
      </c>
      <c r="F17" s="37"/>
      <c r="G17" s="37">
        <f t="shared" si="8"/>
        <v>1.2</v>
      </c>
      <c r="H17" s="37">
        <f t="shared" si="8"/>
        <v>0</v>
      </c>
      <c r="I17" s="37">
        <f t="shared" si="8"/>
        <v>1.2</v>
      </c>
      <c r="J17" s="37"/>
      <c r="K17" s="37">
        <f t="shared" si="8"/>
        <v>5.2719999999999994</v>
      </c>
      <c r="L17" s="37">
        <f t="shared" si="8"/>
        <v>0</v>
      </c>
      <c r="M17" s="37">
        <f t="shared" si="8"/>
        <v>5.2719999999999994</v>
      </c>
      <c r="N17" s="37"/>
      <c r="O17" s="37">
        <f t="shared" si="8"/>
        <v>8.2720000000000002</v>
      </c>
      <c r="P17" s="37">
        <f t="shared" si="8"/>
        <v>0</v>
      </c>
      <c r="Q17" s="37">
        <f t="shared" si="8"/>
        <v>8.2720000000000002</v>
      </c>
      <c r="R17" s="283"/>
      <c r="S17" s="37">
        <f t="shared" si="8"/>
        <v>10.272</v>
      </c>
      <c r="T17" s="37">
        <f t="shared" si="8"/>
        <v>0</v>
      </c>
      <c r="U17" s="37">
        <f t="shared" si="8"/>
        <v>10.272</v>
      </c>
      <c r="V17" s="37"/>
      <c r="W17" s="37">
        <f t="shared" si="8"/>
        <v>13.672000000000001</v>
      </c>
      <c r="X17" s="37">
        <f t="shared" si="8"/>
        <v>0</v>
      </c>
      <c r="Y17" s="37">
        <f t="shared" si="8"/>
        <v>13.672000000000001</v>
      </c>
    </row>
    <row r="18" spans="1:25" ht="3.95" customHeight="1">
      <c r="A18" s="61"/>
      <c r="B18" s="40"/>
      <c r="C18" s="230"/>
      <c r="D18" s="230"/>
      <c r="E18" s="231"/>
      <c r="F18" s="40"/>
      <c r="G18" s="38"/>
      <c r="H18" s="38"/>
      <c r="I18" s="37"/>
      <c r="J18" s="42"/>
      <c r="K18" s="38"/>
      <c r="L18" s="150"/>
      <c r="M18" s="37"/>
      <c r="N18" s="42"/>
      <c r="O18" s="38"/>
      <c r="P18" s="150"/>
      <c r="Q18" s="37"/>
      <c r="R18" s="42"/>
      <c r="S18" s="38"/>
      <c r="T18" s="150"/>
      <c r="U18" s="37"/>
      <c r="V18" s="42"/>
      <c r="W18" s="38"/>
      <c r="X18" s="150"/>
      <c r="Y18" s="37"/>
    </row>
    <row r="19" spans="1:25">
      <c r="A19" s="470" t="s">
        <v>23</v>
      </c>
      <c r="B19" s="43"/>
      <c r="C19" s="109"/>
      <c r="D19" s="109"/>
      <c r="E19" s="470"/>
      <c r="F19" s="43"/>
      <c r="G19" s="148"/>
      <c r="H19" s="44"/>
      <c r="I19" s="44"/>
      <c r="J19" s="45"/>
      <c r="K19" s="148"/>
      <c r="L19" s="44"/>
      <c r="M19" s="37"/>
      <c r="N19" s="45"/>
      <c r="O19" s="148"/>
      <c r="P19" s="44"/>
      <c r="Q19" s="37"/>
      <c r="R19" s="45"/>
      <c r="S19" s="148"/>
      <c r="T19" s="44"/>
      <c r="U19" s="37"/>
      <c r="V19" s="45"/>
      <c r="W19" s="148"/>
      <c r="X19" s="44"/>
      <c r="Y19" s="37"/>
    </row>
    <row r="20" spans="1:25">
      <c r="A20" s="370" t="s">
        <v>71</v>
      </c>
      <c r="B20" s="180"/>
      <c r="C20" s="81">
        <v>0</v>
      </c>
      <c r="D20" s="371">
        <v>0</v>
      </c>
      <c r="E20" s="372">
        <f>SUM(B20:D20)</f>
        <v>0</v>
      </c>
      <c r="F20" s="43"/>
      <c r="G20" s="104">
        <v>0</v>
      </c>
      <c r="H20" s="105">
        <v>0</v>
      </c>
      <c r="I20" s="372">
        <f>SUM(F20:H20)</f>
        <v>0</v>
      </c>
      <c r="J20" s="45"/>
      <c r="K20" s="104">
        <v>0</v>
      </c>
      <c r="L20" s="104">
        <v>0</v>
      </c>
      <c r="M20" s="37">
        <f>SUM(K20:L20)</f>
        <v>0</v>
      </c>
      <c r="N20" s="45"/>
      <c r="O20" s="149">
        <v>0</v>
      </c>
      <c r="P20" s="290">
        <v>0</v>
      </c>
      <c r="Q20" s="37">
        <f>SUM(O20:P20)</f>
        <v>0</v>
      </c>
      <c r="R20" s="284"/>
      <c r="S20" s="149">
        <v>0</v>
      </c>
      <c r="T20" s="290">
        <v>0</v>
      </c>
      <c r="U20" s="37">
        <f>SUM(R20:T20)</f>
        <v>0</v>
      </c>
      <c r="V20" s="45"/>
      <c r="W20" s="149">
        <v>0</v>
      </c>
      <c r="X20" s="149">
        <v>0</v>
      </c>
      <c r="Y20" s="37">
        <f>SUM(V20:X20)</f>
        <v>0</v>
      </c>
    </row>
    <row r="21" spans="1:25">
      <c r="A21" s="370" t="s">
        <v>14</v>
      </c>
      <c r="B21" s="180"/>
      <c r="C21" s="81">
        <v>0</v>
      </c>
      <c r="D21" s="371">
        <v>0</v>
      </c>
      <c r="E21" s="372">
        <f>SUM(B21:D21)</f>
        <v>0</v>
      </c>
      <c r="F21" s="43"/>
      <c r="G21" s="104">
        <v>0</v>
      </c>
      <c r="H21" s="105">
        <v>0</v>
      </c>
      <c r="I21" s="372">
        <f>SUM(F21:H21)</f>
        <v>0</v>
      </c>
      <c r="J21" s="45"/>
      <c r="K21" s="104">
        <v>0</v>
      </c>
      <c r="L21" s="104">
        <v>0</v>
      </c>
      <c r="M21" s="37">
        <f>SUM(K21:L21)</f>
        <v>0</v>
      </c>
      <c r="N21" s="45"/>
      <c r="O21" s="149">
        <v>0</v>
      </c>
      <c r="P21" s="290">
        <v>0</v>
      </c>
      <c r="Q21" s="37">
        <f>SUM(O21:P21)</f>
        <v>0</v>
      </c>
      <c r="R21" s="284"/>
      <c r="S21" s="149">
        <v>0</v>
      </c>
      <c r="T21" s="290">
        <v>0</v>
      </c>
      <c r="U21" s="37">
        <f>SUM(R21:T21)</f>
        <v>0</v>
      </c>
      <c r="V21" s="45"/>
      <c r="W21" s="149">
        <v>0</v>
      </c>
      <c r="X21" s="149">
        <v>0</v>
      </c>
      <c r="Y21" s="37">
        <f>SUM(V21:X21)</f>
        <v>0</v>
      </c>
    </row>
    <row r="22" spans="1:25">
      <c r="A22" s="370" t="s">
        <v>26</v>
      </c>
      <c r="B22" s="180"/>
      <c r="C22" s="81">
        <v>0</v>
      </c>
      <c r="D22" s="371">
        <v>0</v>
      </c>
      <c r="E22" s="372">
        <f>SUM(B22:D22)</f>
        <v>0</v>
      </c>
      <c r="F22" s="35"/>
      <c r="G22" s="104">
        <v>0</v>
      </c>
      <c r="H22" s="105">
        <v>0</v>
      </c>
      <c r="I22" s="372">
        <f>SUM(F22:H22)</f>
        <v>0</v>
      </c>
      <c r="J22" s="38"/>
      <c r="K22" s="104">
        <v>0</v>
      </c>
      <c r="L22" s="104">
        <v>0</v>
      </c>
      <c r="M22" s="37">
        <f>SUM(K22:L22)</f>
        <v>0</v>
      </c>
      <c r="N22" s="38"/>
      <c r="O22" s="149">
        <v>0</v>
      </c>
      <c r="P22" s="290">
        <v>0</v>
      </c>
      <c r="Q22" s="37">
        <f>SUM(O22:P22)</f>
        <v>0</v>
      </c>
      <c r="R22" s="107"/>
      <c r="S22" s="149">
        <v>0</v>
      </c>
      <c r="T22" s="290">
        <v>0</v>
      </c>
      <c r="U22" s="37">
        <f>SUM(R22:T22)</f>
        <v>0</v>
      </c>
      <c r="V22" s="38"/>
      <c r="W22" s="149">
        <v>0</v>
      </c>
      <c r="X22" s="149">
        <v>0</v>
      </c>
      <c r="Y22" s="37">
        <f>SUM(V22:X22)</f>
        <v>0</v>
      </c>
    </row>
    <row r="23" spans="1:25">
      <c r="A23" s="370" t="s">
        <v>194</v>
      </c>
      <c r="B23" s="180"/>
      <c r="C23" s="81">
        <v>0</v>
      </c>
      <c r="D23" s="371">
        <v>0</v>
      </c>
      <c r="E23" s="372">
        <f>SUM(B23:D23)</f>
        <v>0</v>
      </c>
      <c r="F23" s="35"/>
      <c r="G23" s="104">
        <v>0</v>
      </c>
      <c r="H23" s="105">
        <v>0</v>
      </c>
      <c r="I23" s="372">
        <f>SUM(F23:H23)</f>
        <v>0</v>
      </c>
      <c r="J23" s="38"/>
      <c r="K23" s="104">
        <v>0</v>
      </c>
      <c r="L23" s="104">
        <v>0</v>
      </c>
      <c r="M23" s="37">
        <f>SUM(K23:L23)</f>
        <v>0</v>
      </c>
      <c r="N23" s="38"/>
      <c r="O23" s="149">
        <v>0</v>
      </c>
      <c r="P23" s="290">
        <v>0</v>
      </c>
      <c r="Q23" s="37">
        <f>SUM(O23:P23)</f>
        <v>0</v>
      </c>
      <c r="R23" s="107"/>
      <c r="S23" s="149">
        <v>0</v>
      </c>
      <c r="T23" s="290">
        <v>0</v>
      </c>
      <c r="U23" s="37">
        <f>SUM(R23:T23)</f>
        <v>0</v>
      </c>
      <c r="V23" s="38"/>
      <c r="W23" s="149">
        <v>0</v>
      </c>
      <c r="X23" s="149">
        <v>0</v>
      </c>
      <c r="Y23" s="37">
        <f>SUM(V23:X23)</f>
        <v>0</v>
      </c>
    </row>
    <row r="24" spans="1:25">
      <c r="A24" s="370" t="s">
        <v>195</v>
      </c>
      <c r="B24" s="180"/>
      <c r="C24" s="81">
        <v>0</v>
      </c>
      <c r="D24" s="371">
        <v>0</v>
      </c>
      <c r="E24" s="372">
        <f>SUM(B24:D24)</f>
        <v>0</v>
      </c>
      <c r="F24" s="35"/>
      <c r="G24" s="104">
        <v>0</v>
      </c>
      <c r="H24" s="105">
        <v>0</v>
      </c>
      <c r="I24" s="372">
        <f>SUM(F24:H24)</f>
        <v>0</v>
      </c>
      <c r="J24" s="38"/>
      <c r="K24" s="104">
        <v>0</v>
      </c>
      <c r="L24" s="104">
        <v>0</v>
      </c>
      <c r="M24" s="37">
        <f>SUM(K24:L24)</f>
        <v>0</v>
      </c>
      <c r="N24" s="38"/>
      <c r="O24" s="149">
        <v>0</v>
      </c>
      <c r="P24" s="290">
        <v>0</v>
      </c>
      <c r="Q24" s="37">
        <f>SUM(O24:P24)</f>
        <v>0</v>
      </c>
      <c r="R24" s="107"/>
      <c r="S24" s="149">
        <v>0</v>
      </c>
      <c r="T24" s="290">
        <v>0</v>
      </c>
      <c r="U24" s="37">
        <f>SUM(R24:T24)</f>
        <v>0</v>
      </c>
      <c r="V24" s="38"/>
      <c r="W24" s="149">
        <v>0</v>
      </c>
      <c r="X24" s="149">
        <v>0</v>
      </c>
      <c r="Y24" s="37">
        <f>SUM(V24:X24)</f>
        <v>0</v>
      </c>
    </row>
    <row r="25" spans="1:25" s="47" customFormat="1">
      <c r="A25" s="61" t="s">
        <v>64</v>
      </c>
      <c r="B25" s="41"/>
      <c r="C25" s="41">
        <f>SUM(C20:C24)</f>
        <v>0</v>
      </c>
      <c r="D25" s="41">
        <f>SUM(D20:D24)</f>
        <v>0</v>
      </c>
      <c r="E25" s="41">
        <f>SUM(E20:E24)</f>
        <v>0</v>
      </c>
      <c r="F25" s="46"/>
      <c r="G25" s="41">
        <f>SUM(G20:G24)</f>
        <v>0</v>
      </c>
      <c r="H25" s="41">
        <f>SUM(H20:H24)</f>
        <v>0</v>
      </c>
      <c r="I25" s="41">
        <f>SUM(I20:I24)</f>
        <v>0</v>
      </c>
      <c r="J25" s="46"/>
      <c r="K25" s="41">
        <f>SUM(K20:K24)</f>
        <v>0</v>
      </c>
      <c r="L25" s="41">
        <f>SUM(L20:L24)</f>
        <v>0</v>
      </c>
      <c r="M25" s="41">
        <f>SUM(M20:M24)</f>
        <v>0</v>
      </c>
      <c r="N25" s="46"/>
      <c r="O25" s="41">
        <f>SUM(O20:O24)</f>
        <v>0</v>
      </c>
      <c r="P25" s="41">
        <f>SUM(P20:P24)</f>
        <v>0</v>
      </c>
      <c r="Q25" s="41">
        <f>SUM(Q20:Q24)</f>
        <v>0</v>
      </c>
      <c r="R25" s="285"/>
      <c r="S25" s="41">
        <f>SUM(S20:S24)</f>
        <v>0</v>
      </c>
      <c r="T25" s="41">
        <f>SUM(T20:T24)</f>
        <v>0</v>
      </c>
      <c r="U25" s="41">
        <f>SUM(U20:U24)</f>
        <v>0</v>
      </c>
      <c r="V25" s="46"/>
      <c r="W25" s="41">
        <f>SUM(W20:W24)</f>
        <v>0</v>
      </c>
      <c r="X25" s="41">
        <f>SUM(X20:X24)</f>
        <v>0</v>
      </c>
      <c r="Y25" s="62">
        <f>SUM(Y20:Y24)</f>
        <v>0</v>
      </c>
    </row>
    <row r="26" spans="1:25" ht="5.25" customHeight="1">
      <c r="A26" s="61"/>
      <c r="B26" s="40"/>
      <c r="C26" s="230"/>
      <c r="D26" s="230"/>
      <c r="E26" s="231"/>
      <c r="F26" s="40"/>
      <c r="G26" s="38"/>
      <c r="H26" s="150"/>
      <c r="I26" s="37"/>
      <c r="J26" s="42"/>
      <c r="K26" s="38"/>
      <c r="L26" s="150"/>
      <c r="M26" s="37" t="s">
        <v>13</v>
      </c>
      <c r="N26" s="42"/>
      <c r="O26" s="38"/>
      <c r="P26" s="150"/>
      <c r="Q26" s="37" t="s">
        <v>13</v>
      </c>
      <c r="R26" s="42"/>
      <c r="S26" s="38"/>
      <c r="T26" s="150"/>
      <c r="U26" s="37" t="s">
        <v>13</v>
      </c>
      <c r="V26" s="42"/>
      <c r="W26" s="38"/>
      <c r="X26" s="150"/>
      <c r="Y26" s="37" t="s">
        <v>13</v>
      </c>
    </row>
    <row r="27" spans="1:25" s="47" customFormat="1" ht="17.25" customHeight="1">
      <c r="A27" s="61" t="s">
        <v>125</v>
      </c>
      <c r="B27" s="40"/>
      <c r="C27" s="41">
        <f>C17+C25</f>
        <v>0.35</v>
      </c>
      <c r="D27" s="41">
        <f>D17+D25</f>
        <v>0</v>
      </c>
      <c r="E27" s="41">
        <f>E17+E25</f>
        <v>0.35</v>
      </c>
      <c r="F27" s="40"/>
      <c r="G27" s="37">
        <f>G17+G25</f>
        <v>1.2</v>
      </c>
      <c r="H27" s="46">
        <f>H17+H25</f>
        <v>0</v>
      </c>
      <c r="I27" s="37">
        <f>I17+I25</f>
        <v>1.2</v>
      </c>
      <c r="J27" s="42"/>
      <c r="K27" s="37">
        <f>K17+K25</f>
        <v>5.2719999999999994</v>
      </c>
      <c r="L27" s="46">
        <f>L17+L25</f>
        <v>0</v>
      </c>
      <c r="M27" s="37">
        <f>M17+M25</f>
        <v>5.2719999999999994</v>
      </c>
      <c r="N27" s="42"/>
      <c r="O27" s="37">
        <f>O17+O25</f>
        <v>8.2720000000000002</v>
      </c>
      <c r="P27" s="46">
        <f>P17+P25</f>
        <v>0</v>
      </c>
      <c r="Q27" s="37">
        <f>Q17+Q25</f>
        <v>8.2720000000000002</v>
      </c>
      <c r="R27" s="42"/>
      <c r="S27" s="37">
        <f>S17+S25</f>
        <v>10.272</v>
      </c>
      <c r="T27" s="46">
        <f>T17+T25</f>
        <v>0</v>
      </c>
      <c r="U27" s="37">
        <f>U17+U25</f>
        <v>10.272</v>
      </c>
      <c r="V27" s="42"/>
      <c r="W27" s="37">
        <f>W17+W25</f>
        <v>13.672000000000001</v>
      </c>
      <c r="X27" s="46">
        <f>X17+X25</f>
        <v>0</v>
      </c>
      <c r="Y27" s="37">
        <f>Y17+Y25</f>
        <v>13.672000000000001</v>
      </c>
    </row>
    <row r="28" spans="1:25" ht="17.25" customHeight="1">
      <c r="A28" s="48"/>
      <c r="B28" s="49"/>
      <c r="C28" s="50"/>
      <c r="D28" s="50"/>
      <c r="E28" s="51"/>
      <c r="F28" s="49"/>
      <c r="G28" s="52"/>
      <c r="H28" s="53"/>
      <c r="I28" s="54"/>
      <c r="J28" s="54"/>
      <c r="K28" s="52"/>
      <c r="L28" s="53"/>
      <c r="M28" s="54"/>
      <c r="N28" s="54"/>
      <c r="O28" s="52"/>
      <c r="P28" s="53"/>
      <c r="Q28" s="54"/>
      <c r="R28" s="54"/>
      <c r="S28" s="52"/>
      <c r="T28" s="53"/>
      <c r="U28" s="54"/>
      <c r="V28" s="54"/>
      <c r="W28" s="52"/>
      <c r="X28" s="53"/>
      <c r="Y28" s="229"/>
    </row>
    <row r="29" spans="1:25">
      <c r="A29" s="470" t="s">
        <v>70</v>
      </c>
      <c r="B29" s="56"/>
      <c r="C29" s="373"/>
      <c r="D29" s="373"/>
      <c r="E29" s="374"/>
      <c r="F29" s="57"/>
      <c r="G29" s="340"/>
      <c r="H29" s="340"/>
      <c r="I29" s="58"/>
      <c r="J29" s="58"/>
      <c r="K29" s="340"/>
      <c r="L29" s="340"/>
      <c r="M29" s="58"/>
      <c r="N29" s="58"/>
      <c r="O29" s="340"/>
      <c r="P29" s="340"/>
      <c r="Q29" s="58"/>
      <c r="R29" s="58"/>
      <c r="S29" s="340"/>
      <c r="T29" s="340"/>
      <c r="U29" s="58"/>
      <c r="V29" s="58"/>
      <c r="W29" s="340"/>
      <c r="X29" s="340"/>
      <c r="Y29" s="59"/>
    </row>
    <row r="30" spans="1:25">
      <c r="A30" s="60" t="s">
        <v>126</v>
      </c>
      <c r="B30" s="39">
        <f>SUM(0+(330.8/1000))</f>
        <v>0.33080000000000004</v>
      </c>
      <c r="C30" s="36"/>
      <c r="D30" s="36"/>
      <c r="E30" s="375"/>
      <c r="F30" s="39">
        <f>SUM(B30+43.2/1000)</f>
        <v>0.37400000000000005</v>
      </c>
      <c r="G30" s="104"/>
      <c r="H30" s="104"/>
      <c r="I30" s="38"/>
      <c r="J30" s="39">
        <f>SUM(F30+737/1000)</f>
        <v>1.111</v>
      </c>
      <c r="K30" s="104"/>
      <c r="L30" s="104"/>
      <c r="M30" s="38"/>
      <c r="N30" s="104">
        <f>J30+5010/1000</f>
        <v>6.1209999999999996</v>
      </c>
      <c r="P30" s="104"/>
      <c r="Q30" s="38"/>
      <c r="R30" s="107">
        <f>N30+59.7105465926/1000</f>
        <v>6.1807105465925991</v>
      </c>
      <c r="S30" s="104" t="s">
        <v>13</v>
      </c>
      <c r="T30" s="104"/>
      <c r="U30" s="38"/>
      <c r="V30" s="107">
        <f>R30+135/1000</f>
        <v>6.3157105465925989</v>
      </c>
      <c r="W30" s="104"/>
      <c r="X30" s="104"/>
      <c r="Y30" s="38"/>
    </row>
    <row r="31" spans="1:25">
      <c r="A31" s="35"/>
      <c r="B31" s="39"/>
      <c r="C31" s="376"/>
      <c r="D31" s="376"/>
      <c r="E31" s="377"/>
      <c r="F31" s="35"/>
      <c r="G31" s="104"/>
      <c r="H31" s="104"/>
      <c r="I31" s="38"/>
      <c r="J31" s="38"/>
      <c r="K31" s="104"/>
      <c r="L31" s="104"/>
      <c r="M31" s="38"/>
      <c r="N31" s="38"/>
      <c r="O31" s="104"/>
      <c r="P31" s="104"/>
      <c r="Q31" s="38"/>
      <c r="R31" s="38"/>
      <c r="S31" s="104"/>
      <c r="T31" s="104"/>
      <c r="U31" s="38"/>
      <c r="V31" s="38"/>
      <c r="W31" s="104"/>
      <c r="X31" s="104"/>
      <c r="Y31" s="38"/>
    </row>
    <row r="32" spans="1:25" s="47" customFormat="1">
      <c r="A32" s="61" t="s">
        <v>64</v>
      </c>
      <c r="B32" s="41">
        <f>SUM(B30:B31)</f>
        <v>0.33080000000000004</v>
      </c>
      <c r="C32" s="41">
        <f>SUM(C30:C31)</f>
        <v>0</v>
      </c>
      <c r="D32" s="41">
        <f>SUM(D30:D31)</f>
        <v>0</v>
      </c>
      <c r="E32" s="41">
        <f>SUM(E30)</f>
        <v>0</v>
      </c>
      <c r="F32" s="62">
        <f>SUM(F30:F31)</f>
        <v>0.37400000000000005</v>
      </c>
      <c r="G32" s="62">
        <f>SUM(G30:G31)</f>
        <v>0</v>
      </c>
      <c r="H32" s="62">
        <f>SUM(H30:H31)</f>
        <v>0</v>
      </c>
      <c r="I32" s="41">
        <f>SUM(I30)</f>
        <v>0</v>
      </c>
      <c r="J32" s="37">
        <f>SUM(J30:J31)</f>
        <v>1.111</v>
      </c>
      <c r="K32" s="37">
        <f>SUM(K30:K31)</f>
        <v>0</v>
      </c>
      <c r="L32" s="37">
        <f>SUM(L30:L31)</f>
        <v>0</v>
      </c>
      <c r="M32" s="41">
        <f>SUM(M30)</f>
        <v>0</v>
      </c>
      <c r="N32" s="37">
        <f>SUM(N30:N31)</f>
        <v>6.1209999999999996</v>
      </c>
      <c r="O32" s="37">
        <f>SUM(O30:O31)</f>
        <v>0</v>
      </c>
      <c r="P32" s="37">
        <f>SUM(P30:P31)</f>
        <v>0</v>
      </c>
      <c r="Q32" s="41">
        <f>SUM(Q30)</f>
        <v>0</v>
      </c>
      <c r="R32" s="37">
        <f>SUM(R30:R31)</f>
        <v>6.1807105465925991</v>
      </c>
      <c r="S32" s="37">
        <f>SUM(S30:S31)</f>
        <v>0</v>
      </c>
      <c r="T32" s="37">
        <f>SUM(T30:T31)</f>
        <v>0</v>
      </c>
      <c r="U32" s="41">
        <f>SUM(U30)</f>
        <v>0</v>
      </c>
      <c r="V32" s="37">
        <f>SUM(V30:V31)</f>
        <v>6.3157105465925989</v>
      </c>
      <c r="W32" s="37">
        <f>SUM(W30:W31)</f>
        <v>0</v>
      </c>
      <c r="X32" s="37">
        <f>SUM(X30:X31)</f>
        <v>0</v>
      </c>
      <c r="Y32" s="62">
        <f>SUM(Y30)</f>
        <v>0</v>
      </c>
    </row>
    <row r="33" spans="1:25" ht="3.95" customHeight="1">
      <c r="A33" s="40"/>
      <c r="B33" s="230"/>
      <c r="C33" s="230"/>
      <c r="D33" s="230"/>
      <c r="E33" s="231"/>
      <c r="F33" s="40"/>
      <c r="G33" s="38"/>
      <c r="H33" s="150"/>
      <c r="I33" s="37"/>
      <c r="J33" s="42"/>
      <c r="K33" s="38"/>
      <c r="L33" s="150"/>
      <c r="M33" s="37"/>
      <c r="N33" s="42"/>
      <c r="O33" s="38"/>
      <c r="P33" s="150"/>
      <c r="Q33" s="37"/>
      <c r="R33" s="42"/>
      <c r="S33" s="38"/>
      <c r="T33" s="150"/>
      <c r="U33" s="37"/>
      <c r="V33" s="42"/>
      <c r="W33" s="38"/>
      <c r="X33" s="150"/>
      <c r="Y33" s="37"/>
    </row>
    <row r="34" spans="1:25" s="47" customFormat="1">
      <c r="A34" s="40" t="s">
        <v>127</v>
      </c>
      <c r="B34" s="63">
        <f>SUM( B32)</f>
        <v>0.33080000000000004</v>
      </c>
      <c r="C34" s="63" t="s">
        <v>32</v>
      </c>
      <c r="D34" s="63" t="s">
        <v>32</v>
      </c>
      <c r="E34" s="63" t="s">
        <v>32</v>
      </c>
      <c r="F34" s="62">
        <f>F32</f>
        <v>0.37400000000000005</v>
      </c>
      <c r="G34" s="63" t="s">
        <v>32</v>
      </c>
      <c r="H34" s="63" t="s">
        <v>32</v>
      </c>
      <c r="I34" s="63" t="s">
        <v>32</v>
      </c>
      <c r="J34" s="42">
        <f>J32</f>
        <v>1.111</v>
      </c>
      <c r="K34" s="63" t="s">
        <v>32</v>
      </c>
      <c r="L34" s="63" t="s">
        <v>32</v>
      </c>
      <c r="M34" s="63" t="s">
        <v>32</v>
      </c>
      <c r="N34" s="42">
        <f>N32</f>
        <v>6.1209999999999996</v>
      </c>
      <c r="O34" s="63" t="s">
        <v>32</v>
      </c>
      <c r="P34" s="63" t="s">
        <v>32</v>
      </c>
      <c r="Q34" s="63" t="s">
        <v>32</v>
      </c>
      <c r="R34" s="42">
        <f>R32</f>
        <v>6.1807105465925991</v>
      </c>
      <c r="S34" s="63" t="s">
        <v>32</v>
      </c>
      <c r="T34" s="63" t="s">
        <v>32</v>
      </c>
      <c r="U34" s="63" t="s">
        <v>32</v>
      </c>
      <c r="V34" s="42">
        <f>V32</f>
        <v>6.3157105465925989</v>
      </c>
      <c r="W34" s="63" t="s">
        <v>32</v>
      </c>
      <c r="X34" s="63" t="s">
        <v>32</v>
      </c>
      <c r="Y34" s="78" t="s">
        <v>32</v>
      </c>
    </row>
    <row r="35" spans="1:25">
      <c r="A35" s="64"/>
      <c r="B35" s="64"/>
      <c r="C35" s="65"/>
      <c r="D35" s="65"/>
      <c r="E35" s="66"/>
      <c r="F35" s="64"/>
      <c r="G35" s="65"/>
      <c r="H35" s="66"/>
      <c r="I35" s="64"/>
      <c r="J35" s="64"/>
      <c r="K35" s="65"/>
      <c r="L35" s="66"/>
      <c r="M35" s="64"/>
      <c r="N35" s="64"/>
      <c r="O35" s="65"/>
      <c r="P35" s="66"/>
      <c r="Q35" s="64"/>
      <c r="R35" s="64"/>
      <c r="S35" s="65"/>
      <c r="T35" s="66"/>
      <c r="U35" s="64"/>
      <c r="V35" s="64"/>
      <c r="W35" s="65"/>
      <c r="X35" s="66"/>
      <c r="Y35" s="64"/>
    </row>
    <row r="37" spans="1:25" ht="24.75" customHeight="1">
      <c r="A37" s="369">
        <v>2011</v>
      </c>
      <c r="B37" s="642" t="s">
        <v>6</v>
      </c>
      <c r="C37" s="642"/>
      <c r="D37" s="642"/>
      <c r="E37" s="642"/>
      <c r="F37" s="642" t="s">
        <v>7</v>
      </c>
      <c r="G37" s="642"/>
      <c r="H37" s="642"/>
      <c r="I37" s="642" t="s">
        <v>6</v>
      </c>
      <c r="J37" s="642" t="s">
        <v>8</v>
      </c>
      <c r="K37" s="642"/>
      <c r="L37" s="642"/>
      <c r="M37" s="642" t="s">
        <v>6</v>
      </c>
      <c r="N37" s="642" t="s">
        <v>9</v>
      </c>
      <c r="O37" s="642"/>
      <c r="P37" s="642"/>
      <c r="Q37" s="642" t="s">
        <v>6</v>
      </c>
      <c r="R37" s="642" t="s">
        <v>10</v>
      </c>
      <c r="S37" s="642"/>
      <c r="T37" s="642"/>
      <c r="U37" s="642" t="s">
        <v>6</v>
      </c>
      <c r="V37" s="642" t="s">
        <v>11</v>
      </c>
      <c r="W37" s="642"/>
      <c r="X37" s="642"/>
      <c r="Y37" s="642" t="s">
        <v>6</v>
      </c>
    </row>
    <row r="38" spans="1:25" ht="38.25">
      <c r="A38" s="470" t="s">
        <v>50</v>
      </c>
      <c r="B38" s="109" t="s">
        <v>122</v>
      </c>
      <c r="C38" s="109" t="s">
        <v>123</v>
      </c>
      <c r="D38" s="109" t="s">
        <v>124</v>
      </c>
      <c r="E38" s="109" t="s">
        <v>125</v>
      </c>
      <c r="F38" s="109" t="s">
        <v>122</v>
      </c>
      <c r="G38" s="109" t="s">
        <v>123</v>
      </c>
      <c r="H38" s="109" t="s">
        <v>124</v>
      </c>
      <c r="I38" s="109" t="s">
        <v>125</v>
      </c>
      <c r="J38" s="109" t="s">
        <v>122</v>
      </c>
      <c r="K38" s="109" t="s">
        <v>123</v>
      </c>
      <c r="L38" s="109" t="s">
        <v>124</v>
      </c>
      <c r="M38" s="109" t="s">
        <v>125</v>
      </c>
      <c r="N38" s="109" t="s">
        <v>122</v>
      </c>
      <c r="O38" s="109" t="s">
        <v>123</v>
      </c>
      <c r="P38" s="109" t="s">
        <v>124</v>
      </c>
      <c r="Q38" s="109" t="s">
        <v>125</v>
      </c>
      <c r="R38" s="109" t="s">
        <v>122</v>
      </c>
      <c r="S38" s="109" t="s">
        <v>123</v>
      </c>
      <c r="T38" s="109" t="s">
        <v>124</v>
      </c>
      <c r="U38" s="109" t="s">
        <v>125</v>
      </c>
      <c r="V38" s="109" t="s">
        <v>122</v>
      </c>
      <c r="W38" s="109" t="s">
        <v>123</v>
      </c>
      <c r="X38" s="109" t="s">
        <v>124</v>
      </c>
      <c r="Y38" s="109" t="s">
        <v>125</v>
      </c>
    </row>
    <row r="39" spans="1:25">
      <c r="A39" s="370" t="s">
        <v>72</v>
      </c>
      <c r="B39" s="109"/>
      <c r="C39" s="110">
        <f>SUM(W5+0)</f>
        <v>0</v>
      </c>
      <c r="D39" s="110">
        <f>SUM(X5+0)</f>
        <v>0</v>
      </c>
      <c r="E39" s="146">
        <f t="shared" ref="E39:E50" si="9">SUM(B39:D39)</f>
        <v>0</v>
      </c>
      <c r="F39" s="109"/>
      <c r="G39" s="110">
        <f>SUM(C39+0)</f>
        <v>0</v>
      </c>
      <c r="H39" s="110">
        <f>SUM(D39+0)</f>
        <v>0</v>
      </c>
      <c r="I39" s="146">
        <f>SUM(F39:H39)</f>
        <v>0</v>
      </c>
      <c r="J39" s="109"/>
      <c r="K39" s="110">
        <f>SUM(G39+0)</f>
        <v>0</v>
      </c>
      <c r="L39" s="458">
        <f>SUM(H39+0)</f>
        <v>0</v>
      </c>
      <c r="M39" s="146">
        <f t="shared" ref="M39:M45" si="10">SUM(J39:L39)</f>
        <v>0</v>
      </c>
      <c r="N39" s="109"/>
      <c r="O39" s="504">
        <f t="shared" ref="O39:O46" si="11">SUM(K39+0)</f>
        <v>0</v>
      </c>
      <c r="P39" s="504">
        <f>L39+0</f>
        <v>0</v>
      </c>
      <c r="Q39" s="505">
        <f t="shared" ref="Q39:Q45" si="12">SUM(N39:P39)</f>
        <v>0</v>
      </c>
      <c r="R39" s="506"/>
      <c r="S39" s="504">
        <f>SUM(O39+0/1000)</f>
        <v>0</v>
      </c>
      <c r="T39" s="504">
        <f>SUM(P39+1/1000)</f>
        <v>1E-3</v>
      </c>
      <c r="U39" s="505">
        <f t="shared" ref="U39:U45" si="13">SUM(R39:T39)</f>
        <v>1E-3</v>
      </c>
      <c r="V39" s="109"/>
      <c r="W39" s="104"/>
      <c r="X39" s="104"/>
      <c r="Y39" s="146">
        <f t="shared" ref="Y39:Y45" si="14">SUM(V39:X39)</f>
        <v>0</v>
      </c>
    </row>
    <row r="40" spans="1:25">
      <c r="A40" s="370" t="s">
        <v>73</v>
      </c>
      <c r="B40" s="109"/>
      <c r="C40" s="110">
        <f t="shared" ref="C40:C49" si="15">SUM(W6+0)</f>
        <v>0</v>
      </c>
      <c r="D40" s="110">
        <f t="shared" ref="D40:D49" si="16">SUM(X6+0)</f>
        <v>0</v>
      </c>
      <c r="E40" s="146">
        <f t="shared" si="9"/>
        <v>0</v>
      </c>
      <c r="F40" s="109"/>
      <c r="G40" s="110">
        <f>SUM(C40+0)</f>
        <v>0</v>
      </c>
      <c r="H40" s="110">
        <f t="shared" ref="H40:H50" si="17">SUM(D40+0)</f>
        <v>0</v>
      </c>
      <c r="I40" s="146">
        <f t="shared" ref="I40:I50" si="18">SUM(F40:H40)</f>
        <v>0</v>
      </c>
      <c r="J40" s="109"/>
      <c r="K40" s="110">
        <f t="shared" ref="K40:K50" si="19">SUM(G40+0)</f>
        <v>0</v>
      </c>
      <c r="L40" s="458">
        <f t="shared" ref="L40:L50" si="20">SUM(H40+0)</f>
        <v>0</v>
      </c>
      <c r="M40" s="146">
        <f t="shared" si="10"/>
        <v>0</v>
      </c>
      <c r="N40" s="109"/>
      <c r="O40" s="504">
        <f t="shared" si="11"/>
        <v>0</v>
      </c>
      <c r="P40" s="504">
        <f>L40+0</f>
        <v>0</v>
      </c>
      <c r="Q40" s="505">
        <f t="shared" si="12"/>
        <v>0</v>
      </c>
      <c r="R40" s="506"/>
      <c r="S40" s="504">
        <f>SUM(O40+0/1000)</f>
        <v>0</v>
      </c>
      <c r="T40" s="504">
        <f t="shared" ref="T40:T50" si="21">SUM(P40+1/1000)</f>
        <v>1E-3</v>
      </c>
      <c r="U40" s="505">
        <f t="shared" si="13"/>
        <v>1E-3</v>
      </c>
      <c r="V40" s="109"/>
      <c r="W40" s="104"/>
      <c r="X40" s="104"/>
      <c r="Y40" s="146">
        <f t="shared" si="14"/>
        <v>0</v>
      </c>
    </row>
    <row r="41" spans="1:25">
      <c r="A41" s="370" t="s">
        <v>129</v>
      </c>
      <c r="B41" s="109"/>
      <c r="C41" s="433">
        <f t="shared" si="15"/>
        <v>6.2610000000000001</v>
      </c>
      <c r="D41" s="110">
        <f t="shared" si="16"/>
        <v>0</v>
      </c>
      <c r="E41" s="146">
        <f t="shared" si="9"/>
        <v>6.2610000000000001</v>
      </c>
      <c r="F41" s="109"/>
      <c r="G41" s="433">
        <f>SUM(C41+0)</f>
        <v>6.2610000000000001</v>
      </c>
      <c r="H41" s="110">
        <f t="shared" si="17"/>
        <v>0</v>
      </c>
      <c r="I41" s="146">
        <f t="shared" si="18"/>
        <v>6.2610000000000001</v>
      </c>
      <c r="J41" s="109"/>
      <c r="K41" s="433">
        <f t="shared" si="19"/>
        <v>6.2610000000000001</v>
      </c>
      <c r="L41" s="458">
        <f t="shared" si="20"/>
        <v>0</v>
      </c>
      <c r="M41" s="146">
        <f t="shared" si="10"/>
        <v>6.2610000000000001</v>
      </c>
      <c r="N41" s="109"/>
      <c r="O41" s="507">
        <f t="shared" si="11"/>
        <v>6.2610000000000001</v>
      </c>
      <c r="P41" s="507">
        <f>L41+0.4</f>
        <v>0.4</v>
      </c>
      <c r="Q41" s="505">
        <f t="shared" si="12"/>
        <v>6.6610000000000005</v>
      </c>
      <c r="R41" s="506"/>
      <c r="S41" s="507">
        <f>SUM(K41+2354/1000/2)</f>
        <v>7.4380000000000006</v>
      </c>
      <c r="T41" s="507">
        <f t="shared" si="21"/>
        <v>0.40100000000000002</v>
      </c>
      <c r="U41" s="505">
        <f t="shared" si="13"/>
        <v>7.8390000000000004</v>
      </c>
      <c r="V41" s="109"/>
      <c r="W41" s="104"/>
      <c r="X41" s="104"/>
      <c r="Y41" s="146">
        <f t="shared" si="14"/>
        <v>0</v>
      </c>
    </row>
    <row r="42" spans="1:25">
      <c r="A42" s="370" t="s">
        <v>130</v>
      </c>
      <c r="B42" s="109"/>
      <c r="C42" s="433">
        <f t="shared" si="15"/>
        <v>6.2610000000000001</v>
      </c>
      <c r="D42" s="110">
        <f t="shared" si="16"/>
        <v>0</v>
      </c>
      <c r="E42" s="146">
        <f t="shared" si="9"/>
        <v>6.2610000000000001</v>
      </c>
      <c r="F42" s="109"/>
      <c r="G42" s="433">
        <f>SUM(C42+0)</f>
        <v>6.2610000000000001</v>
      </c>
      <c r="H42" s="110">
        <f t="shared" si="17"/>
        <v>0</v>
      </c>
      <c r="I42" s="146">
        <f t="shared" si="18"/>
        <v>6.2610000000000001</v>
      </c>
      <c r="J42" s="109"/>
      <c r="K42" s="433">
        <f t="shared" si="19"/>
        <v>6.2610000000000001</v>
      </c>
      <c r="L42" s="458">
        <f t="shared" si="20"/>
        <v>0</v>
      </c>
      <c r="M42" s="146">
        <f t="shared" si="10"/>
        <v>6.2610000000000001</v>
      </c>
      <c r="N42" s="109"/>
      <c r="O42" s="507">
        <f t="shared" si="11"/>
        <v>6.2610000000000001</v>
      </c>
      <c r="P42" s="507">
        <f>L42+0.4</f>
        <v>0.4</v>
      </c>
      <c r="Q42" s="505">
        <f t="shared" si="12"/>
        <v>6.6610000000000005</v>
      </c>
      <c r="R42" s="506"/>
      <c r="S42" s="507">
        <f>SUM(O42+2354/1000/2)</f>
        <v>7.4380000000000006</v>
      </c>
      <c r="T42" s="507">
        <f t="shared" si="21"/>
        <v>0.40100000000000002</v>
      </c>
      <c r="U42" s="505">
        <f t="shared" si="13"/>
        <v>7.8390000000000004</v>
      </c>
      <c r="V42" s="109"/>
      <c r="W42" s="104"/>
      <c r="X42" s="104"/>
      <c r="Y42" s="146">
        <f t="shared" si="14"/>
        <v>0</v>
      </c>
    </row>
    <row r="43" spans="1:25">
      <c r="A43" s="370" t="s">
        <v>15</v>
      </c>
      <c r="B43" s="109"/>
      <c r="C43" s="433">
        <f t="shared" si="15"/>
        <v>0.8</v>
      </c>
      <c r="D43" s="110">
        <f t="shared" si="16"/>
        <v>0</v>
      </c>
      <c r="E43" s="146">
        <f t="shared" si="9"/>
        <v>0.8</v>
      </c>
      <c r="F43" s="109"/>
      <c r="G43" s="433">
        <f>SUM(C43+0.225)</f>
        <v>1.0250000000000001</v>
      </c>
      <c r="H43" s="110">
        <f t="shared" si="17"/>
        <v>0</v>
      </c>
      <c r="I43" s="146">
        <f t="shared" si="18"/>
        <v>1.0250000000000001</v>
      </c>
      <c r="J43" s="109"/>
      <c r="K43" s="433">
        <f t="shared" si="19"/>
        <v>1.0250000000000001</v>
      </c>
      <c r="L43" s="458">
        <f t="shared" si="20"/>
        <v>0</v>
      </c>
      <c r="M43" s="146">
        <f t="shared" si="10"/>
        <v>1.0250000000000001</v>
      </c>
      <c r="N43" s="147"/>
      <c r="O43" s="507">
        <f t="shared" si="11"/>
        <v>1.0250000000000001</v>
      </c>
      <c r="P43" s="504">
        <f>L43+0</f>
        <v>0</v>
      </c>
      <c r="Q43" s="505">
        <f t="shared" si="12"/>
        <v>1.0250000000000001</v>
      </c>
      <c r="R43" s="506"/>
      <c r="S43" s="507">
        <f>SUM(O43+0/1000)</f>
        <v>1.0250000000000001</v>
      </c>
      <c r="T43" s="504">
        <f t="shared" si="21"/>
        <v>1E-3</v>
      </c>
      <c r="U43" s="505">
        <f t="shared" si="13"/>
        <v>1.026</v>
      </c>
      <c r="V43" s="109"/>
      <c r="W43" s="104"/>
      <c r="X43" s="104"/>
      <c r="Y43" s="146">
        <f t="shared" si="14"/>
        <v>0</v>
      </c>
    </row>
    <row r="44" spans="1:25">
      <c r="A44" s="370" t="s">
        <v>183</v>
      </c>
      <c r="B44" s="109"/>
      <c r="C44" s="433">
        <f t="shared" si="15"/>
        <v>0.35</v>
      </c>
      <c r="D44" s="110">
        <f t="shared" si="16"/>
        <v>0</v>
      </c>
      <c r="E44" s="146">
        <f t="shared" si="9"/>
        <v>0.35</v>
      </c>
      <c r="F44" s="109"/>
      <c r="G44" s="433">
        <f t="shared" ref="G44:G50" si="22">SUM(C44+0)</f>
        <v>0.35</v>
      </c>
      <c r="H44" s="110">
        <f t="shared" si="17"/>
        <v>0</v>
      </c>
      <c r="I44" s="146">
        <f t="shared" si="18"/>
        <v>0.35</v>
      </c>
      <c r="J44" s="109"/>
      <c r="K44" s="433">
        <f t="shared" si="19"/>
        <v>0.35</v>
      </c>
      <c r="L44" s="458">
        <f t="shared" si="20"/>
        <v>0</v>
      </c>
      <c r="M44" s="146">
        <f t="shared" si="10"/>
        <v>0.35</v>
      </c>
      <c r="N44" s="109"/>
      <c r="O44" s="507">
        <f t="shared" si="11"/>
        <v>0.35</v>
      </c>
      <c r="P44" s="504">
        <f t="shared" ref="P44:P50" si="23">L44+0</f>
        <v>0</v>
      </c>
      <c r="Q44" s="505">
        <f t="shared" si="12"/>
        <v>0.35</v>
      </c>
      <c r="R44" s="506"/>
      <c r="S44" s="507">
        <f t="shared" ref="S44:S50" si="24">SUM(O44+0/1000)</f>
        <v>0.35</v>
      </c>
      <c r="T44" s="504">
        <f t="shared" si="21"/>
        <v>1E-3</v>
      </c>
      <c r="U44" s="505">
        <f t="shared" si="13"/>
        <v>0.35099999999999998</v>
      </c>
      <c r="V44" s="109"/>
      <c r="W44" s="104"/>
      <c r="X44" s="104"/>
      <c r="Y44" s="146">
        <f t="shared" si="14"/>
        <v>0</v>
      </c>
    </row>
    <row r="45" spans="1:25">
      <c r="A45" s="370" t="s">
        <v>133</v>
      </c>
      <c r="B45" s="109"/>
      <c r="C45" s="110">
        <f t="shared" si="15"/>
        <v>0</v>
      </c>
      <c r="D45" s="110">
        <f t="shared" si="16"/>
        <v>0</v>
      </c>
      <c r="E45" s="146">
        <f t="shared" si="9"/>
        <v>0</v>
      </c>
      <c r="F45" s="109"/>
      <c r="G45" s="110">
        <f t="shared" si="22"/>
        <v>0</v>
      </c>
      <c r="H45" s="110">
        <f t="shared" si="17"/>
        <v>0</v>
      </c>
      <c r="I45" s="146">
        <f t="shared" si="18"/>
        <v>0</v>
      </c>
      <c r="J45" s="109"/>
      <c r="K45" s="110">
        <f t="shared" si="19"/>
        <v>0</v>
      </c>
      <c r="L45" s="458">
        <f t="shared" si="20"/>
        <v>0</v>
      </c>
      <c r="M45" s="146">
        <f t="shared" si="10"/>
        <v>0</v>
      </c>
      <c r="N45" s="109"/>
      <c r="O45" s="504">
        <f t="shared" si="11"/>
        <v>0</v>
      </c>
      <c r="P45" s="504">
        <f t="shared" si="23"/>
        <v>0</v>
      </c>
      <c r="Q45" s="505">
        <f t="shared" si="12"/>
        <v>0</v>
      </c>
      <c r="R45" s="506"/>
      <c r="S45" s="504">
        <f t="shared" si="24"/>
        <v>0</v>
      </c>
      <c r="T45" s="504">
        <f t="shared" si="21"/>
        <v>1E-3</v>
      </c>
      <c r="U45" s="505">
        <f t="shared" si="13"/>
        <v>1E-3</v>
      </c>
      <c r="V45" s="109"/>
      <c r="W45" s="104"/>
      <c r="X45" s="104"/>
      <c r="Y45" s="146">
        <f t="shared" si="14"/>
        <v>0</v>
      </c>
    </row>
    <row r="46" spans="1:25">
      <c r="A46" s="370" t="s">
        <v>134</v>
      </c>
      <c r="B46" s="67"/>
      <c r="C46" s="110">
        <f t="shared" si="15"/>
        <v>0</v>
      </c>
      <c r="D46" s="110">
        <f t="shared" si="16"/>
        <v>0</v>
      </c>
      <c r="E46" s="146">
        <f t="shared" si="9"/>
        <v>0</v>
      </c>
      <c r="F46" s="38"/>
      <c r="G46" s="110">
        <f t="shared" si="22"/>
        <v>0</v>
      </c>
      <c r="H46" s="110">
        <f t="shared" si="17"/>
        <v>0</v>
      </c>
      <c r="I46" s="146">
        <f t="shared" si="18"/>
        <v>0</v>
      </c>
      <c r="J46" s="38"/>
      <c r="K46" s="110">
        <f t="shared" si="19"/>
        <v>0</v>
      </c>
      <c r="L46" s="458">
        <f t="shared" si="20"/>
        <v>0</v>
      </c>
      <c r="M46" s="37">
        <f>SUM(K46:L46)</f>
        <v>0</v>
      </c>
      <c r="N46" s="38"/>
      <c r="O46" s="504">
        <f t="shared" si="11"/>
        <v>0</v>
      </c>
      <c r="P46" s="504">
        <f t="shared" si="23"/>
        <v>0</v>
      </c>
      <c r="Q46" s="508">
        <f>SUM(O46:P46)</f>
        <v>0</v>
      </c>
      <c r="R46" s="509"/>
      <c r="S46" s="504">
        <f t="shared" si="24"/>
        <v>0</v>
      </c>
      <c r="T46" s="504">
        <f t="shared" si="21"/>
        <v>1E-3</v>
      </c>
      <c r="U46" s="508">
        <f>SUM(S46:T46)</f>
        <v>1E-3</v>
      </c>
      <c r="V46" s="38"/>
      <c r="W46" s="104"/>
      <c r="X46" s="105"/>
      <c r="Y46" s="37">
        <f>SUM(W46:X46)</f>
        <v>0</v>
      </c>
    </row>
    <row r="47" spans="1:25">
      <c r="A47" s="370" t="s">
        <v>135</v>
      </c>
      <c r="B47" s="67"/>
      <c r="C47" s="110">
        <f t="shared" si="15"/>
        <v>0</v>
      </c>
      <c r="D47" s="110">
        <f t="shared" si="16"/>
        <v>0</v>
      </c>
      <c r="E47" s="146">
        <f t="shared" si="9"/>
        <v>0</v>
      </c>
      <c r="F47" s="38"/>
      <c r="G47" s="110">
        <f t="shared" si="22"/>
        <v>0</v>
      </c>
      <c r="H47" s="110">
        <f t="shared" si="17"/>
        <v>0</v>
      </c>
      <c r="I47" s="146">
        <f t="shared" si="18"/>
        <v>0</v>
      </c>
      <c r="J47" s="38"/>
      <c r="K47" s="110">
        <f t="shared" si="19"/>
        <v>0</v>
      </c>
      <c r="L47" s="459">
        <f>SUM(H47+0.072)</f>
        <v>7.1999999999999995E-2</v>
      </c>
      <c r="M47" s="37">
        <f>SUM(K47:L47)</f>
        <v>7.1999999999999995E-2</v>
      </c>
      <c r="N47" s="38"/>
      <c r="O47" s="504">
        <f t="shared" ref="O47:O50" si="25">SUM(K47+0)</f>
        <v>0</v>
      </c>
      <c r="P47" s="507">
        <f t="shared" si="23"/>
        <v>7.1999999999999995E-2</v>
      </c>
      <c r="Q47" s="508">
        <f>SUM(O47:P47)</f>
        <v>7.1999999999999995E-2</v>
      </c>
      <c r="R47" s="509"/>
      <c r="S47" s="507">
        <f t="shared" si="24"/>
        <v>0</v>
      </c>
      <c r="T47" s="507">
        <f t="shared" si="21"/>
        <v>7.2999999999999995E-2</v>
      </c>
      <c r="U47" s="508">
        <f>SUM(S47:T47)</f>
        <v>7.2999999999999995E-2</v>
      </c>
      <c r="V47" s="38"/>
      <c r="W47" s="104"/>
      <c r="X47" s="105"/>
      <c r="Y47" s="37">
        <f>SUM(W47:X47)</f>
        <v>0</v>
      </c>
    </row>
    <row r="48" spans="1:25">
      <c r="A48" s="370" t="s">
        <v>136</v>
      </c>
      <c r="B48" s="67"/>
      <c r="C48" s="110">
        <f t="shared" si="15"/>
        <v>0</v>
      </c>
      <c r="D48" s="110">
        <f t="shared" si="16"/>
        <v>0</v>
      </c>
      <c r="E48" s="146">
        <f t="shared" si="9"/>
        <v>0</v>
      </c>
      <c r="F48" s="38"/>
      <c r="G48" s="110">
        <f t="shared" si="22"/>
        <v>0</v>
      </c>
      <c r="H48" s="110">
        <f t="shared" si="17"/>
        <v>0</v>
      </c>
      <c r="I48" s="146">
        <f t="shared" si="18"/>
        <v>0</v>
      </c>
      <c r="J48" s="38"/>
      <c r="K48" s="110">
        <f t="shared" si="19"/>
        <v>0</v>
      </c>
      <c r="L48" s="458">
        <f t="shared" si="20"/>
        <v>0</v>
      </c>
      <c r="M48" s="37">
        <f>SUM(K48:L48)</f>
        <v>0</v>
      </c>
      <c r="N48" s="38"/>
      <c r="O48" s="504">
        <f t="shared" si="25"/>
        <v>0</v>
      </c>
      <c r="P48" s="504">
        <f t="shared" si="23"/>
        <v>0</v>
      </c>
      <c r="Q48" s="508">
        <f>SUM(O48:P48)</f>
        <v>0</v>
      </c>
      <c r="R48" s="509"/>
      <c r="S48" s="504">
        <f t="shared" si="24"/>
        <v>0</v>
      </c>
      <c r="T48" s="504">
        <f t="shared" si="21"/>
        <v>1E-3</v>
      </c>
      <c r="U48" s="508">
        <f>SUM(S48:T48)</f>
        <v>1E-3</v>
      </c>
      <c r="V48" s="38"/>
      <c r="W48" s="104"/>
      <c r="X48" s="105"/>
      <c r="Y48" s="37">
        <f>SUM(W48:X48)</f>
        <v>0</v>
      </c>
    </row>
    <row r="49" spans="1:25">
      <c r="A49" s="370" t="s">
        <v>193</v>
      </c>
      <c r="B49" s="67"/>
      <c r="C49" s="110">
        <f t="shared" si="15"/>
        <v>0</v>
      </c>
      <c r="D49" s="110">
        <f t="shared" si="16"/>
        <v>0</v>
      </c>
      <c r="E49" s="146">
        <f t="shared" si="9"/>
        <v>0</v>
      </c>
      <c r="F49" s="38"/>
      <c r="G49" s="110">
        <f t="shared" si="22"/>
        <v>0</v>
      </c>
      <c r="H49" s="110">
        <f t="shared" si="17"/>
        <v>0</v>
      </c>
      <c r="I49" s="146">
        <f t="shared" si="18"/>
        <v>0</v>
      </c>
      <c r="J49" s="38"/>
      <c r="K49" s="110">
        <f t="shared" si="19"/>
        <v>0</v>
      </c>
      <c r="L49" s="458">
        <f t="shared" si="20"/>
        <v>0</v>
      </c>
      <c r="M49" s="37">
        <f>SUM(K49:L49)</f>
        <v>0</v>
      </c>
      <c r="N49" s="38"/>
      <c r="O49" s="504">
        <f t="shared" si="25"/>
        <v>0</v>
      </c>
      <c r="P49" s="504">
        <f t="shared" si="23"/>
        <v>0</v>
      </c>
      <c r="Q49" s="508">
        <f>SUM(O49:P49)</f>
        <v>0</v>
      </c>
      <c r="R49" s="509"/>
      <c r="S49" s="504">
        <f t="shared" si="24"/>
        <v>0</v>
      </c>
      <c r="T49" s="504">
        <f t="shared" si="21"/>
        <v>1E-3</v>
      </c>
      <c r="U49" s="508">
        <f>SUM(S49:T49)</f>
        <v>1E-3</v>
      </c>
      <c r="V49" s="38"/>
      <c r="W49" s="104"/>
      <c r="X49" s="104"/>
      <c r="Y49" s="37">
        <f>SUM(W49:X49)</f>
        <v>0</v>
      </c>
    </row>
    <row r="50" spans="1:25">
      <c r="A50" s="370" t="s">
        <v>196</v>
      </c>
      <c r="B50" s="67"/>
      <c r="C50" s="110">
        <f>SUM(W16+0)</f>
        <v>0</v>
      </c>
      <c r="D50" s="110">
        <f>SUM(X16+0)</f>
        <v>0</v>
      </c>
      <c r="E50" s="146">
        <f t="shared" si="9"/>
        <v>0</v>
      </c>
      <c r="F50" s="38"/>
      <c r="G50" s="110">
        <f t="shared" si="22"/>
        <v>0</v>
      </c>
      <c r="H50" s="110">
        <f t="shared" si="17"/>
        <v>0</v>
      </c>
      <c r="I50" s="146">
        <f t="shared" si="18"/>
        <v>0</v>
      </c>
      <c r="J50" s="38"/>
      <c r="K50" s="110">
        <f t="shared" si="19"/>
        <v>0</v>
      </c>
      <c r="L50" s="458">
        <f t="shared" si="20"/>
        <v>0</v>
      </c>
      <c r="M50" s="37">
        <f>SUM(K50:L50)</f>
        <v>0</v>
      </c>
      <c r="N50" s="38"/>
      <c r="O50" s="504">
        <f t="shared" si="25"/>
        <v>0</v>
      </c>
      <c r="P50" s="504">
        <f t="shared" si="23"/>
        <v>0</v>
      </c>
      <c r="Q50" s="508">
        <f>SUM(O50:P50)</f>
        <v>0</v>
      </c>
      <c r="R50" s="509"/>
      <c r="S50" s="504">
        <f t="shared" si="24"/>
        <v>0</v>
      </c>
      <c r="T50" s="504">
        <f t="shared" si="21"/>
        <v>1E-3</v>
      </c>
      <c r="U50" s="508">
        <f>SUM(S50:T50)</f>
        <v>1E-3</v>
      </c>
      <c r="V50" s="38"/>
      <c r="W50" s="104"/>
      <c r="X50" s="104"/>
      <c r="Y50" s="37">
        <f>SUM(W50:X50)</f>
        <v>0</v>
      </c>
    </row>
    <row r="51" spans="1:25" s="47" customFormat="1">
      <c r="A51" s="40" t="s">
        <v>64</v>
      </c>
      <c r="B51" s="42" t="s">
        <v>13</v>
      </c>
      <c r="C51" s="42">
        <f>SUM(C39:C50)</f>
        <v>13.672000000000001</v>
      </c>
      <c r="D51" s="42">
        <f>SUM(D39:D50)</f>
        <v>0</v>
      </c>
      <c r="E51" s="42">
        <f>SUM(E39:E50)</f>
        <v>13.672000000000001</v>
      </c>
      <c r="F51" s="37"/>
      <c r="G51" s="42">
        <f>SUM(G39:G50)</f>
        <v>13.897</v>
      </c>
      <c r="H51" s="42">
        <f>SUM(H39:H50)</f>
        <v>0</v>
      </c>
      <c r="I51" s="42">
        <f>SUM(I39:I50)</f>
        <v>13.897</v>
      </c>
      <c r="J51" s="37"/>
      <c r="K51" s="42">
        <f>SUM(K39:K50)</f>
        <v>13.897</v>
      </c>
      <c r="L51" s="42">
        <f>SUM(L39:L50)</f>
        <v>7.1999999999999995E-2</v>
      </c>
      <c r="M51" s="42">
        <f>SUM(M39:M50)</f>
        <v>13.968999999999999</v>
      </c>
      <c r="N51" s="37"/>
      <c r="O51" s="510">
        <f>SUM(O39:O50)</f>
        <v>13.897</v>
      </c>
      <c r="P51" s="510">
        <f>SUM(P39:P50)</f>
        <v>0.872</v>
      </c>
      <c r="Q51" s="510">
        <f>SUM(Q39:Q50)</f>
        <v>14.769</v>
      </c>
      <c r="R51" s="508"/>
      <c r="S51" s="510">
        <f>SUM(S39:S50)</f>
        <v>16.251000000000001</v>
      </c>
      <c r="T51" s="510">
        <f>SUM(T39:T50)</f>
        <v>0.88400000000000001</v>
      </c>
      <c r="U51" s="510">
        <f>SUM(U39:U50)</f>
        <v>17.135000000000005</v>
      </c>
      <c r="V51" s="37"/>
      <c r="W51" s="42">
        <f>SUM(W39:W50)</f>
        <v>0</v>
      </c>
      <c r="X51" s="42">
        <f>SUM(X39:X50)</f>
        <v>0</v>
      </c>
      <c r="Y51" s="37">
        <f>SUM(Y39:Y50)</f>
        <v>0</v>
      </c>
    </row>
    <row r="52" spans="1:25" ht="3.95" customHeight="1">
      <c r="A52" s="40"/>
      <c r="B52" s="42"/>
      <c r="C52" s="38"/>
      <c r="D52" s="38"/>
      <c r="E52" s="46"/>
      <c r="F52" s="42"/>
      <c r="G52" s="38"/>
      <c r="H52" s="150"/>
      <c r="I52" s="37"/>
      <c r="J52" s="42"/>
      <c r="K52" s="38"/>
      <c r="L52" s="150"/>
      <c r="M52" s="37"/>
      <c r="N52" s="42"/>
      <c r="O52" s="510"/>
      <c r="P52" s="510"/>
      <c r="Q52" s="510"/>
      <c r="R52" s="510"/>
      <c r="S52" s="483"/>
      <c r="T52" s="511"/>
      <c r="U52" s="508"/>
      <c r="V52" s="42"/>
      <c r="W52" s="38"/>
      <c r="X52" s="150"/>
      <c r="Y52" s="37"/>
    </row>
    <row r="53" spans="1:25">
      <c r="A53" s="43" t="s">
        <v>23</v>
      </c>
      <c r="B53" s="45"/>
      <c r="C53" s="148"/>
      <c r="D53" s="148"/>
      <c r="E53" s="44"/>
      <c r="F53" s="45"/>
      <c r="G53" s="148"/>
      <c r="H53" s="44"/>
      <c r="I53" s="37"/>
      <c r="J53" s="45"/>
      <c r="K53" s="148"/>
      <c r="L53" s="44"/>
      <c r="M53" s="37"/>
      <c r="N53" s="45"/>
      <c r="O53" s="512"/>
      <c r="P53" s="513"/>
      <c r="Q53" s="508"/>
      <c r="R53" s="284"/>
      <c r="S53" s="512"/>
      <c r="T53" s="513"/>
      <c r="U53" s="508"/>
      <c r="V53" s="45"/>
      <c r="W53" s="148"/>
      <c r="X53" s="44"/>
      <c r="Y53" s="37"/>
    </row>
    <row r="54" spans="1:25">
      <c r="A54" s="370" t="s">
        <v>71</v>
      </c>
      <c r="B54" s="45"/>
      <c r="C54" s="149">
        <v>0</v>
      </c>
      <c r="D54" s="149">
        <v>0</v>
      </c>
      <c r="E54" s="146">
        <f>SUM(B54:D54)</f>
        <v>0</v>
      </c>
      <c r="F54" s="45"/>
      <c r="G54" s="149">
        <f t="shared" ref="G54:H58" si="26">SUM(C54+0)</f>
        <v>0</v>
      </c>
      <c r="H54" s="290">
        <f t="shared" si="26"/>
        <v>0</v>
      </c>
      <c r="I54" s="146">
        <f>SUM(F54:H54)</f>
        <v>0</v>
      </c>
      <c r="J54" s="45"/>
      <c r="K54" s="149">
        <f t="shared" ref="K54:L58" si="27">SUM(G54+0)</f>
        <v>0</v>
      </c>
      <c r="L54" s="290">
        <f t="shared" si="27"/>
        <v>0</v>
      </c>
      <c r="M54" s="146">
        <f>SUM(J54:L54)</f>
        <v>0</v>
      </c>
      <c r="N54" s="45"/>
      <c r="O54" s="514">
        <f>SUM(L54+0)</f>
        <v>0</v>
      </c>
      <c r="P54" s="504">
        <f>L54+0</f>
        <v>0</v>
      </c>
      <c r="Q54" s="505">
        <f>SUM(N54:P54)</f>
        <v>0</v>
      </c>
      <c r="R54" s="284"/>
      <c r="S54" s="514">
        <f t="shared" ref="S54:S58" si="28">SUM(O54+0/1000)</f>
        <v>0</v>
      </c>
      <c r="T54" s="515">
        <f t="shared" ref="T54:T58" si="29">SUM(P54+1/1000)</f>
        <v>1E-3</v>
      </c>
      <c r="U54" s="505">
        <f>SUM(R54:T54)</f>
        <v>1E-3</v>
      </c>
      <c r="V54" s="45"/>
      <c r="W54" s="38"/>
      <c r="X54" s="38"/>
      <c r="Y54" s="146">
        <f>SUM(V54:X54)</f>
        <v>0</v>
      </c>
    </row>
    <row r="55" spans="1:25">
      <c r="A55" s="370" t="s">
        <v>14</v>
      </c>
      <c r="B55" s="45"/>
      <c r="C55" s="149">
        <v>0</v>
      </c>
      <c r="D55" s="149">
        <v>0</v>
      </c>
      <c r="E55" s="146">
        <f>SUM(B55:D55)</f>
        <v>0</v>
      </c>
      <c r="F55" s="45"/>
      <c r="G55" s="149">
        <f t="shared" si="26"/>
        <v>0</v>
      </c>
      <c r="H55" s="290">
        <f t="shared" si="26"/>
        <v>0</v>
      </c>
      <c r="I55" s="146">
        <f>SUM(F55:H55)</f>
        <v>0</v>
      </c>
      <c r="J55" s="45"/>
      <c r="K55" s="149">
        <f t="shared" si="27"/>
        <v>0</v>
      </c>
      <c r="L55" s="290">
        <f t="shared" si="27"/>
        <v>0</v>
      </c>
      <c r="M55" s="146">
        <f>SUM(J55:L55)</f>
        <v>0</v>
      </c>
      <c r="N55" s="45"/>
      <c r="O55" s="514">
        <f>SUM(L55+0)</f>
        <v>0</v>
      </c>
      <c r="P55" s="504">
        <f t="shared" ref="P55:P58" si="30">L55+0</f>
        <v>0</v>
      </c>
      <c r="Q55" s="505">
        <f>SUM(N55:P55)</f>
        <v>0</v>
      </c>
      <c r="R55" s="284"/>
      <c r="S55" s="514">
        <f t="shared" si="28"/>
        <v>0</v>
      </c>
      <c r="T55" s="515">
        <f t="shared" si="29"/>
        <v>1E-3</v>
      </c>
      <c r="U55" s="505">
        <f>SUM(R55:T55)</f>
        <v>1E-3</v>
      </c>
      <c r="V55" s="45"/>
      <c r="W55" s="38"/>
      <c r="X55" s="38"/>
      <c r="Y55" s="146">
        <f>SUM(V55:X55)</f>
        <v>0</v>
      </c>
    </row>
    <row r="56" spans="1:25">
      <c r="A56" s="370" t="s">
        <v>26</v>
      </c>
      <c r="B56" s="45"/>
      <c r="C56" s="149">
        <v>0</v>
      </c>
      <c r="D56" s="149">
        <v>0</v>
      </c>
      <c r="E56" s="146">
        <f>SUM(B56:D56)</f>
        <v>0</v>
      </c>
      <c r="F56" s="45"/>
      <c r="G56" s="149">
        <f t="shared" si="26"/>
        <v>0</v>
      </c>
      <c r="H56" s="290">
        <f t="shared" si="26"/>
        <v>0</v>
      </c>
      <c r="I56" s="146">
        <f>SUM(F56:H56)</f>
        <v>0</v>
      </c>
      <c r="J56" s="45"/>
      <c r="K56" s="149">
        <f t="shared" si="27"/>
        <v>0</v>
      </c>
      <c r="L56" s="290">
        <f t="shared" si="27"/>
        <v>0</v>
      </c>
      <c r="M56" s="146">
        <f>SUM(J56:L56)</f>
        <v>0</v>
      </c>
      <c r="N56" s="45"/>
      <c r="O56" s="514">
        <f>SUM(L56+0)</f>
        <v>0</v>
      </c>
      <c r="P56" s="504">
        <f t="shared" si="30"/>
        <v>0</v>
      </c>
      <c r="Q56" s="505">
        <f>SUM(N56:P56)</f>
        <v>0</v>
      </c>
      <c r="R56" s="284"/>
      <c r="S56" s="514">
        <f t="shared" si="28"/>
        <v>0</v>
      </c>
      <c r="T56" s="515">
        <f t="shared" si="29"/>
        <v>1E-3</v>
      </c>
      <c r="U56" s="505">
        <f>SUM(R56:T56)</f>
        <v>1E-3</v>
      </c>
      <c r="V56" s="45"/>
      <c r="W56" s="38"/>
      <c r="X56" s="38"/>
      <c r="Y56" s="146">
        <f>SUM(V56:X56)</f>
        <v>0</v>
      </c>
    </row>
    <row r="57" spans="1:25">
      <c r="A57" s="370" t="s">
        <v>194</v>
      </c>
      <c r="B57" s="67"/>
      <c r="C57" s="149">
        <v>0</v>
      </c>
      <c r="D57" s="149">
        <v>0</v>
      </c>
      <c r="E57" s="146">
        <f>SUM(B57:D57)</f>
        <v>0</v>
      </c>
      <c r="F57" s="38"/>
      <c r="G57" s="149">
        <f t="shared" si="26"/>
        <v>0</v>
      </c>
      <c r="H57" s="290">
        <f t="shared" si="26"/>
        <v>0</v>
      </c>
      <c r="I57" s="37">
        <f>SUM(G57:H57)</f>
        <v>0</v>
      </c>
      <c r="J57" s="38"/>
      <c r="K57" s="149">
        <f t="shared" si="27"/>
        <v>0</v>
      </c>
      <c r="L57" s="290">
        <f t="shared" si="27"/>
        <v>0</v>
      </c>
      <c r="M57" s="37">
        <f>SUM(K57:L57)</f>
        <v>0</v>
      </c>
      <c r="N57" s="38"/>
      <c r="O57" s="514">
        <f>SUM(L57+0)</f>
        <v>0</v>
      </c>
      <c r="P57" s="504">
        <f t="shared" si="30"/>
        <v>0</v>
      </c>
      <c r="Q57" s="508">
        <f>SUM(O57:P57)</f>
        <v>0</v>
      </c>
      <c r="R57" s="483"/>
      <c r="S57" s="514">
        <f t="shared" si="28"/>
        <v>0</v>
      </c>
      <c r="T57" s="515">
        <f t="shared" si="29"/>
        <v>1E-3</v>
      </c>
      <c r="U57" s="508">
        <f>SUM(S57:T57)</f>
        <v>1E-3</v>
      </c>
      <c r="V57" s="38"/>
      <c r="W57" s="38"/>
      <c r="X57" s="38"/>
      <c r="Y57" s="37">
        <f>SUM(W57:X57)</f>
        <v>0</v>
      </c>
    </row>
    <row r="58" spans="1:25">
      <c r="A58" s="370" t="s">
        <v>195</v>
      </c>
      <c r="B58" s="67"/>
      <c r="C58" s="149">
        <v>0</v>
      </c>
      <c r="D58" s="149">
        <v>0</v>
      </c>
      <c r="E58" s="146">
        <f>SUM(B58:D58)</f>
        <v>0</v>
      </c>
      <c r="F58" s="38"/>
      <c r="G58" s="149">
        <f t="shared" si="26"/>
        <v>0</v>
      </c>
      <c r="H58" s="290">
        <f t="shared" si="26"/>
        <v>0</v>
      </c>
      <c r="I58" s="37">
        <f>SUM(G58:H58)</f>
        <v>0</v>
      </c>
      <c r="J58" s="38"/>
      <c r="K58" s="149">
        <f t="shared" si="27"/>
        <v>0</v>
      </c>
      <c r="L58" s="290">
        <f t="shared" si="27"/>
        <v>0</v>
      </c>
      <c r="M58" s="37">
        <f>SUM(K58:L58)</f>
        <v>0</v>
      </c>
      <c r="N58" s="38"/>
      <c r="O58" s="514">
        <f>SUM(L58+0)</f>
        <v>0</v>
      </c>
      <c r="P58" s="504">
        <f t="shared" si="30"/>
        <v>0</v>
      </c>
      <c r="Q58" s="508">
        <f>SUM(O58:P58)</f>
        <v>0</v>
      </c>
      <c r="R58" s="483"/>
      <c r="S58" s="514">
        <f t="shared" si="28"/>
        <v>0</v>
      </c>
      <c r="T58" s="515">
        <f t="shared" si="29"/>
        <v>1E-3</v>
      </c>
      <c r="U58" s="508">
        <f>SUM(S58:T58)</f>
        <v>1E-3</v>
      </c>
      <c r="V58" s="38"/>
      <c r="W58" s="38"/>
      <c r="X58" s="38"/>
      <c r="Y58" s="37">
        <f>SUM(W58:X58)</f>
        <v>0</v>
      </c>
    </row>
    <row r="59" spans="1:25" s="47" customFormat="1">
      <c r="A59" s="40" t="s">
        <v>64</v>
      </c>
      <c r="B59" s="42"/>
      <c r="C59" s="42">
        <f>SUM(C54:C58)</f>
        <v>0</v>
      </c>
      <c r="D59" s="42">
        <f>SUM(D54:D58)</f>
        <v>0</v>
      </c>
      <c r="E59" s="42">
        <f>SUM(E54:E58)</f>
        <v>0</v>
      </c>
      <c r="F59" s="46"/>
      <c r="G59" s="42">
        <f>SUM(G54:G58)</f>
        <v>0</v>
      </c>
      <c r="H59" s="42">
        <f>SUM(H54:H58)</f>
        <v>0</v>
      </c>
      <c r="I59" s="42">
        <f>SUM(I54:I58)</f>
        <v>0</v>
      </c>
      <c r="J59" s="46"/>
      <c r="K59" s="42">
        <f>SUM(K54:K58)</f>
        <v>0</v>
      </c>
      <c r="L59" s="42">
        <f>SUM(L54:L58)</f>
        <v>0</v>
      </c>
      <c r="M59" s="42">
        <f>SUM(M54:M58)</f>
        <v>0</v>
      </c>
      <c r="N59" s="46"/>
      <c r="O59" s="510">
        <f>SUM(O54:O58)</f>
        <v>0</v>
      </c>
      <c r="P59" s="510">
        <f>SUM(P54:P58)</f>
        <v>0</v>
      </c>
      <c r="Q59" s="510">
        <f>SUM(Q54:Q58)</f>
        <v>0</v>
      </c>
      <c r="R59" s="285"/>
      <c r="S59" s="510">
        <f>SUM(S54:S58)</f>
        <v>0</v>
      </c>
      <c r="T59" s="510">
        <f>SUM(T54:T58)</f>
        <v>5.0000000000000001E-3</v>
      </c>
      <c r="U59" s="510">
        <f>SUM(U54:U58)</f>
        <v>5.0000000000000001E-3</v>
      </c>
      <c r="V59" s="46"/>
      <c r="W59" s="42">
        <f>SUM(W54:W58)</f>
        <v>0</v>
      </c>
      <c r="X59" s="42">
        <f>SUM(X54:X58)</f>
        <v>0</v>
      </c>
      <c r="Y59" s="37">
        <f>SUM(Y54:Y58)</f>
        <v>0</v>
      </c>
    </row>
    <row r="60" spans="1:25" ht="3.95" customHeight="1">
      <c r="A60" s="40"/>
      <c r="B60" s="42"/>
      <c r="C60" s="38"/>
      <c r="D60" s="38"/>
      <c r="E60" s="46"/>
      <c r="F60" s="42"/>
      <c r="G60" s="38"/>
      <c r="H60" s="150"/>
      <c r="I60" s="37" t="s">
        <v>13</v>
      </c>
      <c r="J60" s="42"/>
      <c r="K60" s="38"/>
      <c r="L60" s="150"/>
      <c r="M60" s="37" t="s">
        <v>13</v>
      </c>
      <c r="N60" s="42"/>
      <c r="O60" s="483"/>
      <c r="P60" s="511"/>
      <c r="Q60" s="508" t="s">
        <v>13</v>
      </c>
      <c r="R60" s="510"/>
      <c r="S60" s="483"/>
      <c r="T60" s="511"/>
      <c r="U60" s="508" t="s">
        <v>13</v>
      </c>
      <c r="V60" s="42"/>
      <c r="W60" s="38"/>
      <c r="X60" s="150"/>
      <c r="Y60" s="37"/>
    </row>
    <row r="61" spans="1:25" ht="17.25" customHeight="1">
      <c r="A61" s="40" t="s">
        <v>125</v>
      </c>
      <c r="B61" s="42"/>
      <c r="C61" s="42">
        <f>C51+C59</f>
        <v>13.672000000000001</v>
      </c>
      <c r="D61" s="42">
        <f>D51+D59</f>
        <v>0</v>
      </c>
      <c r="E61" s="42">
        <f>E51+E59</f>
        <v>13.672000000000001</v>
      </c>
      <c r="F61" s="42"/>
      <c r="G61" s="37">
        <f>G51+G59</f>
        <v>13.897</v>
      </c>
      <c r="H61" s="46">
        <f>H51+H59</f>
        <v>0</v>
      </c>
      <c r="I61" s="37">
        <f>I51+I59</f>
        <v>13.897</v>
      </c>
      <c r="J61" s="42"/>
      <c r="K61" s="37">
        <f>K51+K59</f>
        <v>13.897</v>
      </c>
      <c r="L61" s="46">
        <f>L51+L59</f>
        <v>7.1999999999999995E-2</v>
      </c>
      <c r="M61" s="37">
        <f>M51+M59</f>
        <v>13.968999999999999</v>
      </c>
      <c r="N61" s="42"/>
      <c r="O61" s="508">
        <f>O51+O59</f>
        <v>13.897</v>
      </c>
      <c r="P61" s="285">
        <f>P51+P59</f>
        <v>0.872</v>
      </c>
      <c r="Q61" s="508">
        <f>Q51+Q59</f>
        <v>14.769</v>
      </c>
      <c r="R61" s="510"/>
      <c r="S61" s="508">
        <f>S51+S59</f>
        <v>16.251000000000001</v>
      </c>
      <c r="T61" s="285">
        <f>T51+T59</f>
        <v>0.88900000000000001</v>
      </c>
      <c r="U61" s="508">
        <f>U51+U59</f>
        <v>17.140000000000004</v>
      </c>
      <c r="V61" s="42"/>
      <c r="W61" s="37">
        <f>W51+W59</f>
        <v>0</v>
      </c>
      <c r="X61" s="46">
        <f>X51+X59</f>
        <v>0</v>
      </c>
      <c r="Y61" s="37">
        <f>Y51+Y59</f>
        <v>0</v>
      </c>
    </row>
    <row r="62" spans="1:25" ht="17.25" customHeight="1">
      <c r="A62" s="48"/>
      <c r="B62" s="54"/>
      <c r="C62" s="52"/>
      <c r="D62" s="52"/>
      <c r="E62" s="68"/>
      <c r="F62" s="54"/>
      <c r="G62" s="52"/>
      <c r="H62" s="53"/>
      <c r="I62" s="54"/>
      <c r="J62" s="54"/>
      <c r="K62" s="52"/>
      <c r="L62" s="53"/>
      <c r="M62" s="54"/>
      <c r="N62" s="54"/>
      <c r="O62" s="516"/>
      <c r="P62" s="517"/>
      <c r="Q62" s="518"/>
      <c r="R62" s="518"/>
      <c r="S62" s="516"/>
      <c r="T62" s="517"/>
      <c r="U62" s="518"/>
      <c r="V62" s="54"/>
      <c r="W62" s="52"/>
      <c r="X62" s="53"/>
      <c r="Y62" s="229"/>
    </row>
    <row r="63" spans="1:25">
      <c r="A63" s="470" t="s">
        <v>70</v>
      </c>
      <c r="B63" s="69"/>
      <c r="C63" s="340"/>
      <c r="D63" s="340"/>
      <c r="E63" s="378"/>
      <c r="F63" s="58"/>
      <c r="G63" s="340"/>
      <c r="H63" s="340"/>
      <c r="I63" s="58"/>
      <c r="J63" s="58"/>
      <c r="K63" s="340"/>
      <c r="L63" s="340"/>
      <c r="M63" s="58"/>
      <c r="N63" s="58"/>
      <c r="O63" s="519"/>
      <c r="P63" s="519"/>
      <c r="Q63" s="520"/>
      <c r="R63" s="520"/>
      <c r="S63" s="519"/>
      <c r="T63" s="519"/>
      <c r="U63" s="520"/>
      <c r="V63" s="58"/>
      <c r="W63" s="340"/>
      <c r="X63" s="340"/>
      <c r="Y63" s="59"/>
    </row>
    <row r="64" spans="1:25">
      <c r="A64" s="60" t="s">
        <v>126</v>
      </c>
      <c r="B64" s="38">
        <f>V30+282/1000</f>
        <v>6.5977105465925989</v>
      </c>
      <c r="C64" s="67"/>
      <c r="D64" s="67"/>
      <c r="E64" s="379"/>
      <c r="F64" s="58">
        <f>B64+92/1000</f>
        <v>6.6897105465925986</v>
      </c>
      <c r="G64" s="67"/>
      <c r="H64" s="67"/>
      <c r="I64" s="379"/>
      <c r="J64" s="38">
        <f>(F64+0/1000)</f>
        <v>6.6897105465925986</v>
      </c>
      <c r="K64" s="67"/>
      <c r="L64" s="67"/>
      <c r="M64" s="379"/>
      <c r="N64" s="483">
        <f>SUM(J64+1482.1/1000)</f>
        <v>8.1718105465925994</v>
      </c>
      <c r="O64" s="521"/>
      <c r="P64" s="521"/>
      <c r="Q64" s="522"/>
      <c r="R64" s="483">
        <f>SUM(N64+224/1000)</f>
        <v>8.3958105465925996</v>
      </c>
      <c r="S64" s="521"/>
      <c r="T64" s="521"/>
      <c r="U64" s="522"/>
      <c r="V64" s="38"/>
      <c r="W64" s="290" t="s">
        <v>13</v>
      </c>
      <c r="X64" s="79"/>
      <c r="Y64" s="37"/>
    </row>
    <row r="65" spans="1:25">
      <c r="A65" s="35"/>
      <c r="B65" s="38"/>
      <c r="C65" s="104"/>
      <c r="D65" s="104"/>
      <c r="E65" s="379"/>
      <c r="F65" s="38"/>
      <c r="G65" s="104"/>
      <c r="H65" s="104"/>
      <c r="I65" s="379"/>
      <c r="J65" s="38"/>
      <c r="K65" s="104"/>
      <c r="L65" s="104"/>
      <c r="M65" s="379"/>
      <c r="N65" s="38"/>
      <c r="O65" s="523"/>
      <c r="P65" s="523"/>
      <c r="Q65" s="522"/>
      <c r="R65" s="483"/>
      <c r="S65" s="523"/>
      <c r="T65" s="523"/>
      <c r="U65" s="522"/>
      <c r="V65" s="38"/>
      <c r="W65" s="104"/>
      <c r="X65" s="104"/>
      <c r="Y65" s="379"/>
    </row>
    <row r="66" spans="1:25" s="47" customFormat="1">
      <c r="A66" s="61" t="s">
        <v>64</v>
      </c>
      <c r="B66" s="42">
        <f>SUM(B64:B65)</f>
        <v>6.5977105465925989</v>
      </c>
      <c r="C66" s="42">
        <f>SUM(C64:C65)</f>
        <v>0</v>
      </c>
      <c r="D66" s="42">
        <f>SUM(D64:D65)</f>
        <v>0</v>
      </c>
      <c r="E66" s="42">
        <f>SUM(E64)</f>
        <v>0</v>
      </c>
      <c r="F66" s="42">
        <f>SUM(F64:F65)</f>
        <v>6.6897105465925986</v>
      </c>
      <c r="G66" s="42">
        <f>SUM(G64:G65)</f>
        <v>0</v>
      </c>
      <c r="H66" s="42">
        <f>SUM(H64:H65)</f>
        <v>0</v>
      </c>
      <c r="I66" s="42">
        <f>SUM(I64)</f>
        <v>0</v>
      </c>
      <c r="J66" s="42">
        <f>SUM(J64:J65)</f>
        <v>6.6897105465925986</v>
      </c>
      <c r="K66" s="42">
        <f>SUM(K64:K65)</f>
        <v>0</v>
      </c>
      <c r="L66" s="42">
        <f>SUM(L64:L65)</f>
        <v>0</v>
      </c>
      <c r="M66" s="42">
        <f>SUM(M64)</f>
        <v>0</v>
      </c>
      <c r="N66" s="42">
        <f>SUM(N64:N65)</f>
        <v>8.1718105465925994</v>
      </c>
      <c r="O66" s="510">
        <f>SUM(O64:O65)</f>
        <v>0</v>
      </c>
      <c r="P66" s="510">
        <f>SUM(P64:P65)</f>
        <v>0</v>
      </c>
      <c r="Q66" s="510">
        <f>SUM(Q64)</f>
        <v>0</v>
      </c>
      <c r="R66" s="510">
        <f>SUM(R64:R65)</f>
        <v>8.3958105465925996</v>
      </c>
      <c r="S66" s="510">
        <f>SUM(S64:S65)</f>
        <v>0</v>
      </c>
      <c r="T66" s="510">
        <f>SUM(T64:T65)</f>
        <v>0</v>
      </c>
      <c r="U66" s="510">
        <f>SUM(U64)</f>
        <v>0</v>
      </c>
      <c r="V66" s="42">
        <f>SUM(V64:V65)</f>
        <v>0</v>
      </c>
      <c r="W66" s="42">
        <f>SUM(W64:W65)</f>
        <v>0</v>
      </c>
      <c r="X66" s="42">
        <f>SUM(X64:X65)</f>
        <v>0</v>
      </c>
      <c r="Y66" s="37">
        <f>SUM(Y64)</f>
        <v>0</v>
      </c>
    </row>
    <row r="67" spans="1:25" ht="3.95" customHeight="1">
      <c r="A67" s="40"/>
      <c r="B67" s="38"/>
      <c r="C67" s="38"/>
      <c r="D67" s="38"/>
      <c r="E67" s="46"/>
      <c r="F67" s="38"/>
      <c r="G67" s="38"/>
      <c r="H67" s="38"/>
      <c r="I67" s="46"/>
      <c r="J67" s="38"/>
      <c r="K67" s="38"/>
      <c r="L67" s="38"/>
      <c r="M67" s="46"/>
      <c r="N67" s="38"/>
      <c r="O67" s="483"/>
      <c r="P67" s="483"/>
      <c r="Q67" s="285"/>
      <c r="R67" s="483"/>
      <c r="S67" s="483"/>
      <c r="T67" s="483"/>
      <c r="U67" s="285"/>
      <c r="V67" s="38"/>
      <c r="W67" s="38"/>
      <c r="X67" s="38"/>
      <c r="Y67" s="46"/>
    </row>
    <row r="68" spans="1:25" s="75" customFormat="1">
      <c r="A68" s="40" t="s">
        <v>127</v>
      </c>
      <c r="B68" s="70">
        <f>B66</f>
        <v>6.5977105465925989</v>
      </c>
      <c r="C68" s="70" t="s">
        <v>32</v>
      </c>
      <c r="D68" s="70" t="s">
        <v>32</v>
      </c>
      <c r="E68" s="70" t="s">
        <v>32</v>
      </c>
      <c r="F68" s="70">
        <f>F66</f>
        <v>6.6897105465925986</v>
      </c>
      <c r="G68" s="70" t="s">
        <v>32</v>
      </c>
      <c r="H68" s="70" t="s">
        <v>32</v>
      </c>
      <c r="I68" s="70" t="s">
        <v>32</v>
      </c>
      <c r="J68" s="70">
        <f>J66</f>
        <v>6.6897105465925986</v>
      </c>
      <c r="K68" s="70" t="s">
        <v>32</v>
      </c>
      <c r="L68" s="70" t="s">
        <v>32</v>
      </c>
      <c r="M68" s="70" t="s">
        <v>32</v>
      </c>
      <c r="N68" s="70">
        <f>N66</f>
        <v>8.1718105465925994</v>
      </c>
      <c r="O68" s="524" t="s">
        <v>32</v>
      </c>
      <c r="P68" s="524" t="s">
        <v>32</v>
      </c>
      <c r="Q68" s="524" t="s">
        <v>32</v>
      </c>
      <c r="R68" s="524">
        <f>R66</f>
        <v>8.3958105465925996</v>
      </c>
      <c r="S68" s="524" t="s">
        <v>32</v>
      </c>
      <c r="T68" s="524" t="s">
        <v>32</v>
      </c>
      <c r="U68" s="524" t="s">
        <v>32</v>
      </c>
      <c r="V68" s="70">
        <f>V66</f>
        <v>0</v>
      </c>
      <c r="W68" s="70" t="s">
        <v>32</v>
      </c>
      <c r="X68" s="70" t="s">
        <v>32</v>
      </c>
      <c r="Y68" s="80" t="s">
        <v>32</v>
      </c>
    </row>
    <row r="69" spans="1:25" s="76" customFormat="1">
      <c r="A69" s="286" t="s">
        <v>201</v>
      </c>
      <c r="B69" s="554"/>
      <c r="C69" s="554"/>
      <c r="D69" s="554"/>
      <c r="E69" s="555"/>
      <c r="F69" s="71"/>
      <c r="G69" s="72"/>
      <c r="H69" s="73"/>
      <c r="I69" s="71"/>
      <c r="J69" s="71"/>
      <c r="K69" s="72"/>
      <c r="L69" s="73"/>
      <c r="M69" s="71"/>
      <c r="N69" s="71"/>
      <c r="O69" s="72"/>
      <c r="P69" s="73"/>
      <c r="Q69" s="71"/>
      <c r="R69" s="71"/>
      <c r="S69" s="72"/>
      <c r="T69" s="73"/>
      <c r="U69" s="71"/>
      <c r="V69" s="71"/>
      <c r="W69" s="72"/>
      <c r="X69" s="73"/>
      <c r="Y69" s="71"/>
    </row>
    <row r="70" spans="1:25">
      <c r="A70" s="64"/>
      <c r="B70" s="64"/>
      <c r="C70" s="66"/>
      <c r="D70" s="66"/>
      <c r="E70" s="66"/>
      <c r="F70" s="64"/>
      <c r="G70" s="66"/>
      <c r="H70" s="66"/>
      <c r="I70" s="64"/>
      <c r="J70" s="64"/>
      <c r="K70" s="66"/>
      <c r="L70" s="66"/>
      <c r="M70" s="64"/>
      <c r="N70" s="64"/>
      <c r="O70" s="66"/>
      <c r="P70" s="66"/>
      <c r="Q70" s="64"/>
      <c r="R70" s="64"/>
      <c r="S70" s="66"/>
      <c r="T70" s="66"/>
      <c r="U70" s="64"/>
      <c r="V70" s="64"/>
      <c r="W70" s="66"/>
      <c r="X70" s="66"/>
      <c r="Y70" s="64"/>
    </row>
    <row r="71" spans="1:25">
      <c r="A71" s="64"/>
      <c r="B71" s="64"/>
      <c r="C71" s="66"/>
      <c r="D71" s="66"/>
      <c r="E71" s="66"/>
      <c r="F71" s="64"/>
      <c r="G71" s="66"/>
      <c r="H71" s="66"/>
      <c r="I71" s="64"/>
      <c r="J71" s="64"/>
      <c r="K71" s="66"/>
      <c r="L71" s="66"/>
      <c r="M71" s="64"/>
      <c r="N71" s="64"/>
      <c r="O71" s="66"/>
      <c r="P71" s="66"/>
      <c r="Q71" s="64"/>
      <c r="R71" s="64"/>
      <c r="S71" s="66"/>
      <c r="T71" s="66"/>
      <c r="U71" s="64"/>
      <c r="V71" s="64"/>
      <c r="W71" s="66"/>
      <c r="X71" s="66"/>
      <c r="Y71" s="64"/>
    </row>
    <row r="72" spans="1:25">
      <c r="A72" s="64"/>
      <c r="B72" s="64"/>
      <c r="C72" s="66"/>
      <c r="D72" s="66"/>
      <c r="E72" s="66"/>
      <c r="F72" s="64"/>
      <c r="G72" s="66"/>
      <c r="H72" s="66"/>
      <c r="I72" s="64"/>
      <c r="J72" s="64"/>
      <c r="K72" s="66"/>
      <c r="L72" s="66"/>
      <c r="M72" s="64"/>
      <c r="N72" s="64"/>
      <c r="O72" s="66"/>
      <c r="P72" s="66"/>
      <c r="Q72" s="64"/>
      <c r="R72" s="64"/>
      <c r="S72" s="66"/>
      <c r="T72" s="66"/>
      <c r="U72" s="64"/>
      <c r="V72" s="64"/>
      <c r="W72" s="66"/>
      <c r="X72" s="66"/>
      <c r="Y72" s="64"/>
    </row>
    <row r="73" spans="1:25">
      <c r="A73" s="64"/>
      <c r="B73" s="64"/>
      <c r="D73" s="66"/>
      <c r="G73" s="66"/>
      <c r="I73" s="64"/>
      <c r="K73" s="66"/>
      <c r="M73" s="64"/>
      <c r="N73" s="74"/>
      <c r="O73" s="66"/>
      <c r="P73" s="66"/>
      <c r="Q73" s="74"/>
      <c r="R73" s="74"/>
      <c r="S73" s="66"/>
      <c r="T73" s="66"/>
      <c r="U73" s="74"/>
      <c r="V73" s="74"/>
      <c r="W73" s="66"/>
      <c r="X73" s="66"/>
      <c r="Y73" s="74"/>
    </row>
    <row r="74" spans="1:25">
      <c r="B74" s="166"/>
    </row>
    <row r="75" spans="1:25">
      <c r="A75" s="64"/>
      <c r="B75" s="64"/>
      <c r="D75" s="66"/>
      <c r="G75" s="66"/>
      <c r="I75" s="64"/>
      <c r="K75" s="66"/>
      <c r="M75" s="64"/>
      <c r="N75" s="74"/>
      <c r="O75" s="66"/>
      <c r="P75" s="66"/>
      <c r="Q75" s="74"/>
      <c r="R75" s="74"/>
      <c r="S75" s="66"/>
      <c r="T75" s="66"/>
      <c r="U75" s="74"/>
      <c r="V75" s="74"/>
      <c r="W75" s="66"/>
      <c r="X75" s="66"/>
      <c r="Y75" s="74"/>
    </row>
    <row r="76" spans="1:25">
      <c r="A76" s="64"/>
      <c r="B76" s="64"/>
      <c r="D76" s="66"/>
      <c r="G76" s="66"/>
      <c r="I76" s="64"/>
      <c r="K76" s="66"/>
      <c r="M76" s="64"/>
    </row>
    <row r="77" spans="1:25">
      <c r="A77" s="64"/>
      <c r="B77" s="64"/>
      <c r="D77" s="66"/>
      <c r="F77" s="341"/>
      <c r="I77" s="341"/>
      <c r="J77" s="341"/>
      <c r="M77" s="341"/>
      <c r="N77" s="341"/>
      <c r="Q77" s="341"/>
      <c r="R77" s="341"/>
      <c r="U77" s="341"/>
      <c r="V77" s="341"/>
      <c r="Y77" s="341"/>
    </row>
    <row r="78" spans="1:25">
      <c r="A78" s="64"/>
      <c r="B78" s="64"/>
      <c r="D78" s="66"/>
      <c r="G78" s="66"/>
      <c r="I78" s="64"/>
      <c r="K78" s="66"/>
      <c r="M78" s="64"/>
      <c r="N78" s="74"/>
      <c r="O78" s="66"/>
      <c r="P78" s="66"/>
      <c r="Q78" s="74"/>
      <c r="R78" s="74"/>
      <c r="S78" s="66"/>
      <c r="T78" s="66"/>
      <c r="U78" s="74"/>
      <c r="V78" s="74"/>
      <c r="W78" s="66"/>
      <c r="X78" s="66"/>
      <c r="Y78" s="74"/>
    </row>
    <row r="79" spans="1:25">
      <c r="A79" s="341"/>
      <c r="B79" s="341"/>
      <c r="F79" s="341"/>
      <c r="I79" s="341"/>
      <c r="J79" s="341"/>
      <c r="M79" s="341"/>
      <c r="N79" s="341"/>
      <c r="Q79" s="341"/>
      <c r="R79" s="341"/>
      <c r="U79" s="341"/>
      <c r="V79" s="341"/>
      <c r="Y79" s="341"/>
    </row>
    <row r="80" spans="1:25">
      <c r="A80" s="341"/>
      <c r="B80" s="341"/>
      <c r="F80" s="341"/>
      <c r="I80" s="341"/>
      <c r="J80" s="341"/>
      <c r="M80" s="341"/>
      <c r="N80" s="341"/>
      <c r="Q80" s="341"/>
      <c r="R80" s="341"/>
      <c r="U80" s="341"/>
      <c r="V80" s="341"/>
      <c r="Y80" s="341"/>
    </row>
    <row r="81" spans="1:25">
      <c r="A81" s="341"/>
      <c r="B81" s="341"/>
      <c r="F81" s="341"/>
      <c r="I81" s="341"/>
      <c r="J81" s="341"/>
      <c r="M81" s="341"/>
      <c r="N81" s="341"/>
      <c r="Q81" s="341"/>
      <c r="R81" s="341"/>
      <c r="U81" s="341"/>
      <c r="V81" s="341"/>
      <c r="Y81" s="341"/>
    </row>
    <row r="82" spans="1:25">
      <c r="A82" s="341"/>
      <c r="B82" s="341"/>
      <c r="F82" s="341"/>
      <c r="I82" s="341"/>
      <c r="J82" s="341"/>
      <c r="M82" s="341"/>
      <c r="N82" s="341"/>
      <c r="Q82" s="341"/>
      <c r="R82" s="341"/>
      <c r="U82" s="341"/>
      <c r="V82" s="341"/>
      <c r="Y82" s="341"/>
    </row>
  </sheetData>
  <sheetProtection password="C511" sheet="1" objects="1" scenarios="1"/>
  <customSheetViews>
    <customSheetView guid="{E5DF83AA-DC53-4EBF-A523-33DA0FE284E8}" scale="75" showPageBreaks="1" printArea="1">
      <selection activeCell="B4" sqref="B4:E4"/>
      <pageMargins left="0" right="0" top="1" bottom="1" header="0.5" footer="0.5"/>
      <printOptions horizontalCentered="1" verticalCentered="1"/>
      <pageSetup paperSize="5" scale="55" orientation="landscape" cellComments="asDisplayed" r:id="rId1"/>
      <headerFooter alignWithMargins="0">
        <oddHeader>&amp;C&amp;"Arial,Bold"Table I-2
Pacific Gas and Electric Company
Program Subscription Statistics
January 2010</oddHeader>
        <oddFooter>&amp;L&amp;F</oddFooter>
      </headerFooter>
    </customSheetView>
  </customSheetViews>
  <mergeCells count="12">
    <mergeCell ref="N37:Q37"/>
    <mergeCell ref="R3:U3"/>
    <mergeCell ref="V3:Y3"/>
    <mergeCell ref="R37:U37"/>
    <mergeCell ref="V37:Y37"/>
    <mergeCell ref="N3:Q3"/>
    <mergeCell ref="B3:E3"/>
    <mergeCell ref="F3:I3"/>
    <mergeCell ref="B37:E37"/>
    <mergeCell ref="F37:I37"/>
    <mergeCell ref="J37:M37"/>
    <mergeCell ref="J3:M3"/>
  </mergeCells>
  <phoneticPr fontId="0" type="noConversion"/>
  <printOptions horizontalCentered="1"/>
  <pageMargins left="0" right="0" top="0.93854166666666705" bottom="0.25" header="0.13" footer="0.1"/>
  <pageSetup paperSize="17" scale="70" orientation="landscape" cellComments="atEnd" r:id="rId2"/>
  <headerFooter alignWithMargins="0">
    <oddHeader>&amp;C&amp;"Arial,Bold"Table I-2
Pacific Gas and Electric Company 
Program Subscription Statistics
November 2011</oddHeader>
    <oddFooter>&amp;L&amp;F&amp;CPage 6 of 11&amp;R&amp;A</oddFooter>
  </headerFooter>
  <ignoredErrors>
    <ignoredError sqref="I6:I8 E5 I5 E6:E8 M5:M8 Q5:Q8 Q10:Q16 M10:M16 E10:E16 I10:I16 T25 I9 E9 M9 Q9 U10:U16 U9 Y5:Y9 Y10:Y16 E20:E24 C59:D59 Y20:Y24 W59:X59 V32:Y32 I20:I24 E39:E50 Q39:Q50 M39:M50 I39:I50 U39:U50 Y39:Y50 G51:T51 E54:E58 B66:D66 I54:I58 M54:M58 Q54:Q58 U54:U58 Y54:Y58 G59:H59 K59:L59 O59:P59 S59:T59 B32:D32 C17:L17 C25:L25 M20:M24 M25 O17:Q19 O25:Q25 U20:U24 Q20:Q24 U8 U17:U19 U25 C51:D51 S25 S17:S19 T17:T19 U5:U6 X25 X17:X19 V17:V25 W17:W19 W25 V51:Y51" emptyCellReference="1"/>
    <ignoredError sqref="E32:U32 E66:Y66 U7" formula="1" emptyCellReference="1"/>
    <ignoredError sqref="G43 L4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77"/>
  <sheetViews>
    <sheetView showGridLines="0" tabSelected="1" view="pageLayout" topLeftCell="A2" zoomScaleNormal="75" zoomScaleSheetLayoutView="90" workbookViewId="0">
      <selection activeCell="K40" sqref="K40"/>
    </sheetView>
  </sheetViews>
  <sheetFormatPr defaultRowHeight="12.75"/>
  <cols>
    <col min="1" max="1" width="52" style="82" customWidth="1"/>
    <col min="2" max="2" width="17.7109375" style="204" customWidth="1"/>
    <col min="3" max="4" width="10.5703125" style="101" customWidth="1"/>
    <col min="5" max="14" width="10.5703125" style="82" customWidth="1"/>
    <col min="15" max="16" width="14.28515625" style="82" customWidth="1"/>
    <col min="17" max="17" width="13.140625" style="82" customWidth="1"/>
    <col min="18" max="18" width="14.42578125" style="82" customWidth="1"/>
    <col min="19" max="19" width="9.7109375" style="82" customWidth="1"/>
    <col min="20" max="16384" width="9.140625" style="82"/>
  </cols>
  <sheetData>
    <row r="1" spans="1:19" s="269" customFormat="1" ht="10.5" customHeight="1">
      <c r="A1" s="268" t="s">
        <v>66</v>
      </c>
      <c r="B1" s="380"/>
    </row>
    <row r="2" spans="1:19" s="101" customFormat="1" ht="5.25" customHeight="1" thickBot="1">
      <c r="B2" s="381"/>
    </row>
    <row r="3" spans="1:19" ht="4.5" hidden="1" customHeight="1">
      <c r="A3" s="83"/>
      <c r="B3" s="382"/>
      <c r="C3" s="84"/>
      <c r="D3" s="84"/>
      <c r="E3" s="84"/>
      <c r="F3" s="84"/>
      <c r="G3" s="84"/>
      <c r="H3" s="84"/>
      <c r="I3" s="84"/>
      <c r="J3" s="84"/>
      <c r="K3" s="84"/>
      <c r="L3" s="84"/>
      <c r="M3" s="84"/>
      <c r="N3" s="101"/>
      <c r="O3" s="101"/>
      <c r="P3" s="101"/>
      <c r="Q3" s="156"/>
      <c r="R3" s="156"/>
      <c r="S3" s="247"/>
    </row>
    <row r="4" spans="1:19" s="84" customFormat="1" ht="4.5" hidden="1" customHeight="1">
      <c r="A4" s="171"/>
      <c r="B4" s="383"/>
      <c r="C4" s="241"/>
      <c r="D4" s="241"/>
      <c r="E4" s="101"/>
      <c r="F4" s="101"/>
      <c r="G4" s="101"/>
      <c r="H4" s="101"/>
      <c r="I4" s="101"/>
      <c r="J4" s="101"/>
      <c r="K4" s="101"/>
      <c r="L4" s="101"/>
      <c r="M4" s="101"/>
      <c r="N4" s="241"/>
      <c r="O4" s="241"/>
      <c r="P4" s="241"/>
      <c r="Q4" s="160"/>
      <c r="R4" s="160"/>
      <c r="S4" s="270"/>
    </row>
    <row r="5" spans="1:19" ht="50.25" customHeight="1">
      <c r="A5" s="271" t="s">
        <v>19</v>
      </c>
      <c r="B5" s="384" t="s">
        <v>168</v>
      </c>
      <c r="C5" s="272" t="s">
        <v>0</v>
      </c>
      <c r="D5" s="272" t="s">
        <v>1</v>
      </c>
      <c r="E5" s="272" t="s">
        <v>2</v>
      </c>
      <c r="F5" s="272" t="s">
        <v>3</v>
      </c>
      <c r="G5" s="272" t="s">
        <v>4</v>
      </c>
      <c r="H5" s="272" t="s">
        <v>5</v>
      </c>
      <c r="I5" s="272" t="s">
        <v>6</v>
      </c>
      <c r="J5" s="272" t="s">
        <v>7</v>
      </c>
      <c r="K5" s="272" t="s">
        <v>8</v>
      </c>
      <c r="L5" s="272" t="s">
        <v>9</v>
      </c>
      <c r="M5" s="272" t="s">
        <v>10</v>
      </c>
      <c r="N5" s="272" t="s">
        <v>11</v>
      </c>
      <c r="O5" s="273" t="s">
        <v>158</v>
      </c>
      <c r="P5" s="273" t="s">
        <v>167</v>
      </c>
      <c r="Q5" s="273" t="s">
        <v>208</v>
      </c>
      <c r="R5" s="273" t="s">
        <v>157</v>
      </c>
      <c r="S5" s="274" t="s">
        <v>55</v>
      </c>
    </row>
    <row r="6" spans="1:19">
      <c r="A6" s="450" t="s">
        <v>33</v>
      </c>
      <c r="B6" s="385"/>
      <c r="C6" s="85"/>
      <c r="D6" s="85"/>
      <c r="E6" s="85"/>
      <c r="F6" s="85"/>
      <c r="G6" s="85"/>
      <c r="H6" s="85"/>
      <c r="I6" s="85"/>
      <c r="J6" s="85"/>
      <c r="K6" s="85"/>
      <c r="L6" s="85"/>
      <c r="M6" s="85"/>
      <c r="N6" s="155"/>
      <c r="O6" s="161"/>
      <c r="P6" s="86" t="s">
        <v>13</v>
      </c>
      <c r="Q6" s="87"/>
      <c r="R6" s="87"/>
      <c r="S6" s="248"/>
    </row>
    <row r="7" spans="1:19">
      <c r="A7" s="167" t="s">
        <v>77</v>
      </c>
      <c r="B7" s="386">
        <v>457892.44467834895</v>
      </c>
      <c r="C7" s="85">
        <v>17063.816962388744</v>
      </c>
      <c r="D7" s="85">
        <v>11484.692018032994</v>
      </c>
      <c r="E7" s="85">
        <v>9789.43</v>
      </c>
      <c r="F7" s="85">
        <v>-8181.07</v>
      </c>
      <c r="G7" s="242">
        <v>12120.01</v>
      </c>
      <c r="H7" s="85">
        <v>34753.1</v>
      </c>
      <c r="I7" s="242">
        <v>13212.01</v>
      </c>
      <c r="J7" s="242">
        <v>9330.5</v>
      </c>
      <c r="K7" s="242">
        <v>9815.93</v>
      </c>
      <c r="L7" s="242">
        <v>9398.4699999999993</v>
      </c>
      <c r="M7" s="242">
        <v>9325.83</v>
      </c>
      <c r="N7" s="165"/>
      <c r="O7" s="88">
        <f>SUM(C7:N7)</f>
        <v>128112.71898042173</v>
      </c>
      <c r="P7" s="89">
        <f>+B7+O7</f>
        <v>586005.16365877073</v>
      </c>
      <c r="Q7" s="90">
        <v>800000</v>
      </c>
      <c r="R7" s="90"/>
      <c r="S7" s="249">
        <f>+P7/Q7</f>
        <v>0.73250645457346342</v>
      </c>
    </row>
    <row r="8" spans="1:19" ht="24">
      <c r="A8" s="168" t="s">
        <v>78</v>
      </c>
      <c r="B8" s="462">
        <v>31276.722406267796</v>
      </c>
      <c r="C8" s="463">
        <v>3957.6077488943106</v>
      </c>
      <c r="D8" s="463">
        <v>3152.2934433538908</v>
      </c>
      <c r="E8" s="464">
        <v>3490</v>
      </c>
      <c r="F8" s="464">
        <v>-1646.71</v>
      </c>
      <c r="G8" s="464">
        <v>2487.19</v>
      </c>
      <c r="H8" s="464">
        <v>3100.83</v>
      </c>
      <c r="I8" s="465">
        <v>3169.12</v>
      </c>
      <c r="J8" s="465">
        <v>3092.25</v>
      </c>
      <c r="K8" s="465">
        <v>2841.9</v>
      </c>
      <c r="L8" s="465">
        <v>2297.9699999999998</v>
      </c>
      <c r="M8" s="465">
        <v>2369.1799999999998</v>
      </c>
      <c r="N8" s="466"/>
      <c r="O8" s="466">
        <f>SUM(C8:N8)</f>
        <v>28311.631192248205</v>
      </c>
      <c r="P8" s="467">
        <f>+B8+O8</f>
        <v>59588.353598515998</v>
      </c>
      <c r="Q8" s="90">
        <v>138000</v>
      </c>
      <c r="R8" s="190"/>
      <c r="S8" s="250">
        <f>+P8/Q8</f>
        <v>0.43179966375736228</v>
      </c>
    </row>
    <row r="9" spans="1:19">
      <c r="A9" s="170" t="s">
        <v>27</v>
      </c>
      <c r="B9" s="387">
        <f>SUM(B7:B8)</f>
        <v>489169.16708461673</v>
      </c>
      <c r="C9" s="154">
        <f t="shared" ref="C9:Q9" si="0">SUM(C7:C8)</f>
        <v>21021.424711283056</v>
      </c>
      <c r="D9" s="154">
        <f t="shared" si="0"/>
        <v>14636.985461386885</v>
      </c>
      <c r="E9" s="94">
        <f t="shared" si="0"/>
        <v>13279.43</v>
      </c>
      <c r="F9" s="94">
        <f t="shared" si="0"/>
        <v>-9827.7799999999988</v>
      </c>
      <c r="G9" s="94">
        <f t="shared" si="0"/>
        <v>14607.2</v>
      </c>
      <c r="H9" s="94">
        <f t="shared" si="0"/>
        <v>37853.93</v>
      </c>
      <c r="I9" s="94">
        <f t="shared" si="0"/>
        <v>16381.130000000001</v>
      </c>
      <c r="J9" s="94">
        <f t="shared" si="0"/>
        <v>12422.75</v>
      </c>
      <c r="K9" s="94">
        <f t="shared" si="0"/>
        <v>12657.83</v>
      </c>
      <c r="L9" s="94">
        <f t="shared" si="0"/>
        <v>11696.439999999999</v>
      </c>
      <c r="M9" s="94">
        <v>11695.01</v>
      </c>
      <c r="N9" s="158">
        <f t="shared" si="0"/>
        <v>0</v>
      </c>
      <c r="O9" s="158">
        <f t="shared" si="0"/>
        <v>156424.35017266995</v>
      </c>
      <c r="P9" s="158">
        <f t="shared" si="0"/>
        <v>645593.5172572867</v>
      </c>
      <c r="Q9" s="158">
        <f t="shared" si="0"/>
        <v>938000</v>
      </c>
      <c r="R9" s="158"/>
      <c r="S9" s="251">
        <f>+P9/Q9</f>
        <v>0.68826600986917563</v>
      </c>
    </row>
    <row r="10" spans="1:19" s="101" customFormat="1" ht="3.75" customHeight="1">
      <c r="A10" s="252"/>
      <c r="B10" s="386"/>
      <c r="N10" s="160"/>
      <c r="O10" s="160"/>
      <c r="P10" s="96"/>
      <c r="Q10" s="96"/>
      <c r="R10" s="96"/>
      <c r="S10" s="253"/>
    </row>
    <row r="11" spans="1:19" s="101" customFormat="1">
      <c r="A11" s="450" t="s">
        <v>34</v>
      </c>
      <c r="B11" s="386"/>
      <c r="N11" s="156"/>
      <c r="O11" s="156"/>
      <c r="P11" s="87"/>
      <c r="Q11" s="87"/>
      <c r="R11" s="87"/>
      <c r="S11" s="248"/>
    </row>
    <row r="12" spans="1:19">
      <c r="A12" s="167" t="s">
        <v>80</v>
      </c>
      <c r="B12" s="386">
        <v>727935.19531496218</v>
      </c>
      <c r="C12" s="85">
        <v>2010.54</v>
      </c>
      <c r="D12" s="85">
        <v>2033.45</v>
      </c>
      <c r="E12" s="85">
        <v>2018</v>
      </c>
      <c r="F12" s="85">
        <v>1929.44</v>
      </c>
      <c r="G12" s="85">
        <v>1842.75</v>
      </c>
      <c r="H12" s="85">
        <v>2030.12</v>
      </c>
      <c r="I12" s="242">
        <v>1846.3</v>
      </c>
      <c r="J12" s="242">
        <v>1838.92</v>
      </c>
      <c r="K12" s="242">
        <v>1853.75</v>
      </c>
      <c r="L12" s="242">
        <v>1908.8</v>
      </c>
      <c r="M12" s="242">
        <v>1833.94</v>
      </c>
      <c r="N12" s="88"/>
      <c r="O12" s="88">
        <f>SUM(C12:N12)</f>
        <v>21146.009999999995</v>
      </c>
      <c r="P12" s="89">
        <f>B12+O12</f>
        <v>749081.20531496219</v>
      </c>
      <c r="Q12" s="89">
        <v>1758000</v>
      </c>
      <c r="R12" s="88">
        <v>-1756000</v>
      </c>
      <c r="S12" s="254">
        <f>+P12/Q12</f>
        <v>0.42609852406994436</v>
      </c>
    </row>
    <row r="13" spans="1:19">
      <c r="A13" s="234" t="s">
        <v>76</v>
      </c>
      <c r="B13" s="386">
        <v>1084158.3972458104</v>
      </c>
      <c r="C13" s="85">
        <v>46816.74291626273</v>
      </c>
      <c r="D13" s="85">
        <v>47030.131679105012</v>
      </c>
      <c r="E13" s="85">
        <v>38240</v>
      </c>
      <c r="F13" s="85">
        <v>89</v>
      </c>
      <c r="G13" s="85">
        <v>30846.32</v>
      </c>
      <c r="H13" s="85">
        <v>86459.53</v>
      </c>
      <c r="I13" s="242">
        <v>34827.11</v>
      </c>
      <c r="J13" s="242">
        <v>31376.3</v>
      </c>
      <c r="K13" s="242">
        <v>32614.66</v>
      </c>
      <c r="L13" s="242">
        <v>33329.660000000003</v>
      </c>
      <c r="M13" s="242">
        <v>32148.850000000009</v>
      </c>
      <c r="N13" s="88"/>
      <c r="O13" s="88">
        <f>SUM(C13:N13)</f>
        <v>413778.30459536781</v>
      </c>
      <c r="P13" s="89">
        <f>B13+O13</f>
        <v>1497936.7018411781</v>
      </c>
      <c r="Q13" s="89">
        <v>3216000</v>
      </c>
      <c r="R13" s="89"/>
      <c r="S13" s="249">
        <f>+P13/Q13</f>
        <v>0.46577633763718224</v>
      </c>
    </row>
    <row r="14" spans="1:19">
      <c r="A14" s="167" t="s">
        <v>191</v>
      </c>
      <c r="B14" s="386">
        <v>1364859.5544659228</v>
      </c>
      <c r="C14" s="154">
        <v>66790.285202250423</v>
      </c>
      <c r="D14" s="154">
        <v>68611.299411171116</v>
      </c>
      <c r="E14" s="85">
        <v>37797</v>
      </c>
      <c r="F14" s="85">
        <v>-16608.79</v>
      </c>
      <c r="G14" s="85">
        <v>37171.43</v>
      </c>
      <c r="H14" s="85">
        <v>82664.460000000006</v>
      </c>
      <c r="I14" s="242">
        <v>148104.81</v>
      </c>
      <c r="J14" s="242">
        <v>119362.48</v>
      </c>
      <c r="K14" s="242">
        <v>230974.12</v>
      </c>
      <c r="L14" s="242">
        <v>1204812.47</v>
      </c>
      <c r="M14" s="242">
        <v>148577.51000000007</v>
      </c>
      <c r="N14" s="157"/>
      <c r="O14" s="88">
        <f>SUM(C14:N14)</f>
        <v>2128257.0746134217</v>
      </c>
      <c r="P14" s="89">
        <f>B14+O14</f>
        <v>3493116.6290793447</v>
      </c>
      <c r="Q14" s="89">
        <v>9000000</v>
      </c>
      <c r="R14" s="89"/>
      <c r="S14" s="255">
        <f>+P14/Q14</f>
        <v>0.38812406989770498</v>
      </c>
    </row>
    <row r="15" spans="1:19">
      <c r="A15" s="170" t="s">
        <v>28</v>
      </c>
      <c r="B15" s="387">
        <f>SUM(B12:B14)</f>
        <v>3176953.1470266953</v>
      </c>
      <c r="C15" s="154">
        <f t="shared" ref="C15:N15" si="1">SUM(C12:C14)</f>
        <v>115617.56811851315</v>
      </c>
      <c r="D15" s="154">
        <f t="shared" si="1"/>
        <v>117674.88109027612</v>
      </c>
      <c r="E15" s="94">
        <f t="shared" si="1"/>
        <v>78055</v>
      </c>
      <c r="F15" s="94">
        <f t="shared" si="1"/>
        <v>-14590.35</v>
      </c>
      <c r="G15" s="94">
        <f t="shared" si="1"/>
        <v>69860.5</v>
      </c>
      <c r="H15" s="94">
        <f t="shared" si="1"/>
        <v>171154.11</v>
      </c>
      <c r="I15" s="94">
        <f t="shared" si="1"/>
        <v>184778.22</v>
      </c>
      <c r="J15" s="94">
        <f t="shared" si="1"/>
        <v>152577.70000000001</v>
      </c>
      <c r="K15" s="94">
        <f t="shared" si="1"/>
        <v>265442.53000000003</v>
      </c>
      <c r="L15" s="94">
        <f t="shared" si="1"/>
        <v>1240050.93</v>
      </c>
      <c r="M15" s="94">
        <v>182560.30000000008</v>
      </c>
      <c r="N15" s="157">
        <f t="shared" si="1"/>
        <v>0</v>
      </c>
      <c r="O15" s="158">
        <f t="shared" ref="O15" si="2">SUM(O13:O14)</f>
        <v>2542035.3792087897</v>
      </c>
      <c r="P15" s="158">
        <f t="shared" ref="P15:Q15" si="3">SUM(P12:P14)</f>
        <v>5740134.5362354852</v>
      </c>
      <c r="Q15" s="158">
        <f t="shared" si="3"/>
        <v>13974000</v>
      </c>
      <c r="R15" s="95"/>
      <c r="S15" s="255">
        <f>+P15/Q15</f>
        <v>0.41077247289505403</v>
      </c>
    </row>
    <row r="16" spans="1:19" ht="4.5" customHeight="1">
      <c r="A16" s="171"/>
      <c r="B16" s="386"/>
      <c r="C16" s="85"/>
      <c r="D16" s="85"/>
      <c r="E16" s="85"/>
      <c r="F16" s="85"/>
      <c r="G16" s="85"/>
      <c r="H16" s="85"/>
      <c r="I16" s="85"/>
      <c r="J16" s="85"/>
      <c r="K16" s="85"/>
      <c r="L16" s="85"/>
      <c r="M16" s="85"/>
      <c r="N16" s="155"/>
      <c r="O16" s="88"/>
      <c r="P16" s="89"/>
      <c r="Q16" s="89"/>
      <c r="R16" s="89"/>
      <c r="S16" s="256"/>
    </row>
    <row r="17" spans="1:19">
      <c r="A17" s="450" t="s">
        <v>35</v>
      </c>
      <c r="B17" s="386"/>
      <c r="C17" s="85"/>
      <c r="D17" s="85"/>
      <c r="E17" s="85"/>
      <c r="F17" s="85"/>
      <c r="G17" s="85"/>
      <c r="H17" s="85"/>
      <c r="I17" s="85"/>
      <c r="J17" s="85"/>
      <c r="K17" s="85"/>
      <c r="L17" s="85"/>
      <c r="M17" s="85"/>
      <c r="N17" s="88"/>
      <c r="O17" s="88"/>
      <c r="P17" s="89"/>
      <c r="Q17" s="89"/>
      <c r="R17" s="191"/>
      <c r="S17" s="256"/>
    </row>
    <row r="18" spans="1:19">
      <c r="A18" s="167" t="s">
        <v>79</v>
      </c>
      <c r="B18" s="386">
        <v>1953211.1424222686</v>
      </c>
      <c r="C18" s="85">
        <v>82802.785848508618</v>
      </c>
      <c r="D18" s="85">
        <v>58912.551309194314</v>
      </c>
      <c r="E18" s="85">
        <v>26860</v>
      </c>
      <c r="F18" s="243">
        <v>69744</v>
      </c>
      <c r="G18" s="85">
        <v>73518</v>
      </c>
      <c r="H18" s="85">
        <v>74164.240000000005</v>
      </c>
      <c r="I18" s="242">
        <v>72199.259999999995</v>
      </c>
      <c r="J18" s="242">
        <v>69675</v>
      </c>
      <c r="K18" s="242">
        <v>72974.91</v>
      </c>
      <c r="L18" s="242">
        <v>83789.34</v>
      </c>
      <c r="M18" s="242">
        <v>79840.239999999991</v>
      </c>
      <c r="N18" s="196"/>
      <c r="O18" s="88">
        <f>SUM(C18:N18)</f>
        <v>764480.327157703</v>
      </c>
      <c r="P18" s="89">
        <f>B18+O18</f>
        <v>2717691.4695799714</v>
      </c>
      <c r="Q18" s="88">
        <v>5371076</v>
      </c>
      <c r="R18" s="89">
        <v>1756000</v>
      </c>
      <c r="S18" s="254">
        <f>+P18/Q18</f>
        <v>0.5059864112107092</v>
      </c>
    </row>
    <row r="19" spans="1:19">
      <c r="A19" s="167" t="s">
        <v>82</v>
      </c>
      <c r="B19" s="386">
        <v>1440691.7493454064</v>
      </c>
      <c r="C19" s="85">
        <v>102936.61796045222</v>
      </c>
      <c r="D19" s="85">
        <v>173063.89683464754</v>
      </c>
      <c r="E19" s="85">
        <v>196429</v>
      </c>
      <c r="F19" s="85">
        <v>222568.93</v>
      </c>
      <c r="G19" s="85">
        <v>158603.03</v>
      </c>
      <c r="H19" s="85">
        <v>133207.6</v>
      </c>
      <c r="I19" s="242">
        <v>77690.25</v>
      </c>
      <c r="J19" s="242">
        <v>72661.31</v>
      </c>
      <c r="K19" s="242">
        <v>82903.72</v>
      </c>
      <c r="L19" s="242">
        <v>89239.18</v>
      </c>
      <c r="M19" s="242">
        <v>85090.639999999985</v>
      </c>
      <c r="N19" s="163"/>
      <c r="O19" s="88">
        <f>SUM(C19:N19)</f>
        <v>1394394.1747950998</v>
      </c>
      <c r="P19" s="89">
        <f>B19+O19</f>
        <v>2835085.9241405064</v>
      </c>
      <c r="Q19" s="192">
        <v>5083998</v>
      </c>
      <c r="R19" s="193">
        <v>2311998</v>
      </c>
      <c r="S19" s="249">
        <f>+P19/Q19</f>
        <v>0.55764890626245456</v>
      </c>
    </row>
    <row r="20" spans="1:19">
      <c r="A20" s="169" t="s">
        <v>100</v>
      </c>
      <c r="B20" s="388">
        <v>929980.03</v>
      </c>
      <c r="C20" s="154">
        <v>0</v>
      </c>
      <c r="D20" s="154">
        <v>0</v>
      </c>
      <c r="E20" s="154">
        <v>0</v>
      </c>
      <c r="F20" s="154">
        <v>0</v>
      </c>
      <c r="G20" s="154">
        <v>0</v>
      </c>
      <c r="H20" s="154">
        <v>0</v>
      </c>
      <c r="I20" s="154">
        <v>0</v>
      </c>
      <c r="J20" s="154">
        <v>0</v>
      </c>
      <c r="K20" s="154">
        <v>0</v>
      </c>
      <c r="L20" s="154">
        <v>0</v>
      </c>
      <c r="M20" s="154">
        <v>0</v>
      </c>
      <c r="N20" s="164"/>
      <c r="O20" s="157">
        <f>SUM(C20:N20)</f>
        <v>0</v>
      </c>
      <c r="P20" s="97">
        <f>B20+O20</f>
        <v>929980.03</v>
      </c>
      <c r="Q20" s="97">
        <v>2311998</v>
      </c>
      <c r="R20" s="154">
        <v>-2311998</v>
      </c>
      <c r="S20" s="255">
        <f>+P20/Q20</f>
        <v>0.40224084536405308</v>
      </c>
    </row>
    <row r="21" spans="1:19">
      <c r="A21" s="170" t="s">
        <v>36</v>
      </c>
      <c r="B21" s="389">
        <f>SUM(B18:B20)</f>
        <v>4323882.9217676753</v>
      </c>
      <c r="C21" s="154">
        <f t="shared" ref="C21:H21" si="4">SUM(C18:C20)</f>
        <v>185739.40380896084</v>
      </c>
      <c r="D21" s="154">
        <f t="shared" si="4"/>
        <v>231976.44814384187</v>
      </c>
      <c r="E21" s="154">
        <f t="shared" si="4"/>
        <v>223289</v>
      </c>
      <c r="F21" s="154">
        <f t="shared" si="4"/>
        <v>292312.93</v>
      </c>
      <c r="G21" s="154">
        <f t="shared" si="4"/>
        <v>232121.03</v>
      </c>
      <c r="H21" s="154">
        <f t="shared" si="4"/>
        <v>207371.84000000003</v>
      </c>
      <c r="I21" s="154">
        <f t="shared" ref="I21:N21" si="5">SUM(I18:I20)</f>
        <v>149889.51</v>
      </c>
      <c r="J21" s="154">
        <f t="shared" si="5"/>
        <v>142336.31</v>
      </c>
      <c r="K21" s="154">
        <f t="shared" si="5"/>
        <v>155878.63</v>
      </c>
      <c r="L21" s="154">
        <f t="shared" si="5"/>
        <v>173028.52</v>
      </c>
      <c r="M21" s="154">
        <v>164930.87999999998</v>
      </c>
      <c r="N21" s="158">
        <f t="shared" si="5"/>
        <v>0</v>
      </c>
      <c r="O21" s="158">
        <f>SUM(O18:O20)</f>
        <v>2158874.5019528028</v>
      </c>
      <c r="P21" s="95">
        <f>SUM(P18:P20)</f>
        <v>6482757.4237204781</v>
      </c>
      <c r="Q21" s="95">
        <f>SUM(Q18:Q20)</f>
        <v>12767072</v>
      </c>
      <c r="R21" s="194"/>
      <c r="S21" s="257">
        <f>+P21/Q21</f>
        <v>0.50777166633982151</v>
      </c>
    </row>
    <row r="22" spans="1:19" ht="3" customHeight="1">
      <c r="A22" s="167"/>
      <c r="B22" s="386"/>
      <c r="C22" s="85"/>
      <c r="D22" s="85"/>
      <c r="E22" s="85"/>
      <c r="F22" s="85"/>
      <c r="G22" s="85"/>
      <c r="H22" s="85"/>
      <c r="I22" s="85"/>
      <c r="J22" s="85"/>
      <c r="K22" s="85"/>
      <c r="L22" s="85"/>
      <c r="M22" s="85"/>
      <c r="N22" s="88"/>
      <c r="O22" s="88"/>
      <c r="P22" s="89"/>
      <c r="Q22" s="90"/>
      <c r="R22" s="90"/>
      <c r="S22" s="258"/>
    </row>
    <row r="23" spans="1:19">
      <c r="A23" s="450" t="s">
        <v>37</v>
      </c>
      <c r="B23" s="386"/>
      <c r="E23" s="101"/>
      <c r="F23" s="101"/>
      <c r="G23" s="101"/>
      <c r="H23" s="101"/>
      <c r="I23" s="101"/>
      <c r="J23" s="101"/>
      <c r="K23" s="101"/>
      <c r="L23" s="101"/>
      <c r="M23" s="101"/>
      <c r="N23" s="156"/>
      <c r="O23" s="156"/>
      <c r="P23" s="87"/>
      <c r="Q23" s="87"/>
      <c r="R23" s="87"/>
      <c r="S23" s="248"/>
    </row>
    <row r="24" spans="1:19">
      <c r="A24" s="167" t="s">
        <v>85</v>
      </c>
      <c r="B24" s="386">
        <v>3125536.2337320745</v>
      </c>
      <c r="C24" s="98">
        <v>76310.667068075971</v>
      </c>
      <c r="D24" s="98">
        <v>269946.21591903514</v>
      </c>
      <c r="E24" s="98">
        <v>124923</v>
      </c>
      <c r="F24" s="243">
        <v>127197</v>
      </c>
      <c r="G24" s="242">
        <v>79014.39</v>
      </c>
      <c r="H24" s="85">
        <v>127958.62</v>
      </c>
      <c r="I24" s="242">
        <v>185514.23</v>
      </c>
      <c r="J24" s="242">
        <v>366066.21</v>
      </c>
      <c r="K24" s="242">
        <v>124099.05</v>
      </c>
      <c r="L24" s="242">
        <v>158454.18</v>
      </c>
      <c r="M24" s="242"/>
      <c r="N24" s="165"/>
      <c r="O24" s="88">
        <f>SUM(C24:N24)</f>
        <v>1639483.562987111</v>
      </c>
      <c r="P24" s="89">
        <f>B24+O24</f>
        <v>4765019.796719186</v>
      </c>
      <c r="Q24" s="89">
        <v>19117000</v>
      </c>
      <c r="R24" s="89">
        <v>3000000</v>
      </c>
      <c r="S24" s="249">
        <f>P24/Q24</f>
        <v>0.24925562571110457</v>
      </c>
    </row>
    <row r="25" spans="1:19">
      <c r="A25" s="167" t="s">
        <v>87</v>
      </c>
      <c r="B25" s="386">
        <v>535364.35594727704</v>
      </c>
      <c r="C25" s="85">
        <v>31502.206180669051</v>
      </c>
      <c r="D25" s="85">
        <v>69105.701680771745</v>
      </c>
      <c r="E25" s="85">
        <v>83661</v>
      </c>
      <c r="F25" s="85">
        <v>-45513.31</v>
      </c>
      <c r="G25" s="85">
        <v>23038.09</v>
      </c>
      <c r="H25" s="85">
        <v>42535.92</v>
      </c>
      <c r="I25" s="242">
        <v>48581.18</v>
      </c>
      <c r="J25" s="242">
        <v>18889.57</v>
      </c>
      <c r="K25" s="242">
        <v>23313.73</v>
      </c>
      <c r="L25" s="242">
        <v>12805.68</v>
      </c>
      <c r="M25" s="242">
        <v>34712.18</v>
      </c>
      <c r="N25" s="88"/>
      <c r="O25" s="88">
        <f>SUM(C25:N25)</f>
        <v>342631.94786144077</v>
      </c>
      <c r="P25" s="89">
        <f>B25+O25</f>
        <v>877996.30380871776</v>
      </c>
      <c r="Q25" s="192">
        <v>2421000</v>
      </c>
      <c r="R25" s="192"/>
      <c r="S25" s="249">
        <f>P25/Q25</f>
        <v>0.36265853110645097</v>
      </c>
    </row>
    <row r="26" spans="1:19">
      <c r="A26" s="169" t="s">
        <v>83</v>
      </c>
      <c r="B26" s="386">
        <v>508404.5913393434</v>
      </c>
      <c r="C26" s="85">
        <v>32707.558333502348</v>
      </c>
      <c r="D26" s="85">
        <v>44274.311069505129</v>
      </c>
      <c r="E26" s="85">
        <v>44502</v>
      </c>
      <c r="F26" s="85">
        <v>31275.82</v>
      </c>
      <c r="G26" s="85">
        <v>29706.82</v>
      </c>
      <c r="H26" s="85">
        <v>36772.58</v>
      </c>
      <c r="I26" s="242">
        <v>46447.17</v>
      </c>
      <c r="J26" s="242">
        <v>382273.36</v>
      </c>
      <c r="K26" s="242">
        <v>-299905.57</v>
      </c>
      <c r="L26" s="242">
        <v>119096.05</v>
      </c>
      <c r="M26" s="242">
        <v>119834.12</v>
      </c>
      <c r="N26" s="88"/>
      <c r="O26" s="88">
        <f>SUM(C26:N26)</f>
        <v>586984.21940300742</v>
      </c>
      <c r="P26" s="89">
        <f>B26+O26</f>
        <v>1095388.8107423508</v>
      </c>
      <c r="Q26" s="89">
        <v>2942000</v>
      </c>
      <c r="R26" s="89"/>
      <c r="S26" s="249">
        <f>P26/Q26</f>
        <v>0.37232794382812739</v>
      </c>
    </row>
    <row r="27" spans="1:19">
      <c r="A27" s="167" t="s">
        <v>86</v>
      </c>
      <c r="B27" s="386">
        <v>114134.7113284173</v>
      </c>
      <c r="C27" s="85">
        <v>11.116729458605732</v>
      </c>
      <c r="D27" s="85">
        <v>69.758315850000102</v>
      </c>
      <c r="E27" s="85">
        <v>2</v>
      </c>
      <c r="F27" s="85">
        <v>0</v>
      </c>
      <c r="G27" s="85">
        <v>0</v>
      </c>
      <c r="H27" s="85">
        <v>0</v>
      </c>
      <c r="I27" s="85">
        <v>0</v>
      </c>
      <c r="J27" s="85">
        <v>0</v>
      </c>
      <c r="K27" s="85">
        <v>0</v>
      </c>
      <c r="L27" s="85">
        <v>0</v>
      </c>
      <c r="M27" s="85">
        <v>0</v>
      </c>
      <c r="N27" s="88"/>
      <c r="O27" s="88">
        <f>SUM(C27:N27)</f>
        <v>82.875045308605834</v>
      </c>
      <c r="P27" s="89">
        <f>B27+O27</f>
        <v>114217.58637372591</v>
      </c>
      <c r="Q27" s="192">
        <v>138000</v>
      </c>
      <c r="R27" s="192"/>
      <c r="S27" s="249">
        <f>P27/Q27</f>
        <v>0.82766366937482538</v>
      </c>
    </row>
    <row r="28" spans="1:19">
      <c r="A28" s="169" t="s">
        <v>84</v>
      </c>
      <c r="B28" s="388">
        <v>757773.87769116322</v>
      </c>
      <c r="C28" s="154">
        <v>-213182.94157410334</v>
      </c>
      <c r="D28" s="154">
        <v>80481.766005180369</v>
      </c>
      <c r="E28" s="85">
        <v>30869</v>
      </c>
      <c r="F28" s="85">
        <v>-105985.21</v>
      </c>
      <c r="G28" s="85">
        <v>28777.48</v>
      </c>
      <c r="H28" s="85">
        <v>32243.72</v>
      </c>
      <c r="I28" s="242">
        <v>38428.050000000003</v>
      </c>
      <c r="J28" s="242">
        <v>31075.12999999999</v>
      </c>
      <c r="K28" s="242">
        <v>39611.530000000006</v>
      </c>
      <c r="L28" s="242">
        <v>29324.28</v>
      </c>
      <c r="M28" s="242">
        <v>36939.000000000007</v>
      </c>
      <c r="N28" s="88"/>
      <c r="O28" s="88">
        <f>SUM(C28:N28)</f>
        <v>28581.804431077049</v>
      </c>
      <c r="P28" s="89">
        <f>B28+O28</f>
        <v>786355.68212224031</v>
      </c>
      <c r="Q28" s="89">
        <v>7310000</v>
      </c>
      <c r="R28" s="89">
        <v>-3000000</v>
      </c>
      <c r="S28" s="255">
        <f>P28/Q28</f>
        <v>0.1075725967335486</v>
      </c>
    </row>
    <row r="29" spans="1:19">
      <c r="A29" s="170" t="s">
        <v>38</v>
      </c>
      <c r="B29" s="389">
        <f>SUM(B24:B28)</f>
        <v>5041213.770038275</v>
      </c>
      <c r="C29" s="154">
        <f>SUM(C24:C28)</f>
        <v>-72651.393262397352</v>
      </c>
      <c r="D29" s="154">
        <f>SUM(D24:D28)</f>
        <v>463877.75299034239</v>
      </c>
      <c r="E29" s="94">
        <f t="shared" ref="E29:N29" si="6">SUM(E24:E28)</f>
        <v>283957</v>
      </c>
      <c r="F29" s="94">
        <f t="shared" si="6"/>
        <v>6974.3000000000029</v>
      </c>
      <c r="G29" s="94">
        <f t="shared" si="6"/>
        <v>160536.78</v>
      </c>
      <c r="H29" s="94">
        <f t="shared" si="6"/>
        <v>239510.84</v>
      </c>
      <c r="I29" s="94">
        <f t="shared" si="6"/>
        <v>318970.63</v>
      </c>
      <c r="J29" s="94">
        <f t="shared" si="6"/>
        <v>798304.27</v>
      </c>
      <c r="K29" s="94">
        <f t="shared" si="6"/>
        <v>-112881.26000000001</v>
      </c>
      <c r="L29" s="94">
        <f t="shared" si="6"/>
        <v>319680.18999999994</v>
      </c>
      <c r="M29" s="94">
        <v>191485.3</v>
      </c>
      <c r="N29" s="158">
        <f t="shared" si="6"/>
        <v>0</v>
      </c>
      <c r="O29" s="158">
        <f>SUM(O24:O28)</f>
        <v>2597764.4097279445</v>
      </c>
      <c r="P29" s="95">
        <f>SUM(P24:P28)</f>
        <v>7638978.179766221</v>
      </c>
      <c r="Q29" s="95">
        <f>SUM(Q24:Q28)</f>
        <v>31928000</v>
      </c>
      <c r="R29" s="95"/>
      <c r="S29" s="255">
        <f>+P29/Q29</f>
        <v>0.23925639500645893</v>
      </c>
    </row>
    <row r="30" spans="1:19" ht="3" customHeight="1">
      <c r="A30" s="167"/>
      <c r="B30" s="386"/>
      <c r="C30" s="85"/>
      <c r="D30" s="85"/>
      <c r="E30" s="85"/>
      <c r="F30" s="85"/>
      <c r="G30" s="85"/>
      <c r="H30" s="85"/>
      <c r="I30" s="85"/>
      <c r="J30" s="85"/>
      <c r="K30" s="85"/>
      <c r="L30" s="85"/>
      <c r="M30" s="85"/>
      <c r="N30" s="88"/>
      <c r="O30" s="88"/>
      <c r="P30" s="89"/>
      <c r="Q30" s="89"/>
      <c r="R30" s="89"/>
      <c r="S30" s="256"/>
    </row>
    <row r="31" spans="1:19">
      <c r="A31" s="450" t="s">
        <v>39</v>
      </c>
      <c r="B31" s="386"/>
      <c r="C31" s="85"/>
      <c r="D31" s="85"/>
      <c r="E31" s="85"/>
      <c r="F31" s="85"/>
      <c r="G31" s="85"/>
      <c r="H31" s="85"/>
      <c r="I31" s="85"/>
      <c r="J31" s="85"/>
      <c r="K31" s="85"/>
      <c r="L31" s="85"/>
      <c r="M31" s="85"/>
      <c r="N31" s="88"/>
      <c r="O31" s="88"/>
      <c r="P31" s="89"/>
      <c r="Q31" s="89"/>
      <c r="R31" s="89"/>
      <c r="S31" s="256"/>
    </row>
    <row r="32" spans="1:19">
      <c r="A32" s="168" t="s">
        <v>137</v>
      </c>
      <c r="B32" s="386">
        <v>1279289.7060573208</v>
      </c>
      <c r="C32" s="91">
        <v>9131.8575531418319</v>
      </c>
      <c r="D32" s="91">
        <v>12042.408137595346</v>
      </c>
      <c r="E32" s="91">
        <v>3087</v>
      </c>
      <c r="F32" s="85">
        <v>-1954.27</v>
      </c>
      <c r="G32" s="85">
        <v>4161.8999999999996</v>
      </c>
      <c r="H32" s="85">
        <v>4748.49</v>
      </c>
      <c r="I32" s="242">
        <v>3698.12</v>
      </c>
      <c r="J32" s="242">
        <v>1294.3699999999999</v>
      </c>
      <c r="K32" s="242">
        <v>0</v>
      </c>
      <c r="L32" s="242">
        <v>9576</v>
      </c>
      <c r="M32" s="242">
        <v>8756.5300000000007</v>
      </c>
      <c r="N32" s="88"/>
      <c r="O32" s="92">
        <f>SUM(C32:N32)</f>
        <v>54542.405690737178</v>
      </c>
      <c r="P32" s="93">
        <f>B32+O32</f>
        <v>1333832.1117480579</v>
      </c>
      <c r="Q32" s="93">
        <v>2000000</v>
      </c>
      <c r="R32" s="93"/>
      <c r="S32" s="259">
        <f t="shared" ref="S32:S37" si="7">P32/Q32</f>
        <v>0.66691605587402891</v>
      </c>
    </row>
    <row r="33" spans="1:19">
      <c r="A33" s="167" t="s">
        <v>99</v>
      </c>
      <c r="B33" s="386">
        <v>184874.05866965133</v>
      </c>
      <c r="C33" s="85">
        <v>18351.935682103645</v>
      </c>
      <c r="D33" s="85">
        <v>72135.657605772343</v>
      </c>
      <c r="E33" s="85">
        <v>29530</v>
      </c>
      <c r="F33" s="85">
        <v>31713.22</v>
      </c>
      <c r="G33" s="85">
        <v>53882.36</v>
      </c>
      <c r="H33" s="85">
        <v>126076.11</v>
      </c>
      <c r="I33" s="242">
        <v>102619</v>
      </c>
      <c r="J33" s="242">
        <v>149278.85</v>
      </c>
      <c r="K33" s="242">
        <v>23136.52</v>
      </c>
      <c r="L33" s="242">
        <v>44415.110000000015</v>
      </c>
      <c r="M33" s="242">
        <v>156408.71000000002</v>
      </c>
      <c r="N33" s="88"/>
      <c r="O33" s="92">
        <f>SUM(C33:N33)</f>
        <v>807547.473287876</v>
      </c>
      <c r="P33" s="93">
        <f>B33+O33</f>
        <v>992421.53195752739</v>
      </c>
      <c r="Q33" s="89">
        <v>1764000</v>
      </c>
      <c r="R33" s="89"/>
      <c r="S33" s="259">
        <f t="shared" si="7"/>
        <v>0.56259724033873437</v>
      </c>
    </row>
    <row r="34" spans="1:19">
      <c r="A34" s="167" t="s">
        <v>88</v>
      </c>
      <c r="B34" s="386">
        <v>219149.1382955123</v>
      </c>
      <c r="C34" s="85">
        <v>119427.8927387733</v>
      </c>
      <c r="D34" s="85">
        <v>38994.519003780646</v>
      </c>
      <c r="E34" s="85">
        <v>45244</v>
      </c>
      <c r="F34" s="85">
        <v>51511.57</v>
      </c>
      <c r="G34" s="85">
        <v>-22086.720000000001</v>
      </c>
      <c r="H34" s="85">
        <v>146027.51</v>
      </c>
      <c r="I34" s="242">
        <v>46306.36</v>
      </c>
      <c r="J34" s="242">
        <v>53581.94</v>
      </c>
      <c r="K34" s="242">
        <v>35346.410000000003</v>
      </c>
      <c r="L34" s="242">
        <v>49337.43</v>
      </c>
      <c r="M34" s="242">
        <v>28445.910000000003</v>
      </c>
      <c r="N34" s="88"/>
      <c r="O34" s="92">
        <f>SUM(C34:N34)</f>
        <v>592136.82174255396</v>
      </c>
      <c r="P34" s="93">
        <f>B34+O34</f>
        <v>811285.96003806626</v>
      </c>
      <c r="Q34" s="89">
        <v>1010000</v>
      </c>
      <c r="R34" s="89"/>
      <c r="S34" s="259">
        <f t="shared" si="7"/>
        <v>0.8032534257802636</v>
      </c>
    </row>
    <row r="35" spans="1:19">
      <c r="A35" s="167" t="s">
        <v>89</v>
      </c>
      <c r="B35" s="386">
        <v>113687.17</v>
      </c>
      <c r="C35" s="85">
        <v>0</v>
      </c>
      <c r="D35" s="85">
        <v>0</v>
      </c>
      <c r="E35" s="85">
        <v>2</v>
      </c>
      <c r="F35" s="85">
        <v>0</v>
      </c>
      <c r="G35" s="85">
        <v>65000</v>
      </c>
      <c r="H35" s="85">
        <v>-65000</v>
      </c>
      <c r="I35" s="242">
        <v>0</v>
      </c>
      <c r="J35" s="242">
        <v>0</v>
      </c>
      <c r="K35" s="242">
        <v>0</v>
      </c>
      <c r="L35" s="242">
        <v>0</v>
      </c>
      <c r="M35" s="242">
        <v>0</v>
      </c>
      <c r="N35" s="88"/>
      <c r="O35" s="88">
        <f>SUM(C35:N35)</f>
        <v>2</v>
      </c>
      <c r="P35" s="89">
        <f>B35+O35</f>
        <v>113689.17</v>
      </c>
      <c r="Q35" s="89">
        <v>109000</v>
      </c>
      <c r="R35" s="89"/>
      <c r="S35" s="260">
        <f t="shared" si="7"/>
        <v>1.0430199082568807</v>
      </c>
    </row>
    <row r="36" spans="1:19">
      <c r="A36" s="167" t="s">
        <v>197</v>
      </c>
      <c r="B36" s="388">
        <v>1428508.7675345517</v>
      </c>
      <c r="C36" s="154">
        <v>8878.1933141735099</v>
      </c>
      <c r="D36" s="154">
        <v>11636.624211345345</v>
      </c>
      <c r="E36" s="85">
        <v>3139</v>
      </c>
      <c r="F36" s="85">
        <v>-1954.26</v>
      </c>
      <c r="G36" s="85">
        <v>4161.8900000000003</v>
      </c>
      <c r="H36" s="85">
        <v>4748.57</v>
      </c>
      <c r="I36" s="242">
        <v>5492.51</v>
      </c>
      <c r="J36" s="242">
        <v>2968.7</v>
      </c>
      <c r="K36" s="242">
        <v>0</v>
      </c>
      <c r="L36" s="242">
        <v>0</v>
      </c>
      <c r="M36" s="242">
        <v>0</v>
      </c>
      <c r="N36" s="88"/>
      <c r="O36" s="92">
        <f>SUM(C36:N36)</f>
        <v>39071.227525518851</v>
      </c>
      <c r="P36" s="89">
        <f>B36+O36</f>
        <v>1467579.9950600704</v>
      </c>
      <c r="Q36" s="89">
        <v>1494000</v>
      </c>
      <c r="R36" s="89"/>
      <c r="S36" s="261">
        <f t="shared" si="7"/>
        <v>0.98231592708170712</v>
      </c>
    </row>
    <row r="37" spans="1:19">
      <c r="A37" s="170" t="s">
        <v>40</v>
      </c>
      <c r="B37" s="388">
        <f>SUM(B32:B36)</f>
        <v>3225508.840557036</v>
      </c>
      <c r="C37" s="154">
        <f t="shared" ref="C37:P37" si="8">SUM(C32:C36)</f>
        <v>155789.87928819229</v>
      </c>
      <c r="D37" s="154">
        <f t="shared" si="8"/>
        <v>134809.20895849366</v>
      </c>
      <c r="E37" s="94">
        <f t="shared" si="8"/>
        <v>81002</v>
      </c>
      <c r="F37" s="94">
        <f t="shared" si="8"/>
        <v>79316.260000000009</v>
      </c>
      <c r="G37" s="94">
        <f t="shared" si="8"/>
        <v>105119.43000000001</v>
      </c>
      <c r="H37" s="94">
        <f t="shared" si="8"/>
        <v>216600.68</v>
      </c>
      <c r="I37" s="94">
        <f t="shared" si="8"/>
        <v>158115.99</v>
      </c>
      <c r="J37" s="94">
        <f t="shared" si="8"/>
        <v>207123.86000000002</v>
      </c>
      <c r="K37" s="94">
        <f t="shared" si="8"/>
        <v>58482.930000000008</v>
      </c>
      <c r="L37" s="94">
        <f t="shared" si="8"/>
        <v>103328.54000000001</v>
      </c>
      <c r="M37" s="94">
        <v>193611.15000000002</v>
      </c>
      <c r="N37" s="158">
        <f t="shared" si="8"/>
        <v>0</v>
      </c>
      <c r="O37" s="158">
        <f t="shared" si="8"/>
        <v>1493299.9282466858</v>
      </c>
      <c r="P37" s="95">
        <f t="shared" si="8"/>
        <v>4718808.7688037213</v>
      </c>
      <c r="Q37" s="95">
        <f>SUM(Q32:Q36)</f>
        <v>6377000</v>
      </c>
      <c r="R37" s="95"/>
      <c r="S37" s="262">
        <f t="shared" si="7"/>
        <v>0.73997314862846497</v>
      </c>
    </row>
    <row r="38" spans="1:19" ht="3" customHeight="1">
      <c r="A38" s="167"/>
      <c r="B38" s="386"/>
      <c r="C38" s="85"/>
      <c r="D38" s="85"/>
      <c r="E38" s="85"/>
      <c r="F38" s="85"/>
      <c r="G38" s="85"/>
      <c r="H38" s="85"/>
      <c r="I38" s="85"/>
      <c r="J38" s="85"/>
      <c r="K38" s="85"/>
      <c r="L38" s="85"/>
      <c r="M38" s="85"/>
      <c r="N38" s="88"/>
      <c r="O38" s="88"/>
      <c r="P38" s="89"/>
      <c r="Q38" s="89"/>
      <c r="R38" s="89"/>
      <c r="S38" s="256"/>
    </row>
    <row r="39" spans="1:19" ht="13.5" customHeight="1">
      <c r="A39" s="450" t="s">
        <v>41</v>
      </c>
      <c r="B39" s="386"/>
      <c r="C39" s="85"/>
      <c r="D39" s="85"/>
      <c r="E39" s="85"/>
      <c r="F39" s="85"/>
      <c r="G39" s="85"/>
      <c r="H39" s="85"/>
      <c r="I39" s="85"/>
      <c r="J39" s="85"/>
      <c r="K39" s="85"/>
      <c r="L39" s="85"/>
      <c r="M39" s="85"/>
      <c r="N39" s="88"/>
      <c r="O39" s="88"/>
      <c r="P39" s="89"/>
      <c r="Q39" s="89"/>
      <c r="R39" s="89"/>
      <c r="S39" s="256"/>
    </row>
    <row r="40" spans="1:19">
      <c r="A40" s="167" t="s">
        <v>202</v>
      </c>
      <c r="B40" s="388">
        <v>448026.56</v>
      </c>
      <c r="C40" s="159">
        <v>0</v>
      </c>
      <c r="D40" s="159">
        <v>0</v>
      </c>
      <c r="E40" s="98">
        <v>-78212</v>
      </c>
      <c r="F40" s="85">
        <v>80692.399999999994</v>
      </c>
      <c r="G40" s="85">
        <v>507800</v>
      </c>
      <c r="H40" s="85">
        <v>0</v>
      </c>
      <c r="I40" s="85">
        <v>1167940</v>
      </c>
      <c r="J40" s="242">
        <v>738351.6</v>
      </c>
      <c r="K40" s="242">
        <v>0</v>
      </c>
      <c r="L40" s="242">
        <v>0</v>
      </c>
      <c r="M40" s="242">
        <v>-812480</v>
      </c>
      <c r="N40" s="88"/>
      <c r="O40" s="88">
        <f>SUM(C40:N40)</f>
        <v>1604092</v>
      </c>
      <c r="P40" s="89">
        <f>B40+O40</f>
        <v>2052118.56</v>
      </c>
      <c r="Q40" s="89">
        <v>6405000</v>
      </c>
      <c r="R40" s="89"/>
      <c r="S40" s="261">
        <f>P40/Q40</f>
        <v>0.32039321779859486</v>
      </c>
    </row>
    <row r="41" spans="1:19">
      <c r="A41" s="170" t="s">
        <v>42</v>
      </c>
      <c r="B41" s="388">
        <f>SUM(B40)</f>
        <v>448026.56</v>
      </c>
      <c r="C41" s="154">
        <f t="shared" ref="C41:O41" si="9">SUM(C40)</f>
        <v>0</v>
      </c>
      <c r="D41" s="154">
        <f t="shared" si="9"/>
        <v>0</v>
      </c>
      <c r="E41" s="94">
        <f t="shared" si="9"/>
        <v>-78212</v>
      </c>
      <c r="F41" s="94">
        <f t="shared" si="9"/>
        <v>80692.399999999994</v>
      </c>
      <c r="G41" s="94">
        <f t="shared" si="9"/>
        <v>507800</v>
      </c>
      <c r="H41" s="94">
        <f t="shared" si="9"/>
        <v>0</v>
      </c>
      <c r="I41" s="94">
        <f t="shared" si="9"/>
        <v>1167940</v>
      </c>
      <c r="J41" s="94">
        <f t="shared" si="9"/>
        <v>738351.6</v>
      </c>
      <c r="K41" s="94">
        <f t="shared" si="9"/>
        <v>0</v>
      </c>
      <c r="L41" s="94">
        <f t="shared" si="9"/>
        <v>0</v>
      </c>
      <c r="M41" s="94">
        <v>-812480</v>
      </c>
      <c r="N41" s="158">
        <f t="shared" si="9"/>
        <v>0</v>
      </c>
      <c r="O41" s="158">
        <f t="shared" si="9"/>
        <v>1604092</v>
      </c>
      <c r="P41" s="95">
        <f>SUM(P40)</f>
        <v>2052118.56</v>
      </c>
      <c r="Q41" s="95">
        <f t="shared" ref="Q41" si="10">SUM(Q40)</f>
        <v>6405000</v>
      </c>
      <c r="R41" s="95"/>
      <c r="S41" s="262">
        <f>P41/Q41</f>
        <v>0.32039321779859486</v>
      </c>
    </row>
    <row r="42" spans="1:19" ht="3" customHeight="1">
      <c r="A42" s="167"/>
      <c r="B42" s="386"/>
      <c r="C42" s="85"/>
      <c r="D42" s="85"/>
      <c r="E42" s="85"/>
      <c r="F42" s="85"/>
      <c r="G42" s="85"/>
      <c r="H42" s="85"/>
      <c r="I42" s="85"/>
      <c r="J42" s="85"/>
      <c r="K42" s="85"/>
      <c r="L42" s="85"/>
      <c r="M42" s="85"/>
      <c r="N42" s="88"/>
      <c r="O42" s="88"/>
      <c r="P42" s="89"/>
      <c r="Q42" s="90"/>
      <c r="R42" s="90"/>
      <c r="S42" s="263"/>
    </row>
    <row r="43" spans="1:19" ht="11.25" customHeight="1">
      <c r="A43" s="450" t="s">
        <v>142</v>
      </c>
      <c r="B43" s="386"/>
      <c r="C43" s="85"/>
      <c r="D43" s="85"/>
      <c r="E43" s="85"/>
      <c r="F43" s="85"/>
      <c r="G43" s="85"/>
      <c r="H43" s="85"/>
      <c r="I43" s="85"/>
      <c r="J43" s="85"/>
      <c r="K43" s="85"/>
      <c r="L43" s="85"/>
      <c r="M43" s="85"/>
      <c r="N43" s="88"/>
      <c r="O43" s="88"/>
      <c r="P43" s="89"/>
      <c r="Q43" s="89"/>
      <c r="R43" s="89"/>
      <c r="S43" s="256"/>
    </row>
    <row r="44" spans="1:19">
      <c r="A44" s="167" t="s">
        <v>90</v>
      </c>
      <c r="B44" s="233">
        <v>1837518</v>
      </c>
      <c r="C44" s="159">
        <v>68427.58</v>
      </c>
      <c r="D44" s="159">
        <v>204168.14</v>
      </c>
      <c r="E44" s="98">
        <v>280109</v>
      </c>
      <c r="F44" s="85">
        <v>41728.36</v>
      </c>
      <c r="G44" s="85">
        <v>138986.22</v>
      </c>
      <c r="H44" s="85">
        <v>53478.98</v>
      </c>
      <c r="I44" s="242">
        <v>24072.26</v>
      </c>
      <c r="J44" s="242">
        <v>31997.75</v>
      </c>
      <c r="K44" s="242">
        <v>69338.63</v>
      </c>
      <c r="L44" s="242">
        <v>47019.47</v>
      </c>
      <c r="M44" s="242">
        <v>119494.28000000003</v>
      </c>
      <c r="N44" s="88"/>
      <c r="O44" s="88">
        <f>SUM(C44:N44)</f>
        <v>1078820.67</v>
      </c>
      <c r="P44" s="89">
        <f>B44+O44</f>
        <v>2916338.67</v>
      </c>
      <c r="Q44" s="89">
        <v>9062000</v>
      </c>
      <c r="R44" s="89"/>
      <c r="S44" s="260">
        <f>P44/Q44</f>
        <v>0.32182064334583976</v>
      </c>
    </row>
    <row r="45" spans="1:19">
      <c r="A45" s="170" t="s">
        <v>43</v>
      </c>
      <c r="B45" s="388">
        <f>SUM(B44)</f>
        <v>1837518</v>
      </c>
      <c r="C45" s="154">
        <f>SUM(C44)</f>
        <v>68427.58</v>
      </c>
      <c r="D45" s="154">
        <f t="shared" ref="D45:N45" si="11">SUM(D44)</f>
        <v>204168.14</v>
      </c>
      <c r="E45" s="94">
        <f t="shared" si="11"/>
        <v>280109</v>
      </c>
      <c r="F45" s="94">
        <f t="shared" si="11"/>
        <v>41728.36</v>
      </c>
      <c r="G45" s="94">
        <f t="shared" si="11"/>
        <v>138986.22</v>
      </c>
      <c r="H45" s="94">
        <f t="shared" si="11"/>
        <v>53478.98</v>
      </c>
      <c r="I45" s="94">
        <f t="shared" si="11"/>
        <v>24072.26</v>
      </c>
      <c r="J45" s="94">
        <f t="shared" si="11"/>
        <v>31997.75</v>
      </c>
      <c r="K45" s="94">
        <f t="shared" si="11"/>
        <v>69338.63</v>
      </c>
      <c r="L45" s="94">
        <f t="shared" si="11"/>
        <v>47019.47</v>
      </c>
      <c r="M45" s="94">
        <v>119494.28000000003</v>
      </c>
      <c r="N45" s="158">
        <f t="shared" si="11"/>
        <v>0</v>
      </c>
      <c r="O45" s="158">
        <f>SUM(O44)</f>
        <v>1078820.67</v>
      </c>
      <c r="P45" s="95">
        <f>SUM(P44)</f>
        <v>2916338.67</v>
      </c>
      <c r="Q45" s="95">
        <f>SUM(Q44)</f>
        <v>9062000</v>
      </c>
      <c r="R45" s="95"/>
      <c r="S45" s="264">
        <f>P45/Q45</f>
        <v>0.32182064334583976</v>
      </c>
    </row>
    <row r="46" spans="1:19" ht="5.25" customHeight="1">
      <c r="A46" s="167"/>
      <c r="B46" s="386"/>
      <c r="C46" s="98"/>
      <c r="D46" s="98"/>
      <c r="E46" s="98"/>
      <c r="F46" s="98"/>
      <c r="G46" s="98"/>
      <c r="H46" s="98"/>
      <c r="I46" s="98"/>
      <c r="J46" s="98"/>
      <c r="K46" s="98"/>
      <c r="L46" s="98"/>
      <c r="M46" s="98"/>
      <c r="N46" s="162"/>
      <c r="O46" s="88"/>
      <c r="P46" s="89"/>
      <c r="Q46" s="89"/>
      <c r="R46" s="89"/>
      <c r="S46" s="260"/>
    </row>
    <row r="47" spans="1:19">
      <c r="A47" s="450" t="s">
        <v>44</v>
      </c>
      <c r="B47" s="386"/>
      <c r="C47" s="85"/>
      <c r="D47" s="85"/>
      <c r="E47" s="85"/>
      <c r="F47" s="85"/>
      <c r="G47" s="85"/>
      <c r="H47" s="85"/>
      <c r="I47" s="85"/>
      <c r="J47" s="85"/>
      <c r="K47" s="85"/>
      <c r="L47" s="85"/>
      <c r="M47" s="85"/>
      <c r="N47" s="88"/>
      <c r="O47" s="88"/>
      <c r="P47" s="89"/>
      <c r="Q47" s="89"/>
      <c r="R47" s="89"/>
      <c r="S47" s="260"/>
    </row>
    <row r="48" spans="1:19">
      <c r="A48" s="167" t="s">
        <v>92</v>
      </c>
      <c r="B48" s="386">
        <v>2672311.0611795071</v>
      </c>
      <c r="C48" s="98">
        <v>70672.68739852788</v>
      </c>
      <c r="D48" s="98">
        <v>93452.28852952797</v>
      </c>
      <c r="E48" s="98">
        <v>84313</v>
      </c>
      <c r="F48" s="85">
        <v>94748.719999999899</v>
      </c>
      <c r="G48" s="85">
        <v>114532.79</v>
      </c>
      <c r="H48" s="85">
        <v>168490.11</v>
      </c>
      <c r="I48" s="242">
        <v>156211.95000000001</v>
      </c>
      <c r="J48" s="242">
        <v>129326.39999999999</v>
      </c>
      <c r="K48" s="242">
        <v>104344.42</v>
      </c>
      <c r="L48" s="242">
        <v>94915.21</v>
      </c>
      <c r="M48" s="242">
        <v>71751.719999999987</v>
      </c>
      <c r="N48" s="88"/>
      <c r="O48" s="88">
        <f>SUM(C48:N48)</f>
        <v>1182759.2959280557</v>
      </c>
      <c r="P48" s="89">
        <f>B48+O48</f>
        <v>3855070.3571075629</v>
      </c>
      <c r="Q48" s="89">
        <v>6489000</v>
      </c>
      <c r="R48" s="89"/>
      <c r="S48" s="260">
        <f>P48/Q48</f>
        <v>0.59409313563069244</v>
      </c>
    </row>
    <row r="49" spans="1:19">
      <c r="A49" s="167" t="s">
        <v>91</v>
      </c>
      <c r="B49" s="388">
        <v>5049576.6195830461</v>
      </c>
      <c r="C49" s="159">
        <v>106148.06287536526</v>
      </c>
      <c r="D49" s="159">
        <v>847599.95437779382</v>
      </c>
      <c r="E49" s="98">
        <v>280075</v>
      </c>
      <c r="F49" s="85">
        <v>163691.26</v>
      </c>
      <c r="G49" s="85">
        <v>173280.81</v>
      </c>
      <c r="H49" s="85">
        <v>152186.20000000001</v>
      </c>
      <c r="I49" s="242">
        <v>223764.79</v>
      </c>
      <c r="J49" s="242">
        <v>387465.72</v>
      </c>
      <c r="K49" s="242">
        <v>158109.01999999999</v>
      </c>
      <c r="L49" s="242">
        <v>203355.66</v>
      </c>
      <c r="M49" s="242">
        <v>152286.59000000014</v>
      </c>
      <c r="N49" s="88"/>
      <c r="O49" s="88">
        <f>SUM(C49:N49)</f>
        <v>2847963.0672531594</v>
      </c>
      <c r="P49" s="89">
        <f>B49+O49</f>
        <v>7897539.6868362054</v>
      </c>
      <c r="Q49" s="89">
        <v>10413000</v>
      </c>
      <c r="R49" s="89"/>
      <c r="S49" s="260">
        <f>P49/Q49</f>
        <v>0.75843077756998034</v>
      </c>
    </row>
    <row r="50" spans="1:19">
      <c r="A50" s="170" t="s">
        <v>45</v>
      </c>
      <c r="B50" s="388">
        <f>SUM(B48:B49)</f>
        <v>7721887.6807625536</v>
      </c>
      <c r="C50" s="154">
        <f>SUM(C48:C49)</f>
        <v>176820.75027389312</v>
      </c>
      <c r="D50" s="154">
        <f t="shared" ref="D50:Q50" si="12">SUM(D48:D49)</f>
        <v>941052.24290732178</v>
      </c>
      <c r="E50" s="94">
        <f t="shared" si="12"/>
        <v>364388</v>
      </c>
      <c r="F50" s="94">
        <f t="shared" si="12"/>
        <v>258439.97999999992</v>
      </c>
      <c r="G50" s="94">
        <f t="shared" si="12"/>
        <v>287813.59999999998</v>
      </c>
      <c r="H50" s="94">
        <f t="shared" si="12"/>
        <v>320676.31</v>
      </c>
      <c r="I50" s="94">
        <f t="shared" si="12"/>
        <v>379976.74</v>
      </c>
      <c r="J50" s="94">
        <f t="shared" si="12"/>
        <v>516792.12</v>
      </c>
      <c r="K50" s="94">
        <f t="shared" si="12"/>
        <v>262453.44</v>
      </c>
      <c r="L50" s="94">
        <f t="shared" si="12"/>
        <v>298270.87</v>
      </c>
      <c r="M50" s="94">
        <v>224038.31000000011</v>
      </c>
      <c r="N50" s="158">
        <f t="shared" si="12"/>
        <v>0</v>
      </c>
      <c r="O50" s="158">
        <f t="shared" si="12"/>
        <v>4030722.3631812148</v>
      </c>
      <c r="P50" s="95">
        <f t="shared" si="12"/>
        <v>11752610.043943768</v>
      </c>
      <c r="Q50" s="95">
        <f t="shared" si="12"/>
        <v>16902000</v>
      </c>
      <c r="R50" s="95"/>
      <c r="S50" s="264">
        <f>P50/Q50</f>
        <v>0.69533842408849655</v>
      </c>
    </row>
    <row r="51" spans="1:19" ht="5.25" customHeight="1">
      <c r="A51" s="167"/>
      <c r="B51" s="386"/>
      <c r="C51" s="98"/>
      <c r="D51" s="98"/>
      <c r="E51" s="98"/>
      <c r="F51" s="98"/>
      <c r="G51" s="98"/>
      <c r="H51" s="98"/>
      <c r="I51" s="98"/>
      <c r="J51" s="98"/>
      <c r="K51" s="98"/>
      <c r="L51" s="98"/>
      <c r="M51" s="98"/>
      <c r="N51" s="162"/>
      <c r="O51" s="88"/>
      <c r="P51" s="89"/>
      <c r="Q51" s="89"/>
      <c r="R51" s="89"/>
      <c r="S51" s="260"/>
    </row>
    <row r="52" spans="1:19" ht="12.75" customHeight="1">
      <c r="A52" s="449" t="s">
        <v>46</v>
      </c>
      <c r="B52" s="386"/>
      <c r="C52" s="85"/>
      <c r="D52" s="85"/>
      <c r="E52" s="85"/>
      <c r="F52" s="85"/>
      <c r="G52" s="85"/>
      <c r="H52" s="85"/>
      <c r="I52" s="85"/>
      <c r="J52" s="85"/>
      <c r="K52" s="85"/>
      <c r="L52" s="85"/>
      <c r="M52" s="85"/>
      <c r="N52" s="88"/>
      <c r="O52" s="88"/>
      <c r="P52" s="89"/>
      <c r="Q52" s="89"/>
      <c r="R52" s="89"/>
      <c r="S52" s="260"/>
    </row>
    <row r="53" spans="1:19">
      <c r="A53" s="167" t="s">
        <v>93</v>
      </c>
      <c r="B53" s="386">
        <v>267737.86244983459</v>
      </c>
      <c r="C53" s="85">
        <v>12428.94268111237</v>
      </c>
      <c r="D53" s="85">
        <v>9959.1843655687553</v>
      </c>
      <c r="E53" s="85">
        <v>198851</v>
      </c>
      <c r="F53" s="85">
        <v>-9228.3700000000008</v>
      </c>
      <c r="G53" s="85">
        <v>10459.01</v>
      </c>
      <c r="H53" s="85">
        <v>6710.33</v>
      </c>
      <c r="I53" s="242">
        <v>8579.7000000000007</v>
      </c>
      <c r="J53" s="242">
        <v>11064.11</v>
      </c>
      <c r="K53" s="242">
        <v>6135</v>
      </c>
      <c r="L53" s="242">
        <v>4265.6899999999996</v>
      </c>
      <c r="M53" s="242">
        <v>6773.7799999999988</v>
      </c>
      <c r="N53" s="88"/>
      <c r="O53" s="88">
        <f>SUM(C53:N53)</f>
        <v>265998.37704668113</v>
      </c>
      <c r="P53" s="89">
        <f>B53+O53</f>
        <v>533736.23949651571</v>
      </c>
      <c r="Q53" s="89">
        <v>1368000</v>
      </c>
      <c r="R53" s="89"/>
      <c r="S53" s="260">
        <f>P53/Q53</f>
        <v>0.39015806980739454</v>
      </c>
    </row>
    <row r="54" spans="1:19">
      <c r="A54" s="167" t="s">
        <v>190</v>
      </c>
      <c r="B54" s="388">
        <v>3757410.343000581</v>
      </c>
      <c r="C54" s="154">
        <v>73810.638660447614</v>
      </c>
      <c r="D54" s="154">
        <v>120415.83741578143</v>
      </c>
      <c r="E54" s="85">
        <v>10009</v>
      </c>
      <c r="F54" s="85">
        <v>94564.76</v>
      </c>
      <c r="G54" s="85">
        <v>185510.24</v>
      </c>
      <c r="H54" s="85">
        <v>129585.08</v>
      </c>
      <c r="I54" s="242">
        <v>132420.10999999999</v>
      </c>
      <c r="J54" s="242">
        <v>209121.61</v>
      </c>
      <c r="K54" s="242">
        <v>295818.61</v>
      </c>
      <c r="L54" s="242">
        <v>78234.199999999881</v>
      </c>
      <c r="M54" s="242">
        <v>66754.339999999982</v>
      </c>
      <c r="N54" s="88"/>
      <c r="O54" s="88">
        <f>SUM(C54:N54)</f>
        <v>1396244.426076229</v>
      </c>
      <c r="P54" s="89">
        <f>B54+O54</f>
        <v>5153654.7690768102</v>
      </c>
      <c r="Q54" s="89">
        <v>9339000</v>
      </c>
      <c r="R54" s="89"/>
      <c r="S54" s="260">
        <f>P54/Q54</f>
        <v>0.55184224960668271</v>
      </c>
    </row>
    <row r="55" spans="1:19">
      <c r="A55" s="170" t="s">
        <v>48</v>
      </c>
      <c r="B55" s="388">
        <f>SUM(B53:B54)</f>
        <v>4025148.2054504156</v>
      </c>
      <c r="C55" s="154">
        <f>SUM(C53:C54)</f>
        <v>86239.581341559984</v>
      </c>
      <c r="D55" s="154">
        <f t="shared" ref="D55:Q55" si="13">SUM(D53:D54)</f>
        <v>130375.02178135018</v>
      </c>
      <c r="E55" s="94">
        <f t="shared" si="13"/>
        <v>208860</v>
      </c>
      <c r="F55" s="94">
        <f t="shared" si="13"/>
        <v>85336.39</v>
      </c>
      <c r="G55" s="94">
        <f t="shared" si="13"/>
        <v>195969.25</v>
      </c>
      <c r="H55" s="94">
        <f t="shared" si="13"/>
        <v>136295.41</v>
      </c>
      <c r="I55" s="94">
        <f t="shared" si="13"/>
        <v>140999.81</v>
      </c>
      <c r="J55" s="94">
        <f t="shared" si="13"/>
        <v>220185.71999999997</v>
      </c>
      <c r="K55" s="94">
        <f t="shared" si="13"/>
        <v>301953.61</v>
      </c>
      <c r="L55" s="94">
        <f t="shared" si="13"/>
        <v>82499.889999999883</v>
      </c>
      <c r="M55" s="94">
        <v>73528.119999999981</v>
      </c>
      <c r="N55" s="158">
        <f t="shared" si="13"/>
        <v>0</v>
      </c>
      <c r="O55" s="158">
        <f t="shared" si="13"/>
        <v>1662242.8031229102</v>
      </c>
      <c r="P55" s="95">
        <f t="shared" si="13"/>
        <v>5687391.0085733263</v>
      </c>
      <c r="Q55" s="95">
        <f t="shared" si="13"/>
        <v>10707000</v>
      </c>
      <c r="R55" s="95"/>
      <c r="S55" s="264">
        <f>P55/Q55</f>
        <v>0.5311843661691722</v>
      </c>
    </row>
    <row r="56" spans="1:19" ht="3.75" customHeight="1">
      <c r="A56" s="172"/>
      <c r="B56" s="386"/>
      <c r="C56" s="85"/>
      <c r="D56" s="85"/>
      <c r="E56" s="85"/>
      <c r="F56" s="85"/>
      <c r="G56" s="85"/>
      <c r="H56" s="85"/>
      <c r="I56" s="85"/>
      <c r="J56" s="85"/>
      <c r="K56" s="85"/>
      <c r="L56" s="85"/>
      <c r="M56" s="85"/>
      <c r="N56" s="88"/>
      <c r="O56" s="88"/>
      <c r="P56" s="89"/>
      <c r="Q56" s="89"/>
      <c r="R56" s="89"/>
      <c r="S56" s="260"/>
    </row>
    <row r="57" spans="1:19">
      <c r="A57" s="450" t="s">
        <v>47</v>
      </c>
      <c r="B57" s="386"/>
      <c r="C57" s="85"/>
      <c r="D57" s="85"/>
      <c r="E57" s="85"/>
      <c r="F57" s="85"/>
      <c r="G57" s="85"/>
      <c r="H57" s="85"/>
      <c r="I57" s="85"/>
      <c r="J57" s="85"/>
      <c r="K57" s="85"/>
      <c r="L57" s="85"/>
      <c r="M57" s="85"/>
      <c r="N57" s="88"/>
      <c r="O57" s="88"/>
      <c r="P57" s="89"/>
      <c r="Q57" s="89"/>
      <c r="R57" s="89"/>
      <c r="S57" s="260"/>
    </row>
    <row r="58" spans="1:19">
      <c r="A58" s="167" t="s">
        <v>96</v>
      </c>
      <c r="B58" s="386">
        <v>103920.70387900462</v>
      </c>
      <c r="C58" s="98">
        <v>2523.2402577895973</v>
      </c>
      <c r="D58" s="98">
        <v>2182.8091740568352</v>
      </c>
      <c r="E58" s="98">
        <v>11174</v>
      </c>
      <c r="F58" s="85">
        <v>2312.0100000000002</v>
      </c>
      <c r="G58" s="85">
        <v>14609.39</v>
      </c>
      <c r="H58" s="85">
        <v>2675.09</v>
      </c>
      <c r="I58" s="242">
        <v>6159.91</v>
      </c>
      <c r="J58" s="242">
        <v>-4184.92</v>
      </c>
      <c r="K58" s="242">
        <v>7546.17</v>
      </c>
      <c r="L58" s="242">
        <v>19835.68</v>
      </c>
      <c r="M58" s="242">
        <v>5706.8300000000008</v>
      </c>
      <c r="N58" s="88"/>
      <c r="O58" s="88">
        <f>SUM(C58:N58)</f>
        <v>70540.209431846437</v>
      </c>
      <c r="P58" s="89">
        <f>B58+O58</f>
        <v>174460.91331085106</v>
      </c>
      <c r="Q58" s="89">
        <v>200000</v>
      </c>
      <c r="R58" s="89"/>
      <c r="S58" s="260">
        <f t="shared" ref="S58:S63" si="14">P58/Q58</f>
        <v>0.87230456655425526</v>
      </c>
    </row>
    <row r="59" spans="1:19">
      <c r="A59" s="167" t="s">
        <v>95</v>
      </c>
      <c r="B59" s="386">
        <v>226864.04919007199</v>
      </c>
      <c r="C59" s="98">
        <v>8579.8830470061876</v>
      </c>
      <c r="D59" s="98">
        <v>8626.6425124341768</v>
      </c>
      <c r="E59" s="98">
        <v>12995</v>
      </c>
      <c r="F59" s="85">
        <v>-6220.07</v>
      </c>
      <c r="G59" s="85">
        <v>26753.06</v>
      </c>
      <c r="H59" s="85">
        <v>11274.62</v>
      </c>
      <c r="I59" s="242">
        <v>20674.22</v>
      </c>
      <c r="J59" s="242">
        <v>357789.77</v>
      </c>
      <c r="K59" s="242">
        <v>21418.37</v>
      </c>
      <c r="L59" s="242">
        <v>196023.49</v>
      </c>
      <c r="M59" s="242">
        <v>133618.74999999994</v>
      </c>
      <c r="N59" s="88"/>
      <c r="O59" s="88">
        <f>SUM(C59:N59)</f>
        <v>791533.73555944022</v>
      </c>
      <c r="P59" s="89">
        <f>B59+O59</f>
        <v>1018397.7847495122</v>
      </c>
      <c r="Q59" s="89">
        <v>1000000</v>
      </c>
      <c r="R59" s="89"/>
      <c r="S59" s="260">
        <f>P59/Q59</f>
        <v>1.0183977847495123</v>
      </c>
    </row>
    <row r="60" spans="1:19">
      <c r="A60" s="167" t="s">
        <v>97</v>
      </c>
      <c r="B60" s="386">
        <v>43102.925280870935</v>
      </c>
      <c r="C60" s="98">
        <v>2231.2251128059256</v>
      </c>
      <c r="D60" s="98">
        <v>2199.299446696044</v>
      </c>
      <c r="E60" s="98">
        <v>3142</v>
      </c>
      <c r="F60" s="85">
        <v>-1748.36</v>
      </c>
      <c r="G60" s="85">
        <v>7192.96</v>
      </c>
      <c r="H60" s="85">
        <v>930.73</v>
      </c>
      <c r="I60" s="242">
        <v>2292.33</v>
      </c>
      <c r="J60" s="242">
        <v>876.59999999999889</v>
      </c>
      <c r="K60" s="242">
        <v>1669.33</v>
      </c>
      <c r="L60" s="242">
        <v>2087.14</v>
      </c>
      <c r="M60" s="242">
        <v>3473.7499999999995</v>
      </c>
      <c r="N60" s="88"/>
      <c r="O60" s="88">
        <f>SUM(C60:N60)</f>
        <v>24347.004559501969</v>
      </c>
      <c r="P60" s="89">
        <f>B60+O60</f>
        <v>67449.929840372904</v>
      </c>
      <c r="Q60" s="89">
        <v>250000</v>
      </c>
      <c r="R60" s="89"/>
      <c r="S60" s="260">
        <f t="shared" si="14"/>
        <v>0.26979971936149161</v>
      </c>
    </row>
    <row r="61" spans="1:19">
      <c r="A61" s="167" t="s">
        <v>98</v>
      </c>
      <c r="B61" s="386">
        <v>4214.6000000000004</v>
      </c>
      <c r="C61" s="98">
        <v>0</v>
      </c>
      <c r="D61" s="98">
        <v>0</v>
      </c>
      <c r="E61" s="98">
        <v>0</v>
      </c>
      <c r="F61" s="98">
        <v>0</v>
      </c>
      <c r="G61" s="98">
        <v>0</v>
      </c>
      <c r="H61" s="85">
        <v>0</v>
      </c>
      <c r="I61" s="85">
        <v>0</v>
      </c>
      <c r="J61" s="85">
        <v>0</v>
      </c>
      <c r="K61" s="85">
        <v>0</v>
      </c>
      <c r="L61" s="85">
        <v>0</v>
      </c>
      <c r="M61" s="85">
        <v>0</v>
      </c>
      <c r="N61" s="162"/>
      <c r="O61" s="88">
        <f>SUM(C61:N61)</f>
        <v>0</v>
      </c>
      <c r="P61" s="89">
        <f>B61+O61</f>
        <v>4214.6000000000004</v>
      </c>
      <c r="Q61" s="89">
        <v>500000</v>
      </c>
      <c r="R61" s="89"/>
      <c r="S61" s="260">
        <f t="shared" si="14"/>
        <v>8.4292000000000013E-3</v>
      </c>
    </row>
    <row r="62" spans="1:19">
      <c r="A62" s="167" t="s">
        <v>94</v>
      </c>
      <c r="B62" s="388">
        <v>752943.74621943175</v>
      </c>
      <c r="C62" s="159">
        <v>722.43730239314846</v>
      </c>
      <c r="D62" s="159">
        <v>38755.167533799999</v>
      </c>
      <c r="E62" s="98">
        <v>46233</v>
      </c>
      <c r="F62" s="85">
        <v>58001.58</v>
      </c>
      <c r="G62" s="85">
        <v>66592.210000000006</v>
      </c>
      <c r="H62" s="85">
        <v>50763.16</v>
      </c>
      <c r="I62" s="242">
        <v>53860.11</v>
      </c>
      <c r="J62" s="242">
        <v>43366.37</v>
      </c>
      <c r="K62" s="242">
        <v>64702.720000000001</v>
      </c>
      <c r="L62" s="242">
        <v>47822.96</v>
      </c>
      <c r="M62" s="242">
        <v>50937.759999999995</v>
      </c>
      <c r="N62" s="88"/>
      <c r="O62" s="88">
        <f>SUM(C62:N62)</f>
        <v>521757.4748361932</v>
      </c>
      <c r="P62" s="89">
        <f>B62+O62</f>
        <v>1274701.221055625</v>
      </c>
      <c r="Q62" s="89">
        <v>1639000</v>
      </c>
      <c r="R62" s="89"/>
      <c r="S62" s="260">
        <f>P62/Q62</f>
        <v>0.77773106836828865</v>
      </c>
    </row>
    <row r="63" spans="1:19" s="101" customFormat="1">
      <c r="A63" s="170" t="s">
        <v>49</v>
      </c>
      <c r="B63" s="388">
        <f>SUM(B58:B62)</f>
        <v>1131046.0245693792</v>
      </c>
      <c r="C63" s="154">
        <f>SUM(C58:C62)</f>
        <v>14056.785719994859</v>
      </c>
      <c r="D63" s="154">
        <f t="shared" ref="D63:Q63" si="15">SUM(D58:D62)</f>
        <v>51763.918666987054</v>
      </c>
      <c r="E63" s="94">
        <f t="shared" si="15"/>
        <v>73544</v>
      </c>
      <c r="F63" s="94">
        <f t="shared" si="15"/>
        <v>52345.16</v>
      </c>
      <c r="G63" s="94">
        <f t="shared" si="15"/>
        <v>115147.62</v>
      </c>
      <c r="H63" s="94">
        <f t="shared" si="15"/>
        <v>65643.600000000006</v>
      </c>
      <c r="I63" s="94">
        <f t="shared" si="15"/>
        <v>82986.570000000007</v>
      </c>
      <c r="J63" s="94">
        <f t="shared" si="15"/>
        <v>397847.82</v>
      </c>
      <c r="K63" s="94">
        <f t="shared" si="15"/>
        <v>95336.59</v>
      </c>
      <c r="L63" s="94">
        <f t="shared" si="15"/>
        <v>265769.27</v>
      </c>
      <c r="M63" s="94">
        <v>193737.08999999991</v>
      </c>
      <c r="N63" s="158">
        <f t="shared" si="15"/>
        <v>0</v>
      </c>
      <c r="O63" s="158">
        <f t="shared" si="15"/>
        <v>1408178.4243869819</v>
      </c>
      <c r="P63" s="95">
        <f t="shared" si="15"/>
        <v>2539224.448956361</v>
      </c>
      <c r="Q63" s="95">
        <f t="shared" si="15"/>
        <v>3589000</v>
      </c>
      <c r="R63" s="95"/>
      <c r="S63" s="264">
        <f t="shared" si="14"/>
        <v>0.70750193618176682</v>
      </c>
    </row>
    <row r="64" spans="1:19" s="101" customFormat="1" ht="7.5" customHeight="1">
      <c r="A64" s="171"/>
      <c r="B64" s="389"/>
      <c r="C64" s="94"/>
      <c r="D64" s="94"/>
      <c r="E64" s="85"/>
      <c r="F64" s="85"/>
      <c r="G64" s="85"/>
      <c r="H64" s="85"/>
      <c r="I64" s="85"/>
      <c r="J64" s="85"/>
      <c r="K64" s="85"/>
      <c r="L64" s="85"/>
      <c r="M64" s="85"/>
      <c r="N64" s="88"/>
      <c r="O64" s="95"/>
      <c r="P64" s="95"/>
      <c r="Q64" s="89"/>
      <c r="R64" s="89"/>
      <c r="S64" s="260"/>
    </row>
    <row r="65" spans="1:19" s="101" customFormat="1">
      <c r="A65" s="173" t="s">
        <v>156</v>
      </c>
      <c r="B65" s="389">
        <v>210316.85</v>
      </c>
      <c r="C65" s="154">
        <v>0</v>
      </c>
      <c r="D65" s="154">
        <v>0</v>
      </c>
      <c r="E65" s="94">
        <v>0</v>
      </c>
      <c r="F65" s="94">
        <v>0</v>
      </c>
      <c r="G65" s="94">
        <v>0</v>
      </c>
      <c r="H65" s="94">
        <v>0</v>
      </c>
      <c r="I65" s="94">
        <v>0</v>
      </c>
      <c r="J65" s="94">
        <v>0</v>
      </c>
      <c r="K65" s="94"/>
      <c r="L65" s="94"/>
      <c r="M65" s="94"/>
      <c r="N65" s="158"/>
      <c r="O65" s="195">
        <f>SUM(C65:N65)</f>
        <v>0</v>
      </c>
      <c r="P65" s="195">
        <f>B65+O65</f>
        <v>210316.85</v>
      </c>
      <c r="Q65" s="95">
        <v>0</v>
      </c>
      <c r="R65" s="195"/>
      <c r="S65" s="265" t="s">
        <v>32</v>
      </c>
    </row>
    <row r="66" spans="1:19" s="101" customFormat="1">
      <c r="A66" s="173" t="s">
        <v>154</v>
      </c>
      <c r="B66" s="389">
        <v>1754004.6394972554</v>
      </c>
      <c r="C66" s="94">
        <v>77446</v>
      </c>
      <c r="D66" s="94">
        <v>77190</v>
      </c>
      <c r="E66" s="94">
        <v>76933</v>
      </c>
      <c r="F66" s="94">
        <v>76677</v>
      </c>
      <c r="G66" s="94">
        <v>76420</v>
      </c>
      <c r="H66" s="94">
        <v>77221</v>
      </c>
      <c r="I66" s="94">
        <v>76732.061732757778</v>
      </c>
      <c r="J66" s="94">
        <v>76475.487501723561</v>
      </c>
      <c r="K66" s="94">
        <v>76218.913270689329</v>
      </c>
      <c r="L66" s="94">
        <v>75962.339039655082</v>
      </c>
      <c r="M66" s="94">
        <v>75705.76480862085</v>
      </c>
      <c r="N66" s="158"/>
      <c r="O66" s="195">
        <f>SUM(C66:N66)</f>
        <v>842981.56635344657</v>
      </c>
      <c r="P66" s="195">
        <f>B66+O66</f>
        <v>2596986.2058507018</v>
      </c>
      <c r="Q66" s="95">
        <v>0</v>
      </c>
      <c r="R66" s="89"/>
      <c r="S66" s="266" t="s">
        <v>32</v>
      </c>
    </row>
    <row r="67" spans="1:19" s="101" customFormat="1" ht="13.5" thickBot="1">
      <c r="A67" s="167" t="s">
        <v>155</v>
      </c>
      <c r="B67" s="390">
        <v>406644</v>
      </c>
      <c r="C67" s="197">
        <v>0</v>
      </c>
      <c r="D67" s="197">
        <v>0</v>
      </c>
      <c r="E67" s="197">
        <v>0</v>
      </c>
      <c r="F67" s="197">
        <v>0</v>
      </c>
      <c r="G67" s="197">
        <v>0</v>
      </c>
      <c r="H67" s="197">
        <v>0</v>
      </c>
      <c r="I67" s="391">
        <v>0</v>
      </c>
      <c r="J67" s="391">
        <v>0</v>
      </c>
      <c r="K67" s="391"/>
      <c r="L67" s="391"/>
      <c r="M67" s="391"/>
      <c r="N67" s="198"/>
      <c r="O67" s="195">
        <f>SUM(C67:N67)</f>
        <v>0</v>
      </c>
      <c r="P67" s="195">
        <f>B67+O67</f>
        <v>406644</v>
      </c>
      <c r="Q67" s="195">
        <v>0</v>
      </c>
      <c r="R67" s="89"/>
      <c r="S67" s="266" t="s">
        <v>32</v>
      </c>
    </row>
    <row r="68" spans="1:19" s="84" customFormat="1" ht="15" customHeight="1" thickBot="1">
      <c r="A68" s="267" t="s">
        <v>25</v>
      </c>
      <c r="B68" s="199">
        <f>B9+B15+B21+B29+B37+B41+B45+B50+B55+B63+B65+B66+B67</f>
        <v>33791319.806753904</v>
      </c>
      <c r="C68" s="200">
        <f t="shared" ref="C68:Q68" si="16">+C9+C15+C21+C29+C37+C41+C45+C50+C55+C63+C65+C66+C67</f>
        <v>828507.58</v>
      </c>
      <c r="D68" s="200">
        <f t="shared" si="16"/>
        <v>2367524.5999999996</v>
      </c>
      <c r="E68" s="200">
        <f t="shared" si="16"/>
        <v>1605204.43</v>
      </c>
      <c r="F68" s="200">
        <f t="shared" si="16"/>
        <v>949404.64999999991</v>
      </c>
      <c r="G68" s="200">
        <f t="shared" si="16"/>
        <v>1904381.63</v>
      </c>
      <c r="H68" s="200">
        <f>+H9+H15+H21+H29+H37+H41+H45+H50+H55+H63+H65+H66+H67</f>
        <v>1525806.7</v>
      </c>
      <c r="I68" s="200">
        <f>+I9+I15+I21+I29+I37+I41+I45+I50+I55+I63+I65+I66+I67</f>
        <v>2700842.9217327577</v>
      </c>
      <c r="J68" s="200">
        <f t="shared" si="16"/>
        <v>3294415.3875017236</v>
      </c>
      <c r="K68" s="200">
        <f t="shared" si="16"/>
        <v>1184881.8432706892</v>
      </c>
      <c r="L68" s="200">
        <f t="shared" si="16"/>
        <v>2617306.4590396546</v>
      </c>
      <c r="M68" s="200">
        <v>618306.20480862097</v>
      </c>
      <c r="N68" s="201">
        <f t="shared" si="16"/>
        <v>0</v>
      </c>
      <c r="O68" s="201">
        <f t="shared" si="16"/>
        <v>19575436.39635345</v>
      </c>
      <c r="P68" s="202">
        <f t="shared" si="16"/>
        <v>53387902.213107347</v>
      </c>
      <c r="Q68" s="202">
        <f t="shared" si="16"/>
        <v>112649072</v>
      </c>
      <c r="R68" s="202"/>
      <c r="S68" s="203">
        <f>P68/Q68</f>
        <v>0.47393113201240883</v>
      </c>
    </row>
    <row r="69" spans="1:19" ht="8.25" customHeight="1" thickBot="1">
      <c r="A69" s="232"/>
      <c r="B69" s="392"/>
      <c r="C69" s="85"/>
      <c r="D69" s="85"/>
      <c r="E69" s="85"/>
      <c r="F69" s="85"/>
      <c r="G69" s="85"/>
      <c r="H69" s="85"/>
      <c r="I69" s="85"/>
      <c r="J69" s="85"/>
      <c r="K69" s="85"/>
      <c r="L69" s="85"/>
      <c r="M69" s="85"/>
      <c r="N69" s="85"/>
      <c r="O69" s="85"/>
      <c r="P69" s="85"/>
      <c r="Q69" s="85"/>
      <c r="R69" s="85"/>
      <c r="S69" s="85"/>
    </row>
    <row r="70" spans="1:19" ht="32.25" customHeight="1" thickBot="1">
      <c r="A70" s="485" t="s">
        <v>207</v>
      </c>
      <c r="B70" s="486"/>
      <c r="C70" s="525">
        <v>36566</v>
      </c>
      <c r="D70" s="85"/>
      <c r="E70" s="85"/>
      <c r="F70" s="85"/>
      <c r="G70" s="85"/>
      <c r="H70" s="85"/>
      <c r="I70" s="85"/>
      <c r="N70" s="85"/>
      <c r="O70" s="85"/>
      <c r="P70" s="85"/>
      <c r="Q70" s="85"/>
      <c r="R70" s="85"/>
      <c r="S70" s="85"/>
    </row>
    <row r="71" spans="1:19" s="101" customFormat="1" ht="1.5" customHeight="1">
      <c r="A71" s="99"/>
      <c r="B71" s="244"/>
      <c r="C71" s="85"/>
      <c r="D71" s="85"/>
      <c r="E71" s="85"/>
      <c r="F71" s="85"/>
      <c r="G71" s="85"/>
      <c r="H71" s="85"/>
      <c r="I71" s="85"/>
      <c r="J71" s="85"/>
      <c r="K71" s="85"/>
      <c r="L71" s="85"/>
      <c r="M71" s="85"/>
      <c r="N71" s="85"/>
      <c r="O71" s="85"/>
      <c r="P71" s="85"/>
      <c r="Q71" s="85"/>
      <c r="R71" s="85"/>
      <c r="S71" s="85"/>
    </row>
    <row r="72" spans="1:19" s="101" customFormat="1">
      <c r="A72" s="101" t="s">
        <v>65</v>
      </c>
      <c r="B72" s="244"/>
      <c r="I72" s="85"/>
      <c r="J72" s="85"/>
      <c r="K72" s="85"/>
      <c r="L72" s="85"/>
      <c r="M72" s="85"/>
    </row>
    <row r="73" spans="1:19" s="526" customFormat="1">
      <c r="A73" s="101" t="s">
        <v>203</v>
      </c>
      <c r="B73" s="244"/>
      <c r="E73" s="527"/>
    </row>
    <row r="74" spans="1:19" ht="12">
      <c r="A74" s="533" t="s">
        <v>209</v>
      </c>
      <c r="B74" s="393"/>
      <c r="E74" s="98"/>
      <c r="F74" s="153"/>
      <c r="G74" s="100"/>
    </row>
    <row r="75" spans="1:19" ht="12">
      <c r="A75" s="533"/>
      <c r="B75" s="393"/>
      <c r="E75" s="98"/>
      <c r="F75" s="153"/>
      <c r="G75" s="100"/>
    </row>
    <row r="76" spans="1:19" ht="12">
      <c r="A76" s="533"/>
      <c r="B76" s="393"/>
      <c r="E76" s="98"/>
      <c r="F76" s="153"/>
      <c r="G76" s="100"/>
    </row>
    <row r="77" spans="1:19" ht="12">
      <c r="A77" s="533"/>
      <c r="B77" s="393"/>
      <c r="E77" s="98"/>
      <c r="F77" s="153"/>
      <c r="G77" s="100"/>
    </row>
  </sheetData>
  <sheetProtection password="C511" sheet="1" objects="1" scenarios="1"/>
  <customSheetViews>
    <customSheetView guid="{E5DF83AA-DC53-4EBF-A523-33DA0FE284E8}" scale="75" showPageBreaks="1" showGridLines="0">
      <pane xSplit="1" topLeftCell="B1" activePane="topRight" state="frozen"/>
      <selection pane="topRight" activeCell="T67" sqref="T67"/>
      <pageMargins left="0" right="0" top="0.75" bottom="0.75" header="0.26" footer="0.25"/>
      <printOptions horizontalCentered="1"/>
      <pageSetup paperSize="5" scale="60" orientation="landscape" cellComments="asDisplayed" r:id="rId1"/>
      <headerFooter alignWithMargins="0">
        <oddHeader xml:space="preserve">&amp;C&amp;"Arial,Bold"Table I-3
Pacific Gas and Electric Company
 Demand Response Programs and Activities
Incremental Cost 
January 2010 Funding (1)
&amp;"Arial,Regular"
</oddHeader>
        <oddFooter>&amp;L&amp;F&amp;R&amp;D</oddFooter>
      </headerFooter>
    </customSheetView>
  </customSheetViews>
  <phoneticPr fontId="0" type="noConversion"/>
  <printOptions horizontalCentered="1"/>
  <pageMargins left="0" right="0" top="0.85" bottom="0.25" header="0.13" footer="0.1"/>
  <pageSetup paperSize="17" scale="78" orientation="landscape" cellComments="atEnd" r:id="rId2"/>
  <headerFooter alignWithMargins="0">
    <oddHeader>&amp;C&amp;"Arial,Bold"Table I-3 
Pacific Gas and Electric Company 
Demand Response Programs and Activities
Incremental Cost Funding
November 2011</oddHeader>
    <oddFooter>&amp;L&amp;F&amp;CPage 7 of 11&amp;R&amp;A</oddFooter>
  </headerFooter>
  <ignoredErrors>
    <ignoredError sqref="C68:G68 J15:L15 O68 J29:L29 J37:L37 J41:L41 J45:L45 J50:L50 J55:L55 I41:I43 I15 D9:G9 I21:L21 I29 C45 C37:C39 I63 J63:L63 N63 I55 O63 I50 I9:L9 C41:C43 D45:F45 D37:F39 D41:F43 G45 G37:G39 G41:G43 D50:G50 C55:G55 D63:G63 D29:G29 D21:G21 D15:G15 I45 I37:I39 J68:L68 N15 N29 N37 N41 N45 N50 N55 N21 N9 N68" emptyCellReference="1"/>
    <ignoredError sqref="O12:O14 O58 O24:O28 O18:O20 O32:O36 O40 O44 O48:O49 O53:O54 O59:O62 O7:O8 O65:O67" formulaRange="1" emptyCellReference="1"/>
    <ignoredError sqref="D22:E22 I22:L22 F22 G22" formulaRange="1"/>
    <ignoredError sqref="O21" formula="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190"/>
  <sheetViews>
    <sheetView showGridLines="0" tabSelected="1" view="pageLayout" zoomScaleNormal="115" zoomScaleSheetLayoutView="115" workbookViewId="0">
      <selection activeCell="K40" sqref="K40"/>
    </sheetView>
  </sheetViews>
  <sheetFormatPr defaultRowHeight="11.25"/>
  <cols>
    <col min="1" max="1" width="30.42578125" style="398" customWidth="1"/>
    <col min="2" max="2" width="6" style="431" customWidth="1"/>
    <col min="3" max="3" width="10.140625" style="600" customWidth="1"/>
    <col min="4" max="4" width="20.28515625" style="439" customWidth="1"/>
    <col min="5" max="5" width="11.28515625" style="608" customWidth="1"/>
    <col min="6" max="6" width="9.85546875" style="396" customWidth="1"/>
    <col min="7" max="7" width="9.42578125" style="396" customWidth="1"/>
    <col min="8" max="8" width="12.7109375" style="397" customWidth="1"/>
    <col min="9" max="16384" width="9.140625" style="398"/>
  </cols>
  <sheetData>
    <row r="1" spans="1:8" s="394" customFormat="1">
      <c r="A1" s="561" t="s">
        <v>69</v>
      </c>
      <c r="B1" s="562"/>
      <c r="C1" s="599"/>
      <c r="D1" s="563"/>
      <c r="E1" s="607"/>
      <c r="F1" s="556"/>
      <c r="G1" s="563"/>
      <c r="H1" s="564"/>
    </row>
    <row r="2" spans="1:8" s="394" customFormat="1" ht="12" thickBot="1">
      <c r="A2" s="565"/>
      <c r="B2" s="566" t="s">
        <v>13</v>
      </c>
      <c r="C2" s="600"/>
      <c r="D2" s="567"/>
      <c r="E2" s="608"/>
      <c r="F2" s="396"/>
      <c r="G2" s="567"/>
      <c r="H2" s="568"/>
    </row>
    <row r="3" spans="1:8" s="557" customFormat="1" ht="30.75" customHeight="1">
      <c r="A3" s="444" t="s">
        <v>63</v>
      </c>
      <c r="B3" s="558" t="s">
        <v>29</v>
      </c>
      <c r="C3" s="559" t="s">
        <v>145</v>
      </c>
      <c r="D3" s="560" t="s">
        <v>179</v>
      </c>
      <c r="E3" s="442" t="s">
        <v>143</v>
      </c>
      <c r="F3" s="443" t="s">
        <v>146</v>
      </c>
      <c r="G3" s="560" t="s">
        <v>147</v>
      </c>
      <c r="H3" s="448" t="s">
        <v>128</v>
      </c>
    </row>
    <row r="4" spans="1:8" s="395" customFormat="1" ht="27" customHeight="1">
      <c r="A4" s="445" t="s">
        <v>33</v>
      </c>
      <c r="B4" s="567"/>
      <c r="C4" s="600"/>
      <c r="D4" s="567"/>
      <c r="E4" s="608"/>
      <c r="F4" s="440"/>
      <c r="G4" s="569"/>
      <c r="H4" s="570"/>
    </row>
    <row r="5" spans="1:8" s="395" customFormat="1" ht="10.5" customHeight="1">
      <c r="A5" s="571" t="s">
        <v>77</v>
      </c>
      <c r="B5" s="572"/>
      <c r="C5" s="601"/>
      <c r="D5" s="572"/>
      <c r="E5" s="609"/>
      <c r="F5" s="441"/>
      <c r="G5" s="573"/>
      <c r="H5" s="570"/>
    </row>
    <row r="6" spans="1:8" ht="10.5" customHeight="1">
      <c r="A6" s="574" t="s">
        <v>77</v>
      </c>
      <c r="B6" s="575">
        <v>1</v>
      </c>
      <c r="C6" s="602">
        <v>40613</v>
      </c>
      <c r="D6" s="576" t="s">
        <v>180</v>
      </c>
      <c r="E6" s="610">
        <v>4.4000000000000004</v>
      </c>
      <c r="F6" s="436">
        <v>0.31597222222222221</v>
      </c>
      <c r="G6" s="577">
        <v>0.33333333333333331</v>
      </c>
      <c r="H6" s="578">
        <v>0.25</v>
      </c>
    </row>
    <row r="7" spans="1:8" s="435" customFormat="1" ht="10.5" customHeight="1">
      <c r="A7" s="574" t="s">
        <v>77</v>
      </c>
      <c r="B7" s="579">
        <v>26</v>
      </c>
      <c r="C7" s="603">
        <v>40793</v>
      </c>
      <c r="D7" s="579" t="s">
        <v>180</v>
      </c>
      <c r="E7" s="611">
        <v>195.27346939220936</v>
      </c>
      <c r="F7" s="460">
        <v>0.625</v>
      </c>
      <c r="G7" s="580">
        <v>0.70833333333333337</v>
      </c>
      <c r="H7" s="581">
        <v>2</v>
      </c>
    </row>
    <row r="8" spans="1:8" ht="11.25" customHeight="1">
      <c r="A8" s="571" t="s">
        <v>144</v>
      </c>
      <c r="B8" s="572"/>
      <c r="C8" s="601"/>
      <c r="D8" s="572"/>
      <c r="E8" s="609"/>
      <c r="F8" s="441"/>
      <c r="G8" s="573"/>
      <c r="H8" s="570"/>
    </row>
    <row r="9" spans="1:8" ht="11.25" customHeight="1">
      <c r="A9" s="571" t="s">
        <v>188</v>
      </c>
      <c r="B9" s="572"/>
      <c r="C9" s="601"/>
      <c r="D9" s="572"/>
      <c r="E9" s="609"/>
      <c r="F9" s="441"/>
      <c r="G9" s="573"/>
      <c r="H9" s="570"/>
    </row>
    <row r="10" spans="1:8" ht="11.25" customHeight="1">
      <c r="A10" s="582" t="s">
        <v>198</v>
      </c>
      <c r="B10" s="575">
        <v>3</v>
      </c>
      <c r="C10" s="602">
        <v>40715</v>
      </c>
      <c r="D10" s="576" t="s">
        <v>181</v>
      </c>
      <c r="E10" s="612">
        <v>10.8168749464622</v>
      </c>
      <c r="F10" s="437">
        <v>0.58333333333333337</v>
      </c>
      <c r="G10" s="583">
        <v>0.79166666666666663</v>
      </c>
      <c r="H10" s="578">
        <v>5</v>
      </c>
    </row>
    <row r="11" spans="1:8" ht="12" customHeight="1">
      <c r="A11" s="582" t="s">
        <v>198</v>
      </c>
      <c r="B11" s="575">
        <v>4</v>
      </c>
      <c r="C11" s="602">
        <v>40716</v>
      </c>
      <c r="D11" s="576" t="s">
        <v>181</v>
      </c>
      <c r="E11" s="612">
        <v>11.4595373986106</v>
      </c>
      <c r="F11" s="437">
        <v>0.58333333333333337</v>
      </c>
      <c r="G11" s="583">
        <v>0.79166666666666663</v>
      </c>
      <c r="H11" s="578">
        <v>5</v>
      </c>
    </row>
    <row r="12" spans="1:8" ht="12" customHeight="1">
      <c r="A12" s="582" t="s">
        <v>198</v>
      </c>
      <c r="B12" s="576">
        <v>7</v>
      </c>
      <c r="C12" s="602">
        <v>40729</v>
      </c>
      <c r="D12" s="576" t="s">
        <v>181</v>
      </c>
      <c r="E12" s="612">
        <v>14.797513529990308</v>
      </c>
      <c r="F12" s="437">
        <v>0.58333333333333337</v>
      </c>
      <c r="G12" s="583">
        <v>0.79166666666666663</v>
      </c>
      <c r="H12" s="578">
        <v>5</v>
      </c>
    </row>
    <row r="13" spans="1:8" ht="12" customHeight="1">
      <c r="A13" s="582" t="s">
        <v>198</v>
      </c>
      <c r="B13" s="576">
        <v>9</v>
      </c>
      <c r="C13" s="602">
        <v>40730</v>
      </c>
      <c r="D13" s="576" t="s">
        <v>181</v>
      </c>
      <c r="E13" s="612">
        <v>14.328694969932013</v>
      </c>
      <c r="F13" s="437">
        <v>0.58333333333333337</v>
      </c>
      <c r="G13" s="583">
        <v>0.79166666666666663</v>
      </c>
      <c r="H13" s="578">
        <v>5</v>
      </c>
    </row>
    <row r="14" spans="1:8" ht="12" customHeight="1">
      <c r="A14" s="582" t="s">
        <v>198</v>
      </c>
      <c r="B14" s="575">
        <v>11</v>
      </c>
      <c r="C14" s="602">
        <v>40752</v>
      </c>
      <c r="D14" s="576" t="s">
        <v>181</v>
      </c>
      <c r="E14" s="612">
        <v>9.5590725548574991</v>
      </c>
      <c r="F14" s="437">
        <v>0.58333333333333337</v>
      </c>
      <c r="G14" s="583">
        <v>0.79166666666666663</v>
      </c>
      <c r="H14" s="578">
        <v>5</v>
      </c>
    </row>
    <row r="15" spans="1:8" ht="12" customHeight="1">
      <c r="A15" s="582" t="s">
        <v>198</v>
      </c>
      <c r="B15" s="575">
        <v>13</v>
      </c>
      <c r="C15" s="602">
        <v>40753</v>
      </c>
      <c r="D15" s="576" t="s">
        <v>181</v>
      </c>
      <c r="E15" s="612">
        <v>9.2761276954164202</v>
      </c>
      <c r="F15" s="437">
        <v>0.58333333333333337</v>
      </c>
      <c r="G15" s="583">
        <v>0.79166666666666663</v>
      </c>
      <c r="H15" s="578">
        <v>5</v>
      </c>
    </row>
    <row r="16" spans="1:8" ht="12" customHeight="1">
      <c r="A16" s="582" t="s">
        <v>198</v>
      </c>
      <c r="B16" s="575">
        <v>14</v>
      </c>
      <c r="C16" s="602">
        <v>40772</v>
      </c>
      <c r="D16" s="584" t="s">
        <v>181</v>
      </c>
      <c r="E16" s="612">
        <v>5.8522442784667348</v>
      </c>
      <c r="F16" s="437">
        <v>0.58333333333333337</v>
      </c>
      <c r="G16" s="583">
        <v>0.79166666666666663</v>
      </c>
      <c r="H16" s="578">
        <v>5</v>
      </c>
    </row>
    <row r="17" spans="1:12">
      <c r="A17" s="582" t="s">
        <v>198</v>
      </c>
      <c r="B17" s="584">
        <v>15</v>
      </c>
      <c r="C17" s="602">
        <v>40773</v>
      </c>
      <c r="D17" s="584" t="s">
        <v>181</v>
      </c>
      <c r="E17" s="612">
        <v>5.4968329340281681</v>
      </c>
      <c r="F17" s="437">
        <v>0.58333333333333337</v>
      </c>
      <c r="G17" s="583">
        <v>0.79166666666666663</v>
      </c>
      <c r="H17" s="578">
        <v>5</v>
      </c>
      <c r="I17" s="428"/>
    </row>
    <row r="18" spans="1:12" s="430" customFormat="1">
      <c r="A18" s="582" t="s">
        <v>198</v>
      </c>
      <c r="B18" s="584">
        <v>17</v>
      </c>
      <c r="C18" s="604">
        <v>40778</v>
      </c>
      <c r="D18" s="584" t="s">
        <v>181</v>
      </c>
      <c r="E18" s="612">
        <v>6.800550094661177</v>
      </c>
      <c r="F18" s="437">
        <v>0.58333333333333337</v>
      </c>
      <c r="G18" s="583">
        <v>0.79166666666666663</v>
      </c>
      <c r="H18" s="578">
        <v>5</v>
      </c>
      <c r="I18" s="428"/>
      <c r="J18" s="429"/>
      <c r="K18" s="429"/>
      <c r="L18" s="429"/>
    </row>
    <row r="19" spans="1:12">
      <c r="A19" s="582" t="s">
        <v>198</v>
      </c>
      <c r="B19" s="584">
        <v>23</v>
      </c>
      <c r="C19" s="602">
        <v>40784</v>
      </c>
      <c r="D19" s="584" t="s">
        <v>181</v>
      </c>
      <c r="E19" s="612">
        <v>6.463853241573271</v>
      </c>
      <c r="F19" s="437">
        <v>0.58333333333333337</v>
      </c>
      <c r="G19" s="583">
        <v>0.79166666666666663</v>
      </c>
      <c r="H19" s="578">
        <v>5</v>
      </c>
      <c r="I19" s="428"/>
    </row>
    <row r="20" spans="1:12" s="435" customFormat="1" ht="12.75" customHeight="1">
      <c r="A20" s="582" t="s">
        <v>198</v>
      </c>
      <c r="B20" s="579">
        <v>42</v>
      </c>
      <c r="C20" s="603">
        <v>40788</v>
      </c>
      <c r="D20" s="585" t="s">
        <v>181</v>
      </c>
      <c r="E20" s="611">
        <v>6.371658720862353</v>
      </c>
      <c r="F20" s="460">
        <v>0.58333333333333337</v>
      </c>
      <c r="G20" s="580">
        <v>0.79166666666666663</v>
      </c>
      <c r="H20" s="581">
        <v>5</v>
      </c>
      <c r="I20" s="434"/>
    </row>
    <row r="21" spans="1:12" s="435" customFormat="1">
      <c r="A21" s="582" t="s">
        <v>198</v>
      </c>
      <c r="B21" s="579">
        <v>43</v>
      </c>
      <c r="C21" s="605">
        <v>40792</v>
      </c>
      <c r="D21" s="585" t="s">
        <v>181</v>
      </c>
      <c r="E21" s="611">
        <v>5.3879851462693749</v>
      </c>
      <c r="F21" s="460">
        <v>0.58333333333333337</v>
      </c>
      <c r="G21" s="580">
        <v>0.79166666666666663</v>
      </c>
      <c r="H21" s="581">
        <v>5</v>
      </c>
    </row>
    <row r="22" spans="1:12" s="435" customFormat="1">
      <c r="A22" s="582" t="s">
        <v>198</v>
      </c>
      <c r="B22" s="579">
        <v>44</v>
      </c>
      <c r="C22" s="605">
        <v>40793</v>
      </c>
      <c r="D22" s="585" t="s">
        <v>181</v>
      </c>
      <c r="E22" s="611">
        <v>6.0849110971058105</v>
      </c>
      <c r="F22" s="460">
        <v>0.58333333333333337</v>
      </c>
      <c r="G22" s="580">
        <v>0.79166666666666663</v>
      </c>
      <c r="H22" s="581">
        <v>6</v>
      </c>
    </row>
    <row r="23" spans="1:12" s="435" customFormat="1" ht="12.75" customHeight="1">
      <c r="A23" s="582" t="s">
        <v>198</v>
      </c>
      <c r="B23" s="579">
        <v>45</v>
      </c>
      <c r="C23" s="603">
        <v>40794</v>
      </c>
      <c r="D23" s="579" t="s">
        <v>181</v>
      </c>
      <c r="E23" s="611">
        <v>5.5029947613421175</v>
      </c>
      <c r="F23" s="460">
        <v>0.58333333333333337</v>
      </c>
      <c r="G23" s="580">
        <v>0.79166666666666663</v>
      </c>
      <c r="H23" s="581">
        <v>6</v>
      </c>
    </row>
    <row r="24" spans="1:12" s="435" customFormat="1">
      <c r="A24" s="582" t="s">
        <v>198</v>
      </c>
      <c r="B24" s="579">
        <v>46</v>
      </c>
      <c r="C24" s="603">
        <v>40806</v>
      </c>
      <c r="D24" s="585" t="s">
        <v>181</v>
      </c>
      <c r="E24" s="611">
        <v>6.6547952559652863</v>
      </c>
      <c r="F24" s="460">
        <v>0.58333333333333337</v>
      </c>
      <c r="G24" s="580">
        <v>0.79166666666666663</v>
      </c>
      <c r="H24" s="581">
        <v>6</v>
      </c>
    </row>
    <row r="25" spans="1:12" ht="11.25" customHeight="1">
      <c r="A25" s="586" t="s">
        <v>189</v>
      </c>
      <c r="B25" s="572"/>
      <c r="C25" s="601"/>
      <c r="D25" s="572"/>
      <c r="E25" s="609"/>
      <c r="F25" s="441"/>
      <c r="G25" s="573"/>
      <c r="H25" s="570"/>
    </row>
    <row r="26" spans="1:12" ht="26.25" customHeight="1">
      <c r="A26" s="446" t="s">
        <v>34</v>
      </c>
      <c r="B26" s="567"/>
      <c r="D26" s="567"/>
      <c r="F26" s="440"/>
      <c r="G26" s="569"/>
      <c r="H26" s="570"/>
    </row>
    <row r="27" spans="1:12" ht="11.25" customHeight="1">
      <c r="A27" s="571" t="s">
        <v>80</v>
      </c>
      <c r="B27" s="572"/>
      <c r="C27" s="601"/>
      <c r="D27" s="572"/>
      <c r="E27" s="609"/>
      <c r="F27" s="441"/>
      <c r="G27" s="573"/>
      <c r="H27" s="570"/>
    </row>
    <row r="28" spans="1:12" ht="11.25" customHeight="1">
      <c r="A28" s="586" t="s">
        <v>153</v>
      </c>
      <c r="B28" s="572"/>
      <c r="C28" s="601"/>
      <c r="D28" s="572"/>
      <c r="E28" s="609"/>
      <c r="F28" s="441"/>
      <c r="G28" s="573"/>
      <c r="H28" s="570"/>
    </row>
    <row r="29" spans="1:12" s="435" customFormat="1">
      <c r="A29" s="587" t="s">
        <v>153</v>
      </c>
      <c r="B29" s="579">
        <v>31</v>
      </c>
      <c r="C29" s="603">
        <v>40794</v>
      </c>
      <c r="D29" s="579" t="s">
        <v>181</v>
      </c>
      <c r="E29" s="611">
        <v>66.292413126071907</v>
      </c>
      <c r="F29" s="460">
        <v>0.58333333333333337</v>
      </c>
      <c r="G29" s="580">
        <v>0.75</v>
      </c>
      <c r="H29" s="581">
        <v>4</v>
      </c>
    </row>
    <row r="30" spans="1:12" s="435" customFormat="1">
      <c r="A30" s="587" t="s">
        <v>153</v>
      </c>
      <c r="B30" s="579">
        <v>32</v>
      </c>
      <c r="C30" s="603">
        <v>40808</v>
      </c>
      <c r="D30" s="579" t="s">
        <v>181</v>
      </c>
      <c r="E30" s="611">
        <v>47.691783688332698</v>
      </c>
      <c r="F30" s="460">
        <v>0.58333333333333337</v>
      </c>
      <c r="G30" s="580">
        <v>0.75</v>
      </c>
      <c r="H30" s="581">
        <v>5</v>
      </c>
    </row>
    <row r="31" spans="1:12" ht="11.25" customHeight="1">
      <c r="A31" s="571" t="s">
        <v>81</v>
      </c>
      <c r="B31" s="572"/>
      <c r="C31" s="601"/>
      <c r="D31" s="572"/>
      <c r="E31" s="609"/>
      <c r="F31" s="441"/>
      <c r="G31" s="573"/>
      <c r="H31" s="570"/>
    </row>
    <row r="32" spans="1:12" s="435" customFormat="1">
      <c r="A32" s="588" t="s">
        <v>81</v>
      </c>
      <c r="B32" s="579">
        <v>33</v>
      </c>
      <c r="C32" s="603">
        <v>40794</v>
      </c>
      <c r="D32" s="589" t="s">
        <v>187</v>
      </c>
      <c r="E32" s="611">
        <v>2.6860046387E-2</v>
      </c>
      <c r="F32" s="460">
        <v>0.54166666666666663</v>
      </c>
      <c r="G32" s="580">
        <v>0.70833333333333337</v>
      </c>
      <c r="H32" s="581">
        <v>4</v>
      </c>
    </row>
    <row r="33" spans="1:9" s="435" customFormat="1">
      <c r="A33" s="590" t="s">
        <v>81</v>
      </c>
      <c r="B33" s="579">
        <v>34</v>
      </c>
      <c r="C33" s="603">
        <v>40793</v>
      </c>
      <c r="D33" s="585" t="s">
        <v>181</v>
      </c>
      <c r="E33" s="611">
        <v>3.313411331265018</v>
      </c>
      <c r="F33" s="460">
        <v>0.54166666666666663</v>
      </c>
      <c r="G33" s="580">
        <v>0.70833333333333337</v>
      </c>
      <c r="H33" s="581">
        <v>4</v>
      </c>
    </row>
    <row r="34" spans="1:9" s="435" customFormat="1">
      <c r="A34" s="590" t="s">
        <v>81</v>
      </c>
      <c r="B34" s="579">
        <v>35</v>
      </c>
      <c r="C34" s="603">
        <v>40809</v>
      </c>
      <c r="D34" s="579" t="s">
        <v>181</v>
      </c>
      <c r="E34" s="611">
        <v>3.9902675048047063</v>
      </c>
      <c r="F34" s="460">
        <v>0.54166666666666663</v>
      </c>
      <c r="G34" s="580">
        <v>0.70833333333333337</v>
      </c>
      <c r="H34" s="581">
        <v>4</v>
      </c>
    </row>
    <row r="35" spans="1:9" s="435" customFormat="1">
      <c r="A35" s="590" t="s">
        <v>81</v>
      </c>
      <c r="B35" s="579">
        <v>36</v>
      </c>
      <c r="C35" s="603">
        <v>40793</v>
      </c>
      <c r="D35" s="579" t="s">
        <v>180</v>
      </c>
      <c r="E35" s="611">
        <v>13.645281141645901</v>
      </c>
      <c r="F35" s="460">
        <v>0.54166666666666663</v>
      </c>
      <c r="G35" s="580">
        <v>0.70833333333333337</v>
      </c>
      <c r="H35" s="581">
        <v>4</v>
      </c>
    </row>
    <row r="36" spans="1:9" s="435" customFormat="1">
      <c r="A36" s="590" t="s">
        <v>81</v>
      </c>
      <c r="B36" s="579">
        <v>37</v>
      </c>
      <c r="C36" s="603">
        <v>40809</v>
      </c>
      <c r="D36" s="579" t="s">
        <v>180</v>
      </c>
      <c r="E36" s="611">
        <v>15.970638978688401</v>
      </c>
      <c r="F36" s="460">
        <v>0.54166666666666663</v>
      </c>
      <c r="G36" s="580">
        <v>0.70833333333333337</v>
      </c>
      <c r="H36" s="581">
        <v>4</v>
      </c>
    </row>
    <row r="37" spans="1:9" s="435" customFormat="1">
      <c r="A37" s="571" t="s">
        <v>138</v>
      </c>
      <c r="B37" s="572"/>
      <c r="C37" s="601"/>
      <c r="D37" s="572"/>
      <c r="E37" s="609"/>
      <c r="F37" s="441"/>
      <c r="G37" s="573"/>
      <c r="H37" s="570"/>
    </row>
    <row r="38" spans="1:9" ht="11.25" customHeight="1">
      <c r="A38" s="574" t="s">
        <v>138</v>
      </c>
      <c r="B38" s="575">
        <v>2</v>
      </c>
      <c r="C38" s="602">
        <v>40715</v>
      </c>
      <c r="D38" s="576" t="s">
        <v>181</v>
      </c>
      <c r="E38" s="612">
        <v>28.7716678814235</v>
      </c>
      <c r="F38" s="437">
        <v>0.5</v>
      </c>
      <c r="G38" s="583">
        <v>0.75</v>
      </c>
      <c r="H38" s="591">
        <v>6</v>
      </c>
    </row>
    <row r="39" spans="1:9" ht="11.25" customHeight="1">
      <c r="A39" s="574" t="s">
        <v>138</v>
      </c>
      <c r="B39" s="575">
        <v>6</v>
      </c>
      <c r="C39" s="602">
        <v>40729</v>
      </c>
      <c r="D39" s="576" t="s">
        <v>181</v>
      </c>
      <c r="E39" s="612">
        <v>25.552251807893629</v>
      </c>
      <c r="F39" s="437">
        <v>0.58333333333333337</v>
      </c>
      <c r="G39" s="583">
        <v>0.75</v>
      </c>
      <c r="H39" s="591">
        <v>4</v>
      </c>
    </row>
    <row r="40" spans="1:9" ht="11.25" customHeight="1">
      <c r="A40" s="574" t="s">
        <v>138</v>
      </c>
      <c r="B40" s="576">
        <v>12</v>
      </c>
      <c r="C40" s="602">
        <v>40753</v>
      </c>
      <c r="D40" s="576" t="s">
        <v>181</v>
      </c>
      <c r="E40" s="612">
        <v>42.060724053526002</v>
      </c>
      <c r="F40" s="437">
        <v>0.58333333333333337</v>
      </c>
      <c r="G40" s="583">
        <v>0.75</v>
      </c>
      <c r="H40" s="591">
        <v>4</v>
      </c>
    </row>
    <row r="41" spans="1:9">
      <c r="A41" s="574" t="s">
        <v>138</v>
      </c>
      <c r="B41" s="584">
        <v>16</v>
      </c>
      <c r="C41" s="602">
        <v>40778</v>
      </c>
      <c r="D41" s="584" t="s">
        <v>181</v>
      </c>
      <c r="E41" s="612">
        <v>24.918279289323984</v>
      </c>
      <c r="F41" s="437">
        <v>0.5</v>
      </c>
      <c r="G41" s="583">
        <v>0.75</v>
      </c>
      <c r="H41" s="591">
        <v>6</v>
      </c>
    </row>
    <row r="42" spans="1:9">
      <c r="A42" s="574" t="s">
        <v>138</v>
      </c>
      <c r="B42" s="584">
        <v>21</v>
      </c>
      <c r="C42" s="604">
        <v>40784</v>
      </c>
      <c r="D42" s="584" t="s">
        <v>181</v>
      </c>
      <c r="E42" s="612">
        <v>35.349058725301838</v>
      </c>
      <c r="F42" s="437">
        <v>0.5</v>
      </c>
      <c r="G42" s="583">
        <v>0.75</v>
      </c>
      <c r="H42" s="591">
        <v>6</v>
      </c>
      <c r="I42" s="428"/>
    </row>
    <row r="43" spans="1:9" s="435" customFormat="1">
      <c r="A43" s="574" t="s">
        <v>138</v>
      </c>
      <c r="B43" s="579">
        <v>38</v>
      </c>
      <c r="C43" s="603">
        <v>40788</v>
      </c>
      <c r="D43" s="585" t="s">
        <v>181</v>
      </c>
      <c r="E43" s="611">
        <v>52.452261141269396</v>
      </c>
      <c r="F43" s="460">
        <v>0.5</v>
      </c>
      <c r="G43" s="580">
        <v>0.75</v>
      </c>
      <c r="H43" s="581">
        <v>6</v>
      </c>
    </row>
    <row r="44" spans="1:9" s="435" customFormat="1">
      <c r="A44" s="588" t="s">
        <v>186</v>
      </c>
      <c r="B44" s="579">
        <v>39</v>
      </c>
      <c r="C44" s="605">
        <v>40792</v>
      </c>
      <c r="D44" s="585" t="s">
        <v>181</v>
      </c>
      <c r="E44" s="611">
        <v>27.357832475235842</v>
      </c>
      <c r="F44" s="460">
        <v>0.5</v>
      </c>
      <c r="G44" s="580">
        <v>0.75</v>
      </c>
      <c r="H44" s="581">
        <v>6</v>
      </c>
    </row>
    <row r="45" spans="1:9" s="435" customFormat="1">
      <c r="A45" s="588" t="s">
        <v>186</v>
      </c>
      <c r="B45" s="579">
        <v>40</v>
      </c>
      <c r="C45" s="605">
        <v>40793</v>
      </c>
      <c r="D45" s="585" t="s">
        <v>181</v>
      </c>
      <c r="E45" s="611">
        <v>35.021588076322779</v>
      </c>
      <c r="F45" s="460">
        <v>0.5</v>
      </c>
      <c r="G45" s="580">
        <v>0.75</v>
      </c>
      <c r="H45" s="581">
        <v>6</v>
      </c>
    </row>
    <row r="46" spans="1:9" s="435" customFormat="1">
      <c r="A46" s="592" t="s">
        <v>186</v>
      </c>
      <c r="B46" s="579">
        <v>41</v>
      </c>
      <c r="C46" s="603">
        <v>40806</v>
      </c>
      <c r="D46" s="585" t="s">
        <v>181</v>
      </c>
      <c r="E46" s="611">
        <v>33.419608465979557</v>
      </c>
      <c r="F46" s="460">
        <v>0.5</v>
      </c>
      <c r="G46" s="580">
        <v>0.75</v>
      </c>
      <c r="H46" s="581">
        <v>6</v>
      </c>
    </row>
    <row r="47" spans="1:9" ht="21.75">
      <c r="A47" s="447" t="s">
        <v>35</v>
      </c>
      <c r="B47" s="567"/>
      <c r="D47" s="567"/>
      <c r="F47" s="440"/>
      <c r="G47" s="569"/>
      <c r="H47" s="570"/>
      <c r="I47" s="428"/>
    </row>
    <row r="48" spans="1:9">
      <c r="A48" s="571" t="s">
        <v>79</v>
      </c>
      <c r="B48" s="572"/>
      <c r="C48" s="601"/>
      <c r="D48" s="572"/>
      <c r="E48" s="609"/>
      <c r="F48" s="441"/>
      <c r="G48" s="573"/>
      <c r="H48" s="570"/>
      <c r="I48" s="428"/>
    </row>
    <row r="49" spans="1:9">
      <c r="A49" s="574" t="s">
        <v>79</v>
      </c>
      <c r="B49" s="576">
        <v>5</v>
      </c>
      <c r="C49" s="602">
        <v>40729</v>
      </c>
      <c r="D49" s="576" t="s">
        <v>181</v>
      </c>
      <c r="E49" s="612">
        <v>14.783827233280698</v>
      </c>
      <c r="F49" s="437">
        <v>0.58333333333333337</v>
      </c>
      <c r="G49" s="583">
        <v>0.70833333333333337</v>
      </c>
      <c r="H49" s="591">
        <v>3</v>
      </c>
    </row>
    <row r="50" spans="1:9">
      <c r="A50" s="574" t="s">
        <v>79</v>
      </c>
      <c r="B50" s="576">
        <v>8</v>
      </c>
      <c r="C50" s="602">
        <v>40729</v>
      </c>
      <c r="D50" s="576" t="s">
        <v>180</v>
      </c>
      <c r="E50" s="612">
        <v>7.2444542631792981</v>
      </c>
      <c r="F50" s="437">
        <v>0.66666666666666663</v>
      </c>
      <c r="G50" s="583">
        <v>0.70833333333333337</v>
      </c>
      <c r="H50" s="591">
        <v>1</v>
      </c>
    </row>
    <row r="51" spans="1:9" ht="11.25" customHeight="1">
      <c r="A51" s="574" t="s">
        <v>79</v>
      </c>
      <c r="B51" s="576">
        <v>10</v>
      </c>
      <c r="C51" s="602">
        <v>40730</v>
      </c>
      <c r="D51" s="576" t="s">
        <v>181</v>
      </c>
      <c r="E51" s="612">
        <v>15.606453401773509</v>
      </c>
      <c r="F51" s="437">
        <v>0.66666666666666663</v>
      </c>
      <c r="G51" s="583">
        <v>0.70833333333333337</v>
      </c>
      <c r="H51" s="591">
        <v>1</v>
      </c>
    </row>
    <row r="52" spans="1:9" ht="11.25" customHeight="1">
      <c r="A52" s="574" t="s">
        <v>79</v>
      </c>
      <c r="B52" s="584">
        <v>18</v>
      </c>
      <c r="C52" s="604">
        <v>40780</v>
      </c>
      <c r="D52" s="584" t="s">
        <v>181</v>
      </c>
      <c r="E52" s="612">
        <v>16.104390689110801</v>
      </c>
      <c r="F52" s="438">
        <v>0.625</v>
      </c>
      <c r="G52" s="593">
        <v>0.70833333333333337</v>
      </c>
      <c r="H52" s="591">
        <v>2</v>
      </c>
    </row>
    <row r="53" spans="1:9" ht="11.25" customHeight="1">
      <c r="A53" s="574" t="s">
        <v>79</v>
      </c>
      <c r="B53" s="584">
        <v>22</v>
      </c>
      <c r="C53" s="602">
        <v>40781</v>
      </c>
      <c r="D53" s="584" t="s">
        <v>181</v>
      </c>
      <c r="E53" s="612">
        <v>16.431052653627901</v>
      </c>
      <c r="F53" s="438">
        <v>0.625</v>
      </c>
      <c r="G53" s="593">
        <v>0.70833333333333337</v>
      </c>
      <c r="H53" s="591">
        <v>2</v>
      </c>
    </row>
    <row r="54" spans="1:9" s="435" customFormat="1">
      <c r="A54" s="574" t="s">
        <v>79</v>
      </c>
      <c r="B54" s="579">
        <v>27</v>
      </c>
      <c r="C54" s="603">
        <v>40793</v>
      </c>
      <c r="D54" s="585" t="s">
        <v>181</v>
      </c>
      <c r="E54" s="611">
        <v>14.1</v>
      </c>
      <c r="F54" s="460">
        <v>0.625</v>
      </c>
      <c r="G54" s="580">
        <v>0.75</v>
      </c>
      <c r="H54" s="581">
        <v>3</v>
      </c>
    </row>
    <row r="55" spans="1:9" s="435" customFormat="1">
      <c r="A55" s="574" t="s">
        <v>79</v>
      </c>
      <c r="B55" s="579">
        <v>28</v>
      </c>
      <c r="C55" s="603">
        <v>40807</v>
      </c>
      <c r="D55" s="589" t="s">
        <v>181</v>
      </c>
      <c r="E55" s="611">
        <v>14.901275793479197</v>
      </c>
      <c r="F55" s="460">
        <v>0.625</v>
      </c>
      <c r="G55" s="580">
        <v>0.70833333333333337</v>
      </c>
      <c r="H55" s="581">
        <v>2</v>
      </c>
    </row>
    <row r="56" spans="1:9" s="435" customFormat="1">
      <c r="A56" s="574" t="s">
        <v>79</v>
      </c>
      <c r="B56" s="579">
        <v>29</v>
      </c>
      <c r="C56" s="603">
        <v>40808</v>
      </c>
      <c r="D56" s="579" t="s">
        <v>181</v>
      </c>
      <c r="E56" s="611">
        <v>14.349596428988997</v>
      </c>
      <c r="F56" s="460">
        <v>0.625</v>
      </c>
      <c r="G56" s="580">
        <v>0.70833333333333337</v>
      </c>
      <c r="H56" s="581">
        <v>2</v>
      </c>
    </row>
    <row r="57" spans="1:9" s="435" customFormat="1">
      <c r="A57" s="574" t="s">
        <v>79</v>
      </c>
      <c r="B57" s="579">
        <v>30</v>
      </c>
      <c r="C57" s="603">
        <v>40807</v>
      </c>
      <c r="D57" s="579" t="s">
        <v>180</v>
      </c>
      <c r="E57" s="611">
        <v>17.601636361396693</v>
      </c>
      <c r="F57" s="460">
        <v>0.625</v>
      </c>
      <c r="G57" s="580">
        <v>0.70833333333333337</v>
      </c>
      <c r="H57" s="581">
        <v>2</v>
      </c>
    </row>
    <row r="58" spans="1:9" s="435" customFormat="1">
      <c r="A58" s="571" t="s">
        <v>82</v>
      </c>
      <c r="B58" s="572"/>
      <c r="C58" s="601"/>
      <c r="D58" s="572"/>
      <c r="E58" s="609"/>
      <c r="F58" s="441"/>
      <c r="G58" s="573"/>
      <c r="H58" s="570"/>
    </row>
    <row r="59" spans="1:9">
      <c r="A59" s="590" t="s">
        <v>82</v>
      </c>
      <c r="B59" s="575">
        <v>19</v>
      </c>
      <c r="C59" s="604">
        <v>40780</v>
      </c>
      <c r="D59" s="584" t="s">
        <v>181</v>
      </c>
      <c r="E59" s="613">
        <v>41.861238663999998</v>
      </c>
      <c r="F59" s="438">
        <v>0.625</v>
      </c>
      <c r="G59" s="593">
        <v>0.70833333333333337</v>
      </c>
      <c r="H59" s="591">
        <v>2</v>
      </c>
      <c r="I59" s="428"/>
    </row>
    <row r="60" spans="1:9">
      <c r="A60" s="590" t="s">
        <v>82</v>
      </c>
      <c r="B60" s="584">
        <v>20</v>
      </c>
      <c r="C60" s="604">
        <v>40780</v>
      </c>
      <c r="D60" s="576" t="s">
        <v>180</v>
      </c>
      <c r="E60" s="613">
        <v>150.46599443700001</v>
      </c>
      <c r="F60" s="438">
        <v>0.625</v>
      </c>
      <c r="G60" s="593">
        <v>0.70833333333333337</v>
      </c>
      <c r="H60" s="591">
        <v>2</v>
      </c>
      <c r="I60" s="428"/>
    </row>
    <row r="61" spans="1:9" s="435" customFormat="1" ht="11.25" customHeight="1">
      <c r="A61" s="590" t="s">
        <v>82</v>
      </c>
      <c r="B61" s="579">
        <v>24</v>
      </c>
      <c r="C61" s="605">
        <v>40815</v>
      </c>
      <c r="D61" s="579" t="s">
        <v>181</v>
      </c>
      <c r="E61" s="611">
        <v>50.064985405000002</v>
      </c>
      <c r="F61" s="460">
        <v>0.625</v>
      </c>
      <c r="G61" s="580">
        <v>0.70833333333333337</v>
      </c>
      <c r="H61" s="581">
        <v>2</v>
      </c>
    </row>
    <row r="62" spans="1:9" s="435" customFormat="1" ht="12" thickBot="1">
      <c r="A62" s="594" t="s">
        <v>82</v>
      </c>
      <c r="B62" s="595">
        <v>25</v>
      </c>
      <c r="C62" s="606">
        <v>40794</v>
      </c>
      <c r="D62" s="596" t="s">
        <v>180</v>
      </c>
      <c r="E62" s="614">
        <v>76.166640551</v>
      </c>
      <c r="F62" s="461">
        <v>0.625</v>
      </c>
      <c r="G62" s="597">
        <v>0.70833333333333337</v>
      </c>
      <c r="H62" s="598">
        <v>2</v>
      </c>
    </row>
    <row r="63" spans="1:9" ht="12.75" customHeight="1"/>
    <row r="65" ht="12.75" customHeight="1"/>
    <row r="66" ht="12.75" customHeight="1"/>
    <row r="68" ht="12.75" customHeight="1"/>
    <row r="111" ht="24.75" customHeight="1"/>
    <row r="114" ht="12.75" customHeight="1"/>
    <row r="117" ht="12.75" customHeight="1"/>
    <row r="119" ht="12.75" customHeight="1"/>
    <row r="121" ht="12.75" customHeight="1"/>
    <row r="122" ht="12.75" customHeight="1"/>
    <row r="124" ht="12.75" customHeight="1"/>
    <row r="140" ht="12.75" customHeight="1"/>
    <row r="141" ht="12.75" customHeight="1"/>
    <row r="142" ht="12.75" customHeight="1"/>
    <row r="143" ht="12.75" customHeight="1"/>
    <row r="144" ht="12.75" customHeight="1"/>
    <row r="146" ht="12.75" customHeight="1"/>
    <row r="148" ht="12.75" customHeight="1"/>
    <row r="150" ht="12.75" customHeight="1"/>
    <row r="152" ht="12.75" customHeight="1"/>
    <row r="154" ht="12.75" customHeight="1"/>
    <row r="156"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7" ht="24.75" customHeight="1"/>
    <row r="180" ht="12.75" customHeight="1"/>
    <row r="183" ht="12.75" customHeight="1"/>
    <row r="185" ht="12.75" customHeight="1"/>
    <row r="187" ht="12.75" customHeight="1"/>
    <row r="188" ht="12.75" customHeight="1"/>
    <row r="190" ht="12.75" customHeight="1"/>
  </sheetData>
  <sheetProtection password="C511" sheet="1" objects="1" scenarios="1"/>
  <protectedRanges>
    <protectedRange password="D9D5" sqref="D19 B41:D42 C16 B52:D53 C59:D59 B60:C60 B17:C19" name="Add Rows"/>
    <protectedRange sqref="D19 B41:D42 C16 B52:D53 C59:D59 B60:C60 B17:C19" name="Enter Event Data"/>
    <protectedRange password="D9D5" sqref="D16:D18" name="Add Rows_1"/>
    <protectedRange sqref="D16:D18" name="Enter Event Data_1"/>
    <protectedRange password="D9D5" sqref="F52:G53 F59:G60" name="Add Rows_2"/>
    <protectedRange sqref="F52:G53 F59:G60" name="Enter Event Data_2"/>
    <protectedRange password="D9D5" sqref="C46 C54:D58 A32:A36 C61:D62 C43:D45 A44:A46 C20:C23 C48:D48 C27:D37 C25:D25 C5:D5 C7:D9" name="Add Rows_3"/>
    <protectedRange sqref="C46 C54:D58 A32:A36 C61:D62 C43:D45 A44:A46 C20:C23 C48:D48 C27:D37 C25:D25 C5:D5 C7:D9" name="Enter Event Data_3"/>
  </protectedRanges>
  <autoFilter ref="A3:H3"/>
  <customSheetViews>
    <customSheetView guid="{E5DF83AA-DC53-4EBF-A523-33DA0FE284E8}" scale="75">
      <selection activeCell="A3" sqref="A3"/>
      <pageMargins left="0.75" right="0.75" top="1" bottom="0.75" header="0.5" footer="0.5"/>
      <pageSetup scale="65" fitToWidth="0" fitToHeight="0" orientation="landscape" r:id="rId1"/>
      <headerFooter alignWithMargins="0">
        <oddHeader>&amp;C&amp;"Arial,Bold"Table I-4
Pacific Gas and Electric Company
 Interruptible and Price Responsive Programs
 January 2010 
Event Summary</oddHeader>
        <oddFooter>&amp;L&amp;F&amp;R&amp;D</oddFooter>
      </headerFooter>
    </customSheetView>
  </customSheetViews>
  <phoneticPr fontId="0" type="noConversion"/>
  <printOptions horizontalCentered="1"/>
  <pageMargins left="0.24791666666666667" right="0" top="0.93854166666666672" bottom="0.25" header="0.13" footer="0.1"/>
  <pageSetup paperSize="17" scale="85" orientation="landscape" cellComments="atEnd" r:id="rId2"/>
  <headerFooter alignWithMargins="0">
    <oddHeader>&amp;C&amp;"Arial,Bold"Table I-4 
Pacific Gas and Electric Company 
 Interruptible and Price Responsive Programs
Event Summary 
November 2011</oddHeader>
    <oddFooter>&amp;L&amp;F&amp;CPage 8 of 11&amp;R&amp;A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26"/>
  <sheetViews>
    <sheetView showGridLines="0" tabSelected="1" view="pageLayout" topLeftCell="B1" zoomScaleNormal="75" zoomScaleSheetLayoutView="100" workbookViewId="0">
      <selection activeCell="K40" sqref="K40"/>
    </sheetView>
  </sheetViews>
  <sheetFormatPr defaultRowHeight="12.75"/>
  <cols>
    <col min="1" max="1" width="35.5703125" style="8" customWidth="1"/>
    <col min="2" max="2" width="12.42578125" style="8" bestFit="1" customWidth="1"/>
    <col min="3" max="6" width="12.28515625" style="8" bestFit="1" customWidth="1"/>
    <col min="7" max="7" width="11.7109375" style="8" customWidth="1"/>
    <col min="8" max="9" width="11.7109375" style="8" bestFit="1" customWidth="1"/>
    <col min="10" max="10" width="12.42578125" style="8" bestFit="1" customWidth="1"/>
    <col min="11" max="12" width="12.28515625" style="8" customWidth="1"/>
    <col min="13" max="13" width="11.85546875" style="8" bestFit="1" customWidth="1"/>
    <col min="14" max="14" width="15.7109375" style="8" bestFit="1" customWidth="1"/>
    <col min="15" max="15" width="11.7109375" style="8" bestFit="1" customWidth="1"/>
    <col min="16" max="16384" width="9.140625" style="8"/>
  </cols>
  <sheetData>
    <row r="1" spans="1:16" s="112" customFormat="1" ht="5.25" customHeight="1"/>
    <row r="2" spans="1:16" s="112" customFormat="1" ht="4.5" customHeight="1" thickBot="1"/>
    <row r="3" spans="1:16">
      <c r="A3" s="399" t="s">
        <v>18</v>
      </c>
      <c r="B3" s="343"/>
      <c r="C3" s="343"/>
      <c r="D3" s="343"/>
      <c r="E3" s="343"/>
      <c r="F3" s="343"/>
      <c r="G3" s="343"/>
      <c r="H3" s="343"/>
      <c r="I3" s="343"/>
      <c r="J3" s="343"/>
      <c r="K3" s="343"/>
      <c r="L3" s="343"/>
      <c r="M3" s="343"/>
      <c r="N3" s="400"/>
    </row>
    <row r="4" spans="1:16">
      <c r="A4" s="401"/>
      <c r="B4" s="344"/>
      <c r="C4" s="344"/>
      <c r="D4" s="344"/>
      <c r="E4" s="344"/>
      <c r="F4" s="344"/>
      <c r="G4" s="344"/>
      <c r="H4" s="344"/>
      <c r="I4" s="344"/>
      <c r="J4" s="344"/>
      <c r="K4" s="344"/>
      <c r="L4" s="344"/>
      <c r="M4" s="344"/>
      <c r="N4" s="402"/>
    </row>
    <row r="5" spans="1:16" ht="31.5" customHeight="1">
      <c r="A5" s="403" t="s">
        <v>19</v>
      </c>
      <c r="B5" s="151" t="s">
        <v>0</v>
      </c>
      <c r="C5" s="151" t="s">
        <v>1</v>
      </c>
      <c r="D5" s="151" t="s">
        <v>2</v>
      </c>
      <c r="E5" s="151" t="s">
        <v>3</v>
      </c>
      <c r="F5" s="151" t="s">
        <v>4</v>
      </c>
      <c r="G5" s="151" t="s">
        <v>5</v>
      </c>
      <c r="H5" s="151" t="s">
        <v>6</v>
      </c>
      <c r="I5" s="151" t="s">
        <v>7</v>
      </c>
      <c r="J5" s="151" t="s">
        <v>8</v>
      </c>
      <c r="K5" s="151" t="s">
        <v>9</v>
      </c>
      <c r="L5" s="151" t="s">
        <v>10</v>
      </c>
      <c r="M5" s="404" t="s">
        <v>11</v>
      </c>
      <c r="N5" s="405" t="s">
        <v>17</v>
      </c>
    </row>
    <row r="6" spans="1:16">
      <c r="A6" s="406" t="s">
        <v>106</v>
      </c>
      <c r="B6" s="5"/>
      <c r="C6" s="5"/>
      <c r="D6" s="5"/>
      <c r="E6" s="5"/>
      <c r="F6" s="5"/>
      <c r="G6" s="5"/>
      <c r="H6" s="5"/>
      <c r="I6" s="5"/>
      <c r="J6" s="5"/>
      <c r="K6" s="5"/>
      <c r="L6" s="5"/>
      <c r="M6" s="407"/>
      <c r="N6" s="408"/>
    </row>
    <row r="7" spans="1:16">
      <c r="A7" s="29" t="s">
        <v>85</v>
      </c>
      <c r="B7" s="5">
        <v>592060</v>
      </c>
      <c r="C7" s="5">
        <v>244472</v>
      </c>
      <c r="D7" s="5">
        <v>951883.8</v>
      </c>
      <c r="E7" s="5">
        <v>307092.44</v>
      </c>
      <c r="F7" s="5">
        <v>328953.51</v>
      </c>
      <c r="G7" s="5">
        <v>858739.77</v>
      </c>
      <c r="H7" s="5">
        <v>298508.38</v>
      </c>
      <c r="I7" s="5">
        <v>442640</v>
      </c>
      <c r="J7" s="5">
        <v>731222</v>
      </c>
      <c r="K7" s="5">
        <v>48675</v>
      </c>
      <c r="L7" s="5">
        <v>302899.70999999996</v>
      </c>
      <c r="M7" s="5"/>
      <c r="N7" s="409">
        <f t="shared" ref="N7:N15" si="0">SUM(B7:M7)</f>
        <v>5107146.6100000003</v>
      </c>
    </row>
    <row r="8" spans="1:16">
      <c r="A8" s="29" t="s">
        <v>82</v>
      </c>
      <c r="B8" s="5">
        <v>0</v>
      </c>
      <c r="C8" s="5">
        <v>0</v>
      </c>
      <c r="D8" s="5">
        <v>0</v>
      </c>
      <c r="E8" s="5">
        <v>0</v>
      </c>
      <c r="F8" s="5">
        <v>1346092.5</v>
      </c>
      <c r="G8" s="5">
        <v>1860277.5</v>
      </c>
      <c r="H8" s="5">
        <v>3820317.5</v>
      </c>
      <c r="I8" s="5">
        <v>4640457.5</v>
      </c>
      <c r="J8" s="5">
        <v>3227214.16</v>
      </c>
      <c r="K8" s="5">
        <v>1454021.42</v>
      </c>
      <c r="L8" s="5">
        <v>-6041.34</v>
      </c>
      <c r="M8" s="5"/>
      <c r="N8" s="432">
        <f>SUM(B8:M8)</f>
        <v>16342339.24</v>
      </c>
      <c r="O8" s="501" t="s">
        <v>13</v>
      </c>
    </row>
    <row r="9" spans="1:16" ht="16.5">
      <c r="A9" s="29" t="s">
        <v>176</v>
      </c>
      <c r="B9" s="5">
        <v>1466662.15</v>
      </c>
      <c r="C9" s="236">
        <v>1554822.16</v>
      </c>
      <c r="D9" s="5">
        <v>1587584.89</v>
      </c>
      <c r="E9" s="5">
        <v>1514525.24</v>
      </c>
      <c r="F9" s="5">
        <v>1517991.77</v>
      </c>
      <c r="G9" s="5">
        <v>1589919.56</v>
      </c>
      <c r="H9" s="5">
        <v>1771603.21</v>
      </c>
      <c r="I9" s="5">
        <v>1774825.45</v>
      </c>
      <c r="J9" s="5">
        <v>1736817.67</v>
      </c>
      <c r="K9" s="487">
        <v>1694136.79</v>
      </c>
      <c r="L9" s="487">
        <v>1768394.04</v>
      </c>
      <c r="M9" s="410"/>
      <c r="N9" s="409">
        <f t="shared" si="0"/>
        <v>17977282.93</v>
      </c>
    </row>
    <row r="10" spans="1:16">
      <c r="A10" s="29" t="s">
        <v>137</v>
      </c>
      <c r="B10" s="411">
        <v>0</v>
      </c>
      <c r="C10" s="236">
        <v>0</v>
      </c>
      <c r="D10" s="5">
        <v>0</v>
      </c>
      <c r="E10" s="5">
        <v>0</v>
      </c>
      <c r="F10" s="5">
        <v>0</v>
      </c>
      <c r="G10" s="5">
        <v>0</v>
      </c>
      <c r="H10" s="5">
        <v>0</v>
      </c>
      <c r="I10" s="5">
        <v>0</v>
      </c>
      <c r="J10" s="5">
        <v>0</v>
      </c>
      <c r="K10" s="5">
        <v>0</v>
      </c>
      <c r="L10" s="5">
        <v>0</v>
      </c>
      <c r="M10" s="5"/>
      <c r="N10" s="409">
        <f t="shared" si="0"/>
        <v>0</v>
      </c>
    </row>
    <row r="11" spans="1:16">
      <c r="A11" s="412" t="s">
        <v>75</v>
      </c>
      <c r="B11" s="5">
        <v>0</v>
      </c>
      <c r="C11" s="5">
        <v>0</v>
      </c>
      <c r="D11" s="5">
        <v>-43040.86</v>
      </c>
      <c r="E11" s="5">
        <v>-118028.07</v>
      </c>
      <c r="F11" s="5">
        <v>147312.49</v>
      </c>
      <c r="G11" s="5">
        <v>13756.44</v>
      </c>
      <c r="H11" s="5">
        <v>0</v>
      </c>
      <c r="I11" s="5">
        <v>137494.14000000001</v>
      </c>
      <c r="J11" s="5">
        <v>256946.81</v>
      </c>
      <c r="K11" s="5">
        <v>205012.4</v>
      </c>
      <c r="L11" s="5">
        <v>868725.90999999992</v>
      </c>
      <c r="M11" s="5"/>
      <c r="N11" s="409">
        <f t="shared" si="0"/>
        <v>1468179.2599999998</v>
      </c>
    </row>
    <row r="12" spans="1:16" ht="12.75" customHeight="1">
      <c r="A12" s="412" t="s">
        <v>76</v>
      </c>
      <c r="B12" s="5">
        <v>0</v>
      </c>
      <c r="C12" s="5">
        <v>0</v>
      </c>
      <c r="D12" s="5">
        <v>0</v>
      </c>
      <c r="E12" s="5">
        <v>0</v>
      </c>
      <c r="F12" s="5">
        <v>0</v>
      </c>
      <c r="G12" s="5">
        <v>0</v>
      </c>
      <c r="H12" s="5">
        <v>0</v>
      </c>
      <c r="I12" s="5">
        <v>0</v>
      </c>
      <c r="J12" s="5">
        <v>0</v>
      </c>
      <c r="K12" s="5">
        <v>3581.43</v>
      </c>
      <c r="L12" s="5">
        <v>0</v>
      </c>
      <c r="M12" s="5"/>
      <c r="N12" s="409">
        <f t="shared" si="0"/>
        <v>3581.43</v>
      </c>
      <c r="O12" s="413"/>
    </row>
    <row r="13" spans="1:16" ht="37.5" customHeight="1">
      <c r="A13" s="237" t="s">
        <v>182</v>
      </c>
      <c r="B13" s="108">
        <v>0</v>
      </c>
      <c r="C13" s="108">
        <v>0</v>
      </c>
      <c r="D13" s="108">
        <v>0</v>
      </c>
      <c r="E13" s="108">
        <v>0</v>
      </c>
      <c r="F13" s="108">
        <v>0</v>
      </c>
      <c r="G13" s="108">
        <v>0</v>
      </c>
      <c r="H13" s="108">
        <v>0</v>
      </c>
      <c r="I13" s="108">
        <v>0</v>
      </c>
      <c r="J13" s="108">
        <v>0</v>
      </c>
      <c r="K13" s="108">
        <v>0</v>
      </c>
      <c r="L13" s="108">
        <v>0</v>
      </c>
      <c r="M13" s="108"/>
      <c r="N13" s="414">
        <f t="shared" si="0"/>
        <v>0</v>
      </c>
      <c r="O13" s="415"/>
    </row>
    <row r="14" spans="1:16">
      <c r="A14" s="412" t="s">
        <v>151</v>
      </c>
      <c r="B14" s="5">
        <v>0</v>
      </c>
      <c r="C14" s="5">
        <v>0</v>
      </c>
      <c r="D14" s="5">
        <v>0</v>
      </c>
      <c r="E14" s="5">
        <v>0</v>
      </c>
      <c r="F14" s="5">
        <v>0</v>
      </c>
      <c r="G14" s="5">
        <v>0</v>
      </c>
      <c r="H14" s="5">
        <v>0</v>
      </c>
      <c r="I14" s="5">
        <v>0</v>
      </c>
      <c r="J14" s="5">
        <v>0</v>
      </c>
      <c r="K14" s="5">
        <v>1019318</v>
      </c>
      <c r="L14" s="5">
        <v>0</v>
      </c>
      <c r="M14" s="5"/>
      <c r="N14" s="409">
        <f t="shared" si="0"/>
        <v>1019318</v>
      </c>
      <c r="O14" s="415"/>
      <c r="P14" s="415"/>
    </row>
    <row r="15" spans="1:16">
      <c r="A15" s="103" t="s">
        <v>199</v>
      </c>
      <c r="B15" s="5">
        <v>0</v>
      </c>
      <c r="C15" s="5">
        <v>0</v>
      </c>
      <c r="D15" s="5">
        <v>0</v>
      </c>
      <c r="E15" s="5">
        <v>0</v>
      </c>
      <c r="F15" s="5">
        <v>0</v>
      </c>
      <c r="G15" s="5">
        <v>0</v>
      </c>
      <c r="H15" s="5">
        <v>0</v>
      </c>
      <c r="I15" s="5">
        <v>0</v>
      </c>
      <c r="J15" s="5">
        <v>0</v>
      </c>
      <c r="K15" s="5">
        <v>0</v>
      </c>
      <c r="L15" s="5">
        <v>302899.70999999996</v>
      </c>
      <c r="M15" s="5"/>
      <c r="N15" s="409">
        <f t="shared" si="0"/>
        <v>302899.70999999996</v>
      </c>
      <c r="O15" s="415"/>
      <c r="P15" s="415"/>
    </row>
    <row r="16" spans="1:16">
      <c r="A16" s="1" t="s">
        <v>12</v>
      </c>
      <c r="B16" s="3">
        <f t="shared" ref="B16:N16" si="1">SUM(B7:B15)</f>
        <v>2058722.15</v>
      </c>
      <c r="C16" s="3">
        <f t="shared" si="1"/>
        <v>1799294.16</v>
      </c>
      <c r="D16" s="3">
        <f t="shared" si="1"/>
        <v>2496427.83</v>
      </c>
      <c r="E16" s="3">
        <f t="shared" si="1"/>
        <v>1703589.6099999999</v>
      </c>
      <c r="F16" s="3">
        <f t="shared" si="1"/>
        <v>3340350.2700000005</v>
      </c>
      <c r="G16" s="3">
        <v>872496.21</v>
      </c>
      <c r="H16" s="3">
        <f t="shared" si="1"/>
        <v>5890429.0899999999</v>
      </c>
      <c r="I16" s="3">
        <f t="shared" si="1"/>
        <v>6995417.0899999999</v>
      </c>
      <c r="J16" s="3">
        <f t="shared" si="1"/>
        <v>5952200.6399999997</v>
      </c>
      <c r="K16" s="3">
        <f t="shared" si="1"/>
        <v>4424745.04</v>
      </c>
      <c r="L16" s="3">
        <f t="shared" si="1"/>
        <v>3236878.03</v>
      </c>
      <c r="M16" s="3">
        <f t="shared" si="1"/>
        <v>0</v>
      </c>
      <c r="N16" s="22">
        <f t="shared" si="1"/>
        <v>42220747.18</v>
      </c>
    </row>
    <row r="17" spans="1:14">
      <c r="A17" s="412"/>
      <c r="B17" s="2"/>
      <c r="C17" s="2"/>
      <c r="D17" s="2"/>
      <c r="E17" s="2"/>
      <c r="F17" s="2"/>
      <c r="G17" s="2"/>
      <c r="H17" s="2"/>
      <c r="I17" s="2"/>
      <c r="J17" s="2"/>
      <c r="K17" s="2"/>
      <c r="L17" s="2"/>
      <c r="M17" s="416"/>
      <c r="N17" s="417"/>
    </row>
    <row r="18" spans="1:14" ht="13.5" thickBot="1">
      <c r="A18" s="418"/>
      <c r="B18" s="7"/>
      <c r="C18" s="7"/>
      <c r="D18" s="7"/>
      <c r="E18" s="7"/>
      <c r="F18" s="7"/>
      <c r="G18" s="7"/>
      <c r="H18" s="7"/>
      <c r="I18" s="7"/>
      <c r="J18" s="7"/>
      <c r="K18" s="7"/>
      <c r="L18" s="7"/>
      <c r="M18" s="7"/>
      <c r="N18" s="419"/>
    </row>
    <row r="19" spans="1:14" ht="9" customHeight="1" thickBot="1">
      <c r="A19" s="420"/>
      <c r="B19" s="2"/>
      <c r="C19" s="2"/>
      <c r="D19" s="2"/>
      <c r="E19" s="2"/>
      <c r="F19" s="2"/>
      <c r="G19" s="2"/>
      <c r="H19" s="2"/>
      <c r="I19" s="2"/>
      <c r="J19" s="2"/>
      <c r="K19" s="2"/>
      <c r="L19" s="2"/>
      <c r="M19" s="2"/>
      <c r="N19" s="417"/>
    </row>
    <row r="20" spans="1:14" ht="20.25" customHeight="1" thickBot="1">
      <c r="A20" s="421" t="s">
        <v>152</v>
      </c>
      <c r="B20" s="422">
        <v>0</v>
      </c>
      <c r="C20" s="9">
        <v>0</v>
      </c>
      <c r="D20" s="9">
        <v>0</v>
      </c>
      <c r="E20" s="9">
        <v>0</v>
      </c>
      <c r="F20" s="9">
        <v>0</v>
      </c>
      <c r="G20" s="9">
        <v>0</v>
      </c>
      <c r="H20" s="152">
        <v>0</v>
      </c>
      <c r="I20" s="152">
        <v>0</v>
      </c>
      <c r="J20" s="152">
        <v>0</v>
      </c>
      <c r="K20" s="152">
        <v>0</v>
      </c>
      <c r="L20" s="152">
        <v>0</v>
      </c>
      <c r="M20" s="423">
        <v>0</v>
      </c>
      <c r="N20" s="424">
        <f>SUM(B20:M20)</f>
        <v>0</v>
      </c>
    </row>
    <row r="21" spans="1:14" ht="15.75" customHeight="1">
      <c r="A21" s="235" t="s">
        <v>178</v>
      </c>
      <c r="B21" s="425"/>
      <c r="C21" s="245"/>
      <c r="D21" s="245"/>
      <c r="E21" s="245"/>
      <c r="F21" s="245"/>
      <c r="G21" s="245"/>
      <c r="H21" s="246"/>
      <c r="I21" s="246"/>
      <c r="J21" s="246"/>
      <c r="K21" s="246"/>
      <c r="L21" s="246"/>
      <c r="M21" s="246"/>
      <c r="N21" s="245"/>
    </row>
    <row r="22" spans="1:14" ht="15.75" customHeight="1">
      <c r="A22" s="16"/>
      <c r="B22" s="2"/>
      <c r="C22" s="2"/>
      <c r="D22" s="2"/>
      <c r="E22" s="2"/>
      <c r="F22" s="2"/>
      <c r="G22" s="2"/>
      <c r="H22" s="2"/>
      <c r="I22" s="2"/>
      <c r="J22" s="2"/>
      <c r="K22" s="2"/>
      <c r="L22" s="2"/>
      <c r="M22" s="2"/>
      <c r="N22" s="2"/>
    </row>
    <row r="23" spans="1:14" ht="12.75" customHeight="1">
      <c r="A23" s="291"/>
      <c r="B23" s="2"/>
      <c r="C23" s="2"/>
      <c r="D23" s="2"/>
      <c r="E23" s="2"/>
      <c r="F23" s="2"/>
      <c r="G23" s="2"/>
      <c r="H23" s="2"/>
      <c r="I23" s="2"/>
      <c r="J23" s="2"/>
      <c r="K23" s="2"/>
      <c r="L23" s="2"/>
      <c r="M23" s="2"/>
      <c r="N23" s="2"/>
    </row>
    <row r="24" spans="1:14" s="295" customFormat="1" ht="15" customHeight="1">
      <c r="A24" s="292"/>
      <c r="B24" s="293"/>
      <c r="C24" s="293"/>
      <c r="D24" s="293"/>
      <c r="E24" s="293"/>
      <c r="F24" s="293"/>
      <c r="G24" s="294"/>
      <c r="H24" s="294"/>
      <c r="I24" s="294"/>
      <c r="J24" s="294"/>
      <c r="K24" s="294"/>
      <c r="L24" s="294"/>
      <c r="M24" s="294"/>
      <c r="N24" s="294"/>
    </row>
    <row r="25" spans="1:14">
      <c r="A25" s="5"/>
      <c r="B25" s="112"/>
      <c r="C25" s="112"/>
      <c r="D25" s="112"/>
      <c r="E25" s="112"/>
      <c r="F25" s="112"/>
      <c r="G25" s="112"/>
      <c r="H25" s="112"/>
      <c r="I25" s="112"/>
      <c r="J25" s="112"/>
      <c r="K25" s="112"/>
      <c r="L25" s="112"/>
      <c r="M25" s="112"/>
      <c r="N25" s="112"/>
    </row>
    <row r="26" spans="1:14">
      <c r="A26" s="112"/>
      <c r="B26" s="112"/>
      <c r="C26" s="112"/>
      <c r="D26" s="112"/>
      <c r="E26" s="112"/>
      <c r="F26" s="112"/>
      <c r="G26" s="112"/>
      <c r="H26" s="112"/>
      <c r="I26" s="112"/>
      <c r="J26" s="112"/>
      <c r="K26" s="112"/>
      <c r="L26" s="112"/>
      <c r="M26" s="112"/>
      <c r="N26" s="112"/>
    </row>
  </sheetData>
  <sheetProtection password="C511" sheet="1" objects="1" scenarios="1"/>
  <customSheetViews>
    <customSheetView guid="{E5DF83AA-DC53-4EBF-A523-33DA0FE284E8}" scale="75" showPageBreaks="1" showGridLines="0" printArea="1">
      <selection activeCell="F11" sqref="F11"/>
      <pageMargins left="0.2" right="0.2" top="1" bottom="1" header="0.5" footer="0.5"/>
      <printOptions horizontalCentered="1"/>
      <pageSetup scale="70" orientation="landscape" r:id="rId1"/>
      <headerFooter alignWithMargins="0">
        <oddHeader xml:space="preserve">&amp;C&amp;"Arial,Bold"Table I-5
Pacific Gas and Electric Company
 Demand Response Programs 
Total Embedded Cost and Revenues &amp;X(1)&amp;X
January 2010&amp;"Arial,Regular"
</oddHeader>
        <oddFooter>&amp;L&amp;F&amp;R&amp;D</oddFooter>
      </headerFooter>
    </customSheetView>
  </customSheetViews>
  <phoneticPr fontId="0" type="noConversion"/>
  <printOptions horizontalCentered="1"/>
  <pageMargins left="0" right="0" top="1.03125" bottom="0.25" header="0.13" footer="0.1"/>
  <pageSetup paperSize="17" orientation="landscape" cellComments="atEnd" r:id="rId2"/>
  <headerFooter alignWithMargins="0">
    <oddHeader>&amp;C&amp;"Arial,Bold"Table I-5 
Pacific Gas and Electric Company 
 Demand Response Programs
Total Embedded Cost and Revenues
November 2011</oddHeader>
    <oddFooter>&amp;L&amp;F&amp;CPage 9 of 11&amp;R&amp;A</oddFooter>
  </headerFooter>
  <ignoredErrors>
    <ignoredError sqref="N8:N15 N7 C16:F16 H16:M16"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B5A7C31AD6C2E469C9C2F055F88C4AD" ma:contentTypeVersion="0" ma:contentTypeDescription="Create a new document." ma:contentTypeScope="" ma:versionID="9ab4c19e677a814e7c989ca40986430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1D8BCD-ADF9-4C6B-8890-B6764FE9DFC3}">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2288F37-2161-4B51-B416-6D6BC0ED0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A2D5705-FAEC-4B1D-984F-ABD08886A8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Report Cover</vt:lpstr>
      <vt:lpstr>Cover Sheet Text</vt:lpstr>
      <vt:lpstr>Program MW</vt:lpstr>
      <vt:lpstr>Ex ante LI &amp; Eligibility Stats</vt:lpstr>
      <vt:lpstr>Ex post LI &amp; Eligibility Stats</vt:lpstr>
      <vt:lpstr>TA-TI Distribution</vt:lpstr>
      <vt:lpstr>DREBA Expenses</vt:lpstr>
      <vt:lpstr>Event Summary</vt:lpstr>
      <vt:lpstr>Incentives</vt:lpstr>
      <vt:lpstr>ACEBA Expenses</vt:lpstr>
      <vt:lpstr>Shift Fund Log</vt:lpstr>
      <vt:lpstr>'ACEBA Expenses'!Print_Area</vt:lpstr>
      <vt:lpstr>'Event Summary'!Print_Area</vt:lpstr>
      <vt:lpstr>'Ex ante LI &amp; Eligibility Stats'!Print_Area</vt:lpstr>
      <vt:lpstr>'Ex post LI &amp; Eligibility Stats'!Print_Area</vt:lpstr>
      <vt:lpstr>Incentives!Print_Area</vt:lpstr>
      <vt:lpstr>'Program MW'!Print_Area</vt:lpstr>
      <vt:lpstr>'TA-TI Distribution'!Print_Area</vt:lpstr>
      <vt:lpstr>'DREBA Expenses'!Print_Titles</vt:lpstr>
      <vt:lpstr>'Ex ante LI &amp; Eligibility Stats'!Print_Titles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Lerma, Yolanda</cp:lastModifiedBy>
  <cp:lastPrinted>2011-12-20T23:35:56Z</cp:lastPrinted>
  <dcterms:created xsi:type="dcterms:W3CDTF">2011-11-14T22:07:27Z</dcterms:created>
  <dcterms:modified xsi:type="dcterms:W3CDTF">2011-12-20T23:38:56Z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0x0101008B5A7C31AD6C2E469C9C2F055F88C4AD</vt:lpwstr>
  </property>
</Properties>
</file>