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605" yWindow="15" windowWidth="15480" windowHeight="11640" tabRatio="880"/>
  </bookViews>
  <sheets>
    <sheet name="Report Cover" sheetId="19" r:id="rId1"/>
    <sheet name="Cover Page" sheetId="22" r:id="rId2"/>
    <sheet name="Program MW" sheetId="5" r:id="rId3"/>
    <sheet name="Ex Ante LI &amp; Eligibility Stats" sheetId="3" r:id="rId4"/>
    <sheet name="Ex Post LI &amp; Eligibility Stats" sheetId="4" r:id="rId5"/>
    <sheet name="TA-TI Distribution" sheetId="6" r:id="rId6"/>
    <sheet name="DREBA Expenses 2012-14" sheetId="18" r:id="rId7"/>
    <sheet name="Event Summary" sheetId="10" r:id="rId8"/>
    <sheet name="Incentives 2012-14" sheetId="16" r:id="rId9"/>
  </sheets>
  <externalReferences>
    <externalReference r:id="rId10"/>
    <externalReference r:id="rId11"/>
  </externalReferences>
  <definedNames>
    <definedName name="DREBA2012" localSheetId="6">#REF!</definedName>
    <definedName name="DREBA2012" localSheetId="8">#REF!</definedName>
    <definedName name="DREBA2012" localSheetId="0">#REF!</definedName>
    <definedName name="DREBA2012">#REF!</definedName>
    <definedName name="Orders" localSheetId="6">'[1]ORDERS BW'!$C:$H</definedName>
    <definedName name="Orders" localSheetId="0">'[2]ORDERS BW'!$C:$H</definedName>
    <definedName name="Orders">'[1]ORDERS BW'!$C:$H</definedName>
    <definedName name="_xlnm.Print_Area" localSheetId="6">'DREBA Expenses 2012-14'!$B$1:$T$75</definedName>
    <definedName name="_xlnm.Print_Area" localSheetId="7">'Event Summary'!$A$1:$H$15</definedName>
    <definedName name="_xlnm.Print_Area" localSheetId="3">'Ex Ante LI &amp; Eligibility Stats'!$A$1:$O$25</definedName>
    <definedName name="_xlnm.Print_Area" localSheetId="4">'Ex Post LI &amp; Eligibility Stats'!$A$1:$O$25</definedName>
    <definedName name="_xlnm.Print_Area" localSheetId="8">'Incentives 2012-14'!$A$1:$O$23</definedName>
    <definedName name="_xlnm.Print_Area" localSheetId="2">'Program MW'!$A$1:$T$62</definedName>
    <definedName name="_xlnm.Print_Area" localSheetId="5">'TA-TI Distribution'!$A$1:$Y$69</definedName>
    <definedName name="SAPBEXhrIndnt" hidden="1">1</definedName>
    <definedName name="SAPBEXrevision" hidden="1">1</definedName>
    <definedName name="SAPBEXsysID" hidden="1">"BPR"</definedName>
    <definedName name="SAPBEXwbID" hidden="1">"4A0EOS2A54LDHQ8HAAMV1Z7LH"</definedName>
    <definedName name="text">"($ in '000s)"</definedName>
  </definedNames>
  <calcPr calcId="145621"/>
</workbook>
</file>

<file path=xl/calcChain.xml><?xml version="1.0" encoding="utf-8"?>
<calcChain xmlns="http://schemas.openxmlformats.org/spreadsheetml/2006/main">
  <c r="D28" i="5" l="1"/>
  <c r="D27" i="5"/>
  <c r="D26" i="5"/>
  <c r="D25" i="5"/>
  <c r="D24" i="5"/>
  <c r="D23" i="5"/>
  <c r="D22" i="5"/>
  <c r="D21" i="5"/>
  <c r="D20" i="5"/>
  <c r="D19" i="5"/>
  <c r="D18" i="5"/>
  <c r="D17" i="5"/>
  <c r="D14" i="5"/>
  <c r="D13" i="5"/>
  <c r="D12" i="5"/>
  <c r="D11" i="5"/>
  <c r="D10" i="5"/>
  <c r="C28" i="5"/>
  <c r="C27" i="5"/>
  <c r="C26" i="5"/>
  <c r="C25" i="5"/>
  <c r="C24" i="5"/>
  <c r="C23" i="5"/>
  <c r="C22" i="5"/>
  <c r="C21" i="5"/>
  <c r="C20" i="5"/>
  <c r="C19" i="5"/>
  <c r="C18" i="5"/>
  <c r="C17" i="5"/>
  <c r="C14" i="5"/>
  <c r="C13" i="5"/>
  <c r="C12" i="5"/>
  <c r="C11" i="5"/>
  <c r="C10" i="5"/>
  <c r="V29" i="6" l="1"/>
  <c r="Y26" i="6" l="1"/>
  <c r="X26" i="6"/>
  <c r="W26" i="6"/>
  <c r="X24" i="6"/>
  <c r="W24" i="6"/>
  <c r="Y24" i="6" s="1"/>
  <c r="X23" i="6"/>
  <c r="W23" i="6"/>
  <c r="Y23" i="6" s="1"/>
  <c r="X22" i="6"/>
  <c r="W22" i="6"/>
  <c r="Y22" i="6" s="1"/>
  <c r="X21" i="6"/>
  <c r="W21" i="6"/>
  <c r="Y21" i="6" s="1"/>
  <c r="X20" i="6"/>
  <c r="W20" i="6"/>
  <c r="Y20" i="6" s="1"/>
  <c r="X19" i="6"/>
  <c r="W19" i="6"/>
  <c r="X16" i="6"/>
  <c r="X15" i="6"/>
  <c r="X14" i="6"/>
  <c r="X13" i="6"/>
  <c r="X12" i="6"/>
  <c r="X11" i="6"/>
  <c r="X10" i="6"/>
  <c r="X9" i="6"/>
  <c r="X7" i="6"/>
  <c r="X6" i="6"/>
  <c r="X5" i="6"/>
  <c r="W16" i="6"/>
  <c r="W15" i="6"/>
  <c r="W14" i="6"/>
  <c r="W13" i="6"/>
  <c r="W12" i="6"/>
  <c r="W11" i="6"/>
  <c r="W10" i="6"/>
  <c r="W9" i="6"/>
  <c r="W8" i="6"/>
  <c r="W7" i="6"/>
  <c r="W6" i="6"/>
  <c r="W5" i="6"/>
  <c r="X8" i="6" l="1"/>
  <c r="Q15" i="5" l="1"/>
  <c r="Q29" i="5" l="1"/>
  <c r="Q30" i="5" s="1"/>
  <c r="C17" i="16" l="1"/>
  <c r="H17" i="16"/>
  <c r="I17" i="16"/>
  <c r="J17" i="16"/>
  <c r="K17" i="16"/>
  <c r="L17" i="16"/>
  <c r="M17" i="16"/>
  <c r="G17" i="16"/>
  <c r="F17" i="16"/>
  <c r="E17" i="16"/>
  <c r="D17" i="16"/>
  <c r="B17" i="16"/>
  <c r="N16" i="16"/>
  <c r="B29" i="5" l="1"/>
  <c r="B15" i="5"/>
  <c r="T20" i="6"/>
  <c r="T21" i="6"/>
  <c r="T22" i="6"/>
  <c r="T23" i="6"/>
  <c r="T19" i="6"/>
  <c r="O20" i="6"/>
  <c r="S20" i="6" s="1"/>
  <c r="O21" i="6"/>
  <c r="S21" i="6" s="1"/>
  <c r="O22" i="6"/>
  <c r="S22" i="6" s="1"/>
  <c r="O23" i="6"/>
  <c r="S23" i="6" s="1"/>
  <c r="O19" i="6"/>
  <c r="O24" i="6" s="1"/>
  <c r="S24" i="6" s="1"/>
  <c r="T7" i="6"/>
  <c r="T8" i="6"/>
  <c r="T9" i="6"/>
  <c r="T10" i="6"/>
  <c r="T11" i="6"/>
  <c r="T13" i="6"/>
  <c r="T14" i="6"/>
  <c r="T15" i="6"/>
  <c r="T5" i="6"/>
  <c r="S8" i="6"/>
  <c r="S10" i="6"/>
  <c r="S11" i="6"/>
  <c r="S12" i="6"/>
  <c r="S13" i="6"/>
  <c r="S14" i="6"/>
  <c r="S15" i="6"/>
  <c r="O6" i="6"/>
  <c r="S6" i="6" s="1"/>
  <c r="O5" i="6"/>
  <c r="B30" i="5" l="1"/>
  <c r="S5" i="6"/>
  <c r="S19" i="6"/>
  <c r="U19" i="6"/>
  <c r="N15" i="5"/>
  <c r="N29" i="5"/>
  <c r="N30" i="5" l="1"/>
  <c r="H41" i="18"/>
  <c r="H40" i="18"/>
  <c r="H15" i="18"/>
  <c r="H14" i="18"/>
  <c r="P24" i="6" l="1"/>
  <c r="T24" i="6" s="1"/>
  <c r="L24" i="6"/>
  <c r="K24" i="6"/>
  <c r="G41" i="18" l="1"/>
  <c r="F41" i="18"/>
  <c r="E41" i="18"/>
  <c r="D41" i="18"/>
  <c r="G15" i="18"/>
  <c r="F15" i="18"/>
  <c r="E15" i="18"/>
  <c r="D15" i="18"/>
  <c r="P41" i="18" l="1"/>
  <c r="Q41" i="18" s="1"/>
  <c r="G40" i="18"/>
  <c r="F40" i="18"/>
  <c r="E40" i="18"/>
  <c r="D40" i="18"/>
  <c r="P67" i="18" l="1"/>
  <c r="Q67" i="18" s="1"/>
  <c r="S65" i="18"/>
  <c r="R65" i="18"/>
  <c r="O65" i="18"/>
  <c r="N65" i="18"/>
  <c r="M65" i="18"/>
  <c r="L65" i="18"/>
  <c r="K65" i="18"/>
  <c r="J65" i="18"/>
  <c r="I65" i="18"/>
  <c r="H65" i="18"/>
  <c r="G65" i="18"/>
  <c r="F65" i="18"/>
  <c r="E65" i="18"/>
  <c r="D65" i="18"/>
  <c r="C65" i="18"/>
  <c r="P64" i="18"/>
  <c r="Q64" i="18" s="1"/>
  <c r="T64" i="18" s="1"/>
  <c r="P63" i="18"/>
  <c r="R60" i="18"/>
  <c r="O60" i="18"/>
  <c r="N60" i="18"/>
  <c r="M60" i="18"/>
  <c r="L60" i="18"/>
  <c r="K60" i="18"/>
  <c r="J60" i="18"/>
  <c r="I60" i="18"/>
  <c r="H60" i="18"/>
  <c r="G60" i="18"/>
  <c r="F60" i="18"/>
  <c r="E60" i="18"/>
  <c r="D60" i="18"/>
  <c r="C60" i="18"/>
  <c r="P59" i="18"/>
  <c r="Q59" i="18" s="1"/>
  <c r="T59" i="18" s="1"/>
  <c r="P58" i="18"/>
  <c r="Q58" i="18" s="1"/>
  <c r="T58" i="18" s="1"/>
  <c r="P57" i="18"/>
  <c r="Q57" i="18" s="1"/>
  <c r="T57" i="18" s="1"/>
  <c r="P56" i="18"/>
  <c r="Q56" i="18" s="1"/>
  <c r="T56" i="18" s="1"/>
  <c r="P55" i="18"/>
  <c r="Q55" i="18" s="1"/>
  <c r="T55" i="18" s="1"/>
  <c r="P54" i="18"/>
  <c r="Q54" i="18" s="1"/>
  <c r="T54" i="18" s="1"/>
  <c r="P53" i="18"/>
  <c r="S50" i="18"/>
  <c r="R50" i="18"/>
  <c r="O50" i="18"/>
  <c r="N50" i="18"/>
  <c r="M50" i="18"/>
  <c r="L50" i="18"/>
  <c r="K50" i="18"/>
  <c r="J50" i="18"/>
  <c r="I50" i="18"/>
  <c r="H50" i="18"/>
  <c r="G50" i="18"/>
  <c r="F50" i="18"/>
  <c r="E50" i="18"/>
  <c r="D50" i="18"/>
  <c r="C50" i="18"/>
  <c r="P49" i="18"/>
  <c r="Q49" i="18" s="1"/>
  <c r="T49" i="18" s="1"/>
  <c r="P48" i="18"/>
  <c r="Q48" i="18" s="1"/>
  <c r="T48" i="18" s="1"/>
  <c r="P47" i="18"/>
  <c r="Q47" i="18" s="1"/>
  <c r="T47" i="18" s="1"/>
  <c r="P46" i="18"/>
  <c r="S43" i="18"/>
  <c r="R43" i="18"/>
  <c r="O43" i="18"/>
  <c r="N43" i="18"/>
  <c r="M43" i="18"/>
  <c r="L43" i="18"/>
  <c r="K43" i="18"/>
  <c r="J43" i="18"/>
  <c r="I43" i="18"/>
  <c r="H43" i="18"/>
  <c r="C43" i="18"/>
  <c r="P42" i="18"/>
  <c r="Q42" i="18" s="1"/>
  <c r="T42" i="18" s="1"/>
  <c r="G43" i="18"/>
  <c r="F43" i="18"/>
  <c r="E43" i="18"/>
  <c r="D43" i="18"/>
  <c r="P39" i="18"/>
  <c r="S36" i="18"/>
  <c r="R36" i="18"/>
  <c r="O36" i="18"/>
  <c r="N36" i="18"/>
  <c r="M36" i="18"/>
  <c r="L36" i="18"/>
  <c r="K36" i="18"/>
  <c r="J36" i="18"/>
  <c r="I36" i="18"/>
  <c r="H36" i="18"/>
  <c r="G36" i="18"/>
  <c r="F36" i="18"/>
  <c r="E36" i="18"/>
  <c r="D36" i="18"/>
  <c r="C36" i="18"/>
  <c r="P35" i="18"/>
  <c r="Q35" i="18" s="1"/>
  <c r="T35" i="18" s="1"/>
  <c r="P34" i="18"/>
  <c r="S31" i="18"/>
  <c r="R31" i="18"/>
  <c r="O31" i="18"/>
  <c r="N31" i="18"/>
  <c r="M31" i="18"/>
  <c r="L31" i="18"/>
  <c r="K31" i="18"/>
  <c r="J31" i="18"/>
  <c r="I31" i="18"/>
  <c r="H31" i="18"/>
  <c r="G31" i="18"/>
  <c r="F31" i="18"/>
  <c r="E31" i="18"/>
  <c r="D31" i="18"/>
  <c r="C31" i="18"/>
  <c r="P30" i="18"/>
  <c r="Q30" i="18" s="1"/>
  <c r="T30" i="18" s="1"/>
  <c r="P29" i="18"/>
  <c r="Q29" i="18" s="1"/>
  <c r="T29" i="18" s="1"/>
  <c r="P28" i="18"/>
  <c r="Q28" i="18" s="1"/>
  <c r="S25" i="18"/>
  <c r="R25" i="18"/>
  <c r="O25" i="18"/>
  <c r="N25" i="18"/>
  <c r="M25" i="18"/>
  <c r="L25" i="18"/>
  <c r="K25" i="18"/>
  <c r="J25" i="18"/>
  <c r="I25" i="18"/>
  <c r="H25" i="18"/>
  <c r="G25" i="18"/>
  <c r="F25" i="18"/>
  <c r="E25" i="18"/>
  <c r="D25" i="18"/>
  <c r="C25" i="18"/>
  <c r="P24" i="18"/>
  <c r="Q24" i="18" s="1"/>
  <c r="T24" i="18" s="1"/>
  <c r="P23" i="18"/>
  <c r="S20" i="18"/>
  <c r="R20" i="18"/>
  <c r="O20" i="18"/>
  <c r="N20" i="18"/>
  <c r="M20" i="18"/>
  <c r="L20" i="18"/>
  <c r="K20" i="18"/>
  <c r="J20" i="18"/>
  <c r="I20" i="18"/>
  <c r="H20" i="18"/>
  <c r="G20" i="18"/>
  <c r="F20" i="18"/>
  <c r="E20" i="18"/>
  <c r="D20" i="18"/>
  <c r="C20" i="18"/>
  <c r="P19" i="18"/>
  <c r="P20" i="18" s="1"/>
  <c r="S16" i="18"/>
  <c r="R16" i="18"/>
  <c r="O16" i="18"/>
  <c r="N16" i="18"/>
  <c r="M16" i="18"/>
  <c r="L16" i="18"/>
  <c r="K16" i="18"/>
  <c r="J16" i="18"/>
  <c r="I16" i="18"/>
  <c r="H16" i="18"/>
  <c r="C16" i="18"/>
  <c r="G16" i="18"/>
  <c r="F16" i="18"/>
  <c r="E16" i="18"/>
  <c r="D16" i="18"/>
  <c r="P14" i="18"/>
  <c r="Q14" i="18" s="1"/>
  <c r="T14" i="18" s="1"/>
  <c r="P13" i="18"/>
  <c r="Q13" i="18" s="1"/>
  <c r="T13" i="18" s="1"/>
  <c r="P12" i="18"/>
  <c r="S9" i="18"/>
  <c r="S68" i="18" s="1"/>
  <c r="R9" i="18"/>
  <c r="O9" i="18"/>
  <c r="O68" i="18" s="1"/>
  <c r="N9" i="18"/>
  <c r="N68" i="18" s="1"/>
  <c r="M9" i="18"/>
  <c r="M68" i="18" s="1"/>
  <c r="L9" i="18"/>
  <c r="L68" i="18" s="1"/>
  <c r="K9" i="18"/>
  <c r="K68" i="18" s="1"/>
  <c r="J9" i="18"/>
  <c r="J68" i="18" s="1"/>
  <c r="I9" i="18"/>
  <c r="H9" i="18"/>
  <c r="H68" i="18" s="1"/>
  <c r="G9" i="18"/>
  <c r="F9" i="18"/>
  <c r="E9" i="18"/>
  <c r="D9" i="18"/>
  <c r="C9" i="18"/>
  <c r="C68" i="18" s="1"/>
  <c r="P8" i="18"/>
  <c r="Q8" i="18" s="1"/>
  <c r="T8" i="18" s="1"/>
  <c r="P7" i="18"/>
  <c r="P60" i="18" l="1"/>
  <c r="P50" i="18"/>
  <c r="I68" i="18"/>
  <c r="P65" i="18"/>
  <c r="P36" i="18"/>
  <c r="P9" i="18"/>
  <c r="G68" i="18"/>
  <c r="F68" i="18"/>
  <c r="E68" i="18"/>
  <c r="Q53" i="18"/>
  <c r="Q60" i="18" s="1"/>
  <c r="T60" i="18" s="1"/>
  <c r="Q63" i="18"/>
  <c r="Q65" i="18" s="1"/>
  <c r="T65" i="18" s="1"/>
  <c r="P25" i="18"/>
  <c r="R68" i="18"/>
  <c r="D68" i="18"/>
  <c r="Q31" i="18"/>
  <c r="T31" i="18" s="1"/>
  <c r="T28" i="18"/>
  <c r="Q7" i="18"/>
  <c r="Q12" i="18"/>
  <c r="P15" i="18"/>
  <c r="Q15" i="18" s="1"/>
  <c r="T15" i="18" s="1"/>
  <c r="Q19" i="18"/>
  <c r="P31" i="18"/>
  <c r="Q34" i="18"/>
  <c r="Q39" i="18"/>
  <c r="P40" i="18"/>
  <c r="Q40" i="18" s="1"/>
  <c r="T40" i="18" s="1"/>
  <c r="Q23" i="18"/>
  <c r="Q46" i="18"/>
  <c r="T63" i="18" l="1"/>
  <c r="T53" i="18"/>
  <c r="Q25" i="18"/>
  <c r="T25" i="18" s="1"/>
  <c r="T23" i="18"/>
  <c r="T39" i="18"/>
  <c r="Q43" i="18"/>
  <c r="T43" i="18" s="1"/>
  <c r="Q9" i="18"/>
  <c r="T7" i="18"/>
  <c r="P16" i="18"/>
  <c r="Q50" i="18"/>
  <c r="T50" i="18" s="1"/>
  <c r="T46" i="18"/>
  <c r="Q36" i="18"/>
  <c r="T36" i="18" s="1"/>
  <c r="T34" i="18"/>
  <c r="T19" i="18"/>
  <c r="Q20" i="18"/>
  <c r="T20" i="18" s="1"/>
  <c r="Q16" i="18"/>
  <c r="T16" i="18" s="1"/>
  <c r="T12" i="18"/>
  <c r="P43" i="18"/>
  <c r="P68" i="18" l="1"/>
  <c r="Q68" i="18"/>
  <c r="T9" i="18"/>
  <c r="T68" i="18" l="1"/>
  <c r="K15" i="5" l="1"/>
  <c r="K29" i="5"/>
  <c r="K30" i="5" l="1"/>
  <c r="L6" i="6" l="1"/>
  <c r="P6" i="6" s="1"/>
  <c r="T6" i="6" l="1"/>
  <c r="L12" i="6"/>
  <c r="P12" i="6" s="1"/>
  <c r="T12" i="6" s="1"/>
  <c r="T16" i="6" l="1"/>
  <c r="T26" i="6" s="1"/>
  <c r="P16" i="6"/>
  <c r="P26" i="6" s="1"/>
  <c r="L16" i="6"/>
  <c r="L26" i="6" s="1"/>
  <c r="H16" i="6"/>
  <c r="G16" i="6"/>
  <c r="K8" i="6"/>
  <c r="K7" i="6"/>
  <c r="O7" i="6" s="1"/>
  <c r="K12" i="6"/>
  <c r="K13" i="6"/>
  <c r="K14" i="6"/>
  <c r="K11" i="6"/>
  <c r="K9" i="6"/>
  <c r="O9" i="6" s="1"/>
  <c r="S9" i="6" s="1"/>
  <c r="K10" i="6"/>
  <c r="K16" i="6" l="1"/>
  <c r="K26" i="6" s="1"/>
  <c r="S7" i="6"/>
  <c r="S16" i="6" s="1"/>
  <c r="S26" i="6" s="1"/>
  <c r="O16" i="6"/>
  <c r="O26" i="6" s="1"/>
  <c r="H29" i="5"/>
  <c r="H15" i="5"/>
  <c r="H30" i="5" l="1"/>
  <c r="B29" i="6"/>
  <c r="F29" i="6" s="1"/>
  <c r="J29" i="6" s="1"/>
  <c r="O29" i="6" s="1"/>
  <c r="R29" i="6" s="1"/>
  <c r="E29" i="5" l="1"/>
  <c r="E15" i="5"/>
  <c r="N21" i="16"/>
  <c r="N15" i="16"/>
  <c r="N14" i="16"/>
  <c r="N13" i="16"/>
  <c r="N12" i="16"/>
  <c r="N11" i="16"/>
  <c r="N10" i="16"/>
  <c r="N9" i="16"/>
  <c r="N8" i="16"/>
  <c r="N7" i="16"/>
  <c r="N17" i="16" l="1"/>
  <c r="E30" i="5"/>
  <c r="H24" i="6" l="1"/>
  <c r="H26" i="6" s="1"/>
  <c r="G24" i="6"/>
  <c r="G26" i="6" s="1"/>
  <c r="D46" i="5" l="1"/>
  <c r="D47" i="5"/>
  <c r="D48" i="5"/>
  <c r="D49" i="5"/>
  <c r="D50" i="5"/>
  <c r="D51" i="5"/>
  <c r="D52" i="5"/>
  <c r="D53" i="5"/>
  <c r="D54" i="5"/>
  <c r="D55" i="5"/>
  <c r="D45" i="5"/>
  <c r="D39" i="5"/>
  <c r="D40" i="5"/>
  <c r="D41" i="5"/>
  <c r="D42" i="5"/>
  <c r="D38" i="5"/>
  <c r="C46" i="5"/>
  <c r="C47" i="5"/>
  <c r="C48" i="5"/>
  <c r="C49" i="5"/>
  <c r="C50" i="5"/>
  <c r="C51" i="5"/>
  <c r="C52" i="5"/>
  <c r="C53" i="5"/>
  <c r="C54" i="5"/>
  <c r="C55" i="5"/>
  <c r="C45" i="5"/>
  <c r="C39" i="5"/>
  <c r="C40" i="5"/>
  <c r="C41" i="5"/>
  <c r="C42" i="5"/>
  <c r="C38" i="5"/>
  <c r="Y65" i="6"/>
  <c r="X65" i="6"/>
  <c r="W65" i="6"/>
  <c r="V65" i="6"/>
  <c r="V67" i="6"/>
  <c r="U65" i="6"/>
  <c r="T65" i="6"/>
  <c r="S65" i="6"/>
  <c r="R65" i="6"/>
  <c r="R67" i="6" s="1"/>
  <c r="Q65" i="6"/>
  <c r="P65" i="6"/>
  <c r="O65" i="6"/>
  <c r="N65" i="6"/>
  <c r="N67" i="6" s="1"/>
  <c r="M65" i="6"/>
  <c r="L65" i="6"/>
  <c r="K65" i="6"/>
  <c r="J65" i="6"/>
  <c r="J67" i="6" s="1"/>
  <c r="I65" i="6"/>
  <c r="H65" i="6"/>
  <c r="G65" i="6"/>
  <c r="F65" i="6"/>
  <c r="F67" i="6"/>
  <c r="E65" i="6"/>
  <c r="D65" i="6"/>
  <c r="C65" i="6"/>
  <c r="B65" i="6"/>
  <c r="B67" i="6" s="1"/>
  <c r="Y57" i="6"/>
  <c r="U57" i="6"/>
  <c r="Q57" i="6"/>
  <c r="M57" i="6"/>
  <c r="I57" i="6"/>
  <c r="E57" i="6"/>
  <c r="Y56" i="6"/>
  <c r="U56" i="6"/>
  <c r="Q56" i="6"/>
  <c r="M56" i="6"/>
  <c r="I56" i="6"/>
  <c r="E56" i="6"/>
  <c r="Y55" i="6"/>
  <c r="U55" i="6"/>
  <c r="Q55" i="6"/>
  <c r="M55" i="6"/>
  <c r="I55" i="6"/>
  <c r="E55" i="6"/>
  <c r="Y54" i="6"/>
  <c r="U54" i="6"/>
  <c r="Q54" i="6"/>
  <c r="M54" i="6"/>
  <c r="I54" i="6"/>
  <c r="E54" i="6"/>
  <c r="Y53" i="6"/>
  <c r="Y58" i="6"/>
  <c r="U53" i="6"/>
  <c r="U58" i="6"/>
  <c r="Q53" i="6"/>
  <c r="Q58" i="6"/>
  <c r="M53" i="6"/>
  <c r="M58" i="6"/>
  <c r="I53" i="6"/>
  <c r="I58" i="6"/>
  <c r="E53" i="6"/>
  <c r="E58" i="6"/>
  <c r="Y49" i="6"/>
  <c r="U49" i="6"/>
  <c r="Q49" i="6"/>
  <c r="M49" i="6"/>
  <c r="I49" i="6"/>
  <c r="E49" i="6"/>
  <c r="Y48" i="6"/>
  <c r="U48" i="6"/>
  <c r="Q48" i="6"/>
  <c r="M48" i="6"/>
  <c r="I48" i="6"/>
  <c r="E48" i="6"/>
  <c r="Y47" i="6"/>
  <c r="U47" i="6"/>
  <c r="Q47" i="6"/>
  <c r="M47" i="6"/>
  <c r="I47" i="6"/>
  <c r="E47" i="6"/>
  <c r="Y46" i="6"/>
  <c r="U46" i="6"/>
  <c r="Q46" i="6"/>
  <c r="M46" i="6"/>
  <c r="I46" i="6"/>
  <c r="E46" i="6"/>
  <c r="Y45" i="6"/>
  <c r="U45" i="6"/>
  <c r="Q45" i="6"/>
  <c r="M45" i="6"/>
  <c r="I45" i="6"/>
  <c r="E45" i="6"/>
  <c r="Y44" i="6"/>
  <c r="U44" i="6"/>
  <c r="Q44" i="6"/>
  <c r="M44" i="6"/>
  <c r="I44" i="6"/>
  <c r="E44" i="6"/>
  <c r="Y43" i="6"/>
  <c r="U43" i="6"/>
  <c r="Q43" i="6"/>
  <c r="M43" i="6"/>
  <c r="I43" i="6"/>
  <c r="E43" i="6"/>
  <c r="Y42" i="6"/>
  <c r="U42" i="6"/>
  <c r="Q42" i="6"/>
  <c r="M42" i="6"/>
  <c r="I42" i="6"/>
  <c r="E42" i="6"/>
  <c r="Y41" i="6"/>
  <c r="U41" i="6"/>
  <c r="Q41" i="6"/>
  <c r="M41" i="6"/>
  <c r="I41" i="6"/>
  <c r="E41" i="6"/>
  <c r="Y40" i="6"/>
  <c r="U40" i="6"/>
  <c r="Q40" i="6"/>
  <c r="M40" i="6"/>
  <c r="I40" i="6"/>
  <c r="E40" i="6"/>
  <c r="Y39" i="6"/>
  <c r="U39" i="6"/>
  <c r="Q39" i="6"/>
  <c r="M39" i="6"/>
  <c r="I39" i="6"/>
  <c r="E39" i="6"/>
  <c r="Y38" i="6"/>
  <c r="Y50" i="6"/>
  <c r="Y60" i="6" s="1"/>
  <c r="U38" i="6"/>
  <c r="U50" i="6" s="1"/>
  <c r="U60" i="6" s="1"/>
  <c r="Q38" i="6"/>
  <c r="Q50" i="6"/>
  <c r="Q60" i="6" s="1"/>
  <c r="M38" i="6"/>
  <c r="M50" i="6" s="1"/>
  <c r="M60" i="6" s="1"/>
  <c r="I38" i="6"/>
  <c r="I50" i="6" s="1"/>
  <c r="I60" i="6" s="1"/>
  <c r="E38" i="6"/>
  <c r="E50" i="6"/>
  <c r="E60" i="6" s="1"/>
  <c r="Y31" i="6"/>
  <c r="X31" i="6"/>
  <c r="W31" i="6"/>
  <c r="V31" i="6"/>
  <c r="V33" i="6" s="1"/>
  <c r="U31" i="6"/>
  <c r="T31" i="6"/>
  <c r="S31" i="6"/>
  <c r="R31" i="6"/>
  <c r="R33" i="6" s="1"/>
  <c r="Q31" i="6"/>
  <c r="P31" i="6"/>
  <c r="O31" i="6"/>
  <c r="N31" i="6"/>
  <c r="N33" i="6" s="1"/>
  <c r="M31" i="6"/>
  <c r="L31" i="6"/>
  <c r="K31" i="6"/>
  <c r="J31" i="6"/>
  <c r="J33" i="6" s="1"/>
  <c r="I31" i="6"/>
  <c r="H31" i="6"/>
  <c r="G31" i="6"/>
  <c r="F31" i="6"/>
  <c r="F33" i="6" s="1"/>
  <c r="E31" i="6"/>
  <c r="D31" i="6"/>
  <c r="C31" i="6"/>
  <c r="B31" i="6"/>
  <c r="B33" i="6" s="1"/>
  <c r="D24" i="6"/>
  <c r="C24" i="6"/>
  <c r="U23" i="6"/>
  <c r="Q23" i="6"/>
  <c r="M23" i="6"/>
  <c r="I23" i="6"/>
  <c r="E23" i="6"/>
  <c r="U22" i="6"/>
  <c r="Q22" i="6"/>
  <c r="M22" i="6"/>
  <c r="I22" i="6"/>
  <c r="E22" i="6"/>
  <c r="U21" i="6"/>
  <c r="Q21" i="6"/>
  <c r="M21" i="6"/>
  <c r="I21" i="6"/>
  <c r="E21" i="6"/>
  <c r="U20" i="6"/>
  <c r="Q20" i="6"/>
  <c r="M20" i="6"/>
  <c r="I20" i="6"/>
  <c r="E20" i="6"/>
  <c r="Y19" i="6"/>
  <c r="Q19" i="6"/>
  <c r="Q24" i="6" s="1"/>
  <c r="M19" i="6"/>
  <c r="M24" i="6"/>
  <c r="I19" i="6"/>
  <c r="I24" i="6" s="1"/>
  <c r="E19" i="6"/>
  <c r="E24" i="6"/>
  <c r="D16" i="6"/>
  <c r="D26" i="6" s="1"/>
  <c r="C16" i="6"/>
  <c r="C26" i="6" s="1"/>
  <c r="Y15" i="6"/>
  <c r="U15" i="6"/>
  <c r="Q15" i="6"/>
  <c r="M15" i="6"/>
  <c r="I15" i="6"/>
  <c r="E15" i="6"/>
  <c r="Y14" i="6"/>
  <c r="U14" i="6"/>
  <c r="Q14" i="6"/>
  <c r="M14" i="6"/>
  <c r="I14" i="6"/>
  <c r="E14" i="6"/>
  <c r="Y13" i="6"/>
  <c r="U13" i="6"/>
  <c r="Q13" i="6"/>
  <c r="M13" i="6"/>
  <c r="I13" i="6"/>
  <c r="E13" i="6"/>
  <c r="Y12" i="6"/>
  <c r="U12" i="6"/>
  <c r="Q12" i="6"/>
  <c r="M12" i="6"/>
  <c r="I12" i="6"/>
  <c r="E12" i="6"/>
  <c r="Y11" i="6"/>
  <c r="U11" i="6"/>
  <c r="Q11" i="6"/>
  <c r="M11" i="6"/>
  <c r="I11" i="6"/>
  <c r="E11" i="6"/>
  <c r="Y10" i="6"/>
  <c r="U10" i="6"/>
  <c r="Q10" i="6"/>
  <c r="M10" i="6"/>
  <c r="I10" i="6"/>
  <c r="E10" i="6"/>
  <c r="Y9" i="6"/>
  <c r="U9" i="6"/>
  <c r="Q9" i="6"/>
  <c r="M9" i="6"/>
  <c r="I9" i="6"/>
  <c r="E9" i="6"/>
  <c r="Y8" i="6"/>
  <c r="U8" i="6"/>
  <c r="Q8" i="6"/>
  <c r="M8" i="6"/>
  <c r="I8" i="6"/>
  <c r="E8" i="6"/>
  <c r="Y7" i="6"/>
  <c r="U7" i="6"/>
  <c r="Q7" i="6"/>
  <c r="M7" i="6"/>
  <c r="I7" i="6"/>
  <c r="E7" i="6"/>
  <c r="Y6" i="6"/>
  <c r="U6" i="6"/>
  <c r="Q6" i="6"/>
  <c r="M6" i="6"/>
  <c r="I6" i="6"/>
  <c r="E6" i="6"/>
  <c r="Y5" i="6"/>
  <c r="U5" i="6"/>
  <c r="U16" i="6" s="1"/>
  <c r="Q5" i="6"/>
  <c r="M5" i="6"/>
  <c r="M16" i="6" s="1"/>
  <c r="I5" i="6"/>
  <c r="I16" i="6" s="1"/>
  <c r="E5" i="6"/>
  <c r="E16" i="6" s="1"/>
  <c r="E26" i="6" s="1"/>
  <c r="S56" i="5"/>
  <c r="R56" i="5"/>
  <c r="P56" i="5"/>
  <c r="O56" i="5"/>
  <c r="M56" i="5"/>
  <c r="L56" i="5"/>
  <c r="J56" i="5"/>
  <c r="I56" i="5"/>
  <c r="G56" i="5"/>
  <c r="F56" i="5"/>
  <c r="C56" i="5"/>
  <c r="S43" i="5"/>
  <c r="S57" i="5" s="1"/>
  <c r="R43" i="5"/>
  <c r="R57" i="5" s="1"/>
  <c r="P43" i="5"/>
  <c r="P57" i="5" s="1"/>
  <c r="O43" i="5"/>
  <c r="O57" i="5" s="1"/>
  <c r="M43" i="5"/>
  <c r="M57" i="5" s="1"/>
  <c r="L43" i="5"/>
  <c r="L57" i="5" s="1"/>
  <c r="J43" i="5"/>
  <c r="J57" i="5" s="1"/>
  <c r="I43" i="5"/>
  <c r="I57" i="5" s="1"/>
  <c r="G43" i="5"/>
  <c r="G57" i="5" s="1"/>
  <c r="F43" i="5"/>
  <c r="F57" i="5" s="1"/>
  <c r="C34" i="5"/>
  <c r="D15" i="5"/>
  <c r="F5" i="5"/>
  <c r="D5" i="5"/>
  <c r="D34" i="5" s="1"/>
  <c r="G28" i="5" l="1"/>
  <c r="G26" i="5"/>
  <c r="G24" i="5"/>
  <c r="G22" i="5"/>
  <c r="G20" i="5"/>
  <c r="G18" i="5"/>
  <c r="G13" i="5"/>
  <c r="G11" i="5"/>
  <c r="F18" i="5"/>
  <c r="F20" i="5"/>
  <c r="F13" i="5"/>
  <c r="F11" i="5"/>
  <c r="F28" i="5"/>
  <c r="F26" i="5"/>
  <c r="F24" i="5"/>
  <c r="F22" i="5"/>
  <c r="G27" i="5"/>
  <c r="G25" i="5"/>
  <c r="G23" i="5"/>
  <c r="G21" i="5"/>
  <c r="G19" i="5"/>
  <c r="G17" i="5"/>
  <c r="G14" i="5"/>
  <c r="G12" i="5"/>
  <c r="G10" i="5"/>
  <c r="F17" i="5"/>
  <c r="F19" i="5"/>
  <c r="F21" i="5"/>
  <c r="F14" i="5"/>
  <c r="F12" i="5"/>
  <c r="F10" i="5"/>
  <c r="F27" i="5"/>
  <c r="F25" i="5"/>
  <c r="F23" i="5"/>
  <c r="Y16" i="6"/>
  <c r="C43" i="5"/>
  <c r="C57" i="5" s="1"/>
  <c r="D56" i="5"/>
  <c r="U24" i="6"/>
  <c r="U26" i="6" s="1"/>
  <c r="Q16" i="6"/>
  <c r="Q26" i="6" s="1"/>
  <c r="D43" i="5"/>
  <c r="D57" i="5" s="1"/>
  <c r="F34" i="5"/>
  <c r="C15" i="5"/>
  <c r="M26" i="6"/>
  <c r="I26" i="6"/>
  <c r="C29" i="5"/>
  <c r="D29" i="5"/>
  <c r="D30" i="5" s="1"/>
  <c r="G5" i="5"/>
  <c r="G34" i="5" s="1"/>
  <c r="I5" i="5"/>
  <c r="J28" i="5" l="1"/>
  <c r="J26" i="5"/>
  <c r="J24" i="5"/>
  <c r="J22" i="5"/>
  <c r="J20" i="5"/>
  <c r="J18" i="5"/>
  <c r="J14" i="5"/>
  <c r="J12" i="5"/>
  <c r="J10" i="5"/>
  <c r="I27" i="5"/>
  <c r="I25" i="5"/>
  <c r="I23" i="5"/>
  <c r="I21" i="5"/>
  <c r="I19" i="5"/>
  <c r="I17" i="5"/>
  <c r="I13" i="5"/>
  <c r="I11" i="5"/>
  <c r="J27" i="5"/>
  <c r="J25" i="5"/>
  <c r="J23" i="5"/>
  <c r="J21" i="5"/>
  <c r="J19" i="5"/>
  <c r="J17" i="5"/>
  <c r="J13" i="5"/>
  <c r="J11" i="5"/>
  <c r="I28" i="5"/>
  <c r="I26" i="5"/>
  <c r="I24" i="5"/>
  <c r="I22" i="5"/>
  <c r="I20" i="5"/>
  <c r="I18" i="5"/>
  <c r="I14" i="5"/>
  <c r="I12" i="5"/>
  <c r="I10" i="5"/>
  <c r="C30" i="5"/>
  <c r="F29" i="5"/>
  <c r="G15" i="5"/>
  <c r="F15" i="5"/>
  <c r="G29" i="5"/>
  <c r="J5" i="5"/>
  <c r="J34" i="5" s="1"/>
  <c r="L5" i="5"/>
  <c r="I34" i="5"/>
  <c r="M28" i="5" l="1"/>
  <c r="M26" i="5"/>
  <c r="M24" i="5"/>
  <c r="M22" i="5"/>
  <c r="M20" i="5"/>
  <c r="M18" i="5"/>
  <c r="M13" i="5"/>
  <c r="M11" i="5"/>
  <c r="L27" i="5"/>
  <c r="L25" i="5"/>
  <c r="L23" i="5"/>
  <c r="L21" i="5"/>
  <c r="L19" i="5"/>
  <c r="L17" i="5"/>
  <c r="L14" i="5"/>
  <c r="L12" i="5"/>
  <c r="L10" i="5"/>
  <c r="M27" i="5"/>
  <c r="M25" i="5"/>
  <c r="M23" i="5"/>
  <c r="M21" i="5"/>
  <c r="M19" i="5"/>
  <c r="M17" i="5"/>
  <c r="M14" i="5"/>
  <c r="M12" i="5"/>
  <c r="M10" i="5"/>
  <c r="L28" i="5"/>
  <c r="L26" i="5"/>
  <c r="L24" i="5"/>
  <c r="L22" i="5"/>
  <c r="L20" i="5"/>
  <c r="L18" i="5"/>
  <c r="L13" i="5"/>
  <c r="L11" i="5"/>
  <c r="F30" i="5"/>
  <c r="I29" i="5"/>
  <c r="I15" i="5"/>
  <c r="J29" i="5"/>
  <c r="G30" i="5"/>
  <c r="J15" i="5"/>
  <c r="L34" i="5"/>
  <c r="O5" i="5"/>
  <c r="M5" i="5"/>
  <c r="M34" i="5" s="1"/>
  <c r="O23" i="5" l="1"/>
  <c r="P28" i="5"/>
  <c r="P26" i="5"/>
  <c r="P24" i="5"/>
  <c r="P22" i="5"/>
  <c r="P20" i="5"/>
  <c r="P14" i="5"/>
  <c r="P12" i="5"/>
  <c r="P10" i="5"/>
  <c r="O22" i="5"/>
  <c r="O27" i="5"/>
  <c r="O25" i="5"/>
  <c r="O19" i="5"/>
  <c r="O11" i="5"/>
  <c r="P27" i="5"/>
  <c r="P25" i="5"/>
  <c r="P23" i="5"/>
  <c r="P21" i="5"/>
  <c r="P19" i="5"/>
  <c r="P13" i="5"/>
  <c r="P11" i="5"/>
  <c r="O28" i="5"/>
  <c r="O26" i="5"/>
  <c r="O24" i="5"/>
  <c r="O20" i="5"/>
  <c r="O14" i="5"/>
  <c r="O12" i="5"/>
  <c r="O10" i="5"/>
  <c r="O21" i="5"/>
  <c r="O13" i="5"/>
  <c r="L29" i="5"/>
  <c r="I30" i="5"/>
  <c r="J30" i="5"/>
  <c r="L15" i="5"/>
  <c r="M29" i="5"/>
  <c r="M15" i="5"/>
  <c r="O34" i="5"/>
  <c r="R5" i="5"/>
  <c r="P5" i="5"/>
  <c r="P34" i="5" s="1"/>
  <c r="S27" i="5" l="1"/>
  <c r="S25" i="5"/>
  <c r="S23" i="5"/>
  <c r="S21" i="5"/>
  <c r="S19" i="5"/>
  <c r="S13" i="5"/>
  <c r="S11" i="5"/>
  <c r="R27" i="5"/>
  <c r="R22" i="5"/>
  <c r="S28" i="5"/>
  <c r="S26" i="5"/>
  <c r="S24" i="5"/>
  <c r="S22" i="5"/>
  <c r="S20" i="5"/>
  <c r="S14" i="5"/>
  <c r="S12" i="5"/>
  <c r="S10" i="5"/>
  <c r="R28" i="5"/>
  <c r="R25" i="5"/>
  <c r="R23" i="5"/>
  <c r="R26" i="5"/>
  <c r="R24" i="5"/>
  <c r="L30" i="5"/>
  <c r="R21" i="5"/>
  <c r="R14" i="5"/>
  <c r="R10" i="5"/>
  <c r="R13" i="5"/>
  <c r="R11" i="5"/>
  <c r="R12" i="5"/>
  <c r="P29" i="5"/>
  <c r="O29" i="5"/>
  <c r="P15" i="5"/>
  <c r="O15" i="5"/>
  <c r="M30" i="5"/>
  <c r="R34" i="5"/>
  <c r="S5" i="5"/>
  <c r="S34" i="5" s="1"/>
  <c r="P30" i="5" l="1"/>
  <c r="S29" i="5"/>
  <c r="S15" i="5"/>
  <c r="R29" i="5"/>
  <c r="R15" i="5"/>
  <c r="O30" i="5"/>
  <c r="R30" i="5" l="1"/>
  <c r="S30" i="5"/>
</calcChain>
</file>

<file path=xl/sharedStrings.xml><?xml version="1.0" encoding="utf-8"?>
<sst xmlns="http://schemas.openxmlformats.org/spreadsheetml/2006/main" count="760" uniqueCount="219">
  <si>
    <t>Pacific Gas and Electric Company Monthly Report On Interruptible Load and Demand Response</t>
  </si>
  <si>
    <t xml:space="preserve"> </t>
  </si>
  <si>
    <t xml:space="preserve">http://www.pge.com/mybusiness/energysavingsrebates/demandresponse/cs/ </t>
  </si>
  <si>
    <t>Program Eligibility and Average Load Impacts</t>
  </si>
  <si>
    <t>Average Ex Ante Load Impact kW / Customer</t>
  </si>
  <si>
    <t>When to apply the ex ante load impacts</t>
  </si>
  <si>
    <t>Program</t>
  </si>
  <si>
    <t>January</t>
  </si>
  <si>
    <t>February</t>
  </si>
  <si>
    <t>March</t>
  </si>
  <si>
    <t>April</t>
  </si>
  <si>
    <t>May</t>
  </si>
  <si>
    <t>June</t>
  </si>
  <si>
    <t>July</t>
  </si>
  <si>
    <t xml:space="preserve">August </t>
  </si>
  <si>
    <t xml:space="preserve">September </t>
  </si>
  <si>
    <t>October</t>
  </si>
  <si>
    <t xml:space="preserve">November </t>
  </si>
  <si>
    <t>December</t>
  </si>
  <si>
    <t>Eligibility Criteria (Refer to tariff for specifics)</t>
  </si>
  <si>
    <t>2 - 6 pm</t>
  </si>
  <si>
    <t>All other hours</t>
  </si>
  <si>
    <t>BIP - Day Of</t>
  </si>
  <si>
    <t>OBMC</t>
  </si>
  <si>
    <t>N/A</t>
  </si>
  <si>
    <t>Bundled, DA and CCA non-residential customer accounts with interval meters that must be able to reduce electric load such that the entire load on the PG&amp;E circuit or dedicated substation that provides service to that customer is reduced to or below MLLs for the entire duration of each and every RO operation</t>
  </si>
  <si>
    <t>SLRP</t>
  </si>
  <si>
    <t>SmartAC™ - Commercial</t>
  </si>
  <si>
    <t xml:space="preserve">SMB customers taking service under applicable rate schedules equipped with central or packaged DX air conditioning equipment </t>
  </si>
  <si>
    <t>SmartAC™ - Residential</t>
  </si>
  <si>
    <t xml:space="preserve">Residential customers taking service under applicable rate schedules equipped with central or packaged DX air conditioning equipment </t>
  </si>
  <si>
    <t>AMP - Day Ahead</t>
  </si>
  <si>
    <t>Non-residential customers on a C&amp;I, partial standby, or Ag rate schedules, except those who receive electric power from third parties (other than DA), billed via net metering or full standby services.</t>
  </si>
  <si>
    <t>AMP - Day Of</t>
  </si>
  <si>
    <t>Non-residential customers on a commercial, industrial, partial standby, or agricultural rate schedules, except those who receive electric power from third parties (other than DA), billed via net metering or full standby services.</t>
  </si>
  <si>
    <t>CBP - Day Ahead</t>
  </si>
  <si>
    <t>Non-residential customers on a C&amp;I, partial standby, or Ag rate schedule, except those who receive electric power from third parties (other than DA), billed via net metering or full standby services.</t>
  </si>
  <si>
    <t>CBP - Day Of</t>
  </si>
  <si>
    <t>DBP</t>
  </si>
  <si>
    <t>PDP</t>
  </si>
  <si>
    <t>PeakChoice - Best Effort - Day Ahead</t>
  </si>
  <si>
    <t>Bundled-Service Customers on a demand time-of-use (TOU) rate schedule, except those who are on net metering, standby, AG-R or AG-V rate schedules. Must be able to reduce at least 10 kW.</t>
  </si>
  <si>
    <t>PeakChoice - Best Effort - Day Of</t>
  </si>
  <si>
    <t>PeakChoice - Committed - Day Ahead</t>
  </si>
  <si>
    <t>PeakChoice - Committed - Day Of</t>
  </si>
  <si>
    <t>SmartRate™ - Commercial</t>
  </si>
  <si>
    <t>SmartRate™ - Residential</t>
  </si>
  <si>
    <t>A voluntary rate supplement to residential customers' OAS. Available to Bundled-Service customers served on a single family residential electric rate schedule. No longer available to Business Customers beginning January 2010</t>
  </si>
  <si>
    <t>Average Ex Post Load Impact kW / Customer</t>
  </si>
  <si>
    <t>n/a</t>
  </si>
  <si>
    <t>UTILITY NAME: Pacific Gas and Electric Company</t>
  </si>
  <si>
    <t>Monthly Program Enrollment and Estimated Load Impacts</t>
  </si>
  <si>
    <t>Programs</t>
  </si>
  <si>
    <t>Service Accounts</t>
  </si>
  <si>
    <r>
      <t>Ex Ante Estimated MW</t>
    </r>
    <r>
      <rPr>
        <b/>
        <sz val="12"/>
        <rFont val="Arial"/>
        <family val="2"/>
      </rPr>
      <t xml:space="preserve"> </t>
    </r>
    <r>
      <rPr>
        <b/>
        <vertAlign val="superscript"/>
        <sz val="12"/>
        <rFont val="Arial"/>
        <family val="2"/>
      </rPr>
      <t xml:space="preserve">1 </t>
    </r>
  </si>
  <si>
    <r>
      <t xml:space="preserve">Ex Post Estimated MW </t>
    </r>
    <r>
      <rPr>
        <b/>
        <vertAlign val="superscript"/>
        <sz val="12"/>
        <rFont val="Arial"/>
        <family val="2"/>
      </rPr>
      <t>2</t>
    </r>
  </si>
  <si>
    <t>Interruptible/Reliability</t>
  </si>
  <si>
    <t>BIP - Day of</t>
  </si>
  <si>
    <t xml:space="preserve">  Sub-Total Interruptible</t>
  </si>
  <si>
    <t>Price Response</t>
  </si>
  <si>
    <t xml:space="preserve">  Sub-Total Price Response</t>
  </si>
  <si>
    <t>Total All Programs</t>
  </si>
  <si>
    <t>August</t>
  </si>
  <si>
    <t>September</t>
  </si>
  <si>
    <t>November</t>
  </si>
  <si>
    <t>NOTE:  Readers should exercise caution in interpreting or using the estimated MW values found in this report in either the ex post or ex ante columns. Ex post estimates reflect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1 pm and 6pm during a specific DR program’s operating season, based on 1-in-2 (normal) weather conditions if all DR programs were called simultaneously on the system peak day.  In either case, MW estimates in this report will vary from estimates filed in the PG&amp;E’s annual April 1st Compliance Filing pursuant to Decision D.08-04-050 and reporting documents that may be supplied to other agencies e.g. CAISO, FERC, NERC, etc. MW estimates found in the Monthly ILP Report are not used by PG&amp;E for operational reporting, resource planning, and cost effectiveness analysis or in developing regulatory filings.</t>
  </si>
  <si>
    <t>Detailed Breakdown of MWs To Date in TA/Auto DR/TI Programs</t>
  </si>
  <si>
    <t>Price Responsive</t>
  </si>
  <si>
    <t>TA Identified MWs</t>
  </si>
  <si>
    <t>Auto DR Verified MWs</t>
  </si>
  <si>
    <t>TI Verified MWs</t>
  </si>
  <si>
    <t>Total Technology MWs</t>
  </si>
  <si>
    <t>Total</t>
  </si>
  <si>
    <t>General Program</t>
  </si>
  <si>
    <t>TA (may also be enrolled in TI and AutoDR)</t>
  </si>
  <si>
    <t>Total TA MWs</t>
  </si>
  <si>
    <t>Cost Item</t>
  </si>
  <si>
    <t>Percent Funding</t>
  </si>
  <si>
    <t>Category 1:  Emergency Programs</t>
  </si>
  <si>
    <t>Base Interruptible Program (BIP)</t>
  </si>
  <si>
    <t xml:space="preserve"> Budget Category 1 Total</t>
  </si>
  <si>
    <t>Category 2:  Price Responsive Programs</t>
  </si>
  <si>
    <t xml:space="preserve"> Budget Category 2 Total</t>
  </si>
  <si>
    <t>Category 3:  DR Aggregator Managed Programs</t>
  </si>
  <si>
    <t>Aggregator Managed Portfolio (AMP)</t>
  </si>
  <si>
    <t xml:space="preserve"> Budget Category 3 Total</t>
  </si>
  <si>
    <t>DR Emerging Technology</t>
  </si>
  <si>
    <t xml:space="preserve"> Budget Category 4 Total</t>
  </si>
  <si>
    <t xml:space="preserve"> Budget Category 5 Total</t>
  </si>
  <si>
    <t xml:space="preserve"> Budget Category 6 Total</t>
  </si>
  <si>
    <t xml:space="preserve"> Budget Category 7 Total</t>
  </si>
  <si>
    <t xml:space="preserve"> Budget Category 8 Total</t>
  </si>
  <si>
    <t xml:space="preserve"> Budget Category 9 Total</t>
  </si>
  <si>
    <t>Integrated Sales Training</t>
  </si>
  <si>
    <t>PEAK</t>
  </si>
  <si>
    <t xml:space="preserve"> Budget Category 10 Total</t>
  </si>
  <si>
    <t>Recovery of Capital Costs Authorized Prior to 2009</t>
  </si>
  <si>
    <t>Total Incremental Cost</t>
  </si>
  <si>
    <t>Critical Peak Pricing (CPP)</t>
  </si>
  <si>
    <t xml:space="preserve">    Demand Bidding Program (DBP)</t>
  </si>
  <si>
    <t>Peak Choice</t>
  </si>
  <si>
    <t>Capacity Bidding Program (CBP)</t>
  </si>
  <si>
    <t>Automatic Demand Response (AutoDR)</t>
  </si>
  <si>
    <t>Year-to-Date Event Summary</t>
  </si>
  <si>
    <t>Program Category</t>
  </si>
  <si>
    <t>Event No.</t>
  </si>
  <si>
    <t>Event Date</t>
  </si>
  <si>
    <t xml:space="preserve"> Trigger</t>
  </si>
  <si>
    <t xml:space="preserve">Load Reduction     MW </t>
  </si>
  <si>
    <t>Beginning</t>
  </si>
  <si>
    <t>End</t>
  </si>
  <si>
    <t>Program Tolled Hours (Annual)</t>
  </si>
  <si>
    <t>SmartAC</t>
  </si>
  <si>
    <t>SmartRate Residential</t>
  </si>
  <si>
    <t>Demand Bidding Program (DBP)</t>
  </si>
  <si>
    <t>Peak Day Pricing (PDP)</t>
  </si>
  <si>
    <t>Annual Total Cost</t>
  </si>
  <si>
    <t>Year-to-Date Total Cost</t>
  </si>
  <si>
    <t>Program Incentives</t>
  </si>
  <si>
    <r>
      <t>Base Interruptible Program (BIP)</t>
    </r>
    <r>
      <rPr>
        <vertAlign val="superscript"/>
        <sz val="11"/>
        <rFont val="Arial"/>
        <family val="2"/>
      </rPr>
      <t>1</t>
    </r>
  </si>
  <si>
    <t xml:space="preserve">    Capacity Bidding Program (CBP)</t>
  </si>
  <si>
    <t xml:space="preserve">    PeakChoice</t>
  </si>
  <si>
    <t>Revenues from Penalties</t>
  </si>
  <si>
    <r>
      <t>1</t>
    </r>
    <r>
      <rPr>
        <sz val="9"/>
        <rFont val="Arial"/>
        <family val="2"/>
      </rPr>
      <t>Amounts reported are for incentives costs that are not recorded in the Demand Response Expenditures Balancing Account.</t>
    </r>
  </si>
  <si>
    <t>Program-to-Date Total Expenditures 2012</t>
  </si>
  <si>
    <t/>
  </si>
  <si>
    <t>Year-to Date 2012 Expenditures</t>
  </si>
  <si>
    <t>Program-to-Date Total Expenditures 2012-2014</t>
  </si>
  <si>
    <t>Smart AC™ Ancillary Service Pilot</t>
  </si>
  <si>
    <t>Technology Incentive (TI)</t>
  </si>
  <si>
    <t>AGGR MAN PFO</t>
  </si>
  <si>
    <t>AUTO DR</t>
  </si>
  <si>
    <t>BASEINTERRUP</t>
  </si>
  <si>
    <t>C&amp;I INTM RSC</t>
  </si>
  <si>
    <t>CAPACIT BIDD</t>
  </si>
  <si>
    <t>DEMAND BIDD</t>
  </si>
  <si>
    <t>DR CORE E&amp;T</t>
  </si>
  <si>
    <t>DR CORE MKT</t>
  </si>
  <si>
    <t>DR ONLN EROL</t>
  </si>
  <si>
    <t>EM&amp;V_01</t>
  </si>
  <si>
    <t>EMRGTEK</t>
  </si>
  <si>
    <t>INTERACT</t>
  </si>
  <si>
    <t>INTG ENE AUD</t>
  </si>
  <si>
    <t>INTG SALES T</t>
  </si>
  <si>
    <t>INTGRTED E&amp;T</t>
  </si>
  <si>
    <t>INTGRTED MKT</t>
  </si>
  <si>
    <t>OBMC/SLRP</t>
  </si>
  <si>
    <t>PEAK CHOICE</t>
  </si>
  <si>
    <t>PEAK_01</t>
  </si>
  <si>
    <t>PERM LOAD_01</t>
  </si>
  <si>
    <t>PHEV/EV PILO</t>
  </si>
  <si>
    <t>TECHNOL INCV</t>
  </si>
  <si>
    <t>2012-2014 Program Expenditures</t>
  </si>
  <si>
    <t>3-Year Funding</t>
  </si>
  <si>
    <r>
      <t>Fundshift Adjustments</t>
    </r>
    <r>
      <rPr>
        <b/>
        <strike/>
        <sz val="9"/>
        <rFont val="Arial"/>
        <family val="2"/>
      </rPr>
      <t/>
    </r>
  </si>
  <si>
    <t>Category 1:  Reliability Programs</t>
  </si>
  <si>
    <t>Optional Bidding Mandatory Curtailment / 
   Scheduled Load Reduction (OBMC / SLRP)</t>
  </si>
  <si>
    <t>Category 2:  Price-Responsive Programs</t>
  </si>
  <si>
    <r>
      <t>Demand Bidding Program (DBP)</t>
    </r>
    <r>
      <rPr>
        <b/>
        <sz val="9"/>
        <rFont val="Arial"/>
        <family val="2"/>
      </rPr>
      <t/>
    </r>
  </si>
  <si>
    <t>Category 3:  DR Provider/Aggregator Managed Programs</t>
  </si>
  <si>
    <t>Category 4: Emerging &amp; Enabling Programs</t>
  </si>
  <si>
    <t>Auto DR</t>
  </si>
  <si>
    <t>Category 5:  Pilots</t>
  </si>
  <si>
    <t>IRR Phase 2</t>
  </si>
  <si>
    <t>T&amp;D DR</t>
  </si>
  <si>
    <t>Plug-in Hybrid EV/EV (incl. HAN-EV)</t>
  </si>
  <si>
    <t>Category 6:  Evaluation, Measurement and Verification</t>
  </si>
  <si>
    <t>DRMEC</t>
  </si>
  <si>
    <t>DR Research Studies</t>
  </si>
  <si>
    <t>Category 7:  Marketing, Education and Outreach</t>
  </si>
  <si>
    <t>Education and Training</t>
  </si>
  <si>
    <t>Category 8:  DR System Support Activities</t>
  </si>
  <si>
    <t>DR Enrollment &amp; Support</t>
  </si>
  <si>
    <t>DR Integration Policy &amp; Planning</t>
  </si>
  <si>
    <t>Technology Incentives - IDSM</t>
  </si>
  <si>
    <t>Integrated Marketing &amp; Outreach</t>
  </si>
  <si>
    <t>Integrated Education &amp; Training</t>
  </si>
  <si>
    <t>Integrated Energy Audits</t>
  </si>
  <si>
    <t>Integrated Emerging Technology</t>
  </si>
  <si>
    <t>Category 10:  Special Projects</t>
  </si>
  <si>
    <t>DR-HAN Integration (excl. HAN-EV)</t>
  </si>
  <si>
    <t>Permanent Load Shifting</t>
  </si>
  <si>
    <r>
      <rPr>
        <vertAlign val="superscript"/>
        <sz val="9"/>
        <rFont val="Arial"/>
        <family val="2"/>
      </rPr>
      <t>(1)</t>
    </r>
    <r>
      <rPr>
        <sz val="9"/>
        <rFont val="Arial"/>
        <family val="2"/>
      </rPr>
      <t xml:space="preserve">  Authorized funding for 2012 only.</t>
    </r>
  </si>
  <si>
    <r>
      <t xml:space="preserve">Peak Choice </t>
    </r>
    <r>
      <rPr>
        <vertAlign val="superscript"/>
        <sz val="9"/>
        <rFont val="Arial"/>
        <family val="2"/>
      </rPr>
      <t>(1)</t>
    </r>
  </si>
  <si>
    <r>
      <t xml:space="preserve">Statewide Marketing </t>
    </r>
    <r>
      <rPr>
        <vertAlign val="superscript"/>
        <sz val="9"/>
        <rFont val="Arial"/>
        <family val="2"/>
      </rPr>
      <t>(1)</t>
    </r>
  </si>
  <si>
    <r>
      <t>Category 9:  Integrated Programs and Activities
  (Including Technical Assistance)</t>
    </r>
    <r>
      <rPr>
        <b/>
        <vertAlign val="superscript"/>
        <sz val="9"/>
        <rFont val="Arial"/>
        <family val="2"/>
      </rPr>
      <t xml:space="preserve"> </t>
    </r>
    <r>
      <rPr>
        <vertAlign val="superscript"/>
        <sz val="9"/>
        <rFont val="Arial"/>
        <family val="2"/>
      </rPr>
      <t>(1)</t>
    </r>
  </si>
  <si>
    <r>
      <t xml:space="preserve">Bundled, DA and CCA non-residential customer service accounts that have at least an </t>
    </r>
    <r>
      <rPr>
        <i/>
        <u/>
        <sz val="10"/>
        <rFont val="Arial"/>
        <family val="2"/>
      </rPr>
      <t xml:space="preserve">average monthly </t>
    </r>
    <r>
      <rPr>
        <sz val="10"/>
        <color theme="1"/>
        <rFont val="Arial"/>
        <family val="2"/>
      </rPr>
      <t xml:space="preserve">demand of 100 kW </t>
    </r>
  </si>
  <si>
    <r>
      <t xml:space="preserve">Bundled-service customers taking service under Schedules A-10, E-19 or E-20 &amp; minimum </t>
    </r>
    <r>
      <rPr>
        <i/>
        <u/>
        <sz val="10"/>
        <rFont val="Arial"/>
        <family val="2"/>
      </rPr>
      <t>average monthly demand of 100 kilowatts</t>
    </r>
    <r>
      <rPr>
        <sz val="10"/>
        <color theme="1"/>
        <rFont val="Arial"/>
        <family val="2"/>
      </rPr>
      <t xml:space="preserve"> (kW).
Customers must commit to minimum 15% of baseline usage, with a minimum load reduction of 100 kW. </t>
    </r>
  </si>
  <si>
    <r>
      <t xml:space="preserve">Ex Ante Estimated MW </t>
    </r>
    <r>
      <rPr>
        <b/>
        <vertAlign val="superscript"/>
        <sz val="10"/>
        <rFont val="Arial"/>
        <family val="2"/>
      </rPr>
      <t xml:space="preserve">1 </t>
    </r>
  </si>
  <si>
    <r>
      <t xml:space="preserve">Ex Post Estimated MW </t>
    </r>
    <r>
      <rPr>
        <b/>
        <vertAlign val="superscript"/>
        <sz val="10"/>
        <rFont val="Arial"/>
        <family val="2"/>
      </rPr>
      <t>2</t>
    </r>
  </si>
  <si>
    <r>
      <t xml:space="preserve">DR Core Marketing and Outreach </t>
    </r>
    <r>
      <rPr>
        <vertAlign val="superscript"/>
        <sz val="9"/>
        <rFont val="Arial"/>
        <family val="2"/>
      </rPr>
      <t>(2)</t>
    </r>
  </si>
  <si>
    <r>
      <t xml:space="preserve">SmartAC ME&amp;O </t>
    </r>
    <r>
      <rPr>
        <vertAlign val="superscript"/>
        <sz val="9"/>
        <rFont val="Arial"/>
        <family val="2"/>
      </rPr>
      <t>(3)</t>
    </r>
  </si>
  <si>
    <t>Smart AC</t>
  </si>
  <si>
    <r>
      <t xml:space="preserve">    Optional Binding Mandatory Curtailment / 
        Scheduled Load Reduction Program 
        </t>
    </r>
    <r>
      <rPr>
        <sz val="8"/>
        <rFont val="Arial"/>
        <family val="2"/>
      </rPr>
      <t>(OBMC / SLRP)</t>
    </r>
    <r>
      <rPr>
        <vertAlign val="superscript"/>
        <sz val="11"/>
        <rFont val="Arial"/>
        <family val="2"/>
      </rPr>
      <t>1</t>
    </r>
  </si>
  <si>
    <t>Eligible Accounts as of
Jan 1, 2012</t>
  </si>
  <si>
    <t>Eligible Accounts as of Jan 1, 2012</t>
  </si>
  <si>
    <r>
      <t xml:space="preserve">2 </t>
    </r>
    <r>
      <rPr>
        <sz val="8"/>
        <rFont val="Calibri"/>
        <family val="2"/>
      </rPr>
      <t>Ex Post Estimated MW = In compliance with Decision 08-04-050, the values presented herein are based on the June 1st, 2012 Load Impact Report for Demand Response. The values reported are calculated by using the annual ex post average load impact per customer multiplied by the number of currently enrolled service accounts for the reporting month, where the ex post load impact per customer is the average load impact per customer for those customers that may have participated in an event(s) during all actual event hours in the preceding year when or if events occurred. New programs report "n/a", as there were no prior events.</t>
    </r>
  </si>
  <si>
    <r>
      <t xml:space="preserve">1 </t>
    </r>
    <r>
      <rPr>
        <sz val="8"/>
        <rFont val="Calibri"/>
        <family val="2"/>
      </rPr>
      <t>Ex Ante Estimated MW = In compliance with Decision 08-04-050, the values presented herein are based on the June 1st, 2012 Load Impact Report for Demand Response. The values reported are calculated by using the monthly ex ante average load impact per customer multiplied by the number of currently enrolled service accounts for the reporting month, where the ex ante average load impact is the average hourly load impact for an event that would occur from 1 - 6 pm on the system peak day of the month.</t>
    </r>
  </si>
  <si>
    <r>
      <t>3</t>
    </r>
    <r>
      <rPr>
        <sz val="8"/>
        <rFont val="Calibri"/>
        <family val="2"/>
        <scheme val="minor"/>
      </rPr>
      <t xml:space="preserve"> The May ILP Report the Smart Rate Commercial program was eliminated from all ILP Report worksheets as the Program no longer Exists.</t>
    </r>
  </si>
  <si>
    <r>
      <rPr>
        <vertAlign val="superscript"/>
        <sz val="9"/>
        <rFont val="Arial"/>
        <family val="2"/>
      </rPr>
      <t>(4)</t>
    </r>
    <r>
      <rPr>
        <sz val="9"/>
        <rFont val="Arial"/>
        <family val="2"/>
      </rPr>
      <t xml:space="preserve">  The January-May expenditures for the InterAct/DR Forecasting Tool and Notifications activities were revised in the June report.  Previously, the Notifications expenditures were included in the InterAct/DR Forecasting Tool category in error.</t>
    </r>
  </si>
  <si>
    <r>
      <t xml:space="preserve">InterAct / DR Forecasting Tool </t>
    </r>
    <r>
      <rPr>
        <vertAlign val="superscript"/>
        <sz val="9"/>
        <rFont val="Arial"/>
        <family val="2"/>
      </rPr>
      <t>(4)</t>
    </r>
  </si>
  <si>
    <r>
      <t xml:space="preserve">Notifications </t>
    </r>
    <r>
      <rPr>
        <vertAlign val="superscript"/>
        <sz val="9"/>
        <rFont val="Arial"/>
        <family val="2"/>
      </rPr>
      <t>(4)</t>
    </r>
  </si>
  <si>
    <r>
      <rPr>
        <vertAlign val="superscript"/>
        <sz val="9"/>
        <rFont val="Arial"/>
        <family val="2"/>
      </rPr>
      <t>(2)</t>
    </r>
    <r>
      <rPr>
        <sz val="9"/>
        <rFont val="Arial"/>
        <family val="2"/>
      </rPr>
      <t xml:space="preserve">  The expenditures listed are in support of PG&amp;E's DR programs for large commercial, industrial and agricultural customers, excluding the aggregator-managed programs. Disclosure complies with OP 24 of D.12-04-045. The 2012-14 approved budget for DR Core Marketing and Outreach includes funding for SmartAC marketing, education and outreach activities.</t>
    </r>
  </si>
  <si>
    <t>SmartAC - Commercial</t>
  </si>
  <si>
    <t>SmartAC - Residential</t>
  </si>
  <si>
    <t xml:space="preserve">Non-residential Customers &gt; 200 kW on a demand TOU rate schedule, cannot be on rate schedule AG-R, AG-V or S. Eligible customers include PG&amp;E Bundled, Direct Access (DA; ESP), and Community Choice Aggregation Service. Non-residential Customers' accounts &lt; 200 kW may participate as aggregated group for service accounts with same Federal Taxpayer ID Number. </t>
  </si>
  <si>
    <t>PDP (200 kW or above)</t>
  </si>
  <si>
    <t>PDP (20 - 200 kW)</t>
  </si>
  <si>
    <r>
      <t>SmartRate</t>
    </r>
    <r>
      <rPr>
        <vertAlign val="superscript"/>
        <sz val="11"/>
        <rFont val="Arial"/>
        <family val="2"/>
      </rPr>
      <t>TM</t>
    </r>
    <r>
      <rPr>
        <sz val="11"/>
        <rFont val="Arial"/>
        <family val="2"/>
      </rPr>
      <t xml:space="preserve"> - Residential</t>
    </r>
  </si>
  <si>
    <t>The average ex post load impacts per customer are based on the load impacts filing on April 2, 2012 (D.08-04-050). Estimated Average Ex Post Load Impact kW / Customer = Average kW / Customer service account over all actual event hours for the preceeding year when or if events occurred. Some programs may experience no events or few events while other programs may operate regularly depending on event triggers. For existing programs, the average ex post load impact per customer SAID remains constant across all months. The average load impact is "n/a" for programs having no prior events.</t>
  </si>
  <si>
    <r>
      <t>SmartRate</t>
    </r>
    <r>
      <rPr>
        <vertAlign val="superscript"/>
        <sz val="10"/>
        <rFont val="Arial"/>
        <family val="2"/>
      </rPr>
      <t>TM</t>
    </r>
    <r>
      <rPr>
        <sz val="10"/>
        <rFont val="Arial"/>
        <family val="2"/>
      </rPr>
      <t xml:space="preserve"> - Residential</t>
    </r>
  </si>
  <si>
    <t>Default beginning May 1, 2010 for bundled C&amp;I Customers &gt; 200kW Maximum Demand; default begins February 1st, 2011 for large bundled Ag customers and default beginning November 1, 2011: bundled C&amp;I Customers with &lt; 200 kW Maximum Demand and 12 months on Interval Meter.</t>
  </si>
  <si>
    <t>Programs for June 2012</t>
  </si>
  <si>
    <t xml:space="preserve">            Pacific Gas and Electric Company (“PG&amp;E”) hereby submits this report on Interruptible Load and Demand Response Programs for June 2012. This report is being served on the Energy Division Director and the service list for A.11-03-001. </t>
  </si>
  <si>
    <t xml:space="preserve">The average ex ante load impacts per customer are based on the load impacts filing on June 1, 2012 (D.08-04-050). Estimated Average Ex Ante Load Impact kW/Customer = Average kW / Customer, under 1-in-2 weather conditions, of an event that would occur from 1 - 6 pm (or 2 - 6 pm for PDP) for April through October, and 4 - 7 pm for November through March, on the system peak day of the month. </t>
  </si>
  <si>
    <t>Technical Assistance &amp; Technology Incentives (TA&amp;TI) Identified as of June 2012.</t>
  </si>
  <si>
    <r>
      <rPr>
        <vertAlign val="superscript"/>
        <sz val="9"/>
        <rFont val="Arial"/>
        <family val="2"/>
      </rPr>
      <t>(3)</t>
    </r>
    <r>
      <rPr>
        <sz val="9"/>
        <rFont val="Arial"/>
        <family val="2"/>
      </rPr>
      <t xml:space="preserve">  The budget for SmartAC marketing, education, and outreach costs are included in the 2012-14 approved budget for DR Core Marketing and Outreach; however, the expenses are separated to differentiate the ME&amp;O efforts targeting residential and small commercial customers</t>
    </r>
    <r>
      <rPr>
        <sz val="9"/>
        <rFont val="Arial"/>
        <family val="2"/>
      </rPr>
      <t>.  SmartAC is now closed to non-residential customers.</t>
    </r>
  </si>
  <si>
    <t xml:space="preserve">  Total Cost of Incentives</t>
  </si>
  <si>
    <t>NOTE 2: PDP large C&amp;I customers have been separated from PDP small and medium business customers due to the large difference in load impacts and the large difference in the enrollments.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</si>
</sst>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8" formatCode="&quot;$&quot;#,##0.00_);[Red]\(&quot;$&quot;#,##0.00\)"/>
    <numFmt numFmtId="43" formatCode="_(* #,##0.00_);_(* \(#,##0.00\);_(* &quot;-&quot;??_);_(@_)"/>
    <numFmt numFmtId="164" formatCode="[$-409]mmmm\ d\,\ yyyy;@"/>
    <numFmt numFmtId="165" formatCode="#,##0.0_);[Red]\(#,##0.0\)"/>
    <numFmt numFmtId="166" formatCode="#,##0.0"/>
    <numFmt numFmtId="167" formatCode="0.0"/>
    <numFmt numFmtId="168" formatCode="[=0]\ 0;[&lt;0.95]\ 0.#;#,###"/>
    <numFmt numFmtId="169" formatCode="0.0_);[Red]\(0.0\)"/>
    <numFmt numFmtId="170" formatCode="_(* #,##0_);_(* \(#,##0\);_(* &quot;-&quot;??_);_(@_)"/>
    <numFmt numFmtId="171" formatCode="_(* #,##0.0_);_(* \(#,##0.0\);_(* &quot;-&quot;??_);_(@_)"/>
    <numFmt numFmtId="172" formatCode="0_);[Red]\(0\)"/>
    <numFmt numFmtId="173" formatCode="0.0%"/>
    <numFmt numFmtId="174" formatCode="m/d/yyyy;@"/>
    <numFmt numFmtId="175" formatCode="h:mm;@"/>
    <numFmt numFmtId="176" formatCode="&quot;$&quot;#,##0.0_);[Red]\(&quot;$&quot;#,##0.0\)"/>
    <numFmt numFmtId="177" formatCode="&quot;$&quot;#,##0"/>
  </numFmts>
  <fonts count="52" x14ac:knownFonts="1">
    <font>
      <sz val="10"/>
      <color theme="1"/>
      <name val="Arial"/>
      <family val="2"/>
    </font>
    <font>
      <sz val="10"/>
      <color indexed="8"/>
      <name val="Arial"/>
      <family val="2"/>
    </font>
    <font>
      <b/>
      <sz val="10"/>
      <color indexed="8"/>
      <name val="Arial"/>
      <family val="2"/>
    </font>
    <font>
      <b/>
      <sz val="14"/>
      <name val="Arial"/>
      <family val="2"/>
    </font>
    <font>
      <u/>
      <sz val="10"/>
      <color indexed="12"/>
      <name val="Arial"/>
      <family val="2"/>
    </font>
    <font>
      <sz val="10"/>
      <name val="Arial"/>
      <family val="2"/>
    </font>
    <font>
      <b/>
      <sz val="10"/>
      <name val="Arial"/>
      <family val="2"/>
    </font>
    <font>
      <sz val="11"/>
      <name val="Arial"/>
      <family val="2"/>
    </font>
    <font>
      <i/>
      <u/>
      <sz val="10"/>
      <name val="Arial"/>
      <family val="2"/>
    </font>
    <font>
      <b/>
      <sz val="12"/>
      <name val="Arial"/>
      <family val="2"/>
    </font>
    <font>
      <b/>
      <vertAlign val="superscript"/>
      <sz val="12"/>
      <name val="Arial"/>
      <family val="2"/>
    </font>
    <font>
      <sz val="8"/>
      <name val="Arial"/>
      <family val="2"/>
    </font>
    <font>
      <vertAlign val="superscript"/>
      <sz val="8"/>
      <name val="Calibri"/>
      <family val="2"/>
    </font>
    <font>
      <sz val="8"/>
      <name val="Calibri"/>
      <family val="2"/>
    </font>
    <font>
      <sz val="9"/>
      <color indexed="8"/>
      <name val="Arial"/>
      <family val="2"/>
    </font>
    <font>
      <sz val="9"/>
      <name val="Arial"/>
      <family val="2"/>
    </font>
    <font>
      <b/>
      <sz val="9"/>
      <name val="Arial"/>
      <family val="2"/>
    </font>
    <font>
      <strike/>
      <sz val="9"/>
      <name val="Arial"/>
      <family val="2"/>
    </font>
    <font>
      <b/>
      <sz val="8"/>
      <name val="Arial"/>
      <family val="2"/>
    </font>
    <font>
      <b/>
      <i/>
      <sz val="8"/>
      <name val="Arial"/>
      <family val="2"/>
    </font>
    <font>
      <u/>
      <sz val="8"/>
      <name val="Arial"/>
      <family val="2"/>
    </font>
    <font>
      <vertAlign val="superscript"/>
      <sz val="11"/>
      <name val="Arial"/>
      <family val="2"/>
    </font>
    <font>
      <b/>
      <vertAlign val="superscript"/>
      <sz val="10"/>
      <name val="Arial"/>
      <family val="2"/>
    </font>
    <font>
      <vertAlign val="superscript"/>
      <sz val="9"/>
      <name val="Arial"/>
      <family val="2"/>
    </font>
    <font>
      <b/>
      <strike/>
      <sz val="9"/>
      <name val="Arial"/>
      <family val="2"/>
    </font>
    <font>
      <sz val="10"/>
      <color theme="1"/>
      <name val="Arial"/>
      <family val="2"/>
    </font>
    <font>
      <b/>
      <sz val="8"/>
      <color indexed="8"/>
      <name val="Arial"/>
      <family val="2"/>
    </font>
    <font>
      <b/>
      <sz val="10"/>
      <color indexed="39"/>
      <name val="Arial"/>
      <family val="2"/>
    </font>
    <font>
      <b/>
      <sz val="11"/>
      <color indexed="9"/>
      <name val="Arial"/>
      <family val="2"/>
    </font>
    <font>
      <b/>
      <i/>
      <sz val="11"/>
      <color indexed="9"/>
      <name val="Arial"/>
      <family val="2"/>
    </font>
    <font>
      <b/>
      <sz val="12"/>
      <color indexed="8"/>
      <name val="Arial"/>
      <family val="2"/>
    </font>
    <font>
      <sz val="10"/>
      <color indexed="56"/>
      <name val="Arial"/>
      <family val="2"/>
    </font>
    <font>
      <sz val="10"/>
      <color indexed="39"/>
      <name val="Arial"/>
      <family val="2"/>
    </font>
    <font>
      <sz val="12"/>
      <color indexed="9"/>
      <name val="Arial"/>
      <family val="2"/>
    </font>
    <font>
      <i/>
      <sz val="12"/>
      <color indexed="9"/>
      <name val="Arial"/>
      <family val="2"/>
    </font>
    <font>
      <sz val="8"/>
      <color indexed="8"/>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10"/>
      <color indexed="10"/>
      <name val="Arial"/>
      <family val="2"/>
    </font>
    <font>
      <u/>
      <sz val="11"/>
      <name val="Arial"/>
      <family val="2"/>
    </font>
    <font>
      <sz val="9"/>
      <color rgb="FFC00000"/>
      <name val="Arial"/>
      <family val="2"/>
    </font>
    <font>
      <b/>
      <strike/>
      <sz val="9"/>
      <color rgb="FFC00000"/>
      <name val="Arial"/>
      <family val="2"/>
    </font>
    <font>
      <b/>
      <vertAlign val="superscript"/>
      <sz val="9"/>
      <name val="Arial"/>
      <family val="2"/>
    </font>
    <font>
      <vertAlign val="superscript"/>
      <sz val="8"/>
      <name val="Calibri"/>
      <family val="2"/>
      <scheme val="minor"/>
    </font>
    <font>
      <sz val="8"/>
      <name val="Calibri"/>
      <family val="2"/>
      <scheme val="minor"/>
    </font>
    <font>
      <sz val="10"/>
      <color rgb="FFC00000"/>
      <name val="Arial"/>
      <family val="2"/>
    </font>
    <font>
      <vertAlign val="superscript"/>
      <sz val="10"/>
      <name val="Arial"/>
      <family val="2"/>
    </font>
    <font>
      <sz val="11"/>
      <name val="Calibri"/>
      <family val="2"/>
    </font>
    <font>
      <sz val="12"/>
      <name val="Arial"/>
      <family val="2"/>
    </font>
  </fonts>
  <fills count="4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bgColor indexed="43"/>
      </patternFill>
    </fill>
    <fill>
      <patternFill patternType="solid">
        <fgColor indexed="43"/>
        <bgColor indexed="64"/>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55"/>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22"/>
      </patternFill>
    </fill>
    <fill>
      <patternFill patternType="solid">
        <fgColor indexed="22"/>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26"/>
        <bgColor indexed="64"/>
      </patternFill>
    </fill>
    <fill>
      <patternFill patternType="solid">
        <fgColor indexed="41"/>
      </patternFill>
    </fill>
    <fill>
      <patternFill patternType="solid">
        <fgColor indexed="10"/>
        <bgColor indexed="64"/>
      </patternFill>
    </fill>
    <fill>
      <patternFill patternType="solid">
        <fgColor indexed="22"/>
        <bgColor indexed="40"/>
      </patternFill>
    </fill>
    <fill>
      <patternFill patternType="solid">
        <fgColor indexed="30"/>
        <bgColor indexed="40"/>
      </patternFill>
    </fill>
    <fill>
      <patternFill patternType="solid">
        <fgColor rgb="FFFF99CC"/>
        <bgColor indexed="64"/>
      </patternFill>
    </fill>
    <fill>
      <patternFill patternType="solid">
        <fgColor indexed="27"/>
        <bgColor indexed="64"/>
      </patternFill>
    </fill>
  </fills>
  <borders count="67">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right/>
      <top/>
      <bottom style="thick">
        <color indexed="22"/>
      </bottom>
      <diagonal/>
    </border>
    <border>
      <left/>
      <right/>
      <top/>
      <bottom style="medium">
        <color indexed="22"/>
      </bottom>
      <diagonal/>
    </border>
    <border>
      <left/>
      <right/>
      <top style="medium">
        <color indexed="22"/>
      </top>
      <bottom style="medium">
        <color indexed="22"/>
      </bottom>
      <diagonal/>
    </border>
    <border>
      <left/>
      <right style="thin">
        <color indexed="64"/>
      </right>
      <top style="double">
        <color indexed="64"/>
      </top>
      <bottom style="double">
        <color indexed="64"/>
      </bottom>
      <diagonal/>
    </border>
  </borders>
  <cellStyleXfs count="135">
    <xf numFmtId="0" fontId="0" fillId="0" borderId="0"/>
    <xf numFmtId="43" fontId="2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15" fillId="0" borderId="0"/>
    <xf numFmtId="0" fontId="25" fillId="0" borderId="0"/>
    <xf numFmtId="0" fontId="25" fillId="5" borderId="61" applyNumberFormat="0" applyFont="0" applyAlignment="0" applyProtection="0"/>
    <xf numFmtId="0" fontId="25" fillId="5" borderId="61" applyNumberFormat="0" applyFont="0" applyAlignment="0" applyProtection="0"/>
    <xf numFmtId="0" fontId="25" fillId="5" borderId="61" applyNumberFormat="0" applyFont="0" applyAlignment="0" applyProtection="0"/>
    <xf numFmtId="0" fontId="25" fillId="5" borderId="61" applyNumberFormat="0" applyFont="0" applyAlignment="0" applyProtection="0"/>
    <xf numFmtId="0" fontId="25" fillId="5" borderId="61" applyNumberFormat="0" applyFont="0" applyAlignment="0" applyProtection="0"/>
    <xf numFmtId="4" fontId="26" fillId="18" borderId="9" applyNumberFormat="0" applyProtection="0">
      <alignment horizontal="right" vertical="center" wrapText="1"/>
    </xf>
    <xf numFmtId="4" fontId="27" fillId="19" borderId="62" applyNumberFormat="0" applyProtection="0">
      <alignment vertical="center"/>
    </xf>
    <xf numFmtId="4" fontId="28" fillId="20" borderId="63">
      <alignment vertical="center"/>
    </xf>
    <xf numFmtId="4" fontId="29" fillId="20" borderId="63">
      <alignment vertical="center"/>
    </xf>
    <xf numFmtId="4" fontId="28" fillId="21" borderId="63">
      <alignment vertical="center"/>
    </xf>
    <xf numFmtId="4" fontId="29" fillId="21" borderId="63">
      <alignment vertical="center"/>
    </xf>
    <xf numFmtId="4" fontId="26" fillId="18" borderId="9" applyNumberFormat="0" applyProtection="0">
      <alignment horizontal="left" vertical="center" indent="1"/>
    </xf>
    <xf numFmtId="0" fontId="2" fillId="19" borderId="62" applyNumberFormat="0" applyProtection="0">
      <alignment horizontal="left" vertical="top" indent="1"/>
    </xf>
    <xf numFmtId="4" fontId="16" fillId="22" borderId="9" applyNumberFormat="0" applyProtection="0">
      <alignment horizontal="left" vertical="center"/>
    </xf>
    <xf numFmtId="4" fontId="18" fillId="23" borderId="9" applyNumberFormat="0">
      <alignment horizontal="right" vertical="center"/>
    </xf>
    <xf numFmtId="4" fontId="1" fillId="24" borderId="62" applyNumberFormat="0" applyProtection="0">
      <alignment horizontal="right" vertical="center"/>
    </xf>
    <xf numFmtId="4" fontId="1" fillId="25" borderId="62" applyNumberFormat="0" applyProtection="0">
      <alignment horizontal="right" vertical="center"/>
    </xf>
    <xf numFmtId="4" fontId="1" fillId="26" borderId="62" applyNumberFormat="0" applyProtection="0">
      <alignment horizontal="right" vertical="center"/>
    </xf>
    <xf numFmtId="4" fontId="1" fillId="27" borderId="62" applyNumberFormat="0" applyProtection="0">
      <alignment horizontal="right" vertical="center"/>
    </xf>
    <xf numFmtId="4" fontId="1" fillId="28" borderId="62" applyNumberFormat="0" applyProtection="0">
      <alignment horizontal="right" vertical="center"/>
    </xf>
    <xf numFmtId="4" fontId="1" fillId="29" borderId="62" applyNumberFormat="0" applyProtection="0">
      <alignment horizontal="right" vertical="center"/>
    </xf>
    <xf numFmtId="4" fontId="1" fillId="30" borderId="62" applyNumberFormat="0" applyProtection="0">
      <alignment horizontal="right" vertical="center"/>
    </xf>
    <xf numFmtId="4" fontId="1" fillId="31" borderId="62" applyNumberFormat="0" applyProtection="0">
      <alignment horizontal="right" vertical="center"/>
    </xf>
    <xf numFmtId="4" fontId="1" fillId="32" borderId="62" applyNumberFormat="0" applyProtection="0">
      <alignment horizontal="right" vertical="center"/>
    </xf>
    <xf numFmtId="4" fontId="2" fillId="33" borderId="9" applyNumberFormat="0" applyProtection="0">
      <alignment horizontal="left" vertical="center" indent="1"/>
    </xf>
    <xf numFmtId="4" fontId="1" fillId="34" borderId="9" applyNumberFormat="0" applyProtection="0">
      <alignment horizontal="left" vertical="center" indent="1"/>
    </xf>
    <xf numFmtId="4" fontId="30" fillId="35" borderId="0" applyNumberFormat="0" applyProtection="0">
      <alignment horizontal="left" vertical="center" indent="1"/>
    </xf>
    <xf numFmtId="4" fontId="1" fillId="36" borderId="62" applyNumberFormat="0" applyProtection="0">
      <alignment horizontal="right" vertical="center"/>
    </xf>
    <xf numFmtId="4" fontId="31" fillId="37" borderId="64">
      <alignment horizontal="left" vertical="center" indent="1"/>
    </xf>
    <xf numFmtId="4" fontId="15" fillId="0" borderId="0" applyNumberFormat="0" applyProtection="0">
      <alignment horizontal="left" vertical="center" indent="1"/>
    </xf>
    <xf numFmtId="4" fontId="16" fillId="0" borderId="0" applyNumberFormat="0" applyProtection="0">
      <alignment horizontal="left" vertical="center" indent="1"/>
    </xf>
    <xf numFmtId="0" fontId="15" fillId="0" borderId="9" applyNumberFormat="0" applyProtection="0">
      <alignment horizontal="left" vertical="center" indent="2"/>
    </xf>
    <xf numFmtId="0" fontId="5" fillId="35" borderId="62" applyNumberFormat="0" applyProtection="0">
      <alignment horizontal="left" vertical="top" indent="1"/>
    </xf>
    <xf numFmtId="0" fontId="15" fillId="0" borderId="9" applyNumberFormat="0" applyProtection="0">
      <alignment horizontal="left" vertical="center" indent="2"/>
    </xf>
    <xf numFmtId="0" fontId="5" fillId="38" borderId="62" applyNumberFormat="0" applyProtection="0">
      <alignment horizontal="left" vertical="top" indent="1"/>
    </xf>
    <xf numFmtId="0" fontId="15" fillId="0" borderId="9" applyNumberFormat="0" applyProtection="0">
      <alignment horizontal="left" vertical="center" indent="2"/>
    </xf>
    <xf numFmtId="0" fontId="5" fillId="39" borderId="62" applyNumberFormat="0" applyProtection="0">
      <alignment horizontal="left" vertical="top" indent="1"/>
    </xf>
    <xf numFmtId="0" fontId="15" fillId="0" borderId="9" applyNumberFormat="0" applyProtection="0">
      <alignment horizontal="left" vertical="center" indent="2"/>
    </xf>
    <xf numFmtId="0" fontId="5" fillId="3" borderId="62" applyNumberFormat="0" applyProtection="0">
      <alignment horizontal="left" vertical="top" indent="1"/>
    </xf>
    <xf numFmtId="4" fontId="1" fillId="40" borderId="62" applyNumberFormat="0" applyProtection="0">
      <alignment vertical="center"/>
    </xf>
    <xf numFmtId="4" fontId="32" fillId="40" borderId="62" applyNumberFormat="0" applyProtection="0">
      <alignment vertical="center"/>
    </xf>
    <xf numFmtId="4" fontId="33" fillId="20" borderId="64">
      <alignment vertical="center"/>
    </xf>
    <xf numFmtId="4" fontId="34" fillId="20" borderId="64">
      <alignment vertical="center"/>
    </xf>
    <xf numFmtId="4" fontId="33" fillId="21" borderId="64">
      <alignment vertical="center"/>
    </xf>
    <xf numFmtId="4" fontId="34" fillId="21" borderId="64">
      <alignment vertical="center"/>
    </xf>
    <xf numFmtId="4" fontId="35" fillId="0" borderId="0" applyNumberFormat="0" applyProtection="0">
      <alignment horizontal="left" vertical="center" indent="1"/>
    </xf>
    <xf numFmtId="0" fontId="1" fillId="40" borderId="62" applyNumberFormat="0" applyProtection="0">
      <alignment horizontal="left" vertical="top" indent="1"/>
    </xf>
    <xf numFmtId="0" fontId="18" fillId="23" borderId="9" applyNumberFormat="0">
      <alignment horizontal="left" vertical="center"/>
    </xf>
    <xf numFmtId="4" fontId="11" fillId="0" borderId="9" applyNumberFormat="0" applyProtection="0">
      <alignment horizontal="left" vertical="center" indent="1"/>
    </xf>
    <xf numFmtId="4" fontId="35" fillId="0" borderId="0" applyNumberFormat="0" applyProtection="0">
      <alignment horizontal="right" vertical="center" wrapText="1"/>
    </xf>
    <xf numFmtId="4" fontId="14" fillId="0" borderId="9" applyNumberFormat="0" applyProtection="0">
      <alignment horizontal="right" vertical="center" wrapText="1"/>
    </xf>
    <xf numFmtId="4" fontId="32" fillId="41" borderId="62" applyNumberFormat="0" applyProtection="0">
      <alignment horizontal="right" vertical="center"/>
    </xf>
    <xf numFmtId="4" fontId="36" fillId="20" borderId="64">
      <alignment vertical="center"/>
    </xf>
    <xf numFmtId="4" fontId="37" fillId="20" borderId="64">
      <alignment vertical="center"/>
    </xf>
    <xf numFmtId="4" fontId="36" fillId="21" borderId="64">
      <alignment vertical="center"/>
    </xf>
    <xf numFmtId="4" fontId="37" fillId="42" borderId="64">
      <alignment vertical="center"/>
    </xf>
    <xf numFmtId="4" fontId="14" fillId="0" borderId="9" applyNumberFormat="0" applyProtection="0">
      <alignment horizontal="left" vertical="center" indent="1"/>
    </xf>
    <xf numFmtId="0" fontId="16" fillId="43" borderId="9" applyNumberFormat="0" applyProtection="0">
      <alignment horizontal="center" vertical="center" wrapText="1"/>
    </xf>
    <xf numFmtId="0" fontId="16" fillId="44" borderId="9" applyNumberFormat="0" applyProtection="0">
      <alignment horizontal="center" vertical="top" wrapText="1"/>
    </xf>
    <xf numFmtId="4" fontId="38" fillId="37" borderId="65">
      <alignment vertical="center"/>
    </xf>
    <xf numFmtId="4" fontId="39" fillId="37" borderId="65">
      <alignment vertical="center"/>
    </xf>
    <xf numFmtId="4" fontId="28" fillId="20" borderId="65">
      <alignment vertical="center"/>
    </xf>
    <xf numFmtId="4" fontId="29" fillId="20" borderId="65">
      <alignment vertical="center"/>
    </xf>
    <xf numFmtId="4" fontId="28" fillId="21" borderId="64">
      <alignment vertical="center"/>
    </xf>
    <xf numFmtId="4" fontId="29" fillId="21" borderId="64">
      <alignment vertical="center"/>
    </xf>
    <xf numFmtId="4" fontId="40" fillId="40" borderId="65">
      <alignment horizontal="left" vertical="center" indent="1"/>
    </xf>
    <xf numFmtId="4" fontId="3" fillId="0" borderId="0" applyNumberFormat="0" applyProtection="0">
      <alignment vertical="center"/>
    </xf>
    <xf numFmtId="4" fontId="41" fillId="41" borderId="62" applyNumberFormat="0" applyProtection="0">
      <alignment horizontal="right" vertical="center"/>
    </xf>
    <xf numFmtId="43" fontId="5" fillId="0" borderId="0" applyFont="0" applyFill="0" applyBorder="0" applyAlignment="0" applyProtection="0"/>
  </cellStyleXfs>
  <cellXfs count="473">
    <xf numFmtId="0" fontId="0" fillId="0" borderId="0" xfId="0"/>
    <xf numFmtId="0" fontId="3" fillId="0" borderId="0" xfId="0" applyFont="1" applyFill="1" applyBorder="1" applyAlignment="1">
      <alignment horizontal="right"/>
    </xf>
    <xf numFmtId="0" fontId="5" fillId="0" borderId="2" xfId="0" applyFont="1" applyBorder="1"/>
    <xf numFmtId="0" fontId="6" fillId="0" borderId="3" xfId="0" applyFont="1" applyFill="1" applyBorder="1"/>
    <xf numFmtId="0" fontId="6" fillId="0" borderId="6" xfId="0" applyFont="1" applyFill="1" applyBorder="1"/>
    <xf numFmtId="0" fontId="6" fillId="0" borderId="12" xfId="0" applyFont="1" applyFill="1" applyBorder="1"/>
    <xf numFmtId="2" fontId="7" fillId="2" borderId="9" xfId="0" applyNumberFormat="1" applyFont="1" applyFill="1" applyBorder="1" applyAlignment="1">
      <alignment horizontal="right" vertical="top"/>
    </xf>
    <xf numFmtId="3" fontId="7" fillId="3" borderId="9" xfId="0" applyNumberFormat="1" applyFont="1" applyFill="1" applyBorder="1" applyAlignment="1">
      <alignment horizontal="right" vertical="top" wrapText="1"/>
    </xf>
    <xf numFmtId="0" fontId="5" fillId="0" borderId="0" xfId="0" applyFont="1" applyFill="1" applyProtection="1"/>
    <xf numFmtId="3" fontId="5" fillId="0" borderId="0" xfId="0" applyNumberFormat="1" applyFont="1" applyFill="1" applyAlignment="1" applyProtection="1"/>
    <xf numFmtId="0" fontId="5" fillId="0" borderId="0" xfId="0" applyFont="1" applyFill="1" applyAlignment="1" applyProtection="1"/>
    <xf numFmtId="0" fontId="5" fillId="0" borderId="0" xfId="0" applyFont="1" applyFill="1" applyAlignment="1" applyProtection="1">
      <alignment horizontal="right"/>
    </xf>
    <xf numFmtId="0" fontId="5" fillId="0" borderId="9" xfId="0" applyFont="1" applyFill="1" applyBorder="1" applyAlignment="1" applyProtection="1">
      <alignment horizontal="center"/>
    </xf>
    <xf numFmtId="0" fontId="6" fillId="0" borderId="16" xfId="0" applyFont="1" applyFill="1" applyBorder="1" applyAlignment="1" applyProtection="1"/>
    <xf numFmtId="0" fontId="6" fillId="0" borderId="9" xfId="0" applyFont="1" applyFill="1" applyBorder="1" applyAlignment="1" applyProtection="1">
      <alignment wrapText="1"/>
    </xf>
    <xf numFmtId="0" fontId="6" fillId="0" borderId="11" xfId="0" applyFont="1" applyFill="1" applyBorder="1" applyAlignment="1" applyProtection="1">
      <alignment wrapText="1"/>
    </xf>
    <xf numFmtId="0" fontId="6" fillId="0" borderId="17" xfId="0" applyFont="1" applyFill="1" applyBorder="1" applyAlignment="1" applyProtection="1">
      <alignment wrapText="1"/>
    </xf>
    <xf numFmtId="0" fontId="6" fillId="0" borderId="18" xfId="0" applyFont="1" applyFill="1" applyBorder="1" applyAlignment="1" applyProtection="1">
      <alignment wrapText="1"/>
    </xf>
    <xf numFmtId="0" fontId="6" fillId="0" borderId="18" xfId="0" applyFont="1" applyFill="1" applyBorder="1" applyAlignment="1" applyProtection="1">
      <alignment horizontal="right" wrapText="1"/>
    </xf>
    <xf numFmtId="0" fontId="6" fillId="0" borderId="9"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0" fontId="6" fillId="0" borderId="9" xfId="0" applyFont="1" applyFill="1" applyBorder="1" applyAlignment="1" applyProtection="1">
      <alignment horizontal="right" wrapText="1"/>
    </xf>
    <xf numFmtId="0" fontId="6" fillId="0" borderId="11" xfId="0" applyFont="1" applyFill="1" applyBorder="1" applyAlignment="1" applyProtection="1">
      <alignment horizontal="right" wrapText="1"/>
    </xf>
    <xf numFmtId="0" fontId="6" fillId="0" borderId="9" xfId="0" applyFont="1" applyFill="1" applyBorder="1" applyAlignment="1" applyProtection="1">
      <alignment horizontal="left"/>
    </xf>
    <xf numFmtId="3" fontId="6" fillId="0" borderId="1" xfId="0" applyNumberFormat="1" applyFont="1" applyFill="1" applyBorder="1" applyAlignment="1" applyProtection="1">
      <alignment wrapText="1"/>
    </xf>
    <xf numFmtId="0" fontId="6" fillId="0" borderId="17" xfId="0" applyFont="1" applyFill="1" applyBorder="1" applyAlignment="1" applyProtection="1">
      <alignment horizontal="center" wrapText="1"/>
    </xf>
    <xf numFmtId="0" fontId="6" fillId="0" borderId="17" xfId="0" applyFont="1" applyFill="1" applyBorder="1" applyAlignment="1" applyProtection="1">
      <alignment horizontal="right" wrapText="1"/>
    </xf>
    <xf numFmtId="0" fontId="6" fillId="0" borderId="11" xfId="0" applyFont="1" applyFill="1" applyBorder="1" applyAlignment="1" applyProtection="1">
      <alignment horizontal="right"/>
    </xf>
    <xf numFmtId="0" fontId="6" fillId="0" borderId="9" xfId="0" applyFont="1" applyFill="1" applyBorder="1" applyAlignment="1" applyProtection="1">
      <alignment horizontal="center"/>
    </xf>
    <xf numFmtId="0" fontId="5" fillId="0" borderId="19" xfId="0" applyFont="1" applyFill="1" applyBorder="1" applyProtection="1"/>
    <xf numFmtId="38" fontId="5" fillId="0" borderId="21" xfId="0" applyNumberFormat="1" applyFont="1" applyFill="1" applyBorder="1" applyAlignment="1" applyProtection="1"/>
    <xf numFmtId="168" fontId="5" fillId="0" borderId="1" xfId="0" applyNumberFormat="1" applyFont="1" applyFill="1" applyBorder="1" applyAlignment="1" applyProtection="1"/>
    <xf numFmtId="168" fontId="5" fillId="0" borderId="20" xfId="0" applyNumberFormat="1" applyFont="1" applyFill="1" applyBorder="1" applyAlignment="1" applyProtection="1"/>
    <xf numFmtId="38" fontId="5" fillId="0" borderId="1" xfId="0" applyNumberFormat="1" applyFont="1" applyFill="1" applyBorder="1" applyAlignment="1" applyProtection="1"/>
    <xf numFmtId="168" fontId="5" fillId="0" borderId="1" xfId="0" applyNumberFormat="1" applyFont="1" applyFill="1" applyBorder="1" applyAlignment="1" applyProtection="1">
      <alignment horizontal="right"/>
    </xf>
    <xf numFmtId="168" fontId="5" fillId="0" borderId="20" xfId="0" applyNumberFormat="1" applyFont="1" applyFill="1" applyBorder="1" applyAlignment="1" applyProtection="1">
      <alignment horizontal="right"/>
    </xf>
    <xf numFmtId="38" fontId="5" fillId="0" borderId="21" xfId="0" applyNumberFormat="1" applyFont="1" applyFill="1" applyBorder="1" applyAlignment="1" applyProtection="1">
      <alignment horizontal="right"/>
    </xf>
    <xf numFmtId="38" fontId="5" fillId="0" borderId="19" xfId="0" applyNumberFormat="1" applyFont="1" applyFill="1" applyBorder="1" applyAlignment="1" applyProtection="1"/>
    <xf numFmtId="168" fontId="5" fillId="0" borderId="0" xfId="0" applyNumberFormat="1" applyFont="1" applyFill="1" applyBorder="1" applyAlignment="1" applyProtection="1"/>
    <xf numFmtId="168" fontId="5" fillId="0" borderId="22" xfId="0" applyNumberFormat="1" applyFont="1" applyFill="1" applyBorder="1" applyAlignment="1" applyProtection="1"/>
    <xf numFmtId="38" fontId="5" fillId="0" borderId="0" xfId="0" applyNumberFormat="1" applyFont="1" applyFill="1" applyBorder="1" applyAlignment="1" applyProtection="1"/>
    <xf numFmtId="168" fontId="5" fillId="0" borderId="0" xfId="0" applyNumberFormat="1" applyFont="1" applyFill="1" applyBorder="1" applyAlignment="1" applyProtection="1">
      <alignment horizontal="right"/>
    </xf>
    <xf numFmtId="168" fontId="5" fillId="0" borderId="22" xfId="0" applyNumberFormat="1" applyFont="1" applyFill="1" applyBorder="1" applyAlignment="1" applyProtection="1">
      <alignment horizontal="right"/>
    </xf>
    <xf numFmtId="38" fontId="5" fillId="0" borderId="19" xfId="0" applyNumberFormat="1" applyFont="1" applyFill="1" applyBorder="1" applyAlignment="1" applyProtection="1">
      <alignment horizontal="right"/>
    </xf>
    <xf numFmtId="0" fontId="5" fillId="0" borderId="23" xfId="0" applyFont="1" applyFill="1" applyBorder="1" applyProtection="1"/>
    <xf numFmtId="38" fontId="5" fillId="0" borderId="24" xfId="0" applyNumberFormat="1" applyFont="1" applyFill="1" applyBorder="1" applyAlignment="1" applyProtection="1"/>
    <xf numFmtId="168" fontId="5" fillId="0" borderId="2" xfId="0" applyNumberFormat="1" applyFont="1" applyFill="1" applyBorder="1" applyAlignment="1" applyProtection="1"/>
    <xf numFmtId="168" fontId="5" fillId="0" borderId="25" xfId="0" applyNumberFormat="1" applyFont="1" applyFill="1" applyBorder="1" applyAlignment="1" applyProtection="1"/>
    <xf numFmtId="38" fontId="5" fillId="0" borderId="2" xfId="0" applyNumberFormat="1" applyFont="1" applyFill="1" applyBorder="1" applyAlignment="1" applyProtection="1"/>
    <xf numFmtId="168" fontId="5" fillId="0" borderId="2" xfId="0" applyNumberFormat="1" applyFont="1" applyFill="1" applyBorder="1" applyAlignment="1" applyProtection="1">
      <alignment horizontal="right"/>
    </xf>
    <xf numFmtId="168" fontId="5" fillId="0" borderId="25" xfId="0" applyNumberFormat="1" applyFont="1" applyFill="1" applyBorder="1" applyAlignment="1" applyProtection="1">
      <alignment horizontal="right"/>
    </xf>
    <xf numFmtId="38" fontId="5" fillId="0" borderId="24" xfId="0" applyNumberFormat="1" applyFont="1" applyFill="1" applyBorder="1" applyAlignment="1" applyProtection="1">
      <alignment horizontal="right"/>
    </xf>
    <xf numFmtId="0" fontId="6" fillId="0" borderId="26" xfId="0" applyFont="1" applyFill="1" applyBorder="1" applyProtection="1"/>
    <xf numFmtId="3" fontId="5" fillId="0" borderId="27" xfId="0" applyNumberFormat="1" applyFont="1" applyFill="1" applyBorder="1" applyAlignment="1" applyProtection="1"/>
    <xf numFmtId="168" fontId="5" fillId="0" borderId="27" xfId="0" applyNumberFormat="1" applyFont="1" applyFill="1" applyBorder="1" applyAlignment="1" applyProtection="1"/>
    <xf numFmtId="168" fontId="5" fillId="0" borderId="28" xfId="0" applyNumberFormat="1" applyFont="1" applyFill="1" applyBorder="1" applyAlignment="1" applyProtection="1"/>
    <xf numFmtId="3" fontId="5" fillId="0" borderId="27" xfId="0" applyNumberFormat="1" applyFont="1" applyFill="1" applyBorder="1" applyAlignment="1" applyProtection="1">
      <alignment horizontal="right"/>
    </xf>
    <xf numFmtId="168" fontId="5" fillId="0" borderId="27" xfId="0" applyNumberFormat="1" applyFont="1" applyFill="1" applyBorder="1" applyAlignment="1" applyProtection="1">
      <alignment horizontal="right"/>
    </xf>
    <xf numFmtId="168" fontId="5" fillId="0" borderId="28" xfId="0" applyNumberFormat="1" applyFont="1" applyFill="1" applyBorder="1" applyAlignment="1" applyProtection="1">
      <alignment horizontal="right"/>
    </xf>
    <xf numFmtId="165" fontId="5" fillId="0" borderId="28" xfId="0" applyNumberFormat="1" applyFont="1" applyFill="1" applyBorder="1" applyAlignment="1" applyProtection="1">
      <alignment horizontal="center"/>
    </xf>
    <xf numFmtId="168" fontId="6" fillId="0" borderId="1" xfId="0" applyNumberFormat="1" applyFont="1" applyFill="1" applyBorder="1" applyAlignment="1" applyProtection="1">
      <alignment wrapText="1"/>
    </xf>
    <xf numFmtId="168" fontId="6" fillId="0" borderId="29" xfId="0" applyNumberFormat="1" applyFont="1" applyFill="1" applyBorder="1" applyAlignment="1" applyProtection="1"/>
    <xf numFmtId="3" fontId="6" fillId="0" borderId="30" xfId="0" applyNumberFormat="1" applyFont="1" applyFill="1" applyBorder="1" applyAlignment="1" applyProtection="1">
      <alignment horizontal="right" wrapText="1"/>
    </xf>
    <xf numFmtId="168" fontId="6" fillId="0" borderId="1" xfId="0" applyNumberFormat="1" applyFont="1" applyFill="1" applyBorder="1" applyAlignment="1" applyProtection="1">
      <alignment horizontal="center" wrapText="1"/>
    </xf>
    <xf numFmtId="168" fontId="6" fillId="0" borderId="29" xfId="0" applyNumberFormat="1" applyFont="1" applyFill="1" applyBorder="1" applyAlignment="1" applyProtection="1">
      <alignment horizontal="center"/>
    </xf>
    <xf numFmtId="168" fontId="6" fillId="0" borderId="1" xfId="0" applyNumberFormat="1" applyFont="1" applyFill="1" applyBorder="1" applyAlignment="1" applyProtection="1">
      <alignment horizontal="right" wrapText="1"/>
    </xf>
    <xf numFmtId="168" fontId="6" fillId="0" borderId="29" xfId="0" applyNumberFormat="1" applyFont="1" applyFill="1" applyBorder="1" applyAlignment="1" applyProtection="1">
      <alignment horizontal="right"/>
    </xf>
    <xf numFmtId="0" fontId="6" fillId="0" borderId="31" xfId="0" applyFont="1" applyFill="1" applyBorder="1" applyAlignment="1" applyProtection="1">
      <alignment horizontal="center"/>
    </xf>
    <xf numFmtId="165" fontId="5" fillId="0" borderId="0" xfId="0" applyNumberFormat="1" applyFont="1" applyFill="1" applyBorder="1" applyProtection="1"/>
    <xf numFmtId="3" fontId="5" fillId="0" borderId="21" xfId="0" applyNumberFormat="1" applyFont="1" applyFill="1" applyBorder="1" applyAlignment="1" applyProtection="1"/>
    <xf numFmtId="3" fontId="5" fillId="0" borderId="19" xfId="0" applyNumberFormat="1" applyFont="1" applyFill="1" applyBorder="1" applyAlignment="1" applyProtection="1"/>
    <xf numFmtId="3" fontId="5" fillId="0" borderId="19" xfId="0" applyNumberFormat="1" applyFont="1" applyFill="1" applyBorder="1" applyAlignment="1" applyProtection="1">
      <alignment horizontal="right"/>
    </xf>
    <xf numFmtId="165" fontId="5" fillId="0" borderId="32" xfId="0" applyNumberFormat="1" applyFont="1" applyFill="1" applyBorder="1" applyAlignment="1" applyProtection="1">
      <alignment horizontal="center"/>
    </xf>
    <xf numFmtId="0" fontId="6" fillId="0" borderId="33" xfId="0" applyFont="1" applyFill="1" applyBorder="1" applyProtection="1"/>
    <xf numFmtId="0" fontId="6" fillId="0" borderId="19" xfId="0" applyFont="1" applyFill="1" applyBorder="1" applyProtection="1"/>
    <xf numFmtId="3" fontId="5" fillId="0" borderId="0" xfId="0" applyNumberFormat="1" applyFont="1" applyFill="1" applyBorder="1" applyAlignment="1" applyProtection="1"/>
    <xf numFmtId="166" fontId="5" fillId="0" borderId="0" xfId="0" applyNumberFormat="1" applyFont="1" applyFill="1" applyBorder="1" applyAlignment="1" applyProtection="1"/>
    <xf numFmtId="169" fontId="5" fillId="0" borderId="0" xfId="0" applyNumberFormat="1" applyFont="1" applyFill="1" applyBorder="1" applyAlignment="1" applyProtection="1"/>
    <xf numFmtId="165" fontId="5" fillId="0" borderId="0" xfId="0" applyNumberFormat="1" applyFont="1" applyFill="1" applyBorder="1" applyAlignment="1" applyProtection="1"/>
    <xf numFmtId="3" fontId="5" fillId="0" borderId="0" xfId="0" applyNumberFormat="1" applyFont="1" applyFill="1" applyBorder="1" applyAlignment="1" applyProtection="1">
      <alignment horizontal="right"/>
    </xf>
    <xf numFmtId="166" fontId="5" fillId="0" borderId="0" xfId="0" applyNumberFormat="1" applyFont="1" applyFill="1" applyBorder="1" applyAlignment="1" applyProtection="1">
      <alignment horizontal="center"/>
    </xf>
    <xf numFmtId="165" fontId="5" fillId="0" borderId="0" xfId="0" applyNumberFormat="1" applyFont="1" applyFill="1" applyBorder="1" applyAlignment="1" applyProtection="1">
      <alignment horizontal="center"/>
    </xf>
    <xf numFmtId="166" fontId="5" fillId="0" borderId="0" xfId="0" applyNumberFormat="1" applyFont="1" applyFill="1" applyBorder="1" applyAlignment="1" applyProtection="1">
      <alignment horizontal="right"/>
    </xf>
    <xf numFmtId="165" fontId="5" fillId="0" borderId="0" xfId="0" applyNumberFormat="1" applyFont="1" applyFill="1" applyBorder="1" applyAlignment="1" applyProtection="1">
      <alignment horizontal="right"/>
    </xf>
    <xf numFmtId="165" fontId="5" fillId="0" borderId="22"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0" fontId="5" fillId="0" borderId="0" xfId="0" applyFont="1" applyFill="1" applyBorder="1" applyProtection="1"/>
    <xf numFmtId="0" fontId="5" fillId="0" borderId="22" xfId="0" applyFont="1" applyFill="1" applyBorder="1" applyProtection="1"/>
    <xf numFmtId="0" fontId="5" fillId="0" borderId="35" xfId="0" applyFont="1" applyFill="1" applyBorder="1" applyProtection="1"/>
    <xf numFmtId="0" fontId="6" fillId="0" borderId="22" xfId="0" applyFont="1" applyFill="1" applyBorder="1" applyAlignment="1" applyProtection="1"/>
    <xf numFmtId="0" fontId="6" fillId="0" borderId="0" xfId="0" applyFont="1" applyFill="1" applyBorder="1" applyAlignment="1" applyProtection="1"/>
    <xf numFmtId="3" fontId="6" fillId="0" borderId="18" xfId="0" applyNumberFormat="1" applyFont="1" applyFill="1" applyBorder="1" applyAlignment="1" applyProtection="1">
      <alignment wrapText="1"/>
    </xf>
    <xf numFmtId="0" fontId="6" fillId="0" borderId="11" xfId="0" applyFont="1" applyFill="1" applyBorder="1" applyAlignment="1" applyProtection="1"/>
    <xf numFmtId="168" fontId="5" fillId="0" borderId="1" xfId="0" applyNumberFormat="1" applyFont="1" applyFill="1" applyBorder="1" applyAlignment="1" applyProtection="1">
      <alignment horizontal="center"/>
    </xf>
    <xf numFmtId="168" fontId="5" fillId="0" borderId="20" xfId="0" applyNumberFormat="1" applyFont="1" applyFill="1" applyBorder="1" applyAlignment="1" applyProtection="1">
      <alignment horizontal="center"/>
    </xf>
    <xf numFmtId="168" fontId="5" fillId="0" borderId="0" xfId="0" applyNumberFormat="1" applyFont="1" applyFill="1" applyBorder="1" applyAlignment="1" applyProtection="1">
      <alignment horizontal="center"/>
    </xf>
    <xf numFmtId="168" fontId="5" fillId="0" borderId="22" xfId="0" applyNumberFormat="1" applyFont="1" applyFill="1" applyBorder="1" applyAlignment="1" applyProtection="1">
      <alignment horizontal="center"/>
    </xf>
    <xf numFmtId="3" fontId="5" fillId="0" borderId="24" xfId="0" applyNumberFormat="1" applyFont="1" applyFill="1" applyBorder="1" applyAlignment="1" applyProtection="1"/>
    <xf numFmtId="168" fontId="5" fillId="0" borderId="2" xfId="0" applyNumberFormat="1" applyFont="1" applyFill="1" applyBorder="1" applyAlignment="1" applyProtection="1">
      <alignment horizontal="center"/>
    </xf>
    <xf numFmtId="168" fontId="5" fillId="0" borderId="25" xfId="0" applyNumberFormat="1" applyFont="1" applyFill="1" applyBorder="1" applyAlignment="1" applyProtection="1">
      <alignment horizontal="center"/>
    </xf>
    <xf numFmtId="168" fontId="5" fillId="0" borderId="27" xfId="0" applyNumberFormat="1" applyFont="1" applyFill="1" applyBorder="1" applyAlignment="1" applyProtection="1">
      <alignment horizontal="center"/>
    </xf>
    <xf numFmtId="168" fontId="5" fillId="0" borderId="28" xfId="0" applyNumberFormat="1" applyFont="1" applyFill="1" applyBorder="1" applyAlignment="1" applyProtection="1">
      <alignment horizontal="center"/>
    </xf>
    <xf numFmtId="3" fontId="6" fillId="0" borderId="1" xfId="0" applyNumberFormat="1" applyFont="1" applyFill="1" applyBorder="1" applyAlignment="1" applyProtection="1">
      <alignment horizontal="right" wrapText="1"/>
    </xf>
    <xf numFmtId="3" fontId="5" fillId="0" borderId="1" xfId="0" applyNumberFormat="1" applyFont="1" applyFill="1" applyBorder="1" applyAlignment="1" applyProtection="1">
      <alignment wrapText="1"/>
    </xf>
    <xf numFmtId="168" fontId="6" fillId="0" borderId="36" xfId="0" applyNumberFormat="1" applyFont="1" applyFill="1" applyBorder="1" applyAlignment="1" applyProtection="1">
      <alignment horizontal="right"/>
    </xf>
    <xf numFmtId="3" fontId="5" fillId="0" borderId="21" xfId="0" applyNumberFormat="1" applyFont="1" applyFill="1" applyBorder="1" applyAlignment="1" applyProtection="1">
      <alignment horizontal="right"/>
    </xf>
    <xf numFmtId="0" fontId="6" fillId="0" borderId="35" xfId="0" applyFont="1" applyFill="1" applyBorder="1" applyProtection="1"/>
    <xf numFmtId="3" fontId="5" fillId="0" borderId="2" xfId="0" applyNumberFormat="1" applyFont="1" applyFill="1" applyBorder="1" applyAlignment="1" applyProtection="1"/>
    <xf numFmtId="3" fontId="5" fillId="0" borderId="2" xfId="0" applyNumberFormat="1" applyFont="1" applyFill="1" applyBorder="1" applyAlignment="1" applyProtection="1">
      <alignment horizontal="right"/>
    </xf>
    <xf numFmtId="168" fontId="5" fillId="0" borderId="31" xfId="0" applyNumberFormat="1" applyFont="1" applyFill="1" applyBorder="1" applyAlignment="1" applyProtection="1">
      <alignment horizontal="right"/>
    </xf>
    <xf numFmtId="165" fontId="5" fillId="0" borderId="25" xfId="0" applyNumberFormat="1" applyFont="1" applyFill="1" applyBorder="1" applyAlignment="1" applyProtection="1">
      <alignment horizontal="center"/>
    </xf>
    <xf numFmtId="0" fontId="13" fillId="0" borderId="0" xfId="0" applyFont="1" applyFill="1" applyBorder="1" applyAlignment="1" applyProtection="1">
      <alignment vertical="top" wrapText="1"/>
    </xf>
    <xf numFmtId="0" fontId="13" fillId="0" borderId="0" xfId="0" applyFont="1" applyFill="1" applyBorder="1" applyAlignment="1" applyProtection="1">
      <alignment vertical="top"/>
    </xf>
    <xf numFmtId="0" fontId="6" fillId="0" borderId="0" xfId="0" applyFont="1" applyFill="1" applyAlignment="1" applyProtection="1">
      <alignment horizontal="right"/>
    </xf>
    <xf numFmtId="0" fontId="6" fillId="0" borderId="0" xfId="0" applyFont="1" applyFill="1" applyAlignment="1" applyProtection="1"/>
    <xf numFmtId="0" fontId="6" fillId="0" borderId="0" xfId="0" applyFont="1" applyFill="1" applyAlignment="1" applyProtection="1">
      <alignment vertical="top"/>
    </xf>
    <xf numFmtId="0" fontId="6" fillId="0" borderId="0" xfId="0" applyFont="1" applyFill="1" applyProtection="1"/>
    <xf numFmtId="3" fontId="6" fillId="0" borderId="0" xfId="0" applyNumberFormat="1" applyFont="1" applyFill="1" applyAlignment="1" applyProtection="1"/>
    <xf numFmtId="0" fontId="15" fillId="0" borderId="9" xfId="0" applyFont="1" applyFill="1" applyBorder="1" applyProtection="1"/>
    <xf numFmtId="166" fontId="15" fillId="0" borderId="9" xfId="0" applyNumberFormat="1" applyFont="1" applyFill="1" applyBorder="1"/>
    <xf numFmtId="166" fontId="15" fillId="0" borderId="9" xfId="1" applyNumberFormat="1" applyFont="1" applyFill="1" applyBorder="1" applyAlignment="1">
      <alignment horizontal="right"/>
    </xf>
    <xf numFmtId="166" fontId="16" fillId="0" borderId="18" xfId="0" applyNumberFormat="1" applyFont="1" applyFill="1" applyBorder="1" applyAlignment="1">
      <alignment horizontal="center"/>
    </xf>
    <xf numFmtId="166" fontId="16" fillId="0" borderId="9" xfId="0" applyNumberFormat="1" applyFont="1" applyFill="1" applyBorder="1" applyAlignment="1"/>
    <xf numFmtId="167" fontId="15" fillId="0" borderId="9" xfId="0" applyNumberFormat="1" applyFont="1" applyFill="1" applyBorder="1" applyAlignment="1">
      <alignment horizontal="right" wrapText="1"/>
    </xf>
    <xf numFmtId="166" fontId="16" fillId="0" borderId="9" xfId="1" applyNumberFormat="1" applyFont="1" applyFill="1" applyBorder="1" applyAlignment="1">
      <alignment horizontal="right" wrapText="1"/>
    </xf>
    <xf numFmtId="167" fontId="16" fillId="0" borderId="9" xfId="0" applyNumberFormat="1" applyFont="1" applyFill="1" applyBorder="1" applyAlignment="1">
      <alignment horizontal="center" wrapText="1"/>
    </xf>
    <xf numFmtId="167" fontId="16" fillId="0" borderId="9" xfId="0" applyNumberFormat="1" applyFont="1" applyFill="1" applyBorder="1" applyAlignment="1">
      <alignment horizontal="right" wrapText="1"/>
    </xf>
    <xf numFmtId="166" fontId="16" fillId="0" borderId="9" xfId="0" applyNumberFormat="1" applyFont="1" applyFill="1" applyBorder="1"/>
    <xf numFmtId="167" fontId="15" fillId="0" borderId="9" xfId="0" applyNumberFormat="1" applyFont="1" applyFill="1" applyBorder="1"/>
    <xf numFmtId="166" fontId="16" fillId="0" borderId="18" xfId="0" applyNumberFormat="1" applyFont="1" applyFill="1" applyBorder="1"/>
    <xf numFmtId="166" fontId="15" fillId="0" borderId="9" xfId="0" applyNumberFormat="1" applyFont="1" applyFill="1" applyBorder="1" applyAlignment="1"/>
    <xf numFmtId="166" fontId="16" fillId="0" borderId="9" xfId="0" applyNumberFormat="1" applyFont="1" applyFill="1" applyBorder="1" applyAlignment="1">
      <alignment horizontal="center" wrapText="1"/>
    </xf>
    <xf numFmtId="166" fontId="16" fillId="0" borderId="9" xfId="0" applyNumberFormat="1" applyFont="1" applyFill="1" applyBorder="1" applyAlignment="1">
      <alignment horizontal="center"/>
    </xf>
    <xf numFmtId="166" fontId="15" fillId="0" borderId="9" xfId="0" applyNumberFormat="1" applyFont="1" applyFill="1" applyBorder="1" applyAlignment="1">
      <alignment horizontal="right" wrapText="1"/>
    </xf>
    <xf numFmtId="166" fontId="15" fillId="0" borderId="9" xfId="0" applyNumberFormat="1" applyFont="1" applyFill="1" applyBorder="1" applyAlignment="1">
      <alignment horizontal="right"/>
    </xf>
    <xf numFmtId="166" fontId="15" fillId="0" borderId="1" xfId="0" applyNumberFormat="1" applyFont="1" applyFill="1" applyBorder="1"/>
    <xf numFmtId="166" fontId="15" fillId="0" borderId="1" xfId="0" applyNumberFormat="1" applyFont="1" applyFill="1" applyBorder="1" applyAlignment="1"/>
    <xf numFmtId="166" fontId="16" fillId="0" borderId="1" xfId="0" applyNumberFormat="1" applyFont="1" applyFill="1" applyBorder="1"/>
    <xf numFmtId="166" fontId="15" fillId="0" borderId="17" xfId="1" applyNumberFormat="1" applyFont="1" applyFill="1" applyBorder="1" applyAlignment="1">
      <alignment horizontal="right"/>
    </xf>
    <xf numFmtId="166" fontId="15" fillId="0" borderId="17" xfId="0" applyNumberFormat="1" applyFont="1" applyFill="1" applyBorder="1"/>
    <xf numFmtId="166" fontId="15" fillId="0" borderId="9" xfId="0" quotePrefix="1" applyNumberFormat="1" applyFont="1" applyFill="1" applyBorder="1" applyAlignment="1">
      <alignment horizontal="center"/>
    </xf>
    <xf numFmtId="166" fontId="16" fillId="0" borderId="9" xfId="1" applyNumberFormat="1" applyFont="1" applyFill="1" applyBorder="1" applyAlignment="1">
      <alignment horizontal="right"/>
    </xf>
    <xf numFmtId="166" fontId="16" fillId="0" borderId="18" xfId="0" applyNumberFormat="1" applyFont="1" applyFill="1" applyBorder="1" applyAlignment="1">
      <alignment horizontal="right"/>
    </xf>
    <xf numFmtId="0" fontId="17" fillId="0" borderId="0" xfId="0" applyFont="1" applyFill="1" applyBorder="1"/>
    <xf numFmtId="0" fontId="15" fillId="0" borderId="0" xfId="0" applyFont="1" applyFill="1"/>
    <xf numFmtId="0" fontId="16"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xf numFmtId="0" fontId="16" fillId="0" borderId="12" xfId="0" applyFont="1" applyFill="1" applyBorder="1"/>
    <xf numFmtId="0" fontId="15" fillId="0" borderId="2" xfId="0" applyFont="1" applyFill="1" applyBorder="1"/>
    <xf numFmtId="0" fontId="15" fillId="0" borderId="22" xfId="0" applyFont="1" applyFill="1" applyBorder="1"/>
    <xf numFmtId="0" fontId="15" fillId="0" borderId="7" xfId="0" applyFont="1" applyFill="1" applyBorder="1"/>
    <xf numFmtId="0" fontId="16" fillId="0" borderId="37" xfId="0" applyFont="1" applyFill="1" applyBorder="1"/>
    <xf numFmtId="0" fontId="15" fillId="0" borderId="1" xfId="0" applyFont="1" applyFill="1" applyBorder="1"/>
    <xf numFmtId="0" fontId="15" fillId="0" borderId="20" xfId="0" applyFont="1" applyFill="1" applyBorder="1"/>
    <xf numFmtId="0" fontId="15" fillId="0" borderId="38" xfId="0" applyFont="1" applyFill="1" applyBorder="1"/>
    <xf numFmtId="0" fontId="16" fillId="0" borderId="39" xfId="0" applyFont="1" applyFill="1" applyBorder="1" applyAlignment="1">
      <alignment horizontal="center"/>
    </xf>
    <xf numFmtId="0" fontId="16" fillId="0" borderId="41" xfId="0" applyFont="1" applyFill="1" applyBorder="1" applyAlignment="1">
      <alignment horizontal="center"/>
    </xf>
    <xf numFmtId="0" fontId="16" fillId="0" borderId="42" xfId="0" applyFont="1" applyFill="1" applyBorder="1" applyAlignment="1">
      <alignment horizontal="center" wrapText="1"/>
    </xf>
    <xf numFmtId="0" fontId="16" fillId="0" borderId="43" xfId="0" applyFont="1" applyFill="1" applyBorder="1" applyAlignment="1">
      <alignment horizontal="center" wrapText="1"/>
    </xf>
    <xf numFmtId="0" fontId="16" fillId="0" borderId="37" xfId="0" applyFont="1" applyFill="1" applyBorder="1" applyAlignment="1">
      <alignment wrapText="1"/>
    </xf>
    <xf numFmtId="6" fontId="15" fillId="0" borderId="0" xfId="0" applyNumberFormat="1" applyFont="1" applyFill="1" applyBorder="1"/>
    <xf numFmtId="6" fontId="15" fillId="0" borderId="20" xfId="0" applyNumberFormat="1" applyFont="1" applyFill="1" applyBorder="1"/>
    <xf numFmtId="6" fontId="16" fillId="0" borderId="22" xfId="0" applyNumberFormat="1" applyFont="1" applyFill="1" applyBorder="1" applyAlignment="1">
      <alignment horizontal="center" wrapText="1"/>
    </xf>
    <xf numFmtId="6" fontId="16" fillId="0" borderId="23" xfId="0" applyNumberFormat="1" applyFont="1" applyFill="1" applyBorder="1" applyAlignment="1">
      <alignment horizontal="center" wrapText="1"/>
    </xf>
    <xf numFmtId="6" fontId="15" fillId="0" borderId="23" xfId="0" applyNumberFormat="1" applyFont="1" applyFill="1" applyBorder="1"/>
    <xf numFmtId="0" fontId="15" fillId="0" borderId="44" xfId="0" applyFont="1" applyFill="1" applyBorder="1"/>
    <xf numFmtId="0" fontId="15" fillId="0" borderId="37" xfId="0" applyFont="1" applyFill="1" applyBorder="1" applyAlignment="1">
      <alignment horizontal="left" indent="1"/>
    </xf>
    <xf numFmtId="6" fontId="15" fillId="0" borderId="22" xfId="0" applyNumberFormat="1" applyFont="1" applyFill="1" applyBorder="1"/>
    <xf numFmtId="6" fontId="15" fillId="0" borderId="23" xfId="0" applyNumberFormat="1" applyFont="1" applyFill="1" applyBorder="1" applyAlignment="1">
      <alignment horizontal="right"/>
    </xf>
    <xf numFmtId="173" fontId="15" fillId="0" borderId="44" xfId="0" applyNumberFormat="1" applyFont="1" applyFill="1" applyBorder="1" applyAlignment="1">
      <alignment horizontal="right"/>
    </xf>
    <xf numFmtId="0" fontId="15" fillId="0" borderId="37" xfId="0" applyFont="1" applyFill="1" applyBorder="1" applyAlignment="1">
      <alignment horizontal="left" wrapText="1" indent="1"/>
    </xf>
    <xf numFmtId="6" fontId="15" fillId="0" borderId="0" xfId="0" applyNumberFormat="1" applyFont="1" applyFill="1" applyBorder="1" applyAlignment="1"/>
    <xf numFmtId="6" fontId="15" fillId="0" borderId="22" xfId="0" applyNumberFormat="1" applyFont="1" applyFill="1" applyBorder="1" applyAlignment="1"/>
    <xf numFmtId="6" fontId="15" fillId="0" borderId="23" xfId="0" applyNumberFormat="1" applyFont="1" applyFill="1" applyBorder="1" applyAlignment="1"/>
    <xf numFmtId="6" fontId="15" fillId="0" borderId="23" xfId="0" applyNumberFormat="1" applyFont="1" applyFill="1" applyBorder="1" applyAlignment="1">
      <alignment horizontal="right" vertical="top"/>
    </xf>
    <xf numFmtId="0" fontId="16" fillId="0" borderId="14" xfId="0" applyFont="1" applyFill="1" applyBorder="1"/>
    <xf numFmtId="6" fontId="15" fillId="0" borderId="17" xfId="0" applyNumberFormat="1" applyFont="1" applyFill="1" applyBorder="1"/>
    <xf numFmtId="6" fontId="15" fillId="0" borderId="11" xfId="0" applyNumberFormat="1" applyFont="1" applyFill="1" applyBorder="1"/>
    <xf numFmtId="173" fontId="15" fillId="0" borderId="45" xfId="0" applyNumberFormat="1" applyFont="1" applyFill="1" applyBorder="1" applyAlignment="1">
      <alignment horizontal="right"/>
    </xf>
    <xf numFmtId="0" fontId="15" fillId="0" borderId="37" xfId="0" applyFont="1" applyFill="1" applyBorder="1"/>
    <xf numFmtId="6" fontId="15" fillId="0" borderId="16" xfId="0" applyNumberFormat="1" applyFont="1" applyFill="1" applyBorder="1"/>
    <xf numFmtId="0" fontId="15" fillId="0" borderId="10" xfId="0" applyFont="1" applyFill="1" applyBorder="1"/>
    <xf numFmtId="173" fontId="15" fillId="0" borderId="7" xfId="0" applyNumberFormat="1" applyFont="1" applyFill="1" applyBorder="1" applyAlignment="1">
      <alignment horizontal="right"/>
    </xf>
    <xf numFmtId="173" fontId="15" fillId="0" borderId="13" xfId="0" applyNumberFormat="1" applyFont="1" applyFill="1" applyBorder="1" applyAlignment="1">
      <alignment horizontal="right"/>
    </xf>
    <xf numFmtId="6" fontId="15" fillId="0" borderId="9" xfId="0" applyNumberFormat="1" applyFont="1" applyFill="1" applyBorder="1"/>
    <xf numFmtId="6" fontId="15" fillId="0" borderId="44" xfId="0" applyNumberFormat="1" applyFont="1" applyFill="1" applyBorder="1"/>
    <xf numFmtId="6" fontId="15" fillId="0" borderId="19" xfId="0" applyNumberFormat="1" applyFont="1" applyFill="1" applyBorder="1"/>
    <xf numFmtId="6" fontId="15" fillId="0" borderId="23" xfId="0" applyNumberFormat="1" applyFont="1" applyFill="1" applyBorder="1" applyAlignment="1">
      <alignment horizontal="right" vertical="center"/>
    </xf>
    <xf numFmtId="6" fontId="15" fillId="0" borderId="0" xfId="0" applyNumberFormat="1" applyFont="1" applyFill="1" applyBorder="1" applyAlignment="1">
      <alignment horizontal="right" vertical="center"/>
    </xf>
    <xf numFmtId="0" fontId="15" fillId="0" borderId="37" xfId="0" applyFont="1" applyFill="1" applyBorder="1" applyAlignment="1">
      <alignment wrapText="1"/>
    </xf>
    <xf numFmtId="6" fontId="15" fillId="0" borderId="2" xfId="0" applyNumberFormat="1" applyFont="1" applyFill="1" applyBorder="1"/>
    <xf numFmtId="6" fontId="15" fillId="0" borderId="35" xfId="0" applyNumberFormat="1" applyFont="1" applyFill="1" applyBorder="1"/>
    <xf numFmtId="173" fontId="15" fillId="0" borderId="46" xfId="0" applyNumberFormat="1" applyFont="1" applyFill="1" applyBorder="1" applyAlignment="1">
      <alignment horizontal="right"/>
    </xf>
    <xf numFmtId="6" fontId="15" fillId="0" borderId="10" xfId="0" applyNumberFormat="1" applyFont="1" applyFill="1" applyBorder="1" applyAlignment="1">
      <alignment horizontal="right"/>
    </xf>
    <xf numFmtId="6" fontId="15" fillId="0" borderId="0" xfId="0" applyNumberFormat="1" applyFont="1" applyFill="1" applyBorder="1" applyAlignment="1">
      <alignment horizontal="right"/>
    </xf>
    <xf numFmtId="6" fontId="15" fillId="0" borderId="22" xfId="0" applyNumberFormat="1" applyFont="1" applyFill="1" applyBorder="1" applyAlignment="1">
      <alignment vertical="top"/>
    </xf>
    <xf numFmtId="6" fontId="15" fillId="0" borderId="23" xfId="0" applyNumberFormat="1" applyFont="1" applyFill="1" applyBorder="1" applyAlignment="1">
      <alignment vertical="top"/>
    </xf>
    <xf numFmtId="173" fontId="15" fillId="0" borderId="44" xfId="0" applyNumberFormat="1" applyFont="1" applyFill="1" applyBorder="1" applyAlignment="1">
      <alignment vertical="top"/>
    </xf>
    <xf numFmtId="173" fontId="15" fillId="0" borderId="44" xfId="0" applyNumberFormat="1" applyFont="1" applyFill="1" applyBorder="1"/>
    <xf numFmtId="173" fontId="15" fillId="0" borderId="13" xfId="0" applyNumberFormat="1" applyFont="1" applyFill="1" applyBorder="1" applyAlignment="1">
      <alignment vertical="top"/>
    </xf>
    <xf numFmtId="173" fontId="15" fillId="0" borderId="13" xfId="0" applyNumberFormat="1" applyFont="1" applyFill="1" applyBorder="1"/>
    <xf numFmtId="6" fontId="15" fillId="0" borderId="44" xfId="0" applyNumberFormat="1" applyFont="1" applyFill="1" applyBorder="1" applyAlignment="1">
      <alignment horizontal="right"/>
    </xf>
    <xf numFmtId="173" fontId="15" fillId="0" borderId="15" xfId="0" applyNumberFormat="1" applyFont="1" applyFill="1" applyBorder="1"/>
    <xf numFmtId="6" fontId="15" fillId="0" borderId="22" xfId="0" applyNumberFormat="1" applyFont="1" applyFill="1" applyBorder="1" applyAlignment="1">
      <alignment horizontal="right"/>
    </xf>
    <xf numFmtId="8" fontId="5" fillId="0" borderId="0" xfId="0" applyNumberFormat="1" applyFont="1" applyFill="1"/>
    <xf numFmtId="0" fontId="16" fillId="0" borderId="8" xfId="0" applyFont="1" applyFill="1" applyBorder="1"/>
    <xf numFmtId="0" fontId="15" fillId="0" borderId="14" xfId="0" applyFont="1" applyFill="1" applyBorder="1" applyAlignment="1">
      <alignment horizontal="left" indent="1"/>
    </xf>
    <xf numFmtId="0" fontId="16" fillId="0" borderId="47" xfId="0" applyFont="1" applyFill="1" applyBorder="1" applyAlignment="1">
      <alignment wrapText="1"/>
    </xf>
    <xf numFmtId="6" fontId="15" fillId="0" borderId="49" xfId="0" applyNumberFormat="1" applyFont="1" applyFill="1" applyBorder="1"/>
    <xf numFmtId="0" fontId="16" fillId="0" borderId="51" xfId="0" applyFont="1" applyFill="1" applyBorder="1" applyAlignment="1">
      <alignment wrapText="1"/>
    </xf>
    <xf numFmtId="0" fontId="16" fillId="0" borderId="0" xfId="0" applyFont="1" applyFill="1" applyBorder="1" applyAlignment="1">
      <alignment wrapText="1"/>
    </xf>
    <xf numFmtId="172" fontId="5" fillId="0" borderId="0" xfId="0" applyNumberFormat="1" applyFont="1" applyFill="1" applyBorder="1"/>
    <xf numFmtId="0" fontId="17" fillId="0" borderId="0" xfId="0" applyFont="1" applyFill="1"/>
    <xf numFmtId="0" fontId="11" fillId="0" borderId="0" xfId="0" applyFont="1" applyFill="1"/>
    <xf numFmtId="0" fontId="11" fillId="0" borderId="0" xfId="0" applyFont="1" applyFill="1" applyBorder="1" applyAlignment="1">
      <alignment horizontal="left" wrapText="1"/>
    </xf>
    <xf numFmtId="174" fontId="11" fillId="0" borderId="0" xfId="0" applyNumberFormat="1" applyFont="1" applyFill="1" applyBorder="1" applyAlignment="1">
      <alignment horizontal="right"/>
    </xf>
    <xf numFmtId="0" fontId="11" fillId="0" borderId="0" xfId="0" applyFont="1" applyFill="1" applyBorder="1" applyAlignment="1">
      <alignment horizontal="left"/>
    </xf>
    <xf numFmtId="167" fontId="11" fillId="0" borderId="0" xfId="0" applyNumberFormat="1" applyFont="1" applyFill="1" applyBorder="1" applyAlignment="1"/>
    <xf numFmtId="0" fontId="11" fillId="0" borderId="0" xfId="0" applyFont="1" applyFill="1" applyBorder="1" applyAlignment="1">
      <alignment horizontal="right"/>
    </xf>
    <xf numFmtId="0" fontId="18" fillId="0" borderId="40" xfId="0" applyFont="1" applyFill="1" applyBorder="1" applyAlignment="1">
      <alignment horizontal="center" vertical="center" wrapText="1"/>
    </xf>
    <xf numFmtId="174" fontId="18" fillId="0" borderId="42" xfId="0" applyNumberFormat="1" applyFont="1" applyFill="1" applyBorder="1" applyAlignment="1">
      <alignment horizontal="center" vertical="center" wrapText="1"/>
    </xf>
    <xf numFmtId="0" fontId="18" fillId="0" borderId="42" xfId="0" applyFont="1" applyFill="1" applyBorder="1" applyAlignment="1">
      <alignment horizontal="center" vertical="center" wrapText="1"/>
    </xf>
    <xf numFmtId="167" fontId="18" fillId="0" borderId="42" xfId="0" applyNumberFormat="1" applyFont="1" applyFill="1" applyBorder="1" applyAlignment="1">
      <alignment horizontal="center" vertical="center" wrapText="1"/>
    </xf>
    <xf numFmtId="0" fontId="18" fillId="0" borderId="42" xfId="0" applyFont="1" applyFill="1" applyBorder="1" applyAlignment="1">
      <alignment horizontal="right" vertical="center" wrapText="1"/>
    </xf>
    <xf numFmtId="0" fontId="11" fillId="0" borderId="0" xfId="0" applyFont="1" applyFill="1" applyBorder="1" applyAlignment="1">
      <alignment horizontal="center"/>
    </xf>
    <xf numFmtId="0" fontId="11" fillId="0" borderId="0" xfId="0" applyNumberFormat="1" applyFont="1" applyFill="1" applyBorder="1" applyAlignment="1">
      <alignment horizontal="right"/>
    </xf>
    <xf numFmtId="0" fontId="11" fillId="0" borderId="0" xfId="0" applyNumberFormat="1" applyFont="1" applyFill="1" applyBorder="1" applyAlignment="1">
      <alignment horizontal="left"/>
    </xf>
    <xf numFmtId="0" fontId="20" fillId="0" borderId="0" xfId="0" applyFont="1" applyFill="1" applyBorder="1"/>
    <xf numFmtId="0" fontId="11" fillId="0" borderId="9" xfId="0" applyFont="1" applyFill="1" applyBorder="1" applyAlignment="1">
      <alignment horizontal="left" indent="1"/>
    </xf>
    <xf numFmtId="0" fontId="11" fillId="0" borderId="9" xfId="0" applyFont="1" applyFill="1" applyBorder="1" applyAlignment="1">
      <alignment horizontal="left"/>
    </xf>
    <xf numFmtId="174" fontId="11" fillId="0" borderId="9" xfId="0" applyNumberFormat="1" applyFont="1" applyFill="1" applyBorder="1" applyAlignment="1" applyProtection="1">
      <alignment horizontal="right"/>
    </xf>
    <xf numFmtId="167" fontId="11" fillId="0" borderId="9" xfId="0" applyNumberFormat="1" applyFont="1" applyFill="1" applyBorder="1" applyAlignment="1"/>
    <xf numFmtId="175" fontId="11" fillId="0" borderId="9" xfId="0" applyNumberFormat="1" applyFont="1" applyFill="1" applyBorder="1" applyAlignment="1">
      <alignment horizontal="right"/>
    </xf>
    <xf numFmtId="175" fontId="11" fillId="0" borderId="9" xfId="0" applyNumberFormat="1" applyFont="1" applyFill="1" applyBorder="1" applyAlignment="1">
      <alignment horizontal="left"/>
    </xf>
    <xf numFmtId="167" fontId="11" fillId="0" borderId="9" xfId="0" applyNumberFormat="1" applyFont="1" applyFill="1" applyBorder="1" applyAlignment="1">
      <alignment horizontal="left"/>
    </xf>
    <xf numFmtId="0" fontId="11" fillId="0" borderId="0" xfId="0" applyFont="1" applyFill="1" applyBorder="1"/>
    <xf numFmtId="0" fontId="11" fillId="0" borderId="9" xfId="0" applyFont="1" applyFill="1" applyBorder="1" applyAlignment="1">
      <alignment horizontal="left" wrapText="1" indent="1"/>
    </xf>
    <xf numFmtId="2" fontId="11" fillId="0" borderId="0" xfId="0" applyNumberFormat="1" applyFont="1" applyFill="1" applyBorder="1"/>
    <xf numFmtId="0" fontId="11" fillId="0" borderId="0" xfId="0" applyFont="1" applyFill="1" applyBorder="1" applyAlignment="1">
      <alignment horizontal="right" wrapText="1"/>
    </xf>
    <xf numFmtId="0" fontId="11" fillId="0" borderId="0" xfId="0" applyFont="1" applyFill="1" applyBorder="1" applyAlignment="1">
      <alignment horizontal="left" indent="3"/>
    </xf>
    <xf numFmtId="167" fontId="11" fillId="0" borderId="0" xfId="0" applyNumberFormat="1" applyFont="1" applyFill="1" applyBorder="1" applyAlignment="1">
      <alignment horizontal="center"/>
    </xf>
    <xf numFmtId="0" fontId="6" fillId="0" borderId="39" xfId="0" applyFont="1" applyFill="1" applyBorder="1"/>
    <xf numFmtId="0" fontId="6" fillId="0" borderId="12" xfId="0" applyFont="1" applyFill="1" applyBorder="1" applyAlignment="1">
      <alignment horizontal="center"/>
    </xf>
    <xf numFmtId="0" fontId="6" fillId="0" borderId="2" xfId="0" applyFont="1" applyFill="1" applyBorder="1" applyAlignment="1">
      <alignment horizontal="center"/>
    </xf>
    <xf numFmtId="0" fontId="6" fillId="0" borderId="46" xfId="0" applyFont="1" applyFill="1" applyBorder="1" applyAlignment="1">
      <alignment horizontal="center" wrapText="1"/>
    </xf>
    <xf numFmtId="0" fontId="6" fillId="0" borderId="37" xfId="0" applyFont="1" applyFill="1" applyBorder="1"/>
    <xf numFmtId="6" fontId="5" fillId="0" borderId="0" xfId="0" applyNumberFormat="1" applyFont="1" applyFill="1" applyBorder="1"/>
    <xf numFmtId="6" fontId="5" fillId="0" borderId="44" xfId="0" applyNumberFormat="1" applyFont="1" applyFill="1" applyBorder="1"/>
    <xf numFmtId="0" fontId="5" fillId="0" borderId="0" xfId="0" applyFont="1" applyFill="1"/>
    <xf numFmtId="0" fontId="5" fillId="0" borderId="37" xfId="0" applyFont="1" applyFill="1" applyBorder="1" applyAlignment="1">
      <alignment horizontal="left" indent="1"/>
    </xf>
    <xf numFmtId="3" fontId="5" fillId="0" borderId="0" xfId="0" applyNumberFormat="1" applyFont="1" applyFill="1" applyBorder="1"/>
    <xf numFmtId="3" fontId="5" fillId="0" borderId="0" xfId="0" applyNumberFormat="1" applyFont="1" applyFill="1"/>
    <xf numFmtId="6" fontId="5" fillId="0" borderId="0" xfId="0" applyNumberFormat="1" applyFont="1" applyFill="1" applyBorder="1" applyAlignment="1">
      <alignment vertical="top"/>
    </xf>
    <xf numFmtId="0" fontId="15" fillId="0" borderId="12" xfId="0" applyFont="1" applyFill="1" applyBorder="1" applyAlignment="1">
      <alignment horizontal="left" wrapText="1" indent="1"/>
    </xf>
    <xf numFmtId="0" fontId="6" fillId="0" borderId="55" xfId="0" applyFont="1" applyFill="1" applyBorder="1"/>
    <xf numFmtId="0" fontId="6" fillId="0" borderId="58" xfId="0" applyFont="1" applyFill="1" applyBorder="1"/>
    <xf numFmtId="0" fontId="23" fillId="0" borderId="0" xfId="0" applyFont="1" applyFill="1" applyBorder="1" applyAlignment="1">
      <alignment horizontal="left"/>
    </xf>
    <xf numFmtId="3" fontId="5" fillId="0" borderId="1" xfId="0" applyNumberFormat="1" applyFont="1" applyFill="1" applyBorder="1" applyAlignment="1" applyProtection="1"/>
    <xf numFmtId="3" fontId="6" fillId="0" borderId="60" xfId="0" applyNumberFormat="1" applyFont="1" applyFill="1" applyBorder="1" applyAlignment="1" applyProtection="1">
      <alignment wrapText="1"/>
    </xf>
    <xf numFmtId="3" fontId="6" fillId="0" borderId="30" xfId="0" applyNumberFormat="1" applyFont="1" applyFill="1" applyBorder="1" applyAlignment="1" applyProtection="1">
      <alignment wrapText="1"/>
    </xf>
    <xf numFmtId="0" fontId="6" fillId="0" borderId="2" xfId="0" applyFont="1" applyFill="1" applyBorder="1" applyAlignment="1" applyProtection="1">
      <alignment wrapText="1"/>
    </xf>
    <xf numFmtId="168" fontId="6" fillId="0" borderId="30" xfId="0" applyNumberFormat="1" applyFont="1" applyFill="1" applyBorder="1" applyAlignment="1" applyProtection="1">
      <alignment wrapText="1"/>
    </xf>
    <xf numFmtId="168" fontId="6" fillId="0" borderId="31" xfId="0" applyNumberFormat="1" applyFont="1" applyFill="1" applyBorder="1" applyAlignment="1" applyProtection="1"/>
    <xf numFmtId="172" fontId="16" fillId="0" borderId="40" xfId="0" applyNumberFormat="1" applyFont="1" applyFill="1" applyBorder="1" applyAlignment="1">
      <alignment horizontal="center" wrapText="1"/>
    </xf>
    <xf numFmtId="0" fontId="5" fillId="0" borderId="0" xfId="0" applyFont="1"/>
    <xf numFmtId="172" fontId="5" fillId="0" borderId="0" xfId="0" applyNumberFormat="1" applyFont="1" applyFill="1"/>
    <xf numFmtId="6" fontId="15" fillId="0" borderId="18" xfId="0" applyNumberFormat="1" applyFont="1" applyFill="1" applyBorder="1"/>
    <xf numFmtId="172" fontId="5" fillId="0" borderId="51" xfId="0" applyNumberFormat="1" applyFont="1" applyFill="1" applyBorder="1"/>
    <xf numFmtId="172" fontId="5" fillId="0" borderId="50" xfId="0" applyNumberFormat="1" applyFont="1" applyFill="1" applyBorder="1"/>
    <xf numFmtId="0" fontId="16" fillId="0" borderId="37" xfId="0" applyFont="1" applyFill="1" applyBorder="1" applyAlignment="1">
      <alignment horizontal="left" vertical="top" wrapText="1"/>
    </xf>
    <xf numFmtId="0" fontId="6" fillId="0" borderId="9" xfId="0" applyFont="1" applyFill="1" applyBorder="1" applyAlignment="1">
      <alignment horizontal="center"/>
    </xf>
    <xf numFmtId="0" fontId="6" fillId="0" borderId="11" xfId="0" applyFont="1" applyFill="1" applyBorder="1" applyAlignment="1">
      <alignment horizontal="center"/>
    </xf>
    <xf numFmtId="0" fontId="5" fillId="0" borderId="1" xfId="0" applyFont="1" applyBorder="1"/>
    <xf numFmtId="0" fontId="5" fillId="0" borderId="0" xfId="0" applyFont="1" applyBorder="1"/>
    <xf numFmtId="0" fontId="3" fillId="0" borderId="0" xfId="0" applyFont="1" applyBorder="1" applyAlignment="1">
      <alignment horizontal="right"/>
    </xf>
    <xf numFmtId="0" fontId="5" fillId="0" borderId="0" xfId="0" applyFont="1" applyFill="1" applyBorder="1"/>
    <xf numFmtId="0" fontId="5" fillId="0" borderId="41" xfId="0" applyFont="1" applyFill="1" applyBorder="1"/>
    <xf numFmtId="0" fontId="5" fillId="0" borderId="54" xfId="0" applyFont="1" applyFill="1" applyBorder="1"/>
    <xf numFmtId="0" fontId="5" fillId="0" borderId="2" xfId="0" applyFont="1" applyFill="1" applyBorder="1"/>
    <xf numFmtId="0" fontId="5" fillId="0" borderId="46" xfId="0" applyFont="1" applyFill="1" applyBorder="1"/>
    <xf numFmtId="0" fontId="5" fillId="0" borderId="10" xfId="0" applyFont="1" applyFill="1" applyBorder="1"/>
    <xf numFmtId="0" fontId="5" fillId="0" borderId="37" xfId="0" applyFont="1" applyFill="1" applyBorder="1"/>
    <xf numFmtId="176" fontId="5" fillId="0" borderId="0" xfId="0" applyNumberFormat="1" applyFont="1" applyFill="1"/>
    <xf numFmtId="6" fontId="5" fillId="0" borderId="44" xfId="0" applyNumberFormat="1" applyFont="1" applyFill="1" applyBorder="1" applyAlignment="1">
      <alignment vertical="top"/>
    </xf>
    <xf numFmtId="6" fontId="5" fillId="0" borderId="0" xfId="0" applyNumberFormat="1" applyFont="1" applyFill="1"/>
    <xf numFmtId="6" fontId="5" fillId="0" borderId="17" xfId="0" applyNumberFormat="1" applyFont="1" applyFill="1" applyBorder="1" applyAlignment="1">
      <alignment horizontal="right"/>
    </xf>
    <xf numFmtId="176" fontId="5" fillId="0" borderId="0" xfId="0" applyNumberFormat="1" applyFont="1" applyFill="1" applyBorder="1"/>
    <xf numFmtId="176" fontId="5" fillId="0" borderId="7" xfId="0" applyNumberFormat="1" applyFont="1" applyFill="1" applyBorder="1"/>
    <xf numFmtId="176" fontId="5" fillId="0" borderId="56" xfId="0" applyNumberFormat="1" applyFont="1" applyFill="1" applyBorder="1"/>
    <xf numFmtId="176" fontId="5" fillId="0" borderId="57" xfId="0" applyNumberFormat="1" applyFont="1" applyFill="1" applyBorder="1"/>
    <xf numFmtId="6" fontId="5" fillId="0" borderId="49" xfId="0" applyNumberFormat="1" applyFont="1" applyFill="1" applyBorder="1"/>
    <xf numFmtId="6" fontId="5" fillId="0" borderId="49" xfId="0" applyNumberFormat="1" applyFont="1" applyFill="1" applyBorder="1" applyAlignment="1">
      <alignment horizontal="right"/>
    </xf>
    <xf numFmtId="6" fontId="5" fillId="0" borderId="53" xfId="0" applyNumberFormat="1" applyFont="1" applyFill="1" applyBorder="1"/>
    <xf numFmtId="172" fontId="5" fillId="0" borderId="0" xfId="0" applyNumberFormat="1" applyFont="1" applyFill="1" applyBorder="1" applyAlignment="1">
      <alignment vertical="center"/>
    </xf>
    <xf numFmtId="172" fontId="5" fillId="0" borderId="35" xfId="0" applyNumberFormat="1" applyFont="1" applyFill="1" applyBorder="1"/>
    <xf numFmtId="172" fontId="5" fillId="0" borderId="16" xfId="0" applyNumberFormat="1" applyFont="1" applyFill="1" applyBorder="1"/>
    <xf numFmtId="0" fontId="16" fillId="0" borderId="0" xfId="0" applyFont="1" applyFill="1"/>
    <xf numFmtId="0" fontId="16" fillId="0" borderId="9" xfId="0" applyFont="1" applyFill="1" applyBorder="1" applyAlignment="1">
      <alignment horizontal="center" wrapText="1"/>
    </xf>
    <xf numFmtId="167" fontId="15" fillId="0" borderId="9" xfId="1" applyNumberFormat="1" applyFont="1" applyFill="1" applyBorder="1" applyAlignment="1">
      <alignment horizontal="right"/>
    </xf>
    <xf numFmtId="167" fontId="15" fillId="0" borderId="9" xfId="0" quotePrefix="1" applyNumberFormat="1" applyFont="1" applyFill="1" applyBorder="1" applyAlignment="1">
      <alignment horizontal="right"/>
    </xf>
    <xf numFmtId="167" fontId="16" fillId="0" borderId="9" xfId="1" applyNumberFormat="1" applyFont="1" applyFill="1" applyBorder="1" applyAlignment="1">
      <alignment horizontal="right" wrapText="1"/>
    </xf>
    <xf numFmtId="0" fontId="15" fillId="0" borderId="9" xfId="0" applyFont="1" applyFill="1" applyBorder="1"/>
    <xf numFmtId="166" fontId="15" fillId="0" borderId="9" xfId="1" applyNumberFormat="1" applyFont="1" applyFill="1" applyBorder="1" applyAlignment="1">
      <alignment horizontal="right" wrapText="1"/>
    </xf>
    <xf numFmtId="0" fontId="16" fillId="0" borderId="9" xfId="0" applyFont="1" applyFill="1" applyBorder="1"/>
    <xf numFmtId="167" fontId="16" fillId="0" borderId="18" xfId="0" applyNumberFormat="1" applyFont="1" applyFill="1" applyBorder="1"/>
    <xf numFmtId="0" fontId="16" fillId="0" borderId="18" xfId="0" applyFont="1" applyFill="1" applyBorder="1"/>
    <xf numFmtId="38" fontId="15" fillId="0" borderId="9" xfId="0" applyNumberFormat="1" applyFont="1" applyFill="1" applyBorder="1"/>
    <xf numFmtId="165" fontId="16" fillId="0" borderId="9" xfId="0" applyNumberFormat="1" applyFont="1" applyFill="1" applyBorder="1" applyAlignment="1"/>
    <xf numFmtId="0" fontId="16" fillId="0" borderId="18" xfId="0" applyFont="1" applyFill="1" applyBorder="1" applyAlignment="1">
      <alignment horizontal="center"/>
    </xf>
    <xf numFmtId="167" fontId="15" fillId="0" borderId="18" xfId="0" applyNumberFormat="1" applyFont="1" applyFill="1" applyBorder="1" applyAlignment="1">
      <alignment horizontal="right"/>
    </xf>
    <xf numFmtId="167" fontId="16" fillId="0" borderId="9" xfId="0" applyNumberFormat="1" applyFont="1" applyFill="1" applyBorder="1"/>
    <xf numFmtId="0" fontId="16" fillId="0" borderId="21" xfId="0" applyFont="1" applyFill="1" applyBorder="1"/>
    <xf numFmtId="0" fontId="16" fillId="0" borderId="1" xfId="0" applyFont="1" applyFill="1" applyBorder="1"/>
    <xf numFmtId="38" fontId="15" fillId="0" borderId="1" xfId="0" applyNumberFormat="1" applyFont="1" applyFill="1" applyBorder="1"/>
    <xf numFmtId="165" fontId="16" fillId="0" borderId="1" xfId="0" applyNumberFormat="1" applyFont="1" applyFill="1" applyBorder="1" applyAlignment="1"/>
    <xf numFmtId="166" fontId="16" fillId="0" borderId="20" xfId="0" applyNumberFormat="1" applyFont="1" applyFill="1" applyBorder="1"/>
    <xf numFmtId="0" fontId="15" fillId="0" borderId="18" xfId="0" applyFont="1" applyFill="1" applyBorder="1"/>
    <xf numFmtId="170" fontId="15" fillId="0" borderId="17" xfId="1" applyNumberFormat="1" applyFont="1" applyFill="1" applyBorder="1" applyAlignment="1">
      <alignment horizontal="right"/>
    </xf>
    <xf numFmtId="171" fontId="16" fillId="0" borderId="17" xfId="1" applyNumberFormat="1" applyFont="1" applyFill="1" applyBorder="1" applyAlignment="1">
      <alignment horizontal="right"/>
    </xf>
    <xf numFmtId="0" fontId="15" fillId="0" borderId="17" xfId="0" applyFont="1" applyFill="1" applyBorder="1"/>
    <xf numFmtId="166" fontId="15" fillId="0" borderId="11" xfId="0" applyNumberFormat="1" applyFont="1" applyFill="1" applyBorder="1"/>
    <xf numFmtId="0" fontId="15" fillId="0" borderId="9" xfId="0" applyFont="1" applyFill="1" applyBorder="1" applyAlignment="1">
      <alignment wrapText="1" shrinkToFit="1"/>
    </xf>
    <xf numFmtId="167" fontId="15" fillId="0" borderId="9" xfId="0" quotePrefix="1" applyNumberFormat="1" applyFont="1" applyFill="1" applyBorder="1" applyAlignment="1">
      <alignment horizontal="center"/>
    </xf>
    <xf numFmtId="167" fontId="16" fillId="0" borderId="9" xfId="1" applyNumberFormat="1" applyFont="1" applyFill="1" applyBorder="1" applyAlignment="1">
      <alignment horizontal="right"/>
    </xf>
    <xf numFmtId="170" fontId="15" fillId="0" borderId="9" xfId="1" applyNumberFormat="1" applyFont="1" applyFill="1" applyBorder="1" applyAlignment="1">
      <alignment horizontal="right"/>
    </xf>
    <xf numFmtId="171" fontId="16" fillId="0" borderId="9" xfId="1" applyNumberFormat="1" applyFont="1" applyFill="1" applyBorder="1" applyAlignment="1">
      <alignment horizontal="right"/>
    </xf>
    <xf numFmtId="167" fontId="16" fillId="0" borderId="18" xfId="0" applyNumberFormat="1" applyFont="1" applyFill="1" applyBorder="1" applyAlignment="1">
      <alignment horizontal="right"/>
    </xf>
    <xf numFmtId="167" fontId="16" fillId="0" borderId="9" xfId="0" applyNumberFormat="1" applyFont="1" applyFill="1" applyBorder="1" applyAlignment="1">
      <alignment horizontal="right"/>
    </xf>
    <xf numFmtId="0" fontId="16" fillId="0" borderId="0" xfId="0" applyFont="1" applyFill="1" applyBorder="1"/>
    <xf numFmtId="38" fontId="15" fillId="0" borderId="0" xfId="0" applyNumberFormat="1" applyFont="1" applyFill="1" applyBorder="1" applyAlignment="1"/>
    <xf numFmtId="165" fontId="15" fillId="0" borderId="0" xfId="0" applyNumberFormat="1" applyFont="1" applyFill="1" applyBorder="1" applyAlignment="1"/>
    <xf numFmtId="167" fontId="15" fillId="0" borderId="9" xfId="0" applyNumberFormat="1" applyFont="1" applyFill="1" applyBorder="1" applyAlignment="1">
      <alignment wrapText="1"/>
    </xf>
    <xf numFmtId="167" fontId="16" fillId="0" borderId="9" xfId="0" applyNumberFormat="1" applyFont="1" applyFill="1" applyBorder="1" applyAlignment="1">
      <alignment wrapText="1"/>
    </xf>
    <xf numFmtId="166" fontId="16" fillId="0" borderId="1" xfId="0" applyNumberFormat="1" applyFont="1" applyFill="1" applyBorder="1" applyAlignment="1"/>
    <xf numFmtId="166" fontId="15" fillId="0" borderId="18" xfId="0" applyNumberFormat="1" applyFont="1" applyFill="1" applyBorder="1"/>
    <xf numFmtId="166" fontId="16" fillId="0" borderId="17" xfId="1" applyNumberFormat="1" applyFont="1" applyFill="1" applyBorder="1" applyAlignment="1">
      <alignment horizontal="right"/>
    </xf>
    <xf numFmtId="166" fontId="15" fillId="0" borderId="9" xfId="0" quotePrefix="1" applyNumberFormat="1" applyFont="1" applyFill="1" applyBorder="1" applyAlignment="1">
      <alignment horizontal="right"/>
    </xf>
    <xf numFmtId="166" fontId="16" fillId="0" borderId="9" xfId="0" applyNumberFormat="1" applyFont="1" applyFill="1" applyBorder="1" applyAlignment="1">
      <alignment horizontal="right"/>
    </xf>
    <xf numFmtId="0" fontId="24" fillId="0" borderId="0" xfId="0" applyFont="1" applyFill="1"/>
    <xf numFmtId="167" fontId="16" fillId="0" borderId="0" xfId="0" applyNumberFormat="1" applyFont="1" applyFill="1" applyBorder="1" applyAlignment="1">
      <alignment horizontal="right"/>
    </xf>
    <xf numFmtId="167" fontId="16" fillId="0" borderId="0" xfId="0" applyNumberFormat="1" applyFont="1" applyFill="1" applyBorder="1" applyAlignment="1">
      <alignment horizontal="center"/>
    </xf>
    <xf numFmtId="0" fontId="24" fillId="0" borderId="0" xfId="0" applyFont="1" applyFill="1" applyBorder="1"/>
    <xf numFmtId="38" fontId="17" fillId="0" borderId="0" xfId="0" applyNumberFormat="1" applyFont="1" applyFill="1" applyBorder="1" applyAlignment="1"/>
    <xf numFmtId="165" fontId="17" fillId="0" borderId="0" xfId="0" applyNumberFormat="1" applyFont="1" applyFill="1" applyBorder="1" applyAlignment="1"/>
    <xf numFmtId="0" fontId="15" fillId="0" borderId="0" xfId="0" applyFont="1" applyFill="1" applyAlignment="1">
      <alignment horizontal="left" indent="1"/>
    </xf>
    <xf numFmtId="0" fontId="5" fillId="0" borderId="4" xfId="0" applyFont="1" applyFill="1" applyBorder="1"/>
    <xf numFmtId="0" fontId="5" fillId="0" borderId="5" xfId="0" applyFont="1" applyFill="1" applyBorder="1"/>
    <xf numFmtId="0" fontId="5" fillId="0" borderId="7" xfId="0" applyFont="1" applyFill="1" applyBorder="1"/>
    <xf numFmtId="0" fontId="5" fillId="0" borderId="0" xfId="0" applyFont="1" applyFill="1" applyAlignment="1">
      <alignment wrapText="1"/>
    </xf>
    <xf numFmtId="0" fontId="5" fillId="0" borderId="0" xfId="0" applyFont="1" applyFill="1" applyAlignment="1" applyProtection="1">
      <alignment vertical="top"/>
    </xf>
    <xf numFmtId="0" fontId="5" fillId="0" borderId="0" xfId="0" applyFont="1" applyFill="1" applyAlignment="1" applyProtection="1">
      <alignment horizontal="right" vertical="top"/>
    </xf>
    <xf numFmtId="177" fontId="5" fillId="0" borderId="0" xfId="0" applyNumberFormat="1" applyFont="1" applyFill="1"/>
    <xf numFmtId="6" fontId="5" fillId="0" borderId="44" xfId="0" applyNumberFormat="1" applyFont="1" applyFill="1" applyBorder="1" applyAlignment="1"/>
    <xf numFmtId="168" fontId="5" fillId="0" borderId="32" xfId="0" applyNumberFormat="1" applyFont="1" applyFill="1" applyBorder="1" applyAlignment="1" applyProtection="1"/>
    <xf numFmtId="168" fontId="5" fillId="0" borderId="31" xfId="0" applyNumberFormat="1" applyFont="1" applyFill="1" applyBorder="1" applyAlignment="1" applyProtection="1"/>
    <xf numFmtId="168" fontId="5" fillId="0" borderId="32" xfId="0" applyNumberFormat="1" applyFont="1" applyFill="1" applyBorder="1" applyAlignment="1" applyProtection="1">
      <alignment horizontal="center"/>
    </xf>
    <xf numFmtId="168" fontId="5" fillId="0" borderId="31" xfId="0" applyNumberFormat="1" applyFont="1" applyFill="1" applyBorder="1" applyAlignment="1" applyProtection="1">
      <alignment horizontal="center"/>
    </xf>
    <xf numFmtId="168" fontId="5" fillId="0" borderId="32" xfId="0" applyNumberFormat="1" applyFont="1" applyFill="1" applyBorder="1" applyAlignment="1" applyProtection="1">
      <alignment horizontal="right"/>
    </xf>
    <xf numFmtId="6" fontId="43" fillId="0" borderId="0" xfId="0" applyNumberFormat="1" applyFont="1" applyFill="1" applyBorder="1"/>
    <xf numFmtId="0" fontId="44" fillId="0" borderId="0" xfId="0" applyFont="1" applyFill="1"/>
    <xf numFmtId="6" fontId="15" fillId="0" borderId="24" xfId="0" applyNumberFormat="1" applyFont="1" applyFill="1" applyBorder="1"/>
    <xf numFmtId="0" fontId="16" fillId="0" borderId="37" xfId="0" applyFont="1" applyFill="1" applyBorder="1" applyAlignment="1"/>
    <xf numFmtId="6" fontId="15" fillId="0" borderId="48" xfId="0" applyNumberFormat="1" applyFont="1" applyFill="1" applyBorder="1"/>
    <xf numFmtId="173" fontId="15" fillId="0" borderId="10" xfId="0" applyNumberFormat="1" applyFont="1" applyFill="1" applyBorder="1" applyAlignment="1">
      <alignment horizontal="center"/>
    </xf>
    <xf numFmtId="173" fontId="15" fillId="0" borderId="59" xfId="0" applyNumberFormat="1" applyFont="1" applyFill="1" applyBorder="1"/>
    <xf numFmtId="0" fontId="6" fillId="0" borderId="11" xfId="0" applyFont="1" applyFill="1" applyBorder="1" applyAlignment="1" applyProtection="1">
      <alignment horizontal="center"/>
    </xf>
    <xf numFmtId="168" fontId="6" fillId="0" borderId="31" xfId="0" applyNumberFormat="1" applyFont="1" applyFill="1" applyBorder="1" applyAlignment="1" applyProtection="1">
      <alignment horizontal="center"/>
    </xf>
    <xf numFmtId="168" fontId="6" fillId="0" borderId="30" xfId="0" applyNumberFormat="1" applyFont="1" applyFill="1" applyBorder="1" applyAlignment="1" applyProtection="1"/>
    <xf numFmtId="3" fontId="5" fillId="0" borderId="24" xfId="0" applyNumberFormat="1" applyFont="1" applyFill="1" applyBorder="1" applyAlignment="1">
      <alignment vertical="center"/>
    </xf>
    <xf numFmtId="0" fontId="6" fillId="0" borderId="17" xfId="0" applyFont="1" applyFill="1" applyBorder="1" applyAlignment="1" applyProtection="1"/>
    <xf numFmtId="168" fontId="5" fillId="0" borderId="66" xfId="0" applyNumberFormat="1" applyFont="1" applyFill="1" applyBorder="1" applyAlignment="1" applyProtection="1"/>
    <xf numFmtId="0" fontId="15" fillId="0" borderId="0" xfId="122" quotePrefix="1" applyNumberFormat="1" applyFont="1" applyFill="1" applyBorder="1" applyProtection="1">
      <alignment horizontal="left" vertical="center" indent="1"/>
      <protection locked="0"/>
    </xf>
    <xf numFmtId="6" fontId="5" fillId="0" borderId="0" xfId="0" applyNumberFormat="1" applyFont="1" applyFill="1" applyBorder="1" applyAlignment="1"/>
    <xf numFmtId="167" fontId="15" fillId="0" borderId="0" xfId="0" applyNumberFormat="1" applyFont="1" applyFill="1"/>
    <xf numFmtId="2" fontId="7" fillId="45" borderId="9" xfId="0" applyNumberFormat="1" applyFont="1" applyFill="1" applyBorder="1" applyAlignment="1">
      <alignment horizontal="right" vertical="top"/>
    </xf>
    <xf numFmtId="0" fontId="0" fillId="0" borderId="9" xfId="0" applyFill="1" applyBorder="1" applyAlignment="1">
      <alignment vertical="top" wrapText="1"/>
    </xf>
    <xf numFmtId="168" fontId="5" fillId="0" borderId="66" xfId="0" applyNumberFormat="1" applyFont="1" applyFill="1" applyBorder="1" applyAlignment="1" applyProtection="1">
      <alignment horizontal="right"/>
    </xf>
    <xf numFmtId="0" fontId="6" fillId="0" borderId="21" xfId="0" applyFont="1" applyFill="1" applyBorder="1"/>
    <xf numFmtId="0" fontId="5" fillId="0" borderId="1" xfId="0" applyFont="1" applyFill="1" applyBorder="1"/>
    <xf numFmtId="0" fontId="5" fillId="0" borderId="20" xfId="0" applyFont="1" applyFill="1" applyBorder="1"/>
    <xf numFmtId="0" fontId="6" fillId="0" borderId="19" xfId="0" applyFont="1" applyFill="1" applyBorder="1"/>
    <xf numFmtId="0" fontId="5" fillId="0" borderId="22" xfId="0" applyFont="1" applyFill="1" applyBorder="1"/>
    <xf numFmtId="0" fontId="5" fillId="0" borderId="19" xfId="0" applyFont="1" applyFill="1" applyBorder="1"/>
    <xf numFmtId="0" fontId="6" fillId="0" borderId="35" xfId="0" applyFont="1" applyFill="1" applyBorder="1"/>
    <xf numFmtId="0" fontId="7" fillId="0" borderId="9" xfId="0" applyFont="1" applyFill="1" applyBorder="1" applyAlignment="1">
      <alignment vertical="top"/>
    </xf>
    <xf numFmtId="0" fontId="18" fillId="0" borderId="21" xfId="0" applyFont="1" applyFill="1" applyBorder="1" applyAlignment="1">
      <alignment horizontal="left"/>
    </xf>
    <xf numFmtId="0" fontId="11" fillId="0" borderId="1" xfId="0" applyFont="1" applyFill="1" applyBorder="1" applyAlignment="1">
      <alignment horizontal="left" wrapText="1"/>
    </xf>
    <xf numFmtId="174" fontId="11" fillId="0" borderId="1" xfId="0" applyNumberFormat="1" applyFont="1" applyFill="1" applyBorder="1" applyAlignment="1">
      <alignment horizontal="right"/>
    </xf>
    <xf numFmtId="0" fontId="11" fillId="0" borderId="1" xfId="0" applyFont="1" applyFill="1" applyBorder="1" applyAlignment="1">
      <alignment horizontal="left"/>
    </xf>
    <xf numFmtId="167" fontId="11" fillId="0" borderId="1" xfId="0" applyNumberFormat="1" applyFont="1" applyFill="1" applyBorder="1" applyAlignment="1"/>
    <xf numFmtId="0" fontId="11" fillId="0" borderId="1" xfId="0" applyFont="1" applyFill="1" applyBorder="1" applyAlignment="1">
      <alignment horizontal="right"/>
    </xf>
    <xf numFmtId="167" fontId="11" fillId="0" borderId="20" xfId="0" applyNumberFormat="1" applyFont="1" applyFill="1" applyBorder="1" applyAlignment="1">
      <alignment horizontal="left"/>
    </xf>
    <xf numFmtId="0" fontId="18" fillId="0" borderId="19" xfId="0" applyFont="1" applyFill="1" applyBorder="1" applyAlignment="1">
      <alignment horizontal="left"/>
    </xf>
    <xf numFmtId="167" fontId="11" fillId="0" borderId="22" xfId="0" applyNumberFormat="1" applyFont="1" applyFill="1" applyBorder="1" applyAlignment="1">
      <alignment horizontal="left"/>
    </xf>
    <xf numFmtId="0" fontId="18" fillId="0" borderId="42" xfId="0" applyFont="1" applyFill="1" applyBorder="1" applyAlignment="1">
      <alignment horizontal="center" vertical="center"/>
    </xf>
    <xf numFmtId="167" fontId="18" fillId="0" borderId="40" xfId="0" applyNumberFormat="1" applyFont="1" applyFill="1" applyBorder="1" applyAlignment="1">
      <alignment horizontal="center" vertical="center" wrapText="1"/>
    </xf>
    <xf numFmtId="0" fontId="19" fillId="0" borderId="23" xfId="0" applyFont="1" applyFill="1" applyBorder="1" applyAlignment="1">
      <alignment horizontal="left" wrapText="1"/>
    </xf>
    <xf numFmtId="0" fontId="19" fillId="0" borderId="16" xfId="0" applyFont="1" applyFill="1" applyBorder="1" applyAlignment="1">
      <alignment horizontal="left" wrapText="1"/>
    </xf>
    <xf numFmtId="0" fontId="6" fillId="0" borderId="16" xfId="0" applyFont="1" applyFill="1" applyBorder="1" applyAlignment="1" applyProtection="1">
      <alignment horizontal="center"/>
    </xf>
    <xf numFmtId="3" fontId="5" fillId="0" borderId="22" xfId="0" applyNumberFormat="1" applyFont="1" applyFill="1" applyBorder="1" applyAlignment="1">
      <alignment horizontal="right" vertical="top" wrapText="1"/>
    </xf>
    <xf numFmtId="3" fontId="5" fillId="0" borderId="35" xfId="0" applyNumberFormat="1" applyFont="1" applyFill="1" applyBorder="1" applyAlignment="1">
      <alignment horizontal="right" vertical="top" wrapText="1"/>
    </xf>
    <xf numFmtId="6" fontId="5" fillId="0" borderId="15" xfId="0" applyNumberFormat="1" applyFont="1" applyFill="1" applyBorder="1"/>
    <xf numFmtId="0" fontId="46" fillId="0" borderId="0" xfId="0" applyNumberFormat="1" applyFont="1" applyFill="1" applyAlignment="1" applyProtection="1">
      <alignment horizontal="left"/>
    </xf>
    <xf numFmtId="0" fontId="5" fillId="0" borderId="16" xfId="0" applyFont="1" applyFill="1" applyBorder="1" applyProtection="1"/>
    <xf numFmtId="3" fontId="5" fillId="0" borderId="1" xfId="0" applyNumberFormat="1" applyFont="1" applyFill="1" applyBorder="1" applyAlignment="1" applyProtection="1">
      <alignment horizontal="right"/>
    </xf>
    <xf numFmtId="0" fontId="6" fillId="0" borderId="18" xfId="0" applyFont="1" applyFill="1" applyBorder="1" applyAlignment="1" applyProtection="1">
      <alignment horizontal="center" wrapText="1"/>
    </xf>
    <xf numFmtId="3" fontId="6" fillId="0" borderId="17" xfId="0" applyNumberFormat="1" applyFont="1" applyFill="1" applyBorder="1" applyAlignment="1" applyProtection="1">
      <alignment horizontal="center" wrapText="1"/>
    </xf>
    <xf numFmtId="0" fontId="5" fillId="0" borderId="0" xfId="0" applyFont="1" applyFill="1" applyAlignment="1" applyProtection="1">
      <alignment horizontal="center"/>
    </xf>
    <xf numFmtId="3" fontId="5" fillId="0" borderId="34" xfId="0" applyNumberFormat="1" applyFont="1" applyFill="1" applyBorder="1" applyAlignment="1" applyProtection="1"/>
    <xf numFmtId="3" fontId="5" fillId="0" borderId="28" xfId="0" applyNumberFormat="1" applyFont="1" applyFill="1" applyBorder="1" applyAlignment="1" applyProtection="1"/>
    <xf numFmtId="0" fontId="0" fillId="0" borderId="1" xfId="0" applyBorder="1"/>
    <xf numFmtId="0" fontId="0" fillId="0" borderId="0" xfId="0" applyBorder="1"/>
    <xf numFmtId="0" fontId="0" fillId="0" borderId="2" xfId="0" applyBorder="1"/>
    <xf numFmtId="0" fontId="6" fillId="0" borderId="9" xfId="0" applyFont="1" applyFill="1" applyBorder="1" applyAlignment="1">
      <alignment horizontal="center"/>
    </xf>
    <xf numFmtId="0" fontId="0" fillId="0" borderId="16" xfId="0" applyFill="1" applyBorder="1"/>
    <xf numFmtId="0" fontId="6" fillId="0" borderId="35" xfId="0" applyFont="1" applyFill="1" applyBorder="1" applyAlignment="1">
      <alignment horizontal="center"/>
    </xf>
    <xf numFmtId="0" fontId="7" fillId="4" borderId="9" xfId="0" applyFont="1" applyFill="1" applyBorder="1" applyAlignment="1">
      <alignment vertical="top"/>
    </xf>
    <xf numFmtId="2" fontId="7" fillId="2" borderId="9" xfId="0" applyNumberFormat="1" applyFont="1" applyFill="1" applyBorder="1" applyAlignment="1">
      <alignment vertical="top"/>
    </xf>
    <xf numFmtId="167" fontId="7" fillId="2" borderId="9" xfId="0" applyNumberFormat="1" applyFont="1" applyFill="1" applyBorder="1" applyAlignment="1">
      <alignment horizontal="right" vertical="top"/>
    </xf>
    <xf numFmtId="0" fontId="5" fillId="0" borderId="9" xfId="0" applyFont="1" applyFill="1" applyBorder="1" applyAlignment="1">
      <alignment vertical="top" wrapText="1"/>
    </xf>
    <xf numFmtId="3" fontId="7" fillId="46" borderId="9" xfId="0" applyNumberFormat="1" applyFont="1" applyFill="1" applyBorder="1" applyAlignment="1">
      <alignment vertical="top"/>
    </xf>
    <xf numFmtId="0" fontId="7" fillId="0" borderId="0" xfId="0" applyFont="1" applyFill="1" applyBorder="1" applyProtection="1"/>
    <xf numFmtId="165" fontId="48" fillId="0" borderId="0" xfId="0" applyNumberFormat="1" applyFont="1" applyFill="1" applyBorder="1" applyProtection="1"/>
    <xf numFmtId="0" fontId="48" fillId="0" borderId="0" xfId="0" applyFont="1" applyFill="1" applyProtection="1"/>
    <xf numFmtId="0" fontId="5" fillId="0" borderId="0" xfId="3" applyFill="1" applyBorder="1" applyAlignment="1">
      <alignment vertical="top" wrapText="1"/>
    </xf>
    <xf numFmtId="2" fontId="7" fillId="0" borderId="0" xfId="3" applyNumberFormat="1" applyFont="1" applyFill="1" applyBorder="1" applyAlignment="1">
      <alignment horizontal="right" vertical="top"/>
    </xf>
    <xf numFmtId="3" fontId="7" fillId="0" borderId="0" xfId="0" applyNumberFormat="1" applyFont="1" applyFill="1" applyBorder="1" applyAlignment="1">
      <alignment horizontal="right" vertical="top" wrapText="1"/>
    </xf>
    <xf numFmtId="0" fontId="6" fillId="0" borderId="11" xfId="0" applyFont="1" applyFill="1" applyBorder="1" applyAlignment="1" applyProtection="1">
      <alignment horizontal="center"/>
    </xf>
    <xf numFmtId="0" fontId="16" fillId="0" borderId="9" xfId="0" applyFont="1" applyFill="1" applyBorder="1" applyAlignment="1">
      <alignment horizontal="center"/>
    </xf>
    <xf numFmtId="164" fontId="51" fillId="0" borderId="0" xfId="0" applyNumberFormat="1" applyFont="1" applyFill="1" applyBorder="1" applyAlignment="1">
      <alignment horizontal="right" vertical="top"/>
    </xf>
    <xf numFmtId="0" fontId="48" fillId="0" borderId="0" xfId="0" applyFont="1" applyFill="1"/>
    <xf numFmtId="0" fontId="7" fillId="0" borderId="1" xfId="0" applyFont="1" applyFill="1" applyBorder="1" applyAlignment="1">
      <alignment vertical="top"/>
    </xf>
    <xf numFmtId="0" fontId="0" fillId="0" borderId="0" xfId="0" applyFill="1" applyBorder="1" applyAlignment="1">
      <alignment vertical="top" wrapText="1"/>
    </xf>
    <xf numFmtId="2" fontId="7" fillId="0" borderId="1" xfId="0" applyNumberFormat="1" applyFont="1" applyFill="1" applyBorder="1" applyAlignment="1">
      <alignment horizontal="right" vertical="top"/>
    </xf>
    <xf numFmtId="3" fontId="7" fillId="0" borderId="1" xfId="0" applyNumberFormat="1" applyFont="1" applyFill="1" applyBorder="1" applyAlignment="1">
      <alignment horizontal="right" vertical="top" wrapText="1"/>
    </xf>
    <xf numFmtId="0" fontId="15" fillId="0" borderId="52" xfId="0" applyNumberFormat="1" applyFont="1" applyFill="1" applyBorder="1" applyAlignment="1">
      <alignment horizontal="left" wrapText="1"/>
    </xf>
    <xf numFmtId="177" fontId="15" fillId="0" borderId="48" xfId="0" applyNumberFormat="1" applyFont="1" applyFill="1" applyBorder="1" applyAlignment="1"/>
    <xf numFmtId="1" fontId="50" fillId="0" borderId="0" xfId="0" applyNumberFormat="1" applyFont="1" applyFill="1"/>
    <xf numFmtId="1" fontId="5" fillId="0" borderId="22" xfId="0" applyNumberFormat="1" applyFont="1" applyFill="1" applyBorder="1" applyAlignment="1" applyProtection="1">
      <alignment horizontal="right"/>
    </xf>
    <xf numFmtId="1" fontId="5" fillId="0" borderId="24" xfId="0" applyNumberFormat="1" applyFont="1" applyFill="1" applyBorder="1" applyAlignment="1" applyProtection="1"/>
    <xf numFmtId="1" fontId="5" fillId="0" borderId="25" xfId="0" applyNumberFormat="1" applyFont="1" applyFill="1" applyBorder="1" applyAlignment="1" applyProtection="1">
      <alignment horizontal="right"/>
    </xf>
    <xf numFmtId="168" fontId="5" fillId="0" borderId="34" xfId="0" applyNumberFormat="1" applyFont="1" applyFill="1" applyBorder="1" applyAlignment="1" applyProtection="1">
      <alignment horizontal="right"/>
    </xf>
    <xf numFmtId="1" fontId="5" fillId="0" borderId="20" xfId="0" applyNumberFormat="1" applyFont="1" applyFill="1" applyBorder="1" applyAlignment="1" applyProtection="1">
      <alignment horizontal="right"/>
    </xf>
    <xf numFmtId="0" fontId="6" fillId="0" borderId="14" xfId="0" applyFont="1" applyFill="1" applyBorder="1"/>
    <xf numFmtId="3" fontId="0" fillId="0" borderId="0" xfId="0" applyNumberFormat="1"/>
    <xf numFmtId="0" fontId="42" fillId="0" borderId="0" xfId="2" applyFont="1" applyBorder="1" applyAlignment="1" applyProtection="1">
      <alignment wrapText="1"/>
    </xf>
    <xf numFmtId="0" fontId="51" fillId="0" borderId="0" xfId="0" applyFont="1" applyBorder="1" applyAlignment="1">
      <alignment horizontal="left" wrapText="1"/>
    </xf>
    <xf numFmtId="0" fontId="5" fillId="0" borderId="0" xfId="0" applyFont="1" applyBorder="1" applyAlignment="1">
      <alignment horizontal="left" wrapText="1"/>
    </xf>
    <xf numFmtId="0" fontId="6" fillId="0" borderId="0" xfId="0" applyFont="1" applyFill="1" applyAlignment="1" applyProtection="1">
      <alignment vertical="top" wrapText="1"/>
    </xf>
    <xf numFmtId="0" fontId="5" fillId="0" borderId="0" xfId="0" applyFont="1" applyFill="1" applyAlignment="1" applyProtection="1"/>
    <xf numFmtId="0" fontId="6" fillId="0" borderId="18" xfId="0" applyFont="1" applyFill="1" applyBorder="1" applyAlignment="1" applyProtection="1">
      <alignment horizontal="center"/>
    </xf>
    <xf numFmtId="0" fontId="6" fillId="0" borderId="17" xfId="0" applyFont="1" applyFill="1" applyBorder="1" applyAlignment="1" applyProtection="1">
      <alignment horizontal="center"/>
    </xf>
    <xf numFmtId="0" fontId="6" fillId="0" borderId="11" xfId="0" applyFont="1" applyFill="1" applyBorder="1" applyAlignment="1" applyProtection="1">
      <alignment horizontal="center"/>
    </xf>
    <xf numFmtId="0" fontId="12" fillId="0" borderId="0" xfId="0" applyNumberFormat="1" applyFont="1" applyFill="1" applyBorder="1" applyAlignment="1" applyProtection="1">
      <alignment vertical="top" wrapText="1" shrinkToFit="1"/>
    </xf>
    <xf numFmtId="0" fontId="13" fillId="0" borderId="0" xfId="0" applyFont="1" applyFill="1" applyBorder="1" applyAlignment="1" applyProtection="1">
      <alignment shrinkToFit="1"/>
    </xf>
    <xf numFmtId="0" fontId="13" fillId="0" borderId="0" xfId="0" applyNumberFormat="1" applyFont="1" applyFill="1" applyBorder="1" applyAlignment="1" applyProtection="1">
      <alignment vertical="top" wrapText="1" shrinkToFit="1"/>
    </xf>
    <xf numFmtId="0" fontId="6" fillId="0" borderId="9" xfId="0" applyFont="1" applyFill="1" applyBorder="1" applyAlignment="1">
      <alignment horizontal="center"/>
    </xf>
    <xf numFmtId="0" fontId="6" fillId="0" borderId="1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7" xfId="0" applyFont="1" applyFill="1" applyBorder="1" applyAlignment="1">
      <alignment horizontal="center"/>
    </xf>
    <xf numFmtId="0" fontId="6" fillId="0" borderId="11" xfId="0" applyFont="1" applyFill="1" applyBorder="1" applyAlignment="1">
      <alignment horizontal="center"/>
    </xf>
    <xf numFmtId="0" fontId="6" fillId="0" borderId="1" xfId="0" applyNumberFormat="1" applyFont="1" applyFill="1" applyBorder="1" applyAlignment="1">
      <alignment vertical="top" wrapText="1"/>
    </xf>
    <xf numFmtId="3" fontId="7" fillId="3" borderId="16" xfId="0" applyNumberFormat="1" applyFont="1" applyFill="1" applyBorder="1" applyAlignment="1">
      <alignment horizontal="right" vertical="top" wrapText="1"/>
    </xf>
    <xf numFmtId="3" fontId="7" fillId="3" borderId="35" xfId="0" applyNumberFormat="1" applyFont="1" applyFill="1" applyBorder="1" applyAlignment="1">
      <alignment horizontal="right" vertical="top" wrapText="1"/>
    </xf>
    <xf numFmtId="0" fontId="0" fillId="0" borderId="16" xfId="0" applyFill="1" applyBorder="1" applyAlignment="1">
      <alignment horizontal="left" vertical="top" wrapText="1"/>
    </xf>
    <xf numFmtId="0" fontId="0" fillId="0" borderId="35" xfId="0" applyFill="1" applyBorder="1" applyAlignment="1">
      <alignment horizontal="left" vertical="top" wrapText="1"/>
    </xf>
    <xf numFmtId="0" fontId="6" fillId="0" borderId="0" xfId="0" applyFont="1" applyFill="1" applyBorder="1" applyAlignment="1">
      <alignment vertical="top" wrapText="1"/>
    </xf>
    <xf numFmtId="0" fontId="5" fillId="0" borderId="0" xfId="0" applyFont="1" applyFill="1" applyAlignment="1">
      <alignment vertical="top" wrapText="1"/>
    </xf>
    <xf numFmtId="0" fontId="16" fillId="0" borderId="9" xfId="0" applyFont="1" applyFill="1" applyBorder="1" applyAlignment="1">
      <alignment horizontal="center"/>
    </xf>
    <xf numFmtId="0" fontId="15" fillId="0" borderId="0" xfId="0" quotePrefix="1" applyFont="1" applyFill="1" applyAlignment="1">
      <alignment wrapText="1"/>
    </xf>
    <xf numFmtId="0" fontId="17" fillId="0" borderId="0" xfId="0" applyFont="1" applyFill="1" applyAlignment="1">
      <alignment wrapText="1"/>
    </xf>
  </cellXfs>
  <cellStyles count="135">
    <cellStyle name="20% - Accent1 2" xfId="4"/>
    <cellStyle name="20% - Accent1 3" xfId="5"/>
    <cellStyle name="20% - Accent1 4" xfId="6"/>
    <cellStyle name="20% - Accent1 5" xfId="7"/>
    <cellStyle name="20% - Accent1 6" xfId="8"/>
    <cellStyle name="20% - Accent2 2" xfId="9"/>
    <cellStyle name="20% - Accent2 3" xfId="10"/>
    <cellStyle name="20% - Accent2 4" xfId="11"/>
    <cellStyle name="20% - Accent2 5" xfId="12"/>
    <cellStyle name="20% - Accent2 6" xfId="13"/>
    <cellStyle name="20% - Accent3 2" xfId="14"/>
    <cellStyle name="20% - Accent3 3" xfId="15"/>
    <cellStyle name="20% - Accent3 4" xfId="16"/>
    <cellStyle name="20% - Accent3 5" xfId="17"/>
    <cellStyle name="20% - Accent3 6" xfId="18"/>
    <cellStyle name="20% - Accent4 2" xfId="19"/>
    <cellStyle name="20% - Accent4 3" xfId="20"/>
    <cellStyle name="20% - Accent4 4" xfId="21"/>
    <cellStyle name="20% - Accent4 5" xfId="22"/>
    <cellStyle name="20% - Accent4 6" xfId="23"/>
    <cellStyle name="20% - Accent5 2" xfId="24"/>
    <cellStyle name="20% - Accent5 3" xfId="25"/>
    <cellStyle name="20% - Accent5 4" xfId="26"/>
    <cellStyle name="20% - Accent5 5" xfId="27"/>
    <cellStyle name="20% - Accent5 6" xfId="28"/>
    <cellStyle name="20% - Accent6 2" xfId="29"/>
    <cellStyle name="20% - Accent6 3" xfId="30"/>
    <cellStyle name="20% - Accent6 4" xfId="31"/>
    <cellStyle name="20% - Accent6 5" xfId="32"/>
    <cellStyle name="20% - Accent6 6" xfId="33"/>
    <cellStyle name="40% - Accent1 2" xfId="34"/>
    <cellStyle name="40% - Accent1 3" xfId="35"/>
    <cellStyle name="40% - Accent1 4" xfId="36"/>
    <cellStyle name="40% - Accent1 5" xfId="37"/>
    <cellStyle name="40% - Accent1 6" xfId="38"/>
    <cellStyle name="40% - Accent2 2" xfId="39"/>
    <cellStyle name="40% - Accent2 3" xfId="40"/>
    <cellStyle name="40% - Accent2 4" xfId="41"/>
    <cellStyle name="40% - Accent2 5" xfId="42"/>
    <cellStyle name="40% - Accent2 6" xfId="43"/>
    <cellStyle name="40% - Accent3 2" xfId="44"/>
    <cellStyle name="40% - Accent3 3" xfId="45"/>
    <cellStyle name="40% - Accent3 4" xfId="46"/>
    <cellStyle name="40% - Accent3 5" xfId="47"/>
    <cellStyle name="40% - Accent3 6" xfId="48"/>
    <cellStyle name="40% - Accent4 2" xfId="49"/>
    <cellStyle name="40% - Accent4 3" xfId="50"/>
    <cellStyle name="40% - Accent4 4" xfId="51"/>
    <cellStyle name="40% - Accent4 5" xfId="52"/>
    <cellStyle name="40% - Accent4 6" xfId="53"/>
    <cellStyle name="40% - Accent5 2" xfId="54"/>
    <cellStyle name="40% - Accent5 3" xfId="55"/>
    <cellStyle name="40% - Accent5 4" xfId="56"/>
    <cellStyle name="40% - Accent5 5" xfId="57"/>
    <cellStyle name="40% - Accent5 6" xfId="58"/>
    <cellStyle name="40% - Accent6 2" xfId="59"/>
    <cellStyle name="40% - Accent6 3" xfId="60"/>
    <cellStyle name="40% - Accent6 4" xfId="61"/>
    <cellStyle name="40% - Accent6 5" xfId="62"/>
    <cellStyle name="40% - Accent6 6" xfId="63"/>
    <cellStyle name="Comma" xfId="1" builtinId="3"/>
    <cellStyle name="Comma 2" xfId="134"/>
    <cellStyle name="Hyperlink" xfId="2" builtinId="8"/>
    <cellStyle name="Normal" xfId="0" builtinId="0"/>
    <cellStyle name="Normal 2" xfId="3"/>
    <cellStyle name="Normal 2 2" xfId="64"/>
    <cellStyle name="Normal 3" xfId="65"/>
    <cellStyle name="Note 2" xfId="66"/>
    <cellStyle name="Note 3" xfId="67"/>
    <cellStyle name="Note 4" xfId="68"/>
    <cellStyle name="Note 5" xfId="69"/>
    <cellStyle name="Note 6" xfId="70"/>
    <cellStyle name="SAPBEXaggData" xfId="71"/>
    <cellStyle name="SAPBEXaggDataEmph" xfId="72"/>
    <cellStyle name="SAPBEXaggExc1" xfId="73"/>
    <cellStyle name="SAPBEXaggExc1Emph" xfId="74"/>
    <cellStyle name="SAPBEXaggExc2" xfId="75"/>
    <cellStyle name="SAPBEXaggExc2Emph" xfId="76"/>
    <cellStyle name="SAPBEXaggItem" xfId="77"/>
    <cellStyle name="SAPBEXaggItemX" xfId="78"/>
    <cellStyle name="SAPBEXchaText" xfId="79"/>
    <cellStyle name="SAPBEXColoum_Header_SA" xfId="80"/>
    <cellStyle name="SAPBEXexcBad7" xfId="81"/>
    <cellStyle name="SAPBEXexcBad8" xfId="82"/>
    <cellStyle name="SAPBEXexcBad9" xfId="83"/>
    <cellStyle name="SAPBEXexcCritical4" xfId="84"/>
    <cellStyle name="SAPBEXexcCritical5" xfId="85"/>
    <cellStyle name="SAPBEXexcCritical6" xfId="86"/>
    <cellStyle name="SAPBEXexcGood1" xfId="87"/>
    <cellStyle name="SAPBEXexcGood2" xfId="88"/>
    <cellStyle name="SAPBEXexcGood3" xfId="89"/>
    <cellStyle name="SAPBEXfilterDrill" xfId="90"/>
    <cellStyle name="SAPBEXfilterItem" xfId="91"/>
    <cellStyle name="SAPBEXfilterText" xfId="92"/>
    <cellStyle name="SAPBEXformats" xfId="93"/>
    <cellStyle name="SAPBEXheaderData" xfId="94"/>
    <cellStyle name="SAPBEXheaderItem" xfId="95"/>
    <cellStyle name="SAPBEXheaderText" xfId="96"/>
    <cellStyle name="SAPBEXHLevel0" xfId="97"/>
    <cellStyle name="SAPBEXHLevel0X" xfId="98"/>
    <cellStyle name="SAPBEXHLevel1" xfId="99"/>
    <cellStyle name="SAPBEXHLevel1X" xfId="100"/>
    <cellStyle name="SAPBEXHLevel2" xfId="101"/>
    <cellStyle name="SAPBEXHLevel2X" xfId="102"/>
    <cellStyle name="SAPBEXHLevel3" xfId="103"/>
    <cellStyle name="SAPBEXHLevel3X" xfId="104"/>
    <cellStyle name="SAPBEXresData" xfId="105"/>
    <cellStyle name="SAPBEXresDataEmph" xfId="106"/>
    <cellStyle name="SAPBEXresExc1" xfId="107"/>
    <cellStyle name="SAPBEXresExc1Emph" xfId="108"/>
    <cellStyle name="SAPBEXresExc2" xfId="109"/>
    <cellStyle name="SAPBEXresExc2Emph" xfId="110"/>
    <cellStyle name="SAPBEXresItem" xfId="111"/>
    <cellStyle name="SAPBEXresItemX" xfId="112"/>
    <cellStyle name="SAPBEXRow_Headings_SA" xfId="113"/>
    <cellStyle name="SAPBEXRowResults_SA" xfId="114"/>
    <cellStyle name="SAPBEXstdData" xfId="115"/>
    <cellStyle name="SAPBEXstdData 2" xfId="116"/>
    <cellStyle name="SAPBEXstdDataEmph" xfId="117"/>
    <cellStyle name="SAPBEXstdExc1" xfId="118"/>
    <cellStyle name="SAPBEXstdExc1Emph" xfId="119"/>
    <cellStyle name="SAPBEXstdExc2" xfId="120"/>
    <cellStyle name="SAPBEXstdExc2Emph" xfId="121"/>
    <cellStyle name="SAPBEXstdItem" xfId="122"/>
    <cellStyle name="SAPBEXstdItemX" xfId="123"/>
    <cellStyle name="SAPBEXstdItemX 2" xfId="124"/>
    <cellStyle name="SAPBEXsubData" xfId="125"/>
    <cellStyle name="SAPBEXsubDataEmph" xfId="126"/>
    <cellStyle name="SAPBEXsubExc1" xfId="127"/>
    <cellStyle name="SAPBEXsubExc1Emph" xfId="128"/>
    <cellStyle name="SAPBEXsubExc2" xfId="129"/>
    <cellStyle name="SAPBEXsubExc2Emph" xfId="130"/>
    <cellStyle name="SAPBEXsubItem" xfId="131"/>
    <cellStyle name="SAPBEXtitle" xfId="132"/>
    <cellStyle name="SAPBEXundefined" xfId="13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3</xdr:col>
      <xdr:colOff>314325</xdr:colOff>
      <xdr:row>40</xdr:row>
      <xdr:rowOff>76200</xdr:rowOff>
    </xdr:to>
    <xdr:pic>
      <xdr:nvPicPr>
        <xdr:cNvPr id="2" name="Picture 2" descr="pgenotag222_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24575"/>
          <a:ext cx="2143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WINDOWS/Temporary%20Internet%20Files/Content.Outlook/2OJJSW81/DR%20and%20SmartAC%20Feburary%20YTD%20Actu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orary%20Internet%20Files/Content.Outlook/2OJJSW81/DR%20and%20SmartAC%20Feburary%20YTD%20Actu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ge.com/mybusiness/energysavingsrebates/demandresponse/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topLeftCell="A20" workbookViewId="0">
      <selection activeCell="K40" sqref="K40"/>
    </sheetView>
  </sheetViews>
  <sheetFormatPr defaultRowHeight="12.75" x14ac:dyDescent="0.2"/>
  <cols>
    <col min="1" max="10" width="9.140625" style="266"/>
    <col min="11" max="11" width="28.28515625" style="266" customWidth="1"/>
    <col min="12" max="16384" width="9.140625" style="266"/>
  </cols>
  <sheetData>
    <row r="1" spans="1:11" x14ac:dyDescent="0.2">
      <c r="A1" s="274"/>
      <c r="B1" s="274"/>
      <c r="C1" s="274"/>
      <c r="D1" s="274"/>
      <c r="E1" s="274"/>
      <c r="F1" s="274"/>
      <c r="G1" s="274"/>
      <c r="H1" s="274"/>
      <c r="I1" s="274"/>
      <c r="J1" s="274"/>
      <c r="K1" s="274"/>
    </row>
    <row r="2" spans="1:11" x14ac:dyDescent="0.2">
      <c r="A2" s="275"/>
      <c r="B2" s="275"/>
      <c r="C2" s="275"/>
      <c r="D2" s="275"/>
      <c r="E2" s="275"/>
      <c r="F2" s="275"/>
      <c r="G2" s="275"/>
      <c r="H2" s="275"/>
      <c r="I2" s="275"/>
      <c r="J2" s="275"/>
      <c r="K2" s="275"/>
    </row>
    <row r="3" spans="1:11" x14ac:dyDescent="0.2">
      <c r="A3" s="275"/>
      <c r="B3" s="275"/>
      <c r="C3" s="275"/>
      <c r="D3" s="275"/>
      <c r="E3" s="275"/>
      <c r="F3" s="275"/>
      <c r="G3" s="275"/>
      <c r="H3" s="275"/>
      <c r="I3" s="275"/>
      <c r="J3" s="275"/>
      <c r="K3" s="275"/>
    </row>
    <row r="4" spans="1:11" x14ac:dyDescent="0.2">
      <c r="A4" s="275"/>
      <c r="B4" s="275"/>
      <c r="C4" s="275"/>
      <c r="D4" s="275"/>
      <c r="E4" s="275"/>
      <c r="F4" s="275"/>
      <c r="G4" s="275"/>
      <c r="H4" s="275"/>
      <c r="I4" s="275"/>
      <c r="J4" s="275"/>
      <c r="K4" s="275"/>
    </row>
    <row r="5" spans="1:11" x14ac:dyDescent="0.2">
      <c r="A5" s="275"/>
      <c r="B5" s="275"/>
      <c r="C5" s="275"/>
      <c r="D5" s="275"/>
      <c r="E5" s="275"/>
      <c r="F5" s="275"/>
      <c r="G5" s="275"/>
      <c r="H5" s="275"/>
      <c r="I5" s="275"/>
      <c r="J5" s="275"/>
      <c r="K5" s="275"/>
    </row>
    <row r="6" spans="1:11" x14ac:dyDescent="0.2">
      <c r="A6" s="275"/>
      <c r="B6" s="275"/>
      <c r="C6" s="275"/>
      <c r="D6" s="275"/>
      <c r="E6" s="275"/>
      <c r="F6" s="275"/>
      <c r="G6" s="275"/>
      <c r="H6" s="275"/>
      <c r="I6" s="275"/>
      <c r="J6" s="275"/>
      <c r="K6" s="275"/>
    </row>
    <row r="7" spans="1:11" x14ac:dyDescent="0.2">
      <c r="A7" s="275"/>
      <c r="B7" s="275"/>
      <c r="C7" s="275"/>
      <c r="D7" s="275"/>
      <c r="E7" s="275"/>
      <c r="F7" s="275"/>
      <c r="G7" s="275"/>
      <c r="H7" s="275"/>
      <c r="I7" s="275"/>
      <c r="J7" s="275"/>
      <c r="K7" s="275"/>
    </row>
    <row r="8" spans="1:11" x14ac:dyDescent="0.2">
      <c r="A8" s="275"/>
      <c r="B8" s="275"/>
      <c r="C8" s="275"/>
      <c r="D8" s="275"/>
      <c r="E8" s="275"/>
      <c r="F8" s="275"/>
      <c r="G8" s="275"/>
      <c r="H8" s="275"/>
      <c r="I8" s="275"/>
      <c r="J8" s="275"/>
      <c r="K8" s="275"/>
    </row>
    <row r="9" spans="1:11" x14ac:dyDescent="0.2">
      <c r="A9" s="275"/>
      <c r="B9" s="275"/>
      <c r="C9" s="275"/>
      <c r="D9" s="275"/>
      <c r="E9" s="275"/>
      <c r="F9" s="275"/>
      <c r="G9" s="275"/>
      <c r="H9" s="275"/>
      <c r="I9" s="275"/>
      <c r="J9" s="275"/>
      <c r="K9" s="275"/>
    </row>
    <row r="10" spans="1:11" x14ac:dyDescent="0.2">
      <c r="A10" s="275"/>
      <c r="B10" s="275"/>
      <c r="C10" s="275"/>
      <c r="D10" s="275"/>
      <c r="E10" s="275"/>
      <c r="F10" s="275"/>
      <c r="G10" s="275"/>
      <c r="H10" s="275"/>
      <c r="I10" s="275"/>
      <c r="J10" s="275"/>
      <c r="K10" s="275"/>
    </row>
    <row r="11" spans="1:11" x14ac:dyDescent="0.2">
      <c r="A11" s="275"/>
      <c r="B11" s="275"/>
      <c r="C11" s="275"/>
      <c r="D11" s="275"/>
      <c r="E11" s="275"/>
      <c r="F11" s="275"/>
      <c r="G11" s="275"/>
      <c r="H11" s="275"/>
      <c r="I11" s="275"/>
      <c r="J11" s="275"/>
      <c r="K11" s="275"/>
    </row>
    <row r="12" spans="1:11" x14ac:dyDescent="0.2">
      <c r="A12" s="275"/>
      <c r="B12" s="275"/>
      <c r="C12" s="275"/>
      <c r="D12" s="275"/>
      <c r="E12" s="275"/>
      <c r="F12" s="275"/>
      <c r="G12" s="275"/>
      <c r="H12" s="275"/>
      <c r="I12" s="275"/>
      <c r="J12" s="275"/>
      <c r="K12" s="275"/>
    </row>
    <row r="13" spans="1:11" x14ac:dyDescent="0.2">
      <c r="A13" s="275"/>
      <c r="B13" s="275"/>
      <c r="C13" s="275"/>
      <c r="D13" s="275"/>
      <c r="E13" s="275"/>
      <c r="F13" s="275"/>
      <c r="G13" s="275"/>
      <c r="H13" s="275"/>
      <c r="I13" s="275"/>
      <c r="J13" s="275"/>
      <c r="K13" s="275"/>
    </row>
    <row r="14" spans="1:11" x14ac:dyDescent="0.2">
      <c r="A14" s="275"/>
      <c r="B14" s="275"/>
      <c r="C14" s="275"/>
      <c r="D14" s="275"/>
      <c r="E14" s="275"/>
      <c r="F14" s="275"/>
      <c r="G14" s="275"/>
      <c r="H14" s="275"/>
      <c r="I14" s="275"/>
      <c r="J14" s="275"/>
      <c r="K14" s="275"/>
    </row>
    <row r="15" spans="1:11" x14ac:dyDescent="0.2">
      <c r="A15" s="275"/>
      <c r="B15" s="275"/>
      <c r="C15" s="275"/>
      <c r="D15" s="275"/>
      <c r="E15" s="275"/>
      <c r="F15" s="275"/>
      <c r="G15" s="275"/>
      <c r="H15" s="275"/>
      <c r="I15" s="275"/>
      <c r="J15" s="275"/>
      <c r="K15" s="275"/>
    </row>
    <row r="16" spans="1:11" x14ac:dyDescent="0.2">
      <c r="A16" s="275"/>
      <c r="B16" s="275"/>
      <c r="C16" s="275"/>
      <c r="D16" s="275"/>
      <c r="E16" s="275"/>
      <c r="F16" s="275"/>
      <c r="G16" s="275"/>
      <c r="H16" s="275"/>
      <c r="I16" s="275"/>
      <c r="J16" s="275"/>
      <c r="K16" s="275"/>
    </row>
    <row r="17" spans="1:11" x14ac:dyDescent="0.2">
      <c r="A17" s="275"/>
      <c r="B17" s="275"/>
      <c r="C17" s="275"/>
      <c r="D17" s="275"/>
      <c r="E17" s="275"/>
      <c r="F17" s="275"/>
      <c r="G17" s="275"/>
      <c r="H17" s="275"/>
      <c r="I17" s="275"/>
      <c r="J17" s="275"/>
      <c r="K17" s="275"/>
    </row>
    <row r="18" spans="1:11" x14ac:dyDescent="0.2">
      <c r="A18" s="275"/>
      <c r="B18" s="275"/>
      <c r="C18" s="275"/>
      <c r="D18" s="275"/>
      <c r="E18" s="275"/>
      <c r="F18" s="275"/>
      <c r="G18" s="275"/>
      <c r="H18" s="275"/>
      <c r="I18" s="275"/>
      <c r="J18" s="275"/>
      <c r="K18" s="275"/>
    </row>
    <row r="19" spans="1:11" x14ac:dyDescent="0.2">
      <c r="A19" s="275"/>
      <c r="B19" s="275"/>
      <c r="C19" s="275"/>
      <c r="D19" s="275"/>
      <c r="E19" s="275"/>
      <c r="F19" s="275"/>
      <c r="G19" s="275"/>
      <c r="H19" s="275"/>
      <c r="I19" s="275"/>
      <c r="J19" s="275"/>
      <c r="K19" s="275"/>
    </row>
    <row r="20" spans="1:11" ht="18" x14ac:dyDescent="0.25">
      <c r="A20" s="275"/>
      <c r="B20" s="275"/>
      <c r="C20" s="275"/>
      <c r="D20" s="275"/>
      <c r="E20" s="275"/>
      <c r="F20" s="275"/>
      <c r="G20" s="275"/>
      <c r="H20" s="275"/>
      <c r="I20" s="275"/>
      <c r="J20" s="275"/>
      <c r="K20" s="276" t="s">
        <v>0</v>
      </c>
    </row>
    <row r="21" spans="1:11" ht="18" x14ac:dyDescent="0.25">
      <c r="A21" s="275"/>
      <c r="B21" s="275"/>
      <c r="C21" s="275"/>
      <c r="D21" s="275"/>
      <c r="E21" s="275"/>
      <c r="F21" s="275"/>
      <c r="G21" s="275"/>
      <c r="H21" s="275"/>
      <c r="I21" s="275"/>
      <c r="J21" s="275"/>
      <c r="K21" s="1" t="s">
        <v>212</v>
      </c>
    </row>
    <row r="22" spans="1:11" x14ac:dyDescent="0.2">
      <c r="A22" s="275"/>
      <c r="B22" s="275"/>
      <c r="C22" s="275"/>
      <c r="D22" s="275"/>
      <c r="E22" s="275"/>
      <c r="F22" s="275"/>
      <c r="G22" s="275"/>
      <c r="H22" s="275"/>
      <c r="I22" s="275"/>
      <c r="J22" s="275"/>
      <c r="K22" s="275"/>
    </row>
    <row r="23" spans="1:11" x14ac:dyDescent="0.2">
      <c r="A23" s="275"/>
      <c r="B23" s="275"/>
      <c r="C23" s="275"/>
      <c r="D23" s="275"/>
      <c r="E23" s="275"/>
      <c r="F23" s="275"/>
      <c r="G23" s="275"/>
      <c r="H23" s="275"/>
      <c r="I23" s="275"/>
      <c r="J23" s="275"/>
      <c r="K23" s="275"/>
    </row>
    <row r="24" spans="1:11" x14ac:dyDescent="0.2">
      <c r="A24" s="275"/>
      <c r="B24" s="275"/>
      <c r="C24" s="275"/>
      <c r="D24" s="275"/>
      <c r="E24" s="275"/>
      <c r="F24" s="275"/>
      <c r="G24" s="275"/>
      <c r="H24" s="275"/>
      <c r="I24" s="275"/>
      <c r="J24" s="275"/>
      <c r="K24" s="275"/>
    </row>
    <row r="25" spans="1:11" x14ac:dyDescent="0.2">
      <c r="A25" s="275"/>
      <c r="B25" s="275"/>
      <c r="C25" s="275"/>
      <c r="D25" s="275"/>
      <c r="E25" s="275"/>
      <c r="F25" s="275"/>
      <c r="G25" s="275"/>
      <c r="H25" s="275"/>
      <c r="I25" s="275"/>
      <c r="J25" s="275"/>
      <c r="K25" s="275"/>
    </row>
    <row r="26" spans="1:11" x14ac:dyDescent="0.2">
      <c r="A26" s="275"/>
      <c r="B26" s="275"/>
      <c r="C26" s="275"/>
      <c r="D26" s="275"/>
      <c r="E26" s="275"/>
      <c r="F26" s="275"/>
      <c r="G26" s="275"/>
      <c r="H26" s="275"/>
      <c r="I26" s="275"/>
      <c r="J26" s="275"/>
      <c r="K26" s="275"/>
    </row>
    <row r="27" spans="1:11" x14ac:dyDescent="0.2">
      <c r="A27" s="275"/>
      <c r="B27" s="275"/>
      <c r="C27" s="275"/>
      <c r="D27" s="275"/>
      <c r="E27" s="275"/>
      <c r="F27" s="275"/>
      <c r="G27" s="275"/>
      <c r="H27" s="275"/>
      <c r="I27" s="275"/>
      <c r="J27" s="275"/>
      <c r="K27" s="275"/>
    </row>
    <row r="28" spans="1:11" x14ac:dyDescent="0.2">
      <c r="A28" s="275"/>
      <c r="B28" s="275"/>
      <c r="C28" s="275"/>
      <c r="D28" s="275"/>
      <c r="E28" s="275"/>
      <c r="F28" s="275"/>
      <c r="G28" s="275"/>
      <c r="H28" s="275"/>
      <c r="I28" s="275"/>
      <c r="J28" s="275"/>
      <c r="K28" s="275"/>
    </row>
    <row r="29" spans="1:11" x14ac:dyDescent="0.2">
      <c r="A29" s="275"/>
      <c r="B29" s="275"/>
      <c r="C29" s="275"/>
      <c r="D29" s="275"/>
      <c r="E29" s="275"/>
      <c r="F29" s="275"/>
      <c r="G29" s="275"/>
      <c r="H29" s="275"/>
      <c r="I29" s="275"/>
      <c r="J29" s="275"/>
      <c r="K29" s="275"/>
    </row>
    <row r="30" spans="1:11" x14ac:dyDescent="0.2">
      <c r="A30" s="275"/>
      <c r="B30" s="275"/>
      <c r="C30" s="275"/>
      <c r="D30" s="275"/>
      <c r="E30" s="275"/>
      <c r="F30" s="275"/>
      <c r="G30" s="275"/>
      <c r="H30" s="275"/>
      <c r="I30" s="275"/>
      <c r="J30" s="275"/>
      <c r="K30" s="275"/>
    </row>
    <row r="31" spans="1:11" x14ac:dyDescent="0.2">
      <c r="A31" s="275"/>
      <c r="B31" s="275"/>
      <c r="C31" s="275"/>
      <c r="D31" s="275"/>
      <c r="E31" s="275"/>
      <c r="F31" s="275"/>
      <c r="G31" s="275"/>
      <c r="H31" s="275"/>
      <c r="I31" s="275"/>
      <c r="J31" s="275"/>
      <c r="K31" s="275"/>
    </row>
    <row r="32" spans="1:11" x14ac:dyDescent="0.2">
      <c r="A32" s="275"/>
      <c r="B32" s="275"/>
      <c r="C32" s="275"/>
      <c r="D32" s="275"/>
      <c r="E32" s="275"/>
      <c r="F32" s="275"/>
      <c r="G32" s="275"/>
      <c r="H32" s="275"/>
      <c r="I32" s="275"/>
      <c r="J32" s="275"/>
      <c r="K32" s="275"/>
    </row>
    <row r="33" spans="1:11" x14ac:dyDescent="0.2">
      <c r="A33" s="275"/>
      <c r="B33" s="275"/>
      <c r="C33" s="275"/>
      <c r="D33" s="275"/>
      <c r="E33" s="275"/>
      <c r="F33" s="275"/>
      <c r="G33" s="275"/>
      <c r="H33" s="275"/>
      <c r="I33" s="275"/>
      <c r="J33" s="275"/>
      <c r="K33" s="275"/>
    </row>
    <row r="34" spans="1:11" x14ac:dyDescent="0.2">
      <c r="A34" s="275"/>
      <c r="B34" s="275"/>
      <c r="C34" s="275"/>
      <c r="D34" s="275"/>
      <c r="E34" s="275"/>
      <c r="F34" s="275"/>
      <c r="G34" s="275"/>
      <c r="H34" s="275"/>
      <c r="I34" s="275"/>
      <c r="J34" s="275"/>
      <c r="K34" s="275"/>
    </row>
    <row r="35" spans="1:11" x14ac:dyDescent="0.2">
      <c r="A35" s="275"/>
      <c r="B35" s="275"/>
      <c r="C35" s="275"/>
      <c r="D35" s="275"/>
      <c r="E35" s="275"/>
      <c r="F35" s="275"/>
      <c r="G35" s="275"/>
      <c r="H35" s="275"/>
      <c r="I35" s="275"/>
      <c r="J35" s="275"/>
      <c r="K35" s="275"/>
    </row>
    <row r="36" spans="1:11" x14ac:dyDescent="0.2">
      <c r="A36" s="275"/>
      <c r="B36" s="275"/>
      <c r="C36" s="275"/>
      <c r="D36" s="275"/>
      <c r="E36" s="275"/>
      <c r="F36" s="275"/>
      <c r="G36" s="275"/>
      <c r="H36" s="275"/>
      <c r="I36" s="275"/>
      <c r="J36" s="275"/>
      <c r="K36" s="275"/>
    </row>
    <row r="37" spans="1:11" x14ac:dyDescent="0.2">
      <c r="A37" s="275"/>
      <c r="B37" s="275"/>
      <c r="C37" s="275"/>
      <c r="D37" s="275"/>
      <c r="E37" s="275"/>
      <c r="F37" s="275"/>
      <c r="G37" s="275"/>
      <c r="H37" s="275"/>
      <c r="I37" s="275"/>
      <c r="J37" s="275"/>
      <c r="K37" s="275"/>
    </row>
    <row r="38" spans="1:11" x14ac:dyDescent="0.2">
      <c r="A38" s="275"/>
      <c r="B38" s="275"/>
      <c r="C38" s="275"/>
      <c r="D38" s="275"/>
      <c r="E38" s="275"/>
      <c r="F38" s="275"/>
      <c r="G38" s="275"/>
      <c r="H38" s="275"/>
      <c r="I38" s="275"/>
      <c r="J38" s="275"/>
      <c r="K38" s="275"/>
    </row>
    <row r="39" spans="1:11" x14ac:dyDescent="0.2">
      <c r="A39" s="275"/>
      <c r="B39" s="275"/>
      <c r="C39" s="275"/>
      <c r="D39" s="275"/>
      <c r="E39" s="275"/>
      <c r="F39" s="275"/>
      <c r="G39" s="275"/>
      <c r="H39" s="275"/>
      <c r="I39" s="275"/>
      <c r="J39" s="275"/>
      <c r="K39" s="275"/>
    </row>
    <row r="40" spans="1:11" ht="15" x14ac:dyDescent="0.2">
      <c r="A40" s="275"/>
      <c r="B40" s="275"/>
      <c r="C40" s="275"/>
      <c r="D40" s="275"/>
      <c r="E40" s="275"/>
      <c r="F40" s="275"/>
      <c r="G40" s="275"/>
      <c r="H40" s="275"/>
      <c r="I40" s="275"/>
      <c r="J40" s="275"/>
      <c r="K40" s="431">
        <v>41113</v>
      </c>
    </row>
    <row r="41" spans="1:11" x14ac:dyDescent="0.2">
      <c r="A41" s="2"/>
      <c r="B41" s="2"/>
      <c r="C41" s="2"/>
      <c r="D41" s="2"/>
      <c r="E41" s="2"/>
      <c r="F41" s="2"/>
      <c r="G41" s="2"/>
      <c r="H41" s="2"/>
      <c r="I41" s="2"/>
      <c r="J41" s="2"/>
      <c r="K41" s="2"/>
    </row>
  </sheetData>
  <sheetProtection password="C511" sheet="1" objects="1" scenarios="1"/>
  <printOptions horizontalCentered="1"/>
  <pageMargins left="0" right="0" top="0.93" bottom="0.25" header="0.13" footer="0.1"/>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election activeCell="K40" sqref="K40"/>
    </sheetView>
  </sheetViews>
  <sheetFormatPr defaultRowHeight="12.75" x14ac:dyDescent="0.2"/>
  <cols>
    <col min="11" max="11" width="33.5703125" customWidth="1"/>
  </cols>
  <sheetData>
    <row r="1" spans="1:11" x14ac:dyDescent="0.2">
      <c r="A1" s="412"/>
      <c r="B1" s="412"/>
      <c r="C1" s="412"/>
      <c r="D1" s="412"/>
      <c r="E1" s="412"/>
      <c r="F1" s="412"/>
      <c r="G1" s="412"/>
      <c r="H1" s="412"/>
      <c r="I1" s="412"/>
      <c r="J1" s="412"/>
      <c r="K1" s="412"/>
    </row>
    <row r="2" spans="1:11" x14ac:dyDescent="0.2">
      <c r="A2" s="413"/>
      <c r="B2" s="413"/>
      <c r="C2" s="413"/>
      <c r="D2" s="413"/>
      <c r="E2" s="413"/>
      <c r="F2" s="413"/>
      <c r="G2" s="413"/>
      <c r="H2" s="413"/>
      <c r="I2" s="413"/>
      <c r="J2" s="413"/>
      <c r="K2" s="413"/>
    </row>
    <row r="3" spans="1:11" x14ac:dyDescent="0.2">
      <c r="A3" s="413"/>
      <c r="B3" s="413"/>
      <c r="C3" s="413"/>
      <c r="D3" s="413"/>
      <c r="E3" s="413"/>
      <c r="F3" s="413"/>
      <c r="G3" s="413"/>
      <c r="H3" s="413"/>
      <c r="I3" s="413"/>
      <c r="J3" s="413"/>
      <c r="K3" s="413"/>
    </row>
    <row r="4" spans="1:11" ht="44.25" customHeight="1" x14ac:dyDescent="0.2">
      <c r="A4" s="448" t="s">
        <v>213</v>
      </c>
      <c r="B4" s="449"/>
      <c r="C4" s="449"/>
      <c r="D4" s="449"/>
      <c r="E4" s="449"/>
      <c r="F4" s="449"/>
      <c r="G4" s="449"/>
      <c r="H4" s="449"/>
      <c r="I4" s="449"/>
      <c r="J4" s="449"/>
      <c r="K4" s="449"/>
    </row>
    <row r="5" spans="1:11" ht="14.25" x14ac:dyDescent="0.2">
      <c r="A5" s="447" t="s">
        <v>2</v>
      </c>
      <c r="B5" s="447"/>
      <c r="C5" s="447"/>
      <c r="D5" s="447"/>
      <c r="E5" s="447"/>
      <c r="F5" s="447"/>
      <c r="G5" s="447"/>
      <c r="H5" s="447"/>
      <c r="I5" s="447"/>
      <c r="J5" s="447"/>
      <c r="K5" s="447"/>
    </row>
    <row r="6" spans="1:11" x14ac:dyDescent="0.2">
      <c r="A6" s="413"/>
      <c r="B6" s="413"/>
      <c r="C6" s="413"/>
      <c r="D6" s="413"/>
      <c r="E6" s="413"/>
      <c r="F6" s="413"/>
      <c r="G6" s="413"/>
      <c r="H6" s="413"/>
      <c r="I6" s="413"/>
      <c r="J6" s="413"/>
      <c r="K6" s="413"/>
    </row>
    <row r="7" spans="1:11" x14ac:dyDescent="0.2">
      <c r="A7" s="413"/>
      <c r="B7" s="413"/>
      <c r="C7" s="413"/>
      <c r="D7" s="413"/>
      <c r="E7" s="413"/>
      <c r="F7" s="413"/>
      <c r="G7" s="413"/>
      <c r="H7" s="413"/>
      <c r="I7" s="413"/>
      <c r="J7" s="413"/>
      <c r="K7" s="413"/>
    </row>
    <row r="8" spans="1:11" x14ac:dyDescent="0.2">
      <c r="A8" s="413"/>
      <c r="B8" s="413"/>
      <c r="C8" s="413"/>
      <c r="D8" s="413"/>
      <c r="E8" s="413"/>
      <c r="F8" s="413"/>
      <c r="G8" s="413"/>
      <c r="H8" s="413"/>
      <c r="I8" s="413"/>
      <c r="J8" s="413"/>
      <c r="K8" s="413"/>
    </row>
    <row r="9" spans="1:11" x14ac:dyDescent="0.2">
      <c r="A9" s="413"/>
      <c r="B9" s="413"/>
      <c r="C9" s="413"/>
      <c r="D9" s="413"/>
      <c r="E9" s="413"/>
      <c r="F9" s="413"/>
      <c r="G9" s="413"/>
      <c r="H9" s="413"/>
      <c r="I9" s="413"/>
      <c r="J9" s="413"/>
      <c r="K9" s="413"/>
    </row>
    <row r="10" spans="1:11" x14ac:dyDescent="0.2">
      <c r="A10" s="413"/>
      <c r="B10" s="413"/>
      <c r="C10" s="413"/>
      <c r="D10" s="413"/>
      <c r="E10" s="413"/>
      <c r="F10" s="413"/>
      <c r="G10" s="413"/>
      <c r="H10" s="413"/>
      <c r="I10" s="413"/>
      <c r="J10" s="413"/>
      <c r="K10" s="413"/>
    </row>
    <row r="11" spans="1:11" x14ac:dyDescent="0.2">
      <c r="A11" s="413"/>
      <c r="B11" s="413"/>
      <c r="C11" s="413"/>
      <c r="D11" s="413"/>
      <c r="E11" s="413"/>
      <c r="F11" s="413"/>
      <c r="G11" s="413"/>
      <c r="H11" s="413"/>
      <c r="I11" s="413"/>
      <c r="J11" s="413"/>
      <c r="K11" s="413"/>
    </row>
    <row r="12" spans="1:11" x14ac:dyDescent="0.2">
      <c r="A12" s="413"/>
      <c r="B12" s="413"/>
      <c r="C12" s="413"/>
      <c r="D12" s="413"/>
      <c r="E12" s="413"/>
      <c r="F12" s="413"/>
      <c r="G12" s="413"/>
      <c r="H12" s="413"/>
      <c r="I12" s="413"/>
      <c r="J12" s="413"/>
      <c r="K12" s="413"/>
    </row>
    <row r="13" spans="1:11" x14ac:dyDescent="0.2">
      <c r="A13" s="413"/>
      <c r="B13" s="413"/>
      <c r="C13" s="413"/>
      <c r="D13" s="413"/>
      <c r="E13" s="413"/>
      <c r="F13" s="413"/>
      <c r="G13" s="413"/>
      <c r="H13" s="413"/>
      <c r="I13" s="413"/>
      <c r="J13" s="413"/>
      <c r="K13" s="413"/>
    </row>
    <row r="14" spans="1:11" x14ac:dyDescent="0.2">
      <c r="A14" s="413"/>
      <c r="B14" s="413"/>
      <c r="C14" s="413"/>
      <c r="D14" s="413"/>
      <c r="E14" s="413"/>
      <c r="F14" s="413"/>
      <c r="G14" s="413"/>
      <c r="H14" s="413"/>
      <c r="I14" s="413"/>
      <c r="J14" s="413"/>
      <c r="K14" s="413"/>
    </row>
    <row r="15" spans="1:11" x14ac:dyDescent="0.2">
      <c r="A15" s="413"/>
      <c r="B15" s="413"/>
      <c r="C15" s="413"/>
      <c r="D15" s="413"/>
      <c r="E15" s="413"/>
      <c r="F15" s="413"/>
      <c r="G15" s="413"/>
      <c r="H15" s="413"/>
      <c r="I15" s="413"/>
      <c r="J15" s="413"/>
      <c r="K15" s="413"/>
    </row>
    <row r="16" spans="1:11" x14ac:dyDescent="0.2">
      <c r="A16" s="413"/>
      <c r="B16" s="413"/>
      <c r="C16" s="413"/>
      <c r="D16" s="413"/>
      <c r="E16" s="413"/>
      <c r="F16" s="413"/>
      <c r="G16" s="413"/>
      <c r="H16" s="413"/>
      <c r="I16" s="413"/>
      <c r="J16" s="413"/>
      <c r="K16" s="413"/>
    </row>
    <row r="17" spans="1:11" x14ac:dyDescent="0.2">
      <c r="A17" s="413"/>
      <c r="B17" s="413"/>
      <c r="C17" s="413"/>
      <c r="D17" s="413"/>
      <c r="E17" s="413"/>
      <c r="F17" s="413"/>
      <c r="G17" s="413"/>
      <c r="H17" s="413"/>
      <c r="I17" s="413"/>
      <c r="J17" s="413"/>
      <c r="K17" s="413"/>
    </row>
    <row r="18" spans="1:11" x14ac:dyDescent="0.2">
      <c r="A18" s="413"/>
      <c r="B18" s="413"/>
      <c r="C18" s="413"/>
      <c r="D18" s="413"/>
      <c r="E18" s="413"/>
      <c r="F18" s="413"/>
      <c r="G18" s="413"/>
      <c r="H18" s="413"/>
      <c r="I18" s="413"/>
      <c r="J18" s="413"/>
      <c r="K18" s="413"/>
    </row>
    <row r="19" spans="1:11" x14ac:dyDescent="0.2">
      <c r="A19" s="413"/>
      <c r="B19" s="413"/>
      <c r="C19" s="413"/>
      <c r="D19" s="413"/>
      <c r="E19" s="413"/>
      <c r="F19" s="413"/>
      <c r="G19" s="413"/>
      <c r="H19" s="413"/>
      <c r="I19" s="413"/>
      <c r="J19" s="413"/>
      <c r="K19" s="413"/>
    </row>
    <row r="20" spans="1:11" x14ac:dyDescent="0.2">
      <c r="A20" s="413"/>
      <c r="B20" s="413"/>
      <c r="C20" s="413"/>
      <c r="D20" s="413"/>
      <c r="E20" s="413"/>
      <c r="F20" s="413"/>
      <c r="G20" s="413"/>
      <c r="H20" s="413"/>
      <c r="I20" s="413"/>
      <c r="J20" s="413"/>
      <c r="K20" s="413"/>
    </row>
    <row r="21" spans="1:11" x14ac:dyDescent="0.2">
      <c r="A21" s="413"/>
      <c r="B21" s="413"/>
      <c r="C21" s="413"/>
      <c r="D21" s="413"/>
      <c r="E21" s="413"/>
      <c r="F21" s="413"/>
      <c r="G21" s="413"/>
      <c r="H21" s="413"/>
      <c r="I21" s="413"/>
      <c r="J21" s="413"/>
      <c r="K21" s="413"/>
    </row>
    <row r="22" spans="1:11" x14ac:dyDescent="0.2">
      <c r="A22" s="413"/>
      <c r="B22" s="413"/>
      <c r="C22" s="413"/>
      <c r="D22" s="413"/>
      <c r="E22" s="413"/>
      <c r="F22" s="413"/>
      <c r="G22" s="413"/>
      <c r="H22" s="413"/>
      <c r="I22" s="413"/>
      <c r="J22" s="413"/>
      <c r="K22" s="413"/>
    </row>
    <row r="23" spans="1:11" x14ac:dyDescent="0.2">
      <c r="A23" s="413"/>
      <c r="B23" s="413"/>
      <c r="C23" s="413"/>
      <c r="D23" s="413"/>
      <c r="E23" s="413"/>
      <c r="F23" s="413"/>
      <c r="G23" s="413"/>
      <c r="H23" s="413"/>
      <c r="I23" s="413"/>
      <c r="J23" s="413"/>
      <c r="K23" s="413"/>
    </row>
    <row r="24" spans="1:11" x14ac:dyDescent="0.2">
      <c r="A24" s="413"/>
      <c r="B24" s="413"/>
      <c r="C24" s="413"/>
      <c r="D24" s="413"/>
      <c r="E24" s="413"/>
      <c r="F24" s="413"/>
      <c r="G24" s="413"/>
      <c r="H24" s="413"/>
      <c r="I24" s="413"/>
      <c r="J24" s="413"/>
      <c r="K24" s="413"/>
    </row>
    <row r="25" spans="1:11" x14ac:dyDescent="0.2">
      <c r="A25" s="413"/>
      <c r="B25" s="413"/>
      <c r="C25" s="413"/>
      <c r="D25" s="413"/>
      <c r="E25" s="413"/>
      <c r="F25" s="413"/>
      <c r="G25" s="413"/>
      <c r="H25" s="413"/>
      <c r="I25" s="413"/>
      <c r="J25" s="413"/>
      <c r="K25" s="413"/>
    </row>
    <row r="26" spans="1:11" x14ac:dyDescent="0.2">
      <c r="A26" s="413"/>
      <c r="B26" s="413"/>
      <c r="C26" s="413"/>
      <c r="D26" s="413"/>
      <c r="E26" s="413"/>
      <c r="F26" s="413"/>
      <c r="G26" s="413"/>
      <c r="H26" s="413"/>
      <c r="I26" s="413"/>
      <c r="J26" s="413"/>
      <c r="K26" s="413"/>
    </row>
    <row r="27" spans="1:11" x14ac:dyDescent="0.2">
      <c r="A27" s="414"/>
      <c r="B27" s="414"/>
      <c r="C27" s="414"/>
      <c r="D27" s="414"/>
      <c r="E27" s="414"/>
      <c r="F27" s="414"/>
      <c r="G27" s="414"/>
      <c r="H27" s="414"/>
      <c r="I27" s="414"/>
      <c r="J27" s="414"/>
      <c r="K27" s="414"/>
    </row>
  </sheetData>
  <sheetProtection password="C511" sheet="1" objects="1" scenarios="1"/>
  <mergeCells count="2">
    <mergeCell ref="A5:K5"/>
    <mergeCell ref="A4:K4"/>
  </mergeCells>
  <hyperlinks>
    <hyperlink ref="A5:K5" r:id="rId1" display="http://www.pge.com/mybusiness/energysavingsrebates/demandresponse/cs/ "/>
  </hyperlinks>
  <printOptions horizontalCentered="1"/>
  <pageMargins left="0" right="0" top="0.93" bottom="0.25" header="0.13" footer="0.1"/>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8"/>
  <sheetViews>
    <sheetView view="pageLayout" topLeftCell="A7" zoomScale="85" zoomScaleNormal="100" zoomScalePageLayoutView="85" workbookViewId="0">
      <selection activeCell="A8" sqref="A8"/>
    </sheetView>
  </sheetViews>
  <sheetFormatPr defaultRowHeight="12.75" x14ac:dyDescent="0.2"/>
  <cols>
    <col min="1" max="1" width="32.7109375" style="8" customWidth="1"/>
    <col min="2" max="2" width="10.140625" style="9" customWidth="1"/>
    <col min="3" max="3" width="10.28515625" style="10" customWidth="1"/>
    <col min="4" max="4" width="10.7109375" style="10" customWidth="1"/>
    <col min="5" max="5" width="10.140625" style="10" customWidth="1"/>
    <col min="6" max="6" width="10.28515625" style="10" customWidth="1"/>
    <col min="7" max="7" width="10.5703125" style="10" customWidth="1"/>
    <col min="8" max="9" width="10.28515625" style="10" customWidth="1"/>
    <col min="10" max="10" width="10.7109375" style="10" customWidth="1"/>
    <col min="11" max="11" width="10.28515625" style="11" customWidth="1"/>
    <col min="12" max="12" width="10.28515625" style="8" customWidth="1"/>
    <col min="13" max="13" width="10.85546875" style="8" customWidth="1"/>
    <col min="14" max="14" width="10" style="11" customWidth="1"/>
    <col min="15" max="15" width="10.28515625" style="11" customWidth="1"/>
    <col min="16" max="16" width="10.7109375" style="11" customWidth="1"/>
    <col min="17" max="17" width="9.7109375" style="10" customWidth="1"/>
    <col min="18" max="18" width="10.28515625" style="11" customWidth="1"/>
    <col min="19" max="19" width="10.42578125" style="11" customWidth="1"/>
    <col min="20" max="20" width="14.140625" style="8" customWidth="1"/>
    <col min="21" max="21" width="9.7109375" style="8" customWidth="1"/>
    <col min="22" max="22" width="11.42578125" style="8" customWidth="1"/>
    <col min="23" max="23" width="11" style="8" customWidth="1"/>
    <col min="24" max="25" width="9.7109375" style="8" customWidth="1"/>
    <col min="26" max="26" width="12.85546875" style="8" customWidth="1"/>
    <col min="27" max="27" width="8.85546875" style="8" bestFit="1" customWidth="1"/>
    <col min="28" max="28" width="10.5703125" style="8" customWidth="1"/>
    <col min="29" max="29" width="9.85546875" style="8" bestFit="1" customWidth="1"/>
    <col min="30" max="30" width="11.140625" style="8" customWidth="1"/>
    <col min="31" max="31" width="9.85546875" style="8" bestFit="1" customWidth="1"/>
    <col min="32" max="32" width="10.85546875" style="8" customWidth="1"/>
    <col min="33" max="33" width="12.140625" style="8" bestFit="1" customWidth="1"/>
    <col min="34" max="34" width="12.140625" style="8" customWidth="1"/>
    <col min="35" max="35" width="9.5703125" style="8" bestFit="1" customWidth="1"/>
    <col min="36" max="36" width="11.140625" style="8" customWidth="1"/>
    <col min="37" max="37" width="11.7109375" style="8" bestFit="1" customWidth="1"/>
    <col min="38" max="38" width="11.7109375" style="8" customWidth="1"/>
    <col min="39" max="16384" width="9.140625" style="8"/>
  </cols>
  <sheetData>
    <row r="1" spans="1:31" ht="11.25" customHeight="1" x14ac:dyDescent="0.2">
      <c r="A1" s="8" t="s">
        <v>50</v>
      </c>
    </row>
    <row r="2" spans="1:31" ht="2.25" customHeight="1" x14ac:dyDescent="0.2"/>
    <row r="3" spans="1:31" ht="11.25" customHeight="1" x14ac:dyDescent="0.2">
      <c r="A3" s="8" t="s">
        <v>51</v>
      </c>
    </row>
    <row r="4" spans="1:31" ht="13.5" hidden="1" customHeight="1" x14ac:dyDescent="0.2"/>
    <row r="5" spans="1:31" hidden="1" x14ac:dyDescent="0.2">
      <c r="C5" s="10">
        <v>2</v>
      </c>
      <c r="D5" s="10">
        <f>C5</f>
        <v>2</v>
      </c>
      <c r="F5" s="10">
        <f>C5+1</f>
        <v>3</v>
      </c>
      <c r="G5" s="10">
        <f>F5</f>
        <v>3</v>
      </c>
      <c r="I5" s="10">
        <f>F5+1</f>
        <v>4</v>
      </c>
      <c r="J5" s="10">
        <f>I5</f>
        <v>4</v>
      </c>
      <c r="L5" s="8">
        <f>I5+1</f>
        <v>5</v>
      </c>
      <c r="M5" s="8">
        <f>L5</f>
        <v>5</v>
      </c>
      <c r="O5" s="11">
        <f>L5+1</f>
        <v>6</v>
      </c>
      <c r="P5" s="11">
        <f>O5</f>
        <v>6</v>
      </c>
      <c r="R5" s="11">
        <f>O5+1</f>
        <v>7</v>
      </c>
      <c r="S5" s="11">
        <f>R5</f>
        <v>7</v>
      </c>
    </row>
    <row r="6" spans="1:31" hidden="1" x14ac:dyDescent="0.2"/>
    <row r="7" spans="1:31" ht="11.25" customHeight="1" x14ac:dyDescent="0.2">
      <c r="A7" s="12"/>
      <c r="B7" s="452" t="s">
        <v>7</v>
      </c>
      <c r="C7" s="453"/>
      <c r="D7" s="454"/>
      <c r="E7" s="452" t="s">
        <v>8</v>
      </c>
      <c r="F7" s="453"/>
      <c r="G7" s="454"/>
      <c r="H7" s="452" t="s">
        <v>9</v>
      </c>
      <c r="I7" s="453"/>
      <c r="J7" s="454"/>
      <c r="K7" s="452" t="s">
        <v>10</v>
      </c>
      <c r="L7" s="453"/>
      <c r="M7" s="454"/>
      <c r="N7" s="452" t="s">
        <v>11</v>
      </c>
      <c r="O7" s="453"/>
      <c r="P7" s="454"/>
      <c r="Q7" s="452" t="s">
        <v>12</v>
      </c>
      <c r="R7" s="453"/>
      <c r="S7" s="454"/>
      <c r="T7" s="13"/>
    </row>
    <row r="8" spans="1:31" s="409" customFormat="1" ht="42" customHeight="1" x14ac:dyDescent="0.25">
      <c r="A8" s="28" t="s">
        <v>52</v>
      </c>
      <c r="B8" s="408" t="s">
        <v>53</v>
      </c>
      <c r="C8" s="19" t="s">
        <v>54</v>
      </c>
      <c r="D8" s="20" t="s">
        <v>55</v>
      </c>
      <c r="E8" s="25" t="s">
        <v>53</v>
      </c>
      <c r="F8" s="19" t="s">
        <v>54</v>
      </c>
      <c r="G8" s="20" t="s">
        <v>55</v>
      </c>
      <c r="H8" s="407" t="s">
        <v>53</v>
      </c>
      <c r="I8" s="19" t="s">
        <v>54</v>
      </c>
      <c r="J8" s="20" t="s">
        <v>55</v>
      </c>
      <c r="K8" s="407" t="s">
        <v>53</v>
      </c>
      <c r="L8" s="19" t="s">
        <v>54</v>
      </c>
      <c r="M8" s="20" t="s">
        <v>55</v>
      </c>
      <c r="N8" s="407" t="s">
        <v>53</v>
      </c>
      <c r="O8" s="19" t="s">
        <v>54</v>
      </c>
      <c r="P8" s="20" t="s">
        <v>55</v>
      </c>
      <c r="Q8" s="407" t="s">
        <v>53</v>
      </c>
      <c r="R8" s="19" t="s">
        <v>54</v>
      </c>
      <c r="S8" s="20" t="s">
        <v>55</v>
      </c>
      <c r="T8" s="20" t="s">
        <v>195</v>
      </c>
    </row>
    <row r="9" spans="1:31" ht="12.75" customHeight="1" x14ac:dyDescent="0.2">
      <c r="A9" s="23" t="s">
        <v>56</v>
      </c>
      <c r="B9" s="92"/>
      <c r="C9" s="16"/>
      <c r="D9" s="93"/>
      <c r="E9" s="16"/>
      <c r="F9" s="16"/>
      <c r="G9" s="371"/>
      <c r="H9" s="17"/>
      <c r="I9" s="16"/>
      <c r="J9" s="15"/>
      <c r="K9" s="18"/>
      <c r="L9" s="25"/>
      <c r="M9" s="429"/>
      <c r="N9" s="18"/>
      <c r="O9" s="26"/>
      <c r="P9" s="27"/>
      <c r="Q9" s="17"/>
      <c r="R9" s="26"/>
      <c r="S9" s="27"/>
      <c r="T9" s="400"/>
    </row>
    <row r="10" spans="1:31" ht="12" customHeight="1" x14ac:dyDescent="0.2">
      <c r="A10" s="44" t="s">
        <v>22</v>
      </c>
      <c r="B10" s="75">
        <v>230</v>
      </c>
      <c r="C10" s="38">
        <f>IF(B10="","",IF(VLOOKUP($A10,'Ex Ante LI &amp; Eligibility Stats'!$A$7:$M$23,C$5,FALSE)="N/A",0,VLOOKUP($A10,'Ex Ante LI &amp; Eligibility Stats'!$A$7:$M$23,C$5,FALSE)*B10/1000))</f>
        <v>70.84</v>
      </c>
      <c r="D10" s="39">
        <f>IF(B10="","",IF(VLOOKUP($A10,'Ex Post LI &amp; Eligibility Stats'!$A$6:$M$22,C$5,FALSE)="N/A",0,VLOOKUP($A10,'Ex Post LI &amp; Eligibility Stats'!$A$6:$M$22,C$5,FALSE)*B10/1000))</f>
        <v>189.13129999999998</v>
      </c>
      <c r="E10" s="259">
        <v>230</v>
      </c>
      <c r="F10" s="31">
        <f>IF(E10="","",IF(VLOOKUP($A10,'Ex Ante LI &amp; Eligibility Stats'!$A$7:$M$23,F$5,FALSE)="N/A",0,VLOOKUP($A10,'Ex Ante LI &amp; Eligibility Stats'!$A$7:$M$23,F$5,FALSE)*E10/1000))</f>
        <v>75.945999999999998</v>
      </c>
      <c r="G10" s="39">
        <f>IF(E10="","",IF(VLOOKUP($A10,'Ex Post LI &amp; Eligibility Stats'!$A$6:$M$22,F$5,FALSE)="N/A",0,VLOOKUP($A10,'Ex Post LI &amp; Eligibility Stats'!$A$6:$M$22,F$5,FALSE)*E10/1000))</f>
        <v>189.13129999999998</v>
      </c>
      <c r="H10" s="259">
        <v>230</v>
      </c>
      <c r="I10" s="31">
        <f>IF(H10="","",IF(VLOOKUP($A10,'Ex Ante LI &amp; Eligibility Stats'!$A$7:$M$23,I$5,FALSE)="N/A",0,VLOOKUP($A10,'Ex Ante LI &amp; Eligibility Stats'!$A$7:$M$23,I$5,FALSE)*H10/1000))</f>
        <v>81.442999999999998</v>
      </c>
      <c r="J10" s="39">
        <f>IF(H10="","",IF(VLOOKUP($A10,'Ex Post LI &amp; Eligibility Stats'!$A$6:$M$22,I$5,FALSE)="N/A",0,VLOOKUP($A10,'Ex Post LI &amp; Eligibility Stats'!$A$6:$M$22,I$5,FALSE)*H10/1000))</f>
        <v>189.13129999999998</v>
      </c>
      <c r="K10" s="406">
        <v>233</v>
      </c>
      <c r="L10" s="34">
        <f>IF(K10="","",IF(VLOOKUP($A10,'Ex Ante LI &amp; Eligibility Stats'!$A$7:$M$23,L$5,FALSE)="N/A",0,VLOOKUP($A10,'Ex Ante LI &amp; Eligibility Stats'!$A$7:$M$23,L$5,FALSE)*K10/1000))</f>
        <v>177.33630000000002</v>
      </c>
      <c r="M10" s="39">
        <f>IF(K10="","",IF(VLOOKUP($A10,'Ex Post LI &amp; Eligibility Stats'!$A$6:$M$22,L$5,FALSE)="N/A",0,VLOOKUP($A10,'Ex Post LI &amp; Eligibility Stats'!$A$6:$M$22,L$5,FALSE)*K10/1000))</f>
        <v>191.59822999999997</v>
      </c>
      <c r="N10" s="406">
        <v>233</v>
      </c>
      <c r="O10" s="34">
        <f>IF(N10="","",IF(VLOOKUP($A10,'Ex Ante LI &amp; Eligibility Stats'!$A$7:$M$23,O$5,FALSE)="N/A",0,VLOOKUP($A10,'Ex Ante LI &amp; Eligibility Stats'!$A$7:$M$23,O$5,FALSE)*N10/1000))</f>
        <v>180.27209999999999</v>
      </c>
      <c r="P10" s="35">
        <f>IF(N10="","",IF(VLOOKUP($A10,'Ex Post LI &amp; Eligibility Stats'!$A$6:$M$22,O$5,FALSE)="N/A",0,VLOOKUP($A10,'Ex Post LI &amp; Eligibility Stats'!$A$6:$M$22,O$5,FALSE)*N10/1000))</f>
        <v>191.59822999999997</v>
      </c>
      <c r="Q10" s="75">
        <v>229</v>
      </c>
      <c r="R10" s="34">
        <f>IF(Q10="","",IF(VLOOKUP($A10,'Ex Ante LI &amp; Eligibility Stats'!$A$7:$M$23,R$5,FALSE)="N/A",0,VLOOKUP($A10,'Ex Ante LI &amp; Eligibility Stats'!$A$7:$M$23,R$5,FALSE)*Q10/1000))</f>
        <v>173.33010000000002</v>
      </c>
      <c r="S10" s="35">
        <f>IF(Q10="","",IF(VLOOKUP($A10,'Ex Post LI &amp; Eligibility Stats'!$A$6:$M$22,R$5,FALSE)="N/A",0,VLOOKUP($A10,'Ex Post LI &amp; Eligibility Stats'!$A$6:$M$22,R$5,FALSE)*Q10/1000))</f>
        <v>188.30898999999999</v>
      </c>
      <c r="T10" s="401">
        <v>10396</v>
      </c>
    </row>
    <row r="11" spans="1:31" ht="12" customHeight="1" x14ac:dyDescent="0.2">
      <c r="A11" s="44" t="s">
        <v>23</v>
      </c>
      <c r="B11" s="75">
        <v>28</v>
      </c>
      <c r="C11" s="38">
        <f>IF(B11="","",IF(VLOOKUP($A11,'Ex Ante LI &amp; Eligibility Stats'!$A$7:$M$23,C$5,FALSE)="N/A",0,VLOOKUP($A11,'Ex Ante LI &amp; Eligibility Stats'!$A$7:$M$23,C$5,FALSE)*B11/1000))</f>
        <v>0</v>
      </c>
      <c r="D11" s="39">
        <f>IF(B11="","",IF(VLOOKUP($A11,'Ex Post LI &amp; Eligibility Stats'!$A$6:$M$22,C$5,FALSE)="N/A",0,VLOOKUP($A11,'Ex Post LI &amp; Eligibility Stats'!$A$6:$M$22,C$5,FALSE)*B11/1000))</f>
        <v>0</v>
      </c>
      <c r="E11" s="75">
        <v>28</v>
      </c>
      <c r="F11" s="38">
        <f>IF(E11="","",IF(VLOOKUP($A11,'Ex Ante LI &amp; Eligibility Stats'!$A$7:$M$23,F$5,FALSE)="N/A",0,VLOOKUP($A11,'Ex Ante LI &amp; Eligibility Stats'!$A$7:$M$23,F$5,FALSE)*E11/1000))</f>
        <v>0</v>
      </c>
      <c r="G11" s="39">
        <f>IF(E11="","",IF(VLOOKUP($A11,'Ex Post LI &amp; Eligibility Stats'!$A$6:$M$22,F$5,FALSE)="N/A",0,VLOOKUP($A11,'Ex Post LI &amp; Eligibility Stats'!$A$6:$M$22,F$5,FALSE)*E11/1000))</f>
        <v>0</v>
      </c>
      <c r="H11" s="75">
        <v>28</v>
      </c>
      <c r="I11" s="38">
        <f>IF(H11="","",IF(VLOOKUP($A11,'Ex Ante LI &amp; Eligibility Stats'!$A$7:$M$23,I$5,FALSE)="N/A",0,VLOOKUP($A11,'Ex Ante LI &amp; Eligibility Stats'!$A$7:$M$23,I$5,FALSE)*H11/1000))</f>
        <v>0</v>
      </c>
      <c r="J11" s="39">
        <f>IF(H11="","",IF(VLOOKUP($A11,'Ex Post LI &amp; Eligibility Stats'!$A$6:$M$22,I$5,FALSE)="N/A",0,VLOOKUP($A11,'Ex Post LI &amp; Eligibility Stats'!$A$6:$M$22,I$5,FALSE)*H11/1000))</f>
        <v>0</v>
      </c>
      <c r="K11" s="79">
        <v>26</v>
      </c>
      <c r="L11" s="41">
        <f>IF(K11="","",IF(VLOOKUP($A11,'Ex Ante LI &amp; Eligibility Stats'!$A$7:$M$23,L$5,FALSE)="N/A",0,VLOOKUP($A11,'Ex Ante LI &amp; Eligibility Stats'!$A$7:$M$23,L$5,FALSE)*K11/1000))</f>
        <v>0</v>
      </c>
      <c r="M11" s="42">
        <f>IF(K11="","",IF(VLOOKUP($A11,'Ex Post LI &amp; Eligibility Stats'!$A$6:$M$22,L$5,FALSE)="N/A",0,VLOOKUP($A11,'Ex Post LI &amp; Eligibility Stats'!$A$6:$M$22,L$5,FALSE)*K11/1000))</f>
        <v>0</v>
      </c>
      <c r="N11" s="79">
        <v>26</v>
      </c>
      <c r="O11" s="41">
        <f>IF(N11="","",IF(VLOOKUP($A11,'Ex Ante LI &amp; Eligibility Stats'!$A$7:$M$23,O$5,FALSE)="N/A",0,VLOOKUP($A11,'Ex Ante LI &amp; Eligibility Stats'!$A$7:$M$23,O$5,FALSE)*N11/1000))</f>
        <v>0</v>
      </c>
      <c r="P11" s="42">
        <f>IF(N11="","",IF(VLOOKUP($A11,'Ex Post LI &amp; Eligibility Stats'!$A$6:$M$22,O$5,FALSE)="N/A",0,VLOOKUP($A11,'Ex Post LI &amp; Eligibility Stats'!$A$6:$M$22,O$5,FALSE)*N11/1000))</f>
        <v>0</v>
      </c>
      <c r="Q11" s="75">
        <v>26</v>
      </c>
      <c r="R11" s="41">
        <f>IF(Q11="","",IF(VLOOKUP($A11,'Ex Ante LI &amp; Eligibility Stats'!$A$7:$M$23,R$5,FALSE)="N/A",0,VLOOKUP($A11,'Ex Ante LI &amp; Eligibility Stats'!$A$7:$M$23,R$5,FALSE)*Q11/1000))</f>
        <v>0</v>
      </c>
      <c r="S11" s="42">
        <f>IF(Q11="","",IF(VLOOKUP($A11,'Ex Post LI &amp; Eligibility Stats'!$A$6:$M$22,R$5,FALSE)="N/A",0,VLOOKUP($A11,'Ex Post LI &amp; Eligibility Stats'!$A$6:$M$22,R$5,FALSE)*Q11/1000))</f>
        <v>0</v>
      </c>
      <c r="T11" s="401" t="s">
        <v>24</v>
      </c>
    </row>
    <row r="12" spans="1:31" ht="12" customHeight="1" x14ac:dyDescent="0.2">
      <c r="A12" s="44" t="s">
        <v>26</v>
      </c>
      <c r="B12" s="75">
        <v>0</v>
      </c>
      <c r="C12" s="38">
        <f>IF(B12="","",IF(VLOOKUP($A12,'Ex Ante LI &amp; Eligibility Stats'!$A$7:$M$23,C$5,FALSE)="N/A",0,VLOOKUP($A12,'Ex Ante LI &amp; Eligibility Stats'!$A$7:$M$23,C$5,FALSE)*B12/1000))</f>
        <v>0</v>
      </c>
      <c r="D12" s="39">
        <f>IF(B12="","",IF(VLOOKUP($A12,'Ex Post LI &amp; Eligibility Stats'!$A$6:$M$22,C$5,FALSE)="N/A",0,VLOOKUP($A12,'Ex Post LI &amp; Eligibility Stats'!$A$6:$M$22,C$5,FALSE)*B12/1000))</f>
        <v>0</v>
      </c>
      <c r="E12" s="75">
        <v>0</v>
      </c>
      <c r="F12" s="38">
        <f>IF(E12="","",IF(VLOOKUP($A12,'Ex Ante LI &amp; Eligibility Stats'!$A$7:$M$23,F$5,FALSE)="N/A",0,VLOOKUP($A12,'Ex Ante LI &amp; Eligibility Stats'!$A$7:$M$23,F$5,FALSE)*E12/1000))</f>
        <v>0</v>
      </c>
      <c r="G12" s="39">
        <f>IF(E12="","",IF(VLOOKUP($A12,'Ex Post LI &amp; Eligibility Stats'!$A$6:$M$22,F$5,FALSE)="N/A",0,VLOOKUP($A12,'Ex Post LI &amp; Eligibility Stats'!$A$6:$M$22,F$5,FALSE)*E12/1000))</f>
        <v>0</v>
      </c>
      <c r="H12" s="75">
        <v>0</v>
      </c>
      <c r="I12" s="38">
        <f>IF(H12="","",IF(VLOOKUP($A12,'Ex Ante LI &amp; Eligibility Stats'!$A$7:$M$23,I$5,FALSE)="N/A",0,VLOOKUP($A12,'Ex Ante LI &amp; Eligibility Stats'!$A$7:$M$23,I$5,FALSE)*H12/1000))</f>
        <v>0</v>
      </c>
      <c r="J12" s="39">
        <f>IF(H12="","",IF(VLOOKUP($A12,'Ex Post LI &amp; Eligibility Stats'!$A$6:$M$22,I$5,FALSE)="N/A",0,VLOOKUP($A12,'Ex Post LI &amp; Eligibility Stats'!$A$6:$M$22,I$5,FALSE)*H12/1000))</f>
        <v>0</v>
      </c>
      <c r="K12" s="79">
        <v>0</v>
      </c>
      <c r="L12" s="41">
        <f>IF(K12="","",IF(VLOOKUP($A12,'Ex Ante LI &amp; Eligibility Stats'!$A$7:$M$23,L$5,FALSE)="N/A",0,VLOOKUP($A12,'Ex Ante LI &amp; Eligibility Stats'!$A$7:$M$23,L$5,FALSE)*K12/1000))</f>
        <v>0</v>
      </c>
      <c r="M12" s="42">
        <f>IF(K12="","",IF(VLOOKUP($A12,'Ex Post LI &amp; Eligibility Stats'!$A$6:$M$22,L$5,FALSE)="N/A",0,VLOOKUP($A12,'Ex Post LI &amp; Eligibility Stats'!$A$6:$M$22,L$5,FALSE)*K12/1000))</f>
        <v>0</v>
      </c>
      <c r="N12" s="79">
        <v>0</v>
      </c>
      <c r="O12" s="41">
        <f>IF(N12="","",IF(VLOOKUP($A12,'Ex Ante LI &amp; Eligibility Stats'!$A$7:$M$23,O$5,FALSE)="N/A",0,VLOOKUP($A12,'Ex Ante LI &amp; Eligibility Stats'!$A$7:$M$23,O$5,FALSE)*N12/1000))</f>
        <v>0</v>
      </c>
      <c r="P12" s="42">
        <f>IF(N12="","",IF(VLOOKUP($A12,'Ex Post LI &amp; Eligibility Stats'!$A$6:$M$22,O$5,FALSE)="N/A",0,VLOOKUP($A12,'Ex Post LI &amp; Eligibility Stats'!$A$6:$M$22,O$5,FALSE)*N12/1000))</f>
        <v>0</v>
      </c>
      <c r="Q12" s="75">
        <v>0</v>
      </c>
      <c r="R12" s="41">
        <f>IF(Q12="","",IF(VLOOKUP($A12,'Ex Ante LI &amp; Eligibility Stats'!$A$7:$M$23,R$5,FALSE)="N/A",0,VLOOKUP($A12,'Ex Ante LI &amp; Eligibility Stats'!$A$7:$M$23,R$5,FALSE)*Q12/1000))</f>
        <v>0</v>
      </c>
      <c r="S12" s="42">
        <f>IF(Q12="","",IF(VLOOKUP($A12,'Ex Post LI &amp; Eligibility Stats'!$A$6:$M$22,R$5,FALSE)="N/A",0,VLOOKUP($A12,'Ex Post LI &amp; Eligibility Stats'!$A$6:$M$22,R$5,FALSE)*Q12/1000))</f>
        <v>0</v>
      </c>
      <c r="T12" s="401" t="s">
        <v>24</v>
      </c>
    </row>
    <row r="13" spans="1:31" ht="12" customHeight="1" x14ac:dyDescent="0.2">
      <c r="A13" s="44" t="s">
        <v>203</v>
      </c>
      <c r="B13" s="75">
        <v>6343</v>
      </c>
      <c r="C13" s="38">
        <f>IF(B13="","",IF(VLOOKUP($A13,'Ex Ante LI &amp; Eligibility Stats'!$A$7:$M$23,C$5,FALSE)="N/A",0,VLOOKUP($A13,'Ex Ante LI &amp; Eligibility Stats'!$A$7:$M$23,C$5,FALSE)*B13/1000))</f>
        <v>0</v>
      </c>
      <c r="D13" s="39">
        <f>IF(B13="","",IF(VLOOKUP($A13,'Ex Post LI &amp; Eligibility Stats'!$A$6:$M$22,C$5,FALSE)="N/A",0,VLOOKUP($A13,'Ex Post LI &amp; Eligibility Stats'!$A$6:$M$22,C$5,FALSE)*B13/1000))</f>
        <v>1.8394699999999997</v>
      </c>
      <c r="E13" s="253">
        <v>6326</v>
      </c>
      <c r="F13" s="38">
        <f>IF(E13="","",IF(VLOOKUP($A13,'Ex Ante LI &amp; Eligibility Stats'!$A$7:$M$23,F$5,FALSE)="N/A",0,VLOOKUP($A13,'Ex Ante LI &amp; Eligibility Stats'!$A$7:$M$23,F$5,FALSE)*E13/1000))</f>
        <v>0</v>
      </c>
      <c r="G13" s="39">
        <f>IF(E13="","",IF(VLOOKUP($A13,'Ex Post LI &amp; Eligibility Stats'!$A$6:$M$22,F$5,FALSE)="N/A",0,VLOOKUP($A13,'Ex Post LI &amp; Eligibility Stats'!$A$6:$M$22,F$5,FALSE)*E13/1000))</f>
        <v>1.8345400000000001</v>
      </c>
      <c r="H13" s="253">
        <v>6283</v>
      </c>
      <c r="I13" s="38">
        <f>IF(H13="","",IF(VLOOKUP($A13,'Ex Ante LI &amp; Eligibility Stats'!$A$7:$M$23,I$5,FALSE)="N/A",0,VLOOKUP($A13,'Ex Ante LI &amp; Eligibility Stats'!$A$7:$M$23,I$5,FALSE)*H13/1000))</f>
        <v>0</v>
      </c>
      <c r="J13" s="39">
        <f>IF(H13="","",IF(VLOOKUP($A13,'Ex Post LI &amp; Eligibility Stats'!$A$6:$M$22,I$5,FALSE)="N/A",0,VLOOKUP($A13,'Ex Post LI &amp; Eligibility Stats'!$A$6:$M$22,I$5,FALSE)*H13/1000))</f>
        <v>1.8220699999999999</v>
      </c>
      <c r="K13" s="79">
        <v>6239</v>
      </c>
      <c r="L13" s="41">
        <f>IF(K13="","",IF(VLOOKUP($A13,'Ex Ante LI &amp; Eligibility Stats'!$A$7:$M$23,L$5,FALSE)="N/A",0,VLOOKUP($A13,'Ex Ante LI &amp; Eligibility Stats'!$A$7:$M$23,L$5,FALSE)*K13/1000))</f>
        <v>0</v>
      </c>
      <c r="M13" s="42">
        <f>IF(K13="","",IF(VLOOKUP($A13,'Ex Post LI &amp; Eligibility Stats'!$A$6:$M$22,L$5,FALSE)="N/A",0,VLOOKUP($A13,'Ex Post LI &amp; Eligibility Stats'!$A$6:$M$22,L$5,FALSE)*K13/1000))</f>
        <v>1.80931</v>
      </c>
      <c r="N13" s="79">
        <v>6140</v>
      </c>
      <c r="O13" s="41">
        <f>IF(N13="","",IF(VLOOKUP($A13,'Ex Ante LI &amp; Eligibility Stats'!$A$7:$M$23,O$5,FALSE)="N/A",0,VLOOKUP($A13,'Ex Ante LI &amp; Eligibility Stats'!$A$7:$M$23,O$5,FALSE)*N13/1000))</f>
        <v>2.456</v>
      </c>
      <c r="P13" s="42">
        <f>IF(N13="","",IF(VLOOKUP($A13,'Ex Post LI &amp; Eligibility Stats'!$A$6:$M$22,O$5,FALSE)="N/A",0,VLOOKUP($A13,'Ex Post LI &amp; Eligibility Stats'!$A$6:$M$22,O$5,FALSE)*N13/1000))</f>
        <v>1.7806</v>
      </c>
      <c r="Q13" s="75">
        <v>6043</v>
      </c>
      <c r="R13" s="41">
        <f>IF(Q13="","",IF(VLOOKUP($A13,'Ex Ante LI &amp; Eligibility Stats'!$A$7:$M$23,R$5,FALSE)="N/A",0,VLOOKUP($A13,'Ex Ante LI &amp; Eligibility Stats'!$A$7:$M$23,R$5,FALSE)*Q13/1000))</f>
        <v>3.0215000000000001</v>
      </c>
      <c r="S13" s="42">
        <f>IF(Q13="","",IF(VLOOKUP($A13,'Ex Post LI &amp; Eligibility Stats'!$A$6:$M$22,R$5,FALSE)="N/A",0,VLOOKUP($A13,'Ex Post LI &amp; Eligibility Stats'!$A$6:$M$22,R$5,FALSE)*Q13/1000))</f>
        <v>1.7524699999999998</v>
      </c>
      <c r="T13" s="401">
        <v>593312</v>
      </c>
    </row>
    <row r="14" spans="1:31" ht="12" customHeight="1" x14ac:dyDescent="0.2">
      <c r="A14" s="89" t="s">
        <v>204</v>
      </c>
      <c r="B14" s="108">
        <v>157106</v>
      </c>
      <c r="C14" s="46">
        <f>IF(B14="","",IF(VLOOKUP($A14,'Ex Ante LI &amp; Eligibility Stats'!$A$7:$M$23,C$5,FALSE)="N/A",0,VLOOKUP($A14,'Ex Ante LI &amp; Eligibility Stats'!$A$7:$M$23,C$5,FALSE)*B14/1000))</f>
        <v>0</v>
      </c>
      <c r="D14" s="47">
        <f>IF(B14="","",IF(VLOOKUP($A14,'Ex Post LI &amp; Eligibility Stats'!$A$6:$M$22,C$5,FALSE)="N/A",0,VLOOKUP($A14,'Ex Post LI &amp; Eligibility Stats'!$A$6:$M$22,C$5,FALSE)*B14/1000))</f>
        <v>78.552999999999997</v>
      </c>
      <c r="E14" s="370">
        <v>156761</v>
      </c>
      <c r="F14" s="46">
        <f>IF(E14="","",IF(VLOOKUP($A14,'Ex Ante LI &amp; Eligibility Stats'!$A$7:$M$23,F$5,FALSE)="N/A",0,VLOOKUP($A14,'Ex Ante LI &amp; Eligibility Stats'!$A$7:$M$23,F$5,FALSE)*E14/1000))</f>
        <v>0</v>
      </c>
      <c r="G14" s="47">
        <f>IF(E14="","",IF(VLOOKUP($A14,'Ex Post LI &amp; Eligibility Stats'!$A$6:$M$22,F$5,FALSE)="N/A",0,VLOOKUP($A14,'Ex Post LI &amp; Eligibility Stats'!$A$6:$M$22,F$5,FALSE)*E14/1000))</f>
        <v>78.380499999999998</v>
      </c>
      <c r="H14" s="108">
        <v>155969</v>
      </c>
      <c r="I14" s="46">
        <f>IF(H14="","",IF(VLOOKUP($A14,'Ex Ante LI &amp; Eligibility Stats'!$A$7:$M$23,I$5,FALSE)="N/A",0,VLOOKUP($A14,'Ex Ante LI &amp; Eligibility Stats'!$A$7:$M$23,I$5,FALSE)*H14/1000))</f>
        <v>0</v>
      </c>
      <c r="J14" s="39">
        <f>IF(H14="","",IF(VLOOKUP($A14,'Ex Post LI &amp; Eligibility Stats'!$A$6:$M$22,I$5,FALSE)="N/A",0,VLOOKUP($A14,'Ex Post LI &amp; Eligibility Stats'!$A$6:$M$22,I$5,FALSE)*H14/1000))</f>
        <v>77.984499999999997</v>
      </c>
      <c r="K14" s="109">
        <v>154484</v>
      </c>
      <c r="L14" s="49">
        <f>IF(K14="","",IF(VLOOKUP($A14,'Ex Ante LI &amp; Eligibility Stats'!$A$7:$M$23,L$5,FALSE)="N/A",0,VLOOKUP($A14,'Ex Ante LI &amp; Eligibility Stats'!$A$7:$M$23,L$5,FALSE)*K14/1000))</f>
        <v>0</v>
      </c>
      <c r="M14" s="50">
        <f>IF(K14="","",IF(VLOOKUP($A14,'Ex Post LI &amp; Eligibility Stats'!$A$6:$M$22,L$5,FALSE)="N/A",0,VLOOKUP($A14,'Ex Post LI &amp; Eligibility Stats'!$A$6:$M$22,L$5,FALSE)*K14/1000))</f>
        <v>77.242000000000004</v>
      </c>
      <c r="N14" s="109">
        <v>152529</v>
      </c>
      <c r="O14" s="49">
        <f>IF(N14="","",IF(VLOOKUP($A14,'Ex Ante LI &amp; Eligibility Stats'!$A$7:$M$23,O$5,FALSE)="N/A",0,VLOOKUP($A14,'Ex Ante LI &amp; Eligibility Stats'!$A$7:$M$23,O$5,FALSE)*N14/1000))</f>
        <v>45.758699999999997</v>
      </c>
      <c r="P14" s="50">
        <f>IF(N14="","",IF(VLOOKUP($A14,'Ex Post LI &amp; Eligibility Stats'!$A$6:$M$22,O$5,FALSE)="N/A",0,VLOOKUP($A14,'Ex Post LI &amp; Eligibility Stats'!$A$6:$M$22,O$5,FALSE)*N14/1000))</f>
        <v>76.264499999999998</v>
      </c>
      <c r="Q14" s="109">
        <v>151777</v>
      </c>
      <c r="R14" s="49">
        <f>IF(Q14="","",IF(VLOOKUP($A14,'Ex Ante LI &amp; Eligibility Stats'!$A$7:$M$23,R$5,FALSE)="N/A",0,VLOOKUP($A14,'Ex Ante LI &amp; Eligibility Stats'!$A$7:$M$23,R$5,FALSE)*Q14/1000))</f>
        <v>60.710800000000006</v>
      </c>
      <c r="S14" s="50">
        <f>IF(Q14="","",IF(VLOOKUP($A14,'Ex Post LI &amp; Eligibility Stats'!$A$6:$M$22,R$5,FALSE)="N/A",0,VLOOKUP($A14,'Ex Post LI &amp; Eligibility Stats'!$A$6:$M$22,R$5,FALSE)*Q14/1000))</f>
        <v>75.888499999999993</v>
      </c>
      <c r="T14" s="402">
        <v>3000000</v>
      </c>
    </row>
    <row r="15" spans="1:31" ht="12" customHeight="1" thickBot="1" x14ac:dyDescent="0.25">
      <c r="A15" s="73" t="s">
        <v>58</v>
      </c>
      <c r="B15" s="53">
        <f>SUM(B10:B14)</f>
        <v>163707</v>
      </c>
      <c r="C15" s="54">
        <f t="shared" ref="C15:S15" si="0">SUM(C10:C14)</f>
        <v>70.84</v>
      </c>
      <c r="D15" s="55">
        <f t="shared" si="0"/>
        <v>269.52377000000001</v>
      </c>
      <c r="E15" s="53">
        <f>SUM(E10:E14)</f>
        <v>163345</v>
      </c>
      <c r="F15" s="54">
        <f t="shared" si="0"/>
        <v>75.945999999999998</v>
      </c>
      <c r="G15" s="55">
        <f t="shared" si="0"/>
        <v>269.34634</v>
      </c>
      <c r="H15" s="411">
        <f t="shared" si="0"/>
        <v>162510</v>
      </c>
      <c r="I15" s="54">
        <f t="shared" si="0"/>
        <v>81.442999999999998</v>
      </c>
      <c r="J15" s="355">
        <f t="shared" ref="J15" si="1">SUM(J10:J14)</f>
        <v>268.93786999999998</v>
      </c>
      <c r="K15" s="56">
        <f t="shared" si="0"/>
        <v>160982</v>
      </c>
      <c r="L15" s="57">
        <f t="shared" ref="L15" si="2">SUM(L10:L14)</f>
        <v>177.33630000000002</v>
      </c>
      <c r="M15" s="58">
        <f t="shared" si="0"/>
        <v>270.64954</v>
      </c>
      <c r="N15" s="56">
        <f t="shared" si="0"/>
        <v>158928</v>
      </c>
      <c r="O15" s="57">
        <f t="shared" si="0"/>
        <v>228.48679999999999</v>
      </c>
      <c r="P15" s="58">
        <f t="shared" si="0"/>
        <v>269.64332999999999</v>
      </c>
      <c r="Q15" s="53">
        <f t="shared" si="0"/>
        <v>158075</v>
      </c>
      <c r="R15" s="57">
        <f t="shared" si="0"/>
        <v>237.06240000000003</v>
      </c>
      <c r="S15" s="58">
        <f t="shared" si="0"/>
        <v>265.94995999999998</v>
      </c>
      <c r="T15" s="59"/>
    </row>
    <row r="16" spans="1:31" ht="12" customHeight="1" thickTop="1" x14ac:dyDescent="0.2">
      <c r="A16" s="23" t="s">
        <v>59</v>
      </c>
      <c r="B16" s="260"/>
      <c r="C16" s="263"/>
      <c r="D16" s="264"/>
      <c r="E16" s="261"/>
      <c r="F16" s="60"/>
      <c r="G16" s="369"/>
      <c r="H16" s="24"/>
      <c r="I16" s="60"/>
      <c r="J16" s="369"/>
      <c r="K16" s="62"/>
      <c r="L16" s="63"/>
      <c r="M16" s="368"/>
      <c r="N16" s="62"/>
      <c r="O16" s="65"/>
      <c r="P16" s="66"/>
      <c r="Q16" s="24"/>
      <c r="R16" s="65"/>
      <c r="S16" s="66"/>
      <c r="T16" s="67"/>
      <c r="U16" s="68"/>
      <c r="V16" s="68"/>
      <c r="W16" s="68"/>
      <c r="X16" s="68"/>
      <c r="Y16" s="68"/>
      <c r="Z16" s="68"/>
      <c r="AA16" s="68"/>
      <c r="AB16" s="68"/>
      <c r="AC16" s="68"/>
      <c r="AD16" s="68"/>
      <c r="AE16" s="68"/>
    </row>
    <row r="17" spans="1:31" ht="12" customHeight="1" x14ac:dyDescent="0.2">
      <c r="A17" s="405" t="s">
        <v>31</v>
      </c>
      <c r="B17" s="70">
        <v>291</v>
      </c>
      <c r="C17" s="38">
        <f>IF(B17="","",IF(VLOOKUP($A17,'Ex Ante LI &amp; Eligibility Stats'!$A$7:$M$23,C$5,FALSE)="N/A",0,VLOOKUP($A17,'Ex Ante LI &amp; Eligibility Stats'!$A$7:$M$23,C$5,FALSE)*B17/1000))</f>
        <v>0</v>
      </c>
      <c r="D17" s="32">
        <f>IF(B17="","",IF(VLOOKUP($A17,'Ex Post LI &amp; Eligibility Stats'!$A$6:$M$22,C$5,FALSE)="N/A",0,VLOOKUP($A17,'Ex Post LI &amp; Eligibility Stats'!$A$6:$M$22,C$5,FALSE)*B17/1000))</f>
        <v>61.67454</v>
      </c>
      <c r="E17" s="75">
        <v>291</v>
      </c>
      <c r="F17" s="31">
        <f>IF(E17="","",IF(VLOOKUP($A17,'Ex Ante LI &amp; Eligibility Stats'!$A$7:$M$23,F$5,FALSE)="N/A",0,VLOOKUP($A17,'Ex Ante LI &amp; Eligibility Stats'!$A$7:$M$23,F$5,FALSE)*E17/1000))</f>
        <v>0</v>
      </c>
      <c r="G17" s="32">
        <f>IF(E17="","",IF(VLOOKUP($A17,'Ex Post LI &amp; Eligibility Stats'!$A$6:$M$22,F$5,FALSE)="N/A",0,VLOOKUP($A17,'Ex Post LI &amp; Eligibility Stats'!$A$6:$M$22,F$5,FALSE)*E17/1000))</f>
        <v>61.67454</v>
      </c>
      <c r="H17" s="259">
        <v>290</v>
      </c>
      <c r="I17" s="31">
        <f>IF(H17="","",IF(VLOOKUP($A17,'Ex Ante LI &amp; Eligibility Stats'!$A$7:$M$23,I$5,FALSE)="N/A",0,VLOOKUP($A17,'Ex Ante LI &amp; Eligibility Stats'!$A$7:$M$23,I$5,FALSE)*H17/1000))</f>
        <v>0</v>
      </c>
      <c r="J17" s="39">
        <f>IF(H17="","",IF(VLOOKUP($A17,'Ex Post LI &amp; Eligibility Stats'!$A$6:$M$22,I$5,FALSE)="N/A",0,VLOOKUP($A17,'Ex Post LI &amp; Eligibility Stats'!$A$6:$M$22,I$5,FALSE)*H17/1000))</f>
        <v>61.462600000000002</v>
      </c>
      <c r="K17" s="79">
        <v>291</v>
      </c>
      <c r="L17" s="34">
        <f>IF(K17="","",IF(VLOOKUP($A17,'Ex Ante LI &amp; Eligibility Stats'!$A$7:$M$23,L$5,FALSE)="N/A",0,VLOOKUP($A17,'Ex Ante LI &amp; Eligibility Stats'!$A$7:$M$23,L$5,FALSE)*K17/1000))</f>
        <v>0</v>
      </c>
      <c r="M17" s="42">
        <f>IF(K17="","",IF(VLOOKUP($A17,'Ex Post LI &amp; Eligibility Stats'!$A$6:$M$22,L$5,FALSE)="N/A",0,VLOOKUP($A17,'Ex Post LI &amp; Eligibility Stats'!$A$6:$M$22,L$5,FALSE)*K17/1000))</f>
        <v>61.67454</v>
      </c>
      <c r="N17" s="406">
        <v>291</v>
      </c>
      <c r="O17" s="34">
        <v>44</v>
      </c>
      <c r="P17" s="444">
        <v>44</v>
      </c>
      <c r="Q17" s="69">
        <v>286</v>
      </c>
      <c r="R17" s="34">
        <v>44</v>
      </c>
      <c r="S17" s="444">
        <v>44</v>
      </c>
      <c r="T17" s="401">
        <v>596031</v>
      </c>
      <c r="U17" s="68"/>
      <c r="V17" s="68"/>
      <c r="W17" s="68"/>
      <c r="X17" s="68"/>
      <c r="Y17" s="68"/>
      <c r="Z17" s="68"/>
      <c r="AA17" s="68"/>
      <c r="AB17" s="68"/>
      <c r="AC17" s="68"/>
      <c r="AD17" s="68"/>
      <c r="AE17" s="68"/>
    </row>
    <row r="18" spans="1:31" ht="12" customHeight="1" x14ac:dyDescent="0.25">
      <c r="A18" s="44" t="s">
        <v>33</v>
      </c>
      <c r="B18" s="70">
        <v>1501</v>
      </c>
      <c r="C18" s="38">
        <f>IF(B18="","",IF(VLOOKUP($A18,'Ex Ante LI &amp; Eligibility Stats'!$A$7:$M$23,C$5,FALSE)="N/A",0,VLOOKUP($A18,'Ex Ante LI &amp; Eligibility Stats'!$A$7:$M$23,C$5,FALSE)*B18/1000))</f>
        <v>0</v>
      </c>
      <c r="D18" s="39">
        <f>IF(B18="","",IF(VLOOKUP($A18,'Ex Post LI &amp; Eligibility Stats'!$A$6:$M$22,C$5,FALSE)="N/A",0,VLOOKUP($A18,'Ex Post LI &amp; Eligibility Stats'!$A$6:$M$22,C$5,FALSE)*B18/1000))</f>
        <v>152.36651000000001</v>
      </c>
      <c r="E18" s="75">
        <v>1504</v>
      </c>
      <c r="F18" s="38">
        <f>IF(E18="","",IF(VLOOKUP($A18,'Ex Ante LI &amp; Eligibility Stats'!$A$7:$M$23,F$5,FALSE)="N/A",0,VLOOKUP($A18,'Ex Ante LI &amp; Eligibility Stats'!$A$7:$M$23,F$5,FALSE)*E18/1000))</f>
        <v>0</v>
      </c>
      <c r="G18" s="39">
        <f>IF(E18="","",IF(VLOOKUP($A18,'Ex Post LI &amp; Eligibility Stats'!$A$6:$M$22,F$5,FALSE)="N/A",0,VLOOKUP($A18,'Ex Post LI &amp; Eligibility Stats'!$A$6:$M$22,F$5,FALSE)*E18/1000))</f>
        <v>152.67104</v>
      </c>
      <c r="H18" s="75">
        <v>1468</v>
      </c>
      <c r="I18" s="38">
        <f>IF(H18="","",IF(VLOOKUP($A18,'Ex Ante LI &amp; Eligibility Stats'!$A$7:$M$23,I$5,FALSE)="N/A",0,VLOOKUP($A18,'Ex Ante LI &amp; Eligibility Stats'!$A$7:$M$23,I$5,FALSE)*H18/1000))</f>
        <v>0</v>
      </c>
      <c r="J18" s="39">
        <f>IF(H18="","",IF(VLOOKUP($A18,'Ex Post LI &amp; Eligibility Stats'!$A$6:$M$22,I$5,FALSE)="N/A",0,VLOOKUP($A18,'Ex Post LI &amp; Eligibility Stats'!$A$6:$M$22,I$5,FALSE)*H18/1000))</f>
        <v>149.01667999999998</v>
      </c>
      <c r="K18" s="79">
        <v>1457</v>
      </c>
      <c r="L18" s="41">
        <f>IF(K18="","",IF(VLOOKUP($A18,'Ex Ante LI &amp; Eligibility Stats'!$A$7:$M$23,L$5,FALSE)="N/A",0,VLOOKUP($A18,'Ex Ante LI &amp; Eligibility Stats'!$A$7:$M$23,L$5,FALSE)*K18/1000))</f>
        <v>0</v>
      </c>
      <c r="M18" s="42">
        <f>IF(K18="","",IF(VLOOKUP($A18,'Ex Post LI &amp; Eligibility Stats'!$A$6:$M$22,L$5,FALSE)="N/A",0,VLOOKUP($A18,'Ex Post LI &amp; Eligibility Stats'!$A$6:$M$22,L$5,FALSE)*K18/1000))</f>
        <v>147.90007</v>
      </c>
      <c r="N18" s="79">
        <v>1426</v>
      </c>
      <c r="O18" s="41">
        <v>132</v>
      </c>
      <c r="P18" s="440">
        <v>151</v>
      </c>
      <c r="Q18" s="439">
        <v>1430</v>
      </c>
      <c r="R18" s="41">
        <v>137.5</v>
      </c>
      <c r="S18" s="440">
        <v>151</v>
      </c>
      <c r="T18" s="401">
        <v>596031</v>
      </c>
      <c r="U18" s="68"/>
      <c r="V18" s="68"/>
      <c r="W18" s="68"/>
      <c r="X18" s="68"/>
      <c r="Y18" s="68"/>
      <c r="Z18" s="68"/>
      <c r="AA18" s="68"/>
      <c r="AB18" s="68"/>
      <c r="AC18" s="68"/>
      <c r="AD18" s="68"/>
      <c r="AE18" s="68"/>
    </row>
    <row r="19" spans="1:31" ht="12" customHeight="1" x14ac:dyDescent="0.25">
      <c r="A19" s="44" t="s">
        <v>35</v>
      </c>
      <c r="B19" s="70">
        <v>0</v>
      </c>
      <c r="C19" s="38">
        <f>IF(B19="","",IF(VLOOKUP($A19,'Ex Ante LI &amp; Eligibility Stats'!$A$7:$M$23,C$5,FALSE)="N/A",0,VLOOKUP($A19,'Ex Ante LI &amp; Eligibility Stats'!$A$7:$M$23,C$5,FALSE)*B19/1000))</f>
        <v>0</v>
      </c>
      <c r="D19" s="39">
        <f>IF(B20="","",IF(VLOOKUP($A19,'Ex Post LI &amp; Eligibility Stats'!$A$6:$M$22,C$5,FALSE)="N/A",0,VLOOKUP($A19,'Ex Post LI &amp; Eligibility Stats'!$A$6:$M$22,C$5,FALSE)*B20/1000))</f>
        <v>0</v>
      </c>
      <c r="E19" s="75">
        <v>0</v>
      </c>
      <c r="F19" s="38">
        <f>IF(E19="","",IF(VLOOKUP($A19,'Ex Ante LI &amp; Eligibility Stats'!$A$7:$M$23,F$5,FALSE)="N/A",0,VLOOKUP($A19,'Ex Ante LI &amp; Eligibility Stats'!$A$7:$M$23,F$5,FALSE)*E19/1000))</f>
        <v>0</v>
      </c>
      <c r="G19" s="39">
        <f>IF(E20="","",IF(VLOOKUP($A19,'Ex Post LI &amp; Eligibility Stats'!$A$6:$M$22,F$5,FALSE)="N/A",0,VLOOKUP($A19,'Ex Post LI &amp; Eligibility Stats'!$A$6:$M$22,F$5,FALSE)*E20/1000))</f>
        <v>0</v>
      </c>
      <c r="H19" s="75">
        <v>0</v>
      </c>
      <c r="I19" s="38">
        <f>IF(H19="","",IF(VLOOKUP($A19,'Ex Ante LI &amp; Eligibility Stats'!$A$7:$M$23,I$5,FALSE)="N/A",0,VLOOKUP($A19,'Ex Ante LI &amp; Eligibility Stats'!$A$7:$M$23,I$5,FALSE)*H19/1000))</f>
        <v>0</v>
      </c>
      <c r="J19" s="39">
        <f>IF(H20="","",IF(VLOOKUP($A19,'Ex Post LI &amp; Eligibility Stats'!$A$6:$M$22,I$5,FALSE)="N/A",0,VLOOKUP($A19,'Ex Post LI &amp; Eligibility Stats'!$A$6:$M$22,I$5,FALSE)*H20/1000))</f>
        <v>0</v>
      </c>
      <c r="K19" s="79">
        <v>0</v>
      </c>
      <c r="L19" s="41">
        <f>IF(K19="","",IF(VLOOKUP($A19,'Ex Ante LI &amp; Eligibility Stats'!$A$7:$M$23,L$5,FALSE)="N/A",0,VLOOKUP($A19,'Ex Ante LI &amp; Eligibility Stats'!$A$7:$M$23,L$5,FALSE)*K19/1000))</f>
        <v>0</v>
      </c>
      <c r="M19" s="42">
        <f>IF(K20="","",IF(VLOOKUP($A19,'Ex Post LI &amp; Eligibility Stats'!$A$6:$M$22,L$5,FALSE)="N/A",0,VLOOKUP($A19,'Ex Post LI &amp; Eligibility Stats'!$A$6:$M$22,L$5,FALSE)*K20/1000))</f>
        <v>0</v>
      </c>
      <c r="N19" s="79">
        <v>0</v>
      </c>
      <c r="O19" s="41">
        <f>IF(N20="","",IF(VLOOKUP($A19,'Ex Ante LI &amp; Eligibility Stats'!$A$7:$M$23,O$5,FALSE)="N/A",0,VLOOKUP($A19,'Ex Ante LI &amp; Eligibility Stats'!$A$7:$M$23,O$5,FALSE)*N20/1000))</f>
        <v>0</v>
      </c>
      <c r="P19" s="42">
        <f>IF(N20="","",IF(VLOOKUP($A19,'Ex Post LI &amp; Eligibility Stats'!$A$6:$M$22,O$5,FALSE)="N/A",0,VLOOKUP($A19,'Ex Post LI &amp; Eligibility Stats'!$A$6:$M$22,O$5,FALSE)*N20/1000))</f>
        <v>0</v>
      </c>
      <c r="Q19" s="439">
        <v>580</v>
      </c>
      <c r="R19" s="439">
        <v>34.551000000000002</v>
      </c>
      <c r="S19" s="440">
        <f>IF(Q20="","",IF(VLOOKUP($A19,'Ex Post LI &amp; Eligibility Stats'!$A$6:$M$22,R$5,FALSE)="N/A",0,VLOOKUP($A19,'Ex Post LI &amp; Eligibility Stats'!$A$6:$M$22,R$5,FALSE)*Q20/1000))</f>
        <v>35.735800000000005</v>
      </c>
      <c r="T19" s="401">
        <v>596031</v>
      </c>
      <c r="U19" s="68"/>
      <c r="V19" s="68"/>
      <c r="W19" s="68"/>
      <c r="X19" s="68"/>
      <c r="Y19" s="68"/>
      <c r="Z19" s="68"/>
      <c r="AA19" s="68"/>
      <c r="AB19" s="68"/>
      <c r="AC19" s="68"/>
      <c r="AD19" s="68"/>
      <c r="AE19" s="68"/>
    </row>
    <row r="20" spans="1:31" ht="12" customHeight="1" x14ac:dyDescent="0.25">
      <c r="A20" s="44" t="s">
        <v>37</v>
      </c>
      <c r="B20" s="70">
        <v>0</v>
      </c>
      <c r="C20" s="38">
        <f>IF(B20="","",IF(VLOOKUP($A20,'Ex Ante LI &amp; Eligibility Stats'!$A$7:$M$23,C$5,FALSE)="N/A",0,VLOOKUP($A20,'Ex Ante LI &amp; Eligibility Stats'!$A$7:$M$23,C$5,FALSE)*B20/1000))</f>
        <v>0</v>
      </c>
      <c r="D20" s="39">
        <f>IF(B21="","",IF(VLOOKUP($A20,'Ex Post LI &amp; Eligibility Stats'!$A$6:$M$22,C$5,FALSE)="N/A",0,VLOOKUP($A20,'Ex Post LI &amp; Eligibility Stats'!$A$6:$M$22,C$5,FALSE)*B21/1000))</f>
        <v>82.337800000000001</v>
      </c>
      <c r="E20" s="75">
        <v>0</v>
      </c>
      <c r="F20" s="38">
        <f>IF(E20="","",IF(VLOOKUP($A20,'Ex Ante LI &amp; Eligibility Stats'!$A$7:$M$23,F$5,FALSE)="N/A",0,VLOOKUP($A20,'Ex Ante LI &amp; Eligibility Stats'!$A$7:$M$23,F$5,FALSE)*E20/1000))</f>
        <v>0</v>
      </c>
      <c r="G20" s="39">
        <f>IF(E21="","",IF(VLOOKUP($A20,'Ex Post LI &amp; Eligibility Stats'!$A$6:$M$22,F$5,FALSE)="N/A",0,VLOOKUP($A20,'Ex Post LI &amp; Eligibility Stats'!$A$6:$M$22,F$5,FALSE)*E21/1000))</f>
        <v>81.623200000000011</v>
      </c>
      <c r="H20" s="75">
        <v>0</v>
      </c>
      <c r="I20" s="38">
        <f>IF(H20="","",IF(VLOOKUP($A20,'Ex Ante LI &amp; Eligibility Stats'!$A$7:$M$23,I$5,FALSE)="N/A",0,VLOOKUP($A20,'Ex Ante LI &amp; Eligibility Stats'!$A$7:$M$23,I$5,FALSE)*H20/1000))</f>
        <v>0</v>
      </c>
      <c r="J20" s="39">
        <f>IF(H21="","",IF(VLOOKUP($A20,'Ex Post LI &amp; Eligibility Stats'!$A$6:$M$22,I$5,FALSE)="N/A",0,VLOOKUP($A20,'Ex Post LI &amp; Eligibility Stats'!$A$6:$M$22,I$5,FALSE)*H21/1000))</f>
        <v>81.623200000000011</v>
      </c>
      <c r="K20" s="79">
        <v>0</v>
      </c>
      <c r="L20" s="41">
        <f>IF(K20="","",IF(VLOOKUP($A20,'Ex Ante LI &amp; Eligibility Stats'!$A$7:$M$23,L$5,FALSE)="N/A",0,VLOOKUP($A20,'Ex Ante LI &amp; Eligibility Stats'!$A$7:$M$23,L$5,FALSE)*K20/1000))</f>
        <v>0</v>
      </c>
      <c r="M20" s="42">
        <f>IF(K21="","",IF(VLOOKUP($A20,'Ex Post LI &amp; Eligibility Stats'!$A$6:$M$22,L$5,FALSE)="N/A",0,VLOOKUP($A20,'Ex Post LI &amp; Eligibility Stats'!$A$6:$M$22,L$5,FALSE)*K21/1000))</f>
        <v>81.623200000000011</v>
      </c>
      <c r="N20" s="79">
        <v>0</v>
      </c>
      <c r="O20" s="41">
        <f>IF(N21="","",IF(VLOOKUP($A20,'Ex Ante LI &amp; Eligibility Stats'!$A$7:$M$23,O$5,FALSE)="N/A",0,VLOOKUP($A20,'Ex Ante LI &amp; Eligibility Stats'!$A$7:$M$23,O$5,FALSE)*N21/1000))</f>
        <v>83.947500000000005</v>
      </c>
      <c r="P20" s="42">
        <f>IF(N21="","",IF(VLOOKUP($A20,'Ex Post LI &amp; Eligibility Stats'!$A$6:$M$22,O$5,FALSE)="N/A",0,VLOOKUP($A20,'Ex Post LI &amp; Eligibility Stats'!$A$6:$M$22,O$5,FALSE)*N21/1000))</f>
        <v>81.385000000000005</v>
      </c>
      <c r="Q20" s="439">
        <v>394</v>
      </c>
      <c r="R20" s="439">
        <v>26.026</v>
      </c>
      <c r="S20" s="440">
        <f>IF(Q21="","",IF(VLOOKUP($A20,'Ex Post LI &amp; Eligibility Stats'!$A$6:$M$22,R$5,FALSE)="N/A",0,VLOOKUP($A20,'Ex Post LI &amp; Eligibility Stats'!$A$6:$M$22,R$5,FALSE)*Q21/1000))</f>
        <v>80.988</v>
      </c>
      <c r="T20" s="401">
        <v>596031</v>
      </c>
      <c r="U20" s="68"/>
      <c r="V20" s="68"/>
      <c r="W20" s="68"/>
      <c r="X20" s="68"/>
      <c r="Y20" s="68"/>
      <c r="Z20" s="68"/>
      <c r="AA20" s="68"/>
      <c r="AB20" s="68"/>
      <c r="AC20" s="68"/>
      <c r="AD20" s="68"/>
      <c r="AE20" s="68"/>
    </row>
    <row r="21" spans="1:31" ht="12" customHeight="1" x14ac:dyDescent="0.2">
      <c r="A21" s="44" t="s">
        <v>38</v>
      </c>
      <c r="B21" s="70">
        <v>1037</v>
      </c>
      <c r="C21" s="38">
        <f>IF(B21="","",IF(VLOOKUP($A21,'Ex Ante LI &amp; Eligibility Stats'!$A$7:$M$23,C$5,FALSE)="N/A",0,VLOOKUP($A21,'Ex Ante LI &amp; Eligibility Stats'!$A$7:$M$23,C$5,FALSE)*B21/1000))</f>
        <v>16.799399999999999</v>
      </c>
      <c r="D21" s="39">
        <f>IF(B21="","",IF(VLOOKUP($A21,'Ex Post LI &amp; Eligibility Stats'!$A$6:$M$22,C$5,FALSE)="N/A",0,VLOOKUP($A21,'Ex Post LI &amp; Eligibility Stats'!$A$6:$M$22,C$5,FALSE)*B21/1000))</f>
        <v>56.7239</v>
      </c>
      <c r="E21" s="75">
        <v>1028</v>
      </c>
      <c r="F21" s="38">
        <f>IF(E21="","",IF(VLOOKUP($A21,'Ex Ante LI &amp; Eligibility Stats'!$A$7:$M$23,F$5,FALSE)="N/A",0,VLOOKUP($A21,'Ex Ante LI &amp; Eligibility Stats'!$A$7:$M$23,F$5,FALSE)*E21/1000))</f>
        <v>17.1676</v>
      </c>
      <c r="G21" s="39">
        <f>IF(E21="","",IF(VLOOKUP($A21,'Ex Post LI &amp; Eligibility Stats'!$A$6:$M$22,F$5,FALSE)="N/A",0,VLOOKUP($A21,'Ex Post LI &amp; Eligibility Stats'!$A$6:$M$22,F$5,FALSE)*E21/1000))</f>
        <v>56.231600000000007</v>
      </c>
      <c r="H21" s="75">
        <v>1028</v>
      </c>
      <c r="I21" s="38">
        <f>IF(H21="","",IF(VLOOKUP($A21,'Ex Ante LI &amp; Eligibility Stats'!$A$7:$M$23,I$5,FALSE)="N/A",0,VLOOKUP($A21,'Ex Ante LI &amp; Eligibility Stats'!$A$7:$M$23,I$5,FALSE)*H21/1000))</f>
        <v>17.270400000000002</v>
      </c>
      <c r="J21" s="39">
        <f>IF(H21="","",IF(VLOOKUP($A21,'Ex Post LI &amp; Eligibility Stats'!$A$6:$M$22,I$5,FALSE)="N/A",0,VLOOKUP($A21,'Ex Post LI &amp; Eligibility Stats'!$A$6:$M$22,I$5,FALSE)*H21/1000))</f>
        <v>56.231600000000007</v>
      </c>
      <c r="K21" s="79">
        <v>1028</v>
      </c>
      <c r="L21" s="41">
        <f>IF(K21="","",IF(VLOOKUP($A21,'Ex Ante LI &amp; Eligibility Stats'!$A$7:$M$23,L$5,FALSE)="N/A",0,VLOOKUP($A21,'Ex Ante LI &amp; Eligibility Stats'!$A$7:$M$23,L$5,FALSE)*K21/1000))</f>
        <v>17.784400000000002</v>
      </c>
      <c r="M21" s="42">
        <f>IF(K21="","",IF(VLOOKUP($A21,'Ex Post LI &amp; Eligibility Stats'!$A$6:$M$22,L$5,FALSE)="N/A",0,VLOOKUP($A21,'Ex Post LI &amp; Eligibility Stats'!$A$6:$M$22,L$5,FALSE)*K21/1000))</f>
        <v>56.231600000000007</v>
      </c>
      <c r="N21" s="79">
        <v>1025</v>
      </c>
      <c r="O21" s="41">
        <f>IF(N21="","",IF(VLOOKUP($A21,'Ex Ante LI &amp; Eligibility Stats'!$A$7:$M$23,O$5,FALSE)="N/A",0,VLOOKUP($A21,'Ex Ante LI &amp; Eligibility Stats'!$A$7:$M$23,O$5,FALSE)*N21/1000))</f>
        <v>42.127499999999998</v>
      </c>
      <c r="P21" s="42">
        <f>IF(N21="","",IF(VLOOKUP($A21,'Ex Post LI &amp; Eligibility Stats'!$A$6:$M$22,O$5,FALSE)="N/A",0,VLOOKUP($A21,'Ex Post LI &amp; Eligibility Stats'!$A$6:$M$22,O$5,FALSE)*N21/1000))</f>
        <v>56.067500000000003</v>
      </c>
      <c r="Q21" s="70">
        <v>1020</v>
      </c>
      <c r="R21" s="41">
        <f>IF(Q21="","",IF(VLOOKUP($A21,'Ex Ante LI &amp; Eligibility Stats'!$A$7:$M$23,R$5,FALSE)="N/A",0,VLOOKUP($A21,'Ex Ante LI &amp; Eligibility Stats'!$A$7:$M$23,R$5,FALSE)*Q21/1000))</f>
        <v>43.554000000000002</v>
      </c>
      <c r="S21" s="440">
        <f>IF(Q21="","",IF(VLOOKUP($A21,'Ex Post LI &amp; Eligibility Stats'!$A$6:$M$22,R$5,FALSE)="N/A",0,VLOOKUP($A21,'Ex Post LI &amp; Eligibility Stats'!$A$6:$M$22,R$5,FALSE)*Q21/1000))</f>
        <v>55.793999999999997</v>
      </c>
      <c r="T21" s="401">
        <v>10396</v>
      </c>
      <c r="U21" s="68"/>
      <c r="V21" s="68"/>
      <c r="W21" s="68"/>
      <c r="X21" s="68"/>
      <c r="Y21" s="68"/>
      <c r="Z21" s="68"/>
      <c r="AA21" s="68"/>
      <c r="AB21" s="68"/>
      <c r="AC21" s="68"/>
      <c r="AD21" s="68"/>
      <c r="AE21" s="68"/>
    </row>
    <row r="22" spans="1:31" ht="12" customHeight="1" x14ac:dyDescent="0.2">
      <c r="A22" s="44" t="s">
        <v>206</v>
      </c>
      <c r="B22" s="446">
        <v>1701</v>
      </c>
      <c r="C22" s="38">
        <f>IF(B22="","",IF(VLOOKUP($A22,'Ex Ante LI &amp; Eligibility Stats'!$A$7:$M$23,C$5,FALSE)="N/A",0,VLOOKUP($A22,'Ex Ante LI &amp; Eligibility Stats'!$A$7:$M$23,C$5,FALSE)*B22/1000))</f>
        <v>0</v>
      </c>
      <c r="D22" s="39">
        <f>IF(B22="","",IF(VLOOKUP($A22,'Ex Post LI &amp; Eligibility Stats'!$A$6:$M$22,C$5,FALSE)="N/A",0,VLOOKUP($A22,'Ex Post LI &amp; Eligibility Stats'!$A$6:$M$22,C$5,FALSE)*B22/1000))</f>
        <v>31.995809999999999</v>
      </c>
      <c r="E22" s="446">
        <v>1657</v>
      </c>
      <c r="F22" s="38">
        <f>IF(E22="","",IF(VLOOKUP($A22,'Ex Ante LI &amp; Eligibility Stats'!$A$7:$M$23,F$5,FALSE)="N/A",0,VLOOKUP($A22,'Ex Ante LI &amp; Eligibility Stats'!$A$7:$M$23,F$5,FALSE)*E22/1000))</f>
        <v>0</v>
      </c>
      <c r="G22" s="39">
        <f>IF(E22="","",IF(VLOOKUP($A22,'Ex Post LI &amp; Eligibility Stats'!$A$6:$M$22,F$5,FALSE)="N/A",0,VLOOKUP($A22,'Ex Post LI &amp; Eligibility Stats'!$A$6:$M$22,F$5,FALSE)*E22/1000))</f>
        <v>31.16817</v>
      </c>
      <c r="H22" s="446">
        <v>1645</v>
      </c>
      <c r="I22" s="38">
        <f>IF(H22="","",IF(VLOOKUP($A22,'Ex Ante LI &amp; Eligibility Stats'!$A$7:$M$23,I$5,FALSE)="N/A",0,VLOOKUP($A22,'Ex Ante LI &amp; Eligibility Stats'!$A$7:$M$23,I$5,FALSE)*H22/1000))</f>
        <v>0</v>
      </c>
      <c r="J22" s="39">
        <f>IF(H22="","",IF(VLOOKUP($A22,'Ex Post LI &amp; Eligibility Stats'!$A$6:$M$22,I$5,FALSE)="N/A",0,VLOOKUP($A22,'Ex Post LI &amp; Eligibility Stats'!$A$6:$M$22,I$5,FALSE)*H22/1000))</f>
        <v>30.942449999999997</v>
      </c>
      <c r="K22" s="446">
        <v>1653</v>
      </c>
      <c r="L22" s="41">
        <f>IF(K22="","",IF(VLOOKUP($A22,'Ex Ante LI &amp; Eligibility Stats'!$A$7:$M$23,L$5,FALSE)="N/A",0,VLOOKUP($A22,'Ex Ante LI &amp; Eligibility Stats'!$A$7:$M$23,L$5,FALSE)*K22/1000))</f>
        <v>0</v>
      </c>
      <c r="M22" s="42">
        <f>IF(K22="","",IF(VLOOKUP($A22,'Ex Post LI &amp; Eligibility Stats'!$A$6:$M$22,L$5,FALSE)="N/A",0,VLOOKUP($A22,'Ex Post LI &amp; Eligibility Stats'!$A$6:$M$22,L$5,FALSE)*K22/1000))</f>
        <v>31.092929999999996</v>
      </c>
      <c r="N22" s="446">
        <v>1648</v>
      </c>
      <c r="O22" s="41">
        <f>IF(N22="","",IF(VLOOKUP($A22,'Ex Ante LI &amp; Eligibility Stats'!$A$7:$M$23,O$5,FALSE)="N/A",0,VLOOKUP($A22,'Ex Ante LI &amp; Eligibility Stats'!$A$7:$M$23,O$5,FALSE)*N22/1000))</f>
        <v>31.08128</v>
      </c>
      <c r="P22" s="42">
        <f>IF(N22="","",IF(VLOOKUP($A22,'Ex Post LI &amp; Eligibility Stats'!$A$6:$M$22,O$5,FALSE)="N/A",0,VLOOKUP($A22,'Ex Post LI &amp; Eligibility Stats'!$A$6:$M$22,O$5,FALSE)*N22/1000))</f>
        <v>30.998879999999996</v>
      </c>
      <c r="Q22" s="446">
        <v>1646</v>
      </c>
      <c r="R22" s="41">
        <f>IF(Q22="","",IF(VLOOKUP($A22,'Ex Ante LI &amp; Eligibility Stats'!$A$7:$M$23,R$5,FALSE)="N/A",0,VLOOKUP($A22,'Ex Ante LI &amp; Eligibility Stats'!$A$7:$M$23,R$5,FALSE)*Q22/1000))</f>
        <v>33.973440000000004</v>
      </c>
      <c r="S22" s="440">
        <f>IF(Q22="","",IF(VLOOKUP($A22,'Ex Post LI &amp; Eligibility Stats'!$A$6:$M$22,R$5,FALSE)="N/A",0,VLOOKUP($A22,'Ex Post LI &amp; Eligibility Stats'!$A$6:$M$22,R$5,FALSE)*Q22/1000))</f>
        <v>30.961259999999999</v>
      </c>
      <c r="T22" s="401">
        <v>286311</v>
      </c>
      <c r="U22" s="68"/>
      <c r="V22" s="68"/>
      <c r="W22" s="68"/>
      <c r="X22" s="68"/>
      <c r="Y22" s="68"/>
      <c r="Z22" s="68"/>
      <c r="AA22" s="68"/>
      <c r="AB22" s="68"/>
      <c r="AC22" s="68"/>
      <c r="AD22" s="68"/>
      <c r="AE22" s="68"/>
    </row>
    <row r="23" spans="1:31" s="425" customFormat="1" ht="12" customHeight="1" x14ac:dyDescent="0.2">
      <c r="A23" s="44" t="s">
        <v>207</v>
      </c>
      <c r="B23" s="446">
        <v>3912</v>
      </c>
      <c r="C23" s="38">
        <f>IF(B23="","",IF(VLOOKUP($A23,'Ex Ante LI &amp; Eligibility Stats'!$A$7:$M$23,C$5,FALSE)="N/A",0,VLOOKUP($A23,'Ex Ante LI &amp; Eligibility Stats'!$A$7:$M$23,C$5,FALSE)*B23/1000))</f>
        <v>0</v>
      </c>
      <c r="D23" s="39">
        <f>IF(B23="","",IF(VLOOKUP($A23,'Ex Post LI &amp; Eligibility Stats'!$A$6:$M$22,C$5,FALSE)="N/A",0,VLOOKUP($A23,'Ex Post LI &amp; Eligibility Stats'!$A$6:$M$22,C$5,FALSE)*B23/1000))</f>
        <v>13.183440000000001</v>
      </c>
      <c r="E23" s="446">
        <v>4186</v>
      </c>
      <c r="F23" s="38">
        <f>IF(E23="","",IF(VLOOKUP($A23,'Ex Ante LI &amp; Eligibility Stats'!$A$7:$M$23,F$5,FALSE)="N/A",0,VLOOKUP($A23,'Ex Ante LI &amp; Eligibility Stats'!$A$7:$M$23,F$5,FALSE)*E23/1000))</f>
        <v>0</v>
      </c>
      <c r="G23" s="39">
        <f>IF(E23="","",IF(VLOOKUP($A23,'Ex Post LI &amp; Eligibility Stats'!$A$6:$M$22,F$5,FALSE)="N/A",0,VLOOKUP($A23,'Ex Post LI &amp; Eligibility Stats'!$A$6:$M$22,F$5,FALSE)*E23/1000))</f>
        <v>14.106819999999999</v>
      </c>
      <c r="H23" s="446">
        <v>4195</v>
      </c>
      <c r="I23" s="38">
        <f>IF(H23="","",IF(VLOOKUP($A23,'Ex Ante LI &amp; Eligibility Stats'!$A$7:$M$23,I$5,FALSE)="N/A",0,VLOOKUP($A23,'Ex Ante LI &amp; Eligibility Stats'!$A$7:$M$23,I$5,FALSE)*H23/1000))</f>
        <v>0</v>
      </c>
      <c r="J23" s="39">
        <f>IF(H23="","",IF(VLOOKUP($A23,'Ex Post LI &amp; Eligibility Stats'!$A$6:$M$22,I$5,FALSE)="N/A",0,VLOOKUP($A23,'Ex Post LI &amp; Eligibility Stats'!$A$6:$M$22,I$5,FALSE)*H23/1000))</f>
        <v>14.13715</v>
      </c>
      <c r="K23" s="446">
        <v>4215</v>
      </c>
      <c r="L23" s="41">
        <f>IF(K23="","",IF(VLOOKUP($A23,'Ex Ante LI &amp; Eligibility Stats'!$A$7:$M$23,L$5,FALSE)="N/A",0,VLOOKUP($A23,'Ex Ante LI &amp; Eligibility Stats'!$A$7:$M$23,L$5,FALSE)*K23/1000))</f>
        <v>0</v>
      </c>
      <c r="M23" s="42">
        <f>IF(K23="","",IF(VLOOKUP($A23,'Ex Post LI &amp; Eligibility Stats'!$A$6:$M$22,L$5,FALSE)="N/A",0,VLOOKUP($A23,'Ex Post LI &amp; Eligibility Stats'!$A$6:$M$22,L$5,FALSE)*K23/1000))</f>
        <v>14.204550000000001</v>
      </c>
      <c r="N23" s="446">
        <v>4229</v>
      </c>
      <c r="O23" s="41">
        <f>IF(N23="","",IF(VLOOKUP($A23,'Ex Ante LI &amp; Eligibility Stats'!$A$7:$M$23,O$5,FALSE)="N/A",0,VLOOKUP($A23,'Ex Ante LI &amp; Eligibility Stats'!$A$7:$M$23,O$5,FALSE)*N23/1000))</f>
        <v>7.7813600000000003</v>
      </c>
      <c r="P23" s="42">
        <f>IF(N23="","",IF(VLOOKUP($A23,'Ex Post LI &amp; Eligibility Stats'!$A$6:$M$22,O$5,FALSE)="N/A",0,VLOOKUP($A23,'Ex Post LI &amp; Eligibility Stats'!$A$6:$M$22,O$5,FALSE)*N23/1000))</f>
        <v>14.25173</v>
      </c>
      <c r="Q23" s="446">
        <v>4228</v>
      </c>
      <c r="R23" s="41">
        <f>IF(Q23="","",IF(VLOOKUP($A23,'Ex Ante LI &amp; Eligibility Stats'!$A$7:$M$23,R$5,FALSE)="N/A",0,VLOOKUP($A23,'Ex Ante LI &amp; Eligibility Stats'!$A$7:$M$23,R$5,FALSE)*Q23/1000))</f>
        <v>9.3016000000000005</v>
      </c>
      <c r="S23" s="440">
        <f>IF(Q23="","",IF(VLOOKUP($A23,'Ex Post LI &amp; Eligibility Stats'!$A$6:$M$22,R$5,FALSE)="N/A",0,VLOOKUP($A23,'Ex Post LI &amp; Eligibility Stats'!$A$6:$M$22,R$5,FALSE)*Q23/1000))</f>
        <v>14.24836</v>
      </c>
      <c r="T23" s="401">
        <v>0</v>
      </c>
      <c r="U23" s="424"/>
      <c r="V23" s="424"/>
      <c r="W23" s="424"/>
      <c r="X23" s="424"/>
      <c r="Y23" s="424"/>
      <c r="Z23" s="424"/>
      <c r="AA23" s="424"/>
      <c r="AB23" s="424"/>
      <c r="AC23" s="424"/>
      <c r="AD23" s="424"/>
      <c r="AE23" s="424"/>
    </row>
    <row r="24" spans="1:31" ht="12" customHeight="1" x14ac:dyDescent="0.2">
      <c r="A24" s="44" t="s">
        <v>40</v>
      </c>
      <c r="B24" s="70">
        <v>116</v>
      </c>
      <c r="C24" s="38">
        <f>IF(B24="","",IF(VLOOKUP($A24,'Ex Ante LI &amp; Eligibility Stats'!$A$7:$M$23,C$5,FALSE)="N/A",0,VLOOKUP($A24,'Ex Ante LI &amp; Eligibility Stats'!$A$7:$M$23,C$5,FALSE)*B24/1000))</f>
        <v>0</v>
      </c>
      <c r="D24" s="39">
        <f>IF(B24="","",IF(VLOOKUP($A24,'Ex Post LI &amp; Eligibility Stats'!$A$6:$M$22,C$5,FALSE)="N/A",0,VLOOKUP($A24,'Ex Post LI &amp; Eligibility Stats'!$A$6:$M$22,C$5,FALSE)*B24/1000))</f>
        <v>1.6240000000000001</v>
      </c>
      <c r="E24" s="75">
        <v>112</v>
      </c>
      <c r="F24" s="38">
        <f>IF(E24="","",IF(VLOOKUP($A24,'Ex Ante LI &amp; Eligibility Stats'!$A$7:$M$23,F$5,FALSE)="N/A",0,VLOOKUP($A24,'Ex Ante LI &amp; Eligibility Stats'!$A$7:$M$23,F$5,FALSE)*E24/1000))</f>
        <v>0</v>
      </c>
      <c r="G24" s="39">
        <f>IF(E24="","",IF(VLOOKUP($A24,'Ex Post LI &amp; Eligibility Stats'!$A$6:$M$22,F$5,FALSE)="N/A",0,VLOOKUP($A24,'Ex Post LI &amp; Eligibility Stats'!$A$6:$M$22,F$5,FALSE)*E24/1000))</f>
        <v>1.5680000000000001</v>
      </c>
      <c r="H24" s="252">
        <v>111</v>
      </c>
      <c r="I24" s="38">
        <f>IF(H24="","",IF(VLOOKUP($A24,'Ex Ante LI &amp; Eligibility Stats'!$A$7:$M$23,I$5,FALSE)="N/A",0,VLOOKUP($A24,'Ex Ante LI &amp; Eligibility Stats'!$A$7:$M$23,I$5,FALSE)*H24/1000))</f>
        <v>0</v>
      </c>
      <c r="J24" s="39">
        <f>IF(H24="","",IF(VLOOKUP($A24,'Ex Post LI &amp; Eligibility Stats'!$A$6:$M$22,I$5,FALSE)="N/A",0,VLOOKUP($A24,'Ex Post LI &amp; Eligibility Stats'!$A$6:$M$22,I$5,FALSE)*H24/1000))</f>
        <v>1.554</v>
      </c>
      <c r="K24" s="252">
        <v>111</v>
      </c>
      <c r="L24" s="41">
        <f>IF(K24="","",IF(VLOOKUP($A24,'Ex Ante LI &amp; Eligibility Stats'!$A$7:$M$23,L$5,FALSE)="N/A",0,VLOOKUP($A24,'Ex Ante LI &amp; Eligibility Stats'!$A$7:$M$23,L$5,FALSE)*K24/1000))</f>
        <v>0</v>
      </c>
      <c r="M24" s="42">
        <f>IF(K24="","",IF(VLOOKUP($A24,'Ex Post LI &amp; Eligibility Stats'!$A$6:$M$22,L$5,FALSE)="N/A",0,VLOOKUP($A24,'Ex Post LI &amp; Eligibility Stats'!$A$6:$M$22,L$5,FALSE)*K24/1000))</f>
        <v>1.554</v>
      </c>
      <c r="N24" s="79">
        <v>111</v>
      </c>
      <c r="O24" s="41">
        <f>IF(N24="","",IF(VLOOKUP($A24,'Ex Ante LI &amp; Eligibility Stats'!$A$7:$M$23,O$5,FALSE)="N/A",0,VLOOKUP($A24,'Ex Ante LI &amp; Eligibility Stats'!$A$7:$M$23,O$5,FALSE)*N24/1000))</f>
        <v>0.92130000000000012</v>
      </c>
      <c r="P24" s="42">
        <f>IF(N24="","",IF(VLOOKUP($A24,'Ex Post LI &amp; Eligibility Stats'!$A$6:$M$22,O$5,FALSE)="N/A",0,VLOOKUP($A24,'Ex Post LI &amp; Eligibility Stats'!$A$6:$M$22,O$5,FALSE)*N24/1000))</f>
        <v>1.554</v>
      </c>
      <c r="Q24" s="70">
        <v>111</v>
      </c>
      <c r="R24" s="41">
        <f>IF(Q24="","",IF(VLOOKUP($A24,'Ex Ante LI &amp; Eligibility Stats'!$A$7:$M$23,R$5,FALSE)="N/A",0,VLOOKUP($A24,'Ex Ante LI &amp; Eligibility Stats'!$A$7:$M$23,R$5,FALSE)*Q24/1000))</f>
        <v>1.0655999999999999</v>
      </c>
      <c r="S24" s="440">
        <f>IF(Q24="","",IF(VLOOKUP($A24,'Ex Post LI &amp; Eligibility Stats'!$A$6:$M$22,R$5,FALSE)="N/A",0,VLOOKUP($A24,'Ex Post LI &amp; Eligibility Stats'!$A$6:$M$22,R$5,FALSE)*Q24/1000))</f>
        <v>1.554</v>
      </c>
      <c r="T24" s="401">
        <v>110349</v>
      </c>
      <c r="U24" s="68"/>
      <c r="V24" s="68"/>
      <c r="W24" s="68"/>
      <c r="X24" s="68"/>
      <c r="Y24" s="68"/>
      <c r="Z24" s="68"/>
      <c r="AA24" s="68"/>
      <c r="AB24" s="68"/>
      <c r="AC24" s="68"/>
      <c r="AD24" s="68"/>
      <c r="AE24" s="68"/>
    </row>
    <row r="25" spans="1:31" ht="12" customHeight="1" x14ac:dyDescent="0.2">
      <c r="A25" s="44" t="s">
        <v>42</v>
      </c>
      <c r="B25" s="70">
        <v>45</v>
      </c>
      <c r="C25" s="38">
        <f>IF(B25="","",IF(VLOOKUP($A25,'Ex Ante LI &amp; Eligibility Stats'!$A$7:$M$23,C$5,FALSE)="N/A",0,VLOOKUP($A25,'Ex Ante LI &amp; Eligibility Stats'!$A$7:$M$23,C$5,FALSE)*B25/1000))</f>
        <v>0</v>
      </c>
      <c r="D25" s="39">
        <f>IF(B25="","",IF(VLOOKUP($A25,'Ex Post LI &amp; Eligibility Stats'!$A$6:$M$22,C$5,FALSE)="N/A",0,VLOOKUP($A25,'Ex Post LI &amp; Eligibility Stats'!$A$6:$M$22,C$5,FALSE)*B25/1000))</f>
        <v>0.36</v>
      </c>
      <c r="E25" s="75">
        <v>44</v>
      </c>
      <c r="F25" s="38">
        <f>IF(E25="","",IF(VLOOKUP($A25,'Ex Ante LI &amp; Eligibility Stats'!$A$7:$M$23,F$5,FALSE)="N/A",0,VLOOKUP($A25,'Ex Ante LI &amp; Eligibility Stats'!$A$7:$M$23,F$5,FALSE)*E25/1000))</f>
        <v>0</v>
      </c>
      <c r="G25" s="39">
        <f>IF(E25="","",IF(VLOOKUP($A25,'Ex Post LI &amp; Eligibility Stats'!$A$6:$M$22,F$5,FALSE)="N/A",0,VLOOKUP($A25,'Ex Post LI &amp; Eligibility Stats'!$A$6:$M$22,F$5,FALSE)*E25/1000))</f>
        <v>0.35199999999999998</v>
      </c>
      <c r="H25" s="252">
        <v>44</v>
      </c>
      <c r="I25" s="38">
        <f>IF(H25="","",IF(VLOOKUP($A25,'Ex Ante LI &amp; Eligibility Stats'!$A$7:$M$23,I$5,FALSE)="N/A",0,VLOOKUP($A25,'Ex Ante LI &amp; Eligibility Stats'!$A$7:$M$23,I$5,FALSE)*H25/1000))</f>
        <v>0</v>
      </c>
      <c r="J25" s="39">
        <f>IF(H25="","",IF(VLOOKUP($A25,'Ex Post LI &amp; Eligibility Stats'!$A$6:$M$22,I$5,FALSE)="N/A",0,VLOOKUP($A25,'Ex Post LI &amp; Eligibility Stats'!$A$6:$M$22,I$5,FALSE)*H25/1000))</f>
        <v>0.35199999999999998</v>
      </c>
      <c r="K25" s="252">
        <v>44</v>
      </c>
      <c r="L25" s="41">
        <f>IF(K25="","",IF(VLOOKUP($A25,'Ex Ante LI &amp; Eligibility Stats'!$A$7:$M$23,L$5,FALSE)="N/A",0,VLOOKUP($A25,'Ex Ante LI &amp; Eligibility Stats'!$A$7:$M$23,L$5,FALSE)*K25/1000))</f>
        <v>0</v>
      </c>
      <c r="M25" s="42">
        <f>IF(K25="","",IF(VLOOKUP($A25,'Ex Post LI &amp; Eligibility Stats'!$A$6:$M$22,L$5,FALSE)="N/A",0,VLOOKUP($A25,'Ex Post LI &amp; Eligibility Stats'!$A$6:$M$22,L$5,FALSE)*K25/1000))</f>
        <v>0.35199999999999998</v>
      </c>
      <c r="N25" s="79">
        <v>42</v>
      </c>
      <c r="O25" s="41">
        <f>IF(N25="","",IF(VLOOKUP($A25,'Ex Ante LI &amp; Eligibility Stats'!$A$7:$M$23,O$5,FALSE)="N/A",0,VLOOKUP($A25,'Ex Ante LI &amp; Eligibility Stats'!$A$7:$M$23,O$5,FALSE)*N25/1000))</f>
        <v>0.43680000000000002</v>
      </c>
      <c r="P25" s="42">
        <f>IF(N25="","",IF(VLOOKUP($A25,'Ex Post LI &amp; Eligibility Stats'!$A$6:$M$22,O$5,FALSE)="N/A",0,VLOOKUP($A25,'Ex Post LI &amp; Eligibility Stats'!$A$6:$M$22,O$5,FALSE)*N25/1000))</f>
        <v>0.33600000000000002</v>
      </c>
      <c r="Q25" s="70">
        <v>42</v>
      </c>
      <c r="R25" s="41">
        <f>IF(Q25="","",IF(VLOOKUP($A25,'Ex Ante LI &amp; Eligibility Stats'!$A$7:$M$23,R$5,FALSE)="N/A",0,VLOOKUP($A25,'Ex Ante LI &amp; Eligibility Stats'!$A$7:$M$23,R$5,FALSE)*Q25/1000))</f>
        <v>0.50819999999999999</v>
      </c>
      <c r="S25" s="440">
        <f>IF(Q25="","",IF(VLOOKUP($A25,'Ex Post LI &amp; Eligibility Stats'!$A$6:$M$22,R$5,FALSE)="N/A",0,VLOOKUP($A25,'Ex Post LI &amp; Eligibility Stats'!$A$6:$M$22,R$5,FALSE)*Q25/1000))</f>
        <v>0.33600000000000002</v>
      </c>
      <c r="T25" s="401">
        <v>110349</v>
      </c>
      <c r="U25" s="68"/>
      <c r="V25" s="68"/>
      <c r="W25" s="68"/>
      <c r="X25" s="68"/>
      <c r="Y25" s="68"/>
      <c r="Z25" s="68"/>
      <c r="AA25" s="68"/>
      <c r="AB25" s="68"/>
      <c r="AC25" s="68"/>
      <c r="AD25" s="68"/>
      <c r="AE25" s="68"/>
    </row>
    <row r="26" spans="1:31" ht="12" customHeight="1" x14ac:dyDescent="0.2">
      <c r="A26" s="44" t="s">
        <v>43</v>
      </c>
      <c r="B26" s="70">
        <v>107</v>
      </c>
      <c r="C26" s="38">
        <f>IF(B26="","",IF(VLOOKUP($A26,'Ex Ante LI &amp; Eligibility Stats'!$A$7:$M$23,C$5,FALSE)="N/A",0,VLOOKUP($A26,'Ex Ante LI &amp; Eligibility Stats'!$A$7:$M$23,C$5,FALSE)*B26/1000))</f>
        <v>0</v>
      </c>
      <c r="D26" s="39">
        <f>IF(B26="","",IF(VLOOKUP($A26,'Ex Post LI &amp; Eligibility Stats'!$A$6:$M$22,C$5,FALSE)="N/A",0,VLOOKUP($A26,'Ex Post LI &amp; Eligibility Stats'!$A$6:$M$22,C$5,FALSE)*B26/1000))</f>
        <v>3.9590000000000001</v>
      </c>
      <c r="E26" s="75">
        <v>105</v>
      </c>
      <c r="F26" s="38">
        <f>IF(E26="","",IF(VLOOKUP($A26,'Ex Ante LI &amp; Eligibility Stats'!$A$7:$M$23,F$5,FALSE)="N/A",0,VLOOKUP($A26,'Ex Ante LI &amp; Eligibility Stats'!$A$7:$M$23,F$5,FALSE)*E26/1000))</f>
        <v>0</v>
      </c>
      <c r="G26" s="39">
        <f>IF(E26="","",IF(VLOOKUP($A26,'Ex Post LI &amp; Eligibility Stats'!$A$6:$M$22,F$5,FALSE)="N/A",0,VLOOKUP($A26,'Ex Post LI &amp; Eligibility Stats'!$A$6:$M$22,F$5,FALSE)*E26/1000))</f>
        <v>3.8849999999999998</v>
      </c>
      <c r="H26" s="252">
        <v>105</v>
      </c>
      <c r="I26" s="38">
        <f>IF(H26="","",IF(VLOOKUP($A26,'Ex Ante LI &amp; Eligibility Stats'!$A$7:$M$23,I$5,FALSE)="N/A",0,VLOOKUP($A26,'Ex Ante LI &amp; Eligibility Stats'!$A$7:$M$23,I$5,FALSE)*H26/1000))</f>
        <v>0</v>
      </c>
      <c r="J26" s="39">
        <f>IF(H26="","",IF(VLOOKUP($A26,'Ex Post LI &amp; Eligibility Stats'!$A$6:$M$22,I$5,FALSE)="N/A",0,VLOOKUP($A26,'Ex Post LI &amp; Eligibility Stats'!$A$6:$M$22,I$5,FALSE)*H26/1000))</f>
        <v>3.8849999999999998</v>
      </c>
      <c r="K26" s="252">
        <v>105</v>
      </c>
      <c r="L26" s="41">
        <f>IF(K26="","",IF(VLOOKUP($A26,'Ex Ante LI &amp; Eligibility Stats'!$A$7:$M$23,L$5,FALSE)="N/A",0,VLOOKUP($A26,'Ex Ante LI &amp; Eligibility Stats'!$A$7:$M$23,L$5,FALSE)*K26/1000))</f>
        <v>0</v>
      </c>
      <c r="M26" s="42">
        <f>IF(K26="","",IF(VLOOKUP($A26,'Ex Post LI &amp; Eligibility Stats'!$A$6:$M$22,L$5,FALSE)="N/A",0,VLOOKUP($A26,'Ex Post LI &amp; Eligibility Stats'!$A$6:$M$22,L$5,FALSE)*K26/1000))</f>
        <v>3.8849999999999998</v>
      </c>
      <c r="N26" s="79">
        <v>102</v>
      </c>
      <c r="O26" s="41">
        <f>IF(N26="","",IF(VLOOKUP($A26,'Ex Ante LI &amp; Eligibility Stats'!$A$7:$M$23,O$5,FALSE)="N/A",0,VLOOKUP($A26,'Ex Ante LI &amp; Eligibility Stats'!$A$7:$M$23,O$5,FALSE)*N26/1000))</f>
        <v>2.7029999999999998</v>
      </c>
      <c r="P26" s="42">
        <f>IF(N26="","",IF(VLOOKUP($A26,'Ex Post LI &amp; Eligibility Stats'!$A$6:$M$22,O$5,FALSE)="N/A",0,VLOOKUP($A26,'Ex Post LI &amp; Eligibility Stats'!$A$6:$M$22,O$5,FALSE)*N26/1000))</f>
        <v>3.774</v>
      </c>
      <c r="Q26" s="70">
        <v>102</v>
      </c>
      <c r="R26" s="41">
        <f>IF(Q26="","",IF(VLOOKUP($A26,'Ex Ante LI &amp; Eligibility Stats'!$A$7:$M$23,R$5,FALSE)="N/A",0,VLOOKUP($A26,'Ex Ante LI &amp; Eligibility Stats'!$A$7:$M$23,R$5,FALSE)*Q26/1000))</f>
        <v>3.1823999999999999</v>
      </c>
      <c r="S26" s="440">
        <f>IF(Q26="","",IF(VLOOKUP($A26,'Ex Post LI &amp; Eligibility Stats'!$A$6:$M$22,R$5,FALSE)="N/A",0,VLOOKUP($A26,'Ex Post LI &amp; Eligibility Stats'!$A$6:$M$22,R$5,FALSE)*Q26/1000))</f>
        <v>3.774</v>
      </c>
      <c r="T26" s="401">
        <v>110349</v>
      </c>
      <c r="U26" s="68"/>
      <c r="V26" s="68"/>
      <c r="W26" s="68"/>
      <c r="X26" s="68"/>
      <c r="Y26" s="68"/>
      <c r="Z26" s="68"/>
      <c r="AA26" s="68"/>
      <c r="AB26" s="68"/>
      <c r="AC26" s="68"/>
      <c r="AD26" s="68"/>
      <c r="AE26" s="68"/>
    </row>
    <row r="27" spans="1:31" ht="12" customHeight="1" x14ac:dyDescent="0.2">
      <c r="A27" s="44" t="s">
        <v>44</v>
      </c>
      <c r="B27" s="70">
        <v>15</v>
      </c>
      <c r="C27" s="38">
        <f>IF(B27="","",IF(VLOOKUP($A27,'Ex Ante LI &amp; Eligibility Stats'!$A$7:$M$23,C$5,FALSE)="N/A",0,VLOOKUP($A27,'Ex Ante LI &amp; Eligibility Stats'!$A$7:$M$23,C$5,FALSE)*B27/1000))</f>
        <v>0</v>
      </c>
      <c r="D27" s="39">
        <f>IF(B27="","",IF(VLOOKUP($A27,'Ex Post LI &amp; Eligibility Stats'!$A$6:$M$22,C$5,FALSE)="N/A",0,VLOOKUP($A27,'Ex Post LI &amp; Eligibility Stats'!$A$6:$M$22,C$5,FALSE)*B27/1000))</f>
        <v>15.705</v>
      </c>
      <c r="E27" s="75">
        <v>15</v>
      </c>
      <c r="F27" s="38">
        <f>IF(E27="","",IF(VLOOKUP($A27,'Ex Ante LI &amp; Eligibility Stats'!$A$7:$M$23,F$5,FALSE)="N/A",0,VLOOKUP($A27,'Ex Ante LI &amp; Eligibility Stats'!$A$7:$M$23,F$5,FALSE)*E27/1000))</f>
        <v>0</v>
      </c>
      <c r="G27" s="39">
        <f>IF(E27="","",IF(VLOOKUP($A27,'Ex Post LI &amp; Eligibility Stats'!$A$6:$M$22,F$5,FALSE)="N/A",0,VLOOKUP($A27,'Ex Post LI &amp; Eligibility Stats'!$A$6:$M$22,F$5,FALSE)*E27/1000))</f>
        <v>15.705</v>
      </c>
      <c r="H27" s="252">
        <v>15</v>
      </c>
      <c r="I27" s="38">
        <f>IF(H27="","",IF(VLOOKUP($A27,'Ex Ante LI &amp; Eligibility Stats'!$A$7:$M$23,I$5,FALSE)="N/A",0,VLOOKUP($A27,'Ex Ante LI &amp; Eligibility Stats'!$A$7:$M$23,I$5,FALSE)*H27/1000))</f>
        <v>0</v>
      </c>
      <c r="J27" s="39">
        <f>IF(H27="","",IF(VLOOKUP($A27,'Ex Post LI &amp; Eligibility Stats'!$A$6:$M$22,I$5,FALSE)="N/A",0,VLOOKUP($A27,'Ex Post LI &amp; Eligibility Stats'!$A$6:$M$22,I$5,FALSE)*H27/1000))</f>
        <v>15.705</v>
      </c>
      <c r="K27" s="252">
        <v>15</v>
      </c>
      <c r="L27" s="41">
        <f>IF(K27="","",IF(VLOOKUP($A27,'Ex Ante LI &amp; Eligibility Stats'!$A$7:$M$23,L$5,FALSE)="N/A",0,VLOOKUP($A27,'Ex Ante LI &amp; Eligibility Stats'!$A$7:$M$23,L$5,FALSE)*K27/1000))</f>
        <v>0</v>
      </c>
      <c r="M27" s="42">
        <f>IF(K27="","",IF(VLOOKUP($A27,'Ex Post LI &amp; Eligibility Stats'!$A$6:$M$22,L$5,FALSE)="N/A",0,VLOOKUP($A27,'Ex Post LI &amp; Eligibility Stats'!$A$6:$M$22,L$5,FALSE)*K27/1000))</f>
        <v>15.705</v>
      </c>
      <c r="N27" s="79">
        <v>15</v>
      </c>
      <c r="O27" s="41">
        <f>IF(N27="","",IF(VLOOKUP($A27,'Ex Ante LI &amp; Eligibility Stats'!$A$7:$M$23,O$5,FALSE)="N/A",0,VLOOKUP($A27,'Ex Ante LI &amp; Eligibility Stats'!$A$7:$M$23,O$5,FALSE)*N27/1000))</f>
        <v>12.1275</v>
      </c>
      <c r="P27" s="42">
        <f>IF(N27="","",IF(VLOOKUP($A27,'Ex Post LI &amp; Eligibility Stats'!$A$6:$M$22,O$5,FALSE)="N/A",0,VLOOKUP($A27,'Ex Post LI &amp; Eligibility Stats'!$A$6:$M$22,O$5,FALSE)*N27/1000))</f>
        <v>15.705</v>
      </c>
      <c r="Q27" s="70">
        <v>14</v>
      </c>
      <c r="R27" s="41">
        <f>IF(Q27="","",IF(VLOOKUP($A27,'Ex Ante LI &amp; Eligibility Stats'!$A$7:$M$23,R$5,FALSE)="N/A",0,VLOOKUP($A27,'Ex Ante LI &amp; Eligibility Stats'!$A$7:$M$23,R$5,FALSE)*Q27/1000))</f>
        <v>11.34</v>
      </c>
      <c r="S27" s="440">
        <f>IF(Q27="","",IF(VLOOKUP($A27,'Ex Post LI &amp; Eligibility Stats'!$A$6:$M$22,R$5,FALSE)="N/A",0,VLOOKUP($A27,'Ex Post LI &amp; Eligibility Stats'!$A$6:$M$22,R$5,FALSE)*Q27/1000))</f>
        <v>14.657999999999999</v>
      </c>
      <c r="T27" s="401">
        <v>110349</v>
      </c>
      <c r="U27" s="68"/>
      <c r="V27" s="68"/>
      <c r="W27" s="68"/>
      <c r="X27" s="68"/>
      <c r="Y27" s="68"/>
      <c r="Z27" s="68"/>
      <c r="AA27" s="68"/>
      <c r="AB27" s="68"/>
      <c r="AC27" s="68"/>
      <c r="AD27" s="68"/>
      <c r="AE27" s="68"/>
    </row>
    <row r="28" spans="1:31" ht="13.5" customHeight="1" x14ac:dyDescent="0.2">
      <c r="A28" s="89" t="s">
        <v>210</v>
      </c>
      <c r="B28" s="98">
        <v>22014</v>
      </c>
      <c r="C28" s="46">
        <f>IF(B28="","",IF(VLOOKUP($A28,'Ex Ante LI &amp; Eligibility Stats'!$A$7:$M$23,C$5,FALSE)="N/A",0,VLOOKUP($A28,'Ex Ante LI &amp; Eligibility Stats'!$A$7:$M$23,C$5,FALSE)*B28/1000))</f>
        <v>0</v>
      </c>
      <c r="D28" s="47">
        <f>IF(B28="","",IF(VLOOKUP($A28,'Ex Post LI &amp; Eligibility Stats'!$A$6:$M$22,C$5,FALSE)="N/A",0,VLOOKUP($A28,'Ex Post LI &amp; Eligibility Stats'!$A$6:$M$22,C$5,FALSE)*B28/1000))</f>
        <v>5.2833600000000001</v>
      </c>
      <c r="E28" s="108">
        <v>21934</v>
      </c>
      <c r="F28" s="46">
        <f>IF(E28="","",IF(VLOOKUP($A28,'Ex Ante LI &amp; Eligibility Stats'!$A$7:$M$23,F$5,FALSE)="N/A",0,VLOOKUP($A28,'Ex Ante LI &amp; Eligibility Stats'!$A$7:$M$23,F$5,FALSE)*E28/1000))</f>
        <v>0</v>
      </c>
      <c r="G28" s="47">
        <f>IF(E28="","",IF(VLOOKUP($A28,'Ex Post LI &amp; Eligibility Stats'!$A$6:$M$22,F$5,FALSE)="N/A",0,VLOOKUP($A28,'Ex Post LI &amp; Eligibility Stats'!$A$6:$M$22,F$5,FALSE)*E28/1000))</f>
        <v>5.2641599999999995</v>
      </c>
      <c r="H28" s="108">
        <v>21928</v>
      </c>
      <c r="I28" s="46">
        <f>IF(H28="","",IF(VLOOKUP($A28,'Ex Ante LI &amp; Eligibility Stats'!$A$7:$M$23,I$5,FALSE)="N/A",0,VLOOKUP($A28,'Ex Ante LI &amp; Eligibility Stats'!$A$7:$M$23,I$5,FALSE)*H28/1000))</f>
        <v>0</v>
      </c>
      <c r="J28" s="47">
        <f>IF(H28="","",IF(VLOOKUP($A28,'Ex Post LI &amp; Eligibility Stats'!$A$6:$M$22,I$5,FALSE)="N/A",0,VLOOKUP($A28,'Ex Post LI &amp; Eligibility Stats'!$A$6:$M$22,I$5,FALSE)*H28/1000))</f>
        <v>5.2627199999999998</v>
      </c>
      <c r="K28" s="109">
        <v>21845</v>
      </c>
      <c r="L28" s="49">
        <f>IF(K28="","",IF(VLOOKUP($A28,'Ex Ante LI &amp; Eligibility Stats'!$A$7:$M$23,L$5,FALSE)="N/A",0,VLOOKUP($A28,'Ex Ante LI &amp; Eligibility Stats'!$A$7:$M$23,L$5,FALSE)*K28/1000))</f>
        <v>0</v>
      </c>
      <c r="M28" s="50">
        <f>IF(K28="","",IF(VLOOKUP($A28,'Ex Post LI &amp; Eligibility Stats'!$A$6:$M$22,L$5,FALSE)="N/A",0,VLOOKUP($A28,'Ex Post LI &amp; Eligibility Stats'!$A$6:$M$22,L$5,FALSE)*K28/1000))</f>
        <v>5.2427999999999999</v>
      </c>
      <c r="N28" s="109">
        <v>21751</v>
      </c>
      <c r="O28" s="49">
        <f>IF(N28="","",IF(VLOOKUP($A28,'Ex Ante LI &amp; Eligibility Stats'!$A$7:$M$23,O$5,FALSE)="N/A",0,VLOOKUP($A28,'Ex Ante LI &amp; Eligibility Stats'!$A$7:$M$23,O$5,FALSE)*N28/1000))</f>
        <v>4.3502000000000001</v>
      </c>
      <c r="P28" s="50">
        <f>IF(N28="","",IF(VLOOKUP($A28,'Ex Post LI &amp; Eligibility Stats'!$A$6:$M$22,O$5,FALSE)="N/A",0,VLOOKUP($A28,'Ex Post LI &amp; Eligibility Stats'!$A$6:$M$22,O$5,FALSE)*N28/1000))</f>
        <v>5.2202399999999995</v>
      </c>
      <c r="Q28" s="441">
        <v>21470</v>
      </c>
      <c r="R28" s="49">
        <f>IF(Q28="","",IF(VLOOKUP($A28,'Ex Ante LI &amp; Eligibility Stats'!$A$7:$M$23,R$5,FALSE)="N/A",0,VLOOKUP($A28,'Ex Ante LI &amp; Eligibility Stats'!$A$7:$M$23,R$5,FALSE)*Q28/1000))</f>
        <v>4.2939999999999996</v>
      </c>
      <c r="S28" s="442">
        <f>IF(Q28="","",IF(VLOOKUP($A28,'Ex Post LI &amp; Eligibility Stats'!$A$6:$M$22,R$5,FALSE)="N/A",0,VLOOKUP($A28,'Ex Post LI &amp; Eligibility Stats'!$A$6:$M$22,R$5,FALSE)*Q28/1000))</f>
        <v>5.1528</v>
      </c>
      <c r="T28" s="401">
        <v>3000000</v>
      </c>
    </row>
    <row r="29" spans="1:31" ht="12" customHeight="1" thickBot="1" x14ac:dyDescent="0.25">
      <c r="A29" s="52" t="s">
        <v>60</v>
      </c>
      <c r="B29" s="53">
        <f t="shared" ref="B29:S29" si="3">SUM(B17:B28)</f>
        <v>30739</v>
      </c>
      <c r="C29" s="54">
        <f t="shared" si="3"/>
        <v>16.799399999999999</v>
      </c>
      <c r="D29" s="355">
        <f t="shared" si="3"/>
        <v>425.21336000000008</v>
      </c>
      <c r="E29" s="53">
        <f t="shared" si="3"/>
        <v>30876</v>
      </c>
      <c r="F29" s="54">
        <f t="shared" si="3"/>
        <v>17.1676</v>
      </c>
      <c r="G29" s="55">
        <f t="shared" si="3"/>
        <v>424.24952999999994</v>
      </c>
      <c r="H29" s="53">
        <f t="shared" si="3"/>
        <v>30829</v>
      </c>
      <c r="I29" s="54">
        <f t="shared" si="3"/>
        <v>17.270400000000002</v>
      </c>
      <c r="J29" s="55">
        <f t="shared" si="3"/>
        <v>420.17239999999998</v>
      </c>
      <c r="K29" s="56">
        <f t="shared" si="3"/>
        <v>30764</v>
      </c>
      <c r="L29" s="57">
        <f t="shared" si="3"/>
        <v>17.784400000000002</v>
      </c>
      <c r="M29" s="359">
        <f t="shared" si="3"/>
        <v>419.46568999999988</v>
      </c>
      <c r="N29" s="56">
        <f t="shared" si="3"/>
        <v>30640</v>
      </c>
      <c r="O29" s="57">
        <f t="shared" si="3"/>
        <v>361.47643999999991</v>
      </c>
      <c r="P29" s="359">
        <f t="shared" si="3"/>
        <v>404.29234999999994</v>
      </c>
      <c r="Q29" s="53">
        <f t="shared" si="3"/>
        <v>31323</v>
      </c>
      <c r="R29" s="57">
        <f t="shared" si="3"/>
        <v>349.2962399999999</v>
      </c>
      <c r="S29" s="57">
        <f t="shared" si="3"/>
        <v>438.20221999999995</v>
      </c>
      <c r="T29" s="72"/>
      <c r="U29" s="68"/>
      <c r="V29" s="68"/>
      <c r="W29" s="68"/>
      <c r="X29" s="68"/>
      <c r="Y29" s="68"/>
      <c r="Z29" s="68"/>
      <c r="AA29" s="68"/>
      <c r="AB29" s="68"/>
      <c r="AC29" s="68"/>
      <c r="AD29" s="68"/>
      <c r="AE29" s="68"/>
    </row>
    <row r="30" spans="1:31" ht="14.25" thickTop="1" thickBot="1" x14ac:dyDescent="0.25">
      <c r="A30" s="73" t="s">
        <v>61</v>
      </c>
      <c r="B30" s="53">
        <f>SUM(B15,B29)</f>
        <v>194446</v>
      </c>
      <c r="C30" s="54">
        <f t="shared" ref="C30:S30" si="4">+C15+C29</f>
        <v>87.639399999999995</v>
      </c>
      <c r="D30" s="372">
        <f t="shared" si="4"/>
        <v>694.73713000000009</v>
      </c>
      <c r="E30" s="410">
        <f t="shared" si="4"/>
        <v>194221</v>
      </c>
      <c r="F30" s="54">
        <f t="shared" si="4"/>
        <v>93.113599999999991</v>
      </c>
      <c r="G30" s="372">
        <f t="shared" si="4"/>
        <v>693.59586999999988</v>
      </c>
      <c r="H30" s="410">
        <f t="shared" si="4"/>
        <v>193339</v>
      </c>
      <c r="I30" s="54">
        <f t="shared" si="4"/>
        <v>98.713400000000007</v>
      </c>
      <c r="J30" s="372">
        <f t="shared" si="4"/>
        <v>689.1102699999999</v>
      </c>
      <c r="K30" s="56">
        <f t="shared" si="4"/>
        <v>191746</v>
      </c>
      <c r="L30" s="57">
        <f t="shared" si="4"/>
        <v>195.12070000000003</v>
      </c>
      <c r="M30" s="378">
        <f t="shared" si="4"/>
        <v>690.11522999999988</v>
      </c>
      <c r="N30" s="56">
        <f t="shared" si="4"/>
        <v>189568</v>
      </c>
      <c r="O30" s="57">
        <f t="shared" si="4"/>
        <v>589.96323999999993</v>
      </c>
      <c r="P30" s="378">
        <f t="shared" si="4"/>
        <v>673.93567999999993</v>
      </c>
      <c r="Q30" s="53">
        <f t="shared" si="4"/>
        <v>189398</v>
      </c>
      <c r="R30" s="57">
        <f t="shared" si="4"/>
        <v>586.35863999999992</v>
      </c>
      <c r="S30" s="443">
        <f t="shared" si="4"/>
        <v>704.15217999999993</v>
      </c>
      <c r="T30" s="59"/>
      <c r="U30" s="68"/>
      <c r="V30" s="68"/>
      <c r="W30" s="68"/>
      <c r="X30" s="68"/>
      <c r="Y30" s="68"/>
      <c r="Z30" s="68"/>
      <c r="AA30" s="68"/>
      <c r="AB30" s="68"/>
      <c r="AC30" s="68"/>
      <c r="AD30" s="68"/>
      <c r="AE30" s="68"/>
    </row>
    <row r="31" spans="1:31" ht="3" customHeight="1" thickTop="1" x14ac:dyDescent="0.2">
      <c r="A31" s="74"/>
      <c r="B31" s="75"/>
      <c r="C31" s="76"/>
      <c r="D31" s="77"/>
      <c r="E31" s="75"/>
      <c r="F31" s="76"/>
      <c r="G31" s="78"/>
      <c r="H31" s="75"/>
      <c r="I31" s="76"/>
      <c r="J31" s="78"/>
      <c r="K31" s="79"/>
      <c r="L31" s="80"/>
      <c r="M31" s="81"/>
      <c r="N31" s="79"/>
      <c r="O31" s="82"/>
      <c r="P31" s="83"/>
      <c r="Q31" s="75"/>
      <c r="R31" s="82"/>
      <c r="S31" s="83"/>
      <c r="T31" s="84"/>
      <c r="U31" s="68"/>
      <c r="V31" s="68"/>
      <c r="W31" s="68"/>
      <c r="X31" s="68"/>
      <c r="Y31" s="68"/>
      <c r="Z31" s="68"/>
      <c r="AA31" s="68"/>
      <c r="AB31" s="68"/>
      <c r="AC31" s="68"/>
      <c r="AD31" s="68"/>
      <c r="AE31" s="68"/>
    </row>
    <row r="32" spans="1:31" ht="4.5" hidden="1" customHeight="1" x14ac:dyDescent="0.2">
      <c r="A32" s="74"/>
      <c r="B32" s="75"/>
      <c r="C32" s="76"/>
      <c r="D32" s="77"/>
      <c r="E32" s="75"/>
      <c r="F32" s="76"/>
      <c r="G32" s="78"/>
      <c r="H32" s="75"/>
      <c r="I32" s="76"/>
      <c r="J32" s="78"/>
      <c r="K32" s="79"/>
      <c r="L32" s="80"/>
      <c r="M32" s="81"/>
      <c r="N32" s="79"/>
      <c r="O32" s="82"/>
      <c r="P32" s="83"/>
      <c r="Q32" s="75"/>
      <c r="R32" s="82"/>
      <c r="S32" s="83"/>
      <c r="T32" s="84"/>
      <c r="U32" s="68"/>
      <c r="V32" s="68"/>
      <c r="W32" s="68"/>
      <c r="X32" s="68"/>
      <c r="Y32" s="68"/>
      <c r="Z32" s="68"/>
      <c r="AA32" s="68"/>
      <c r="AB32" s="68"/>
      <c r="AC32" s="68"/>
      <c r="AD32" s="68"/>
      <c r="AE32" s="68"/>
    </row>
    <row r="33" spans="1:21" ht="4.5" hidden="1" customHeight="1" x14ac:dyDescent="0.2">
      <c r="A33" s="29"/>
      <c r="B33" s="75"/>
      <c r="C33" s="85"/>
      <c r="D33" s="85"/>
      <c r="E33" s="85"/>
      <c r="F33" s="85"/>
      <c r="G33" s="85"/>
      <c r="H33" s="85"/>
      <c r="I33" s="85"/>
      <c r="J33" s="85"/>
      <c r="K33" s="86"/>
      <c r="L33" s="87"/>
      <c r="M33" s="87"/>
      <c r="N33" s="86"/>
      <c r="O33" s="86"/>
      <c r="P33" s="86"/>
      <c r="Q33" s="85"/>
      <c r="R33" s="86"/>
      <c r="S33" s="86"/>
      <c r="T33" s="88"/>
    </row>
    <row r="34" spans="1:21" hidden="1" x14ac:dyDescent="0.2">
      <c r="A34" s="29"/>
      <c r="B34" s="75"/>
      <c r="C34" s="85">
        <f>C5+6</f>
        <v>8</v>
      </c>
      <c r="D34" s="85">
        <f>D5+6</f>
        <v>8</v>
      </c>
      <c r="E34" s="85"/>
      <c r="F34" s="85">
        <f>F5+6</f>
        <v>9</v>
      </c>
      <c r="G34" s="85">
        <f>G5+6</f>
        <v>9</v>
      </c>
      <c r="H34" s="85"/>
      <c r="I34" s="85">
        <f>I5+6</f>
        <v>10</v>
      </c>
      <c r="J34" s="85">
        <f>J5+6</f>
        <v>10</v>
      </c>
      <c r="K34" s="86"/>
      <c r="L34" s="87">
        <f>L5+6</f>
        <v>11</v>
      </c>
      <c r="M34" s="87">
        <f>M5+6</f>
        <v>11</v>
      </c>
      <c r="N34" s="86"/>
      <c r="O34" s="86">
        <f>O5+6</f>
        <v>12</v>
      </c>
      <c r="P34" s="86">
        <f>P5+6</f>
        <v>12</v>
      </c>
      <c r="Q34" s="85"/>
      <c r="R34" s="86">
        <f>R5+6</f>
        <v>13</v>
      </c>
      <c r="S34" s="86">
        <f>S5+6</f>
        <v>13</v>
      </c>
      <c r="T34" s="88"/>
    </row>
    <row r="35" spans="1:21" ht="11.25" customHeight="1" x14ac:dyDescent="0.2">
      <c r="A35" s="89"/>
      <c r="B35" s="452" t="s">
        <v>13</v>
      </c>
      <c r="C35" s="453"/>
      <c r="D35" s="454"/>
      <c r="E35" s="452" t="s">
        <v>62</v>
      </c>
      <c r="F35" s="453"/>
      <c r="G35" s="454"/>
      <c r="H35" s="452" t="s">
        <v>63</v>
      </c>
      <c r="I35" s="453"/>
      <c r="J35" s="454"/>
      <c r="K35" s="452" t="s">
        <v>16</v>
      </c>
      <c r="L35" s="453"/>
      <c r="M35" s="454"/>
      <c r="N35" s="452" t="s">
        <v>64</v>
      </c>
      <c r="O35" s="453"/>
      <c r="P35" s="454"/>
      <c r="Q35" s="452" t="s">
        <v>18</v>
      </c>
      <c r="R35" s="453"/>
      <c r="S35" s="454"/>
      <c r="T35" s="90"/>
      <c r="U35" s="91"/>
    </row>
    <row r="36" spans="1:21" ht="43.5" customHeight="1" x14ac:dyDescent="0.2">
      <c r="A36" s="23" t="s">
        <v>52</v>
      </c>
      <c r="B36" s="92" t="s">
        <v>53</v>
      </c>
      <c r="C36" s="14" t="s">
        <v>188</v>
      </c>
      <c r="D36" s="15" t="s">
        <v>189</v>
      </c>
      <c r="E36" s="17" t="s">
        <v>53</v>
      </c>
      <c r="F36" s="14" t="s">
        <v>188</v>
      </c>
      <c r="G36" s="15" t="s">
        <v>189</v>
      </c>
      <c r="H36" s="17" t="s">
        <v>53</v>
      </c>
      <c r="I36" s="14" t="s">
        <v>188</v>
      </c>
      <c r="J36" s="15" t="s">
        <v>189</v>
      </c>
      <c r="K36" s="18" t="s">
        <v>53</v>
      </c>
      <c r="L36" s="19" t="s">
        <v>188</v>
      </c>
      <c r="M36" s="20" t="s">
        <v>189</v>
      </c>
      <c r="N36" s="18" t="s">
        <v>53</v>
      </c>
      <c r="O36" s="21" t="s">
        <v>188</v>
      </c>
      <c r="P36" s="22" t="s">
        <v>189</v>
      </c>
      <c r="Q36" s="17" t="s">
        <v>53</v>
      </c>
      <c r="R36" s="21" t="s">
        <v>188</v>
      </c>
      <c r="S36" s="22" t="s">
        <v>189</v>
      </c>
      <c r="T36" s="20" t="s">
        <v>195</v>
      </c>
      <c r="U36" s="87"/>
    </row>
    <row r="37" spans="1:21" x14ac:dyDescent="0.2">
      <c r="A37" s="23" t="s">
        <v>56</v>
      </c>
      <c r="B37" s="92"/>
      <c r="C37" s="262"/>
      <c r="D37" s="93"/>
      <c r="E37" s="16"/>
      <c r="F37" s="16"/>
      <c r="G37" s="93"/>
      <c r="H37" s="17"/>
      <c r="I37" s="16"/>
      <c r="J37" s="16"/>
      <c r="K37" s="18"/>
      <c r="L37" s="25"/>
      <c r="M37" s="367"/>
      <c r="N37" s="18"/>
      <c r="O37" s="26"/>
      <c r="P37" s="27"/>
      <c r="Q37" s="17"/>
      <c r="R37" s="26"/>
      <c r="S37" s="27"/>
      <c r="T37" s="28"/>
      <c r="U37" s="87"/>
    </row>
    <row r="38" spans="1:21" ht="11.25" customHeight="1" x14ac:dyDescent="0.2">
      <c r="A38" s="44" t="s">
        <v>57</v>
      </c>
      <c r="B38" s="69"/>
      <c r="C38" s="38" t="str">
        <f>IF(B38="","",IF(VLOOKUP($A38,'Ex Ante LI &amp; Eligibility Stats'!$A$7:$M$22,C$5,FALSE)="N/A",0,VLOOKUP($A38,'Ex Ante LI &amp; Eligibility Stats'!$A$7:$M$22,C$5,FALSE)*B38/1000))</f>
        <v/>
      </c>
      <c r="D38" s="32" t="str">
        <f>IF(B38="","",IF(VLOOKUP($A38,'Ex Post LI &amp; Eligibility Stats'!#REF!,C$5,FALSE)="N/A",0,VLOOKUP($A38,'Ex Post LI &amp; Eligibility Stats'!#REF!,C$5,FALSE)*B38/1000))</f>
        <v/>
      </c>
      <c r="E38" s="33"/>
      <c r="F38" s="31" t="s">
        <v>125</v>
      </c>
      <c r="G38" s="32" t="s">
        <v>125</v>
      </c>
      <c r="H38" s="30"/>
      <c r="I38" s="31" t="s">
        <v>125</v>
      </c>
      <c r="J38" s="32" t="s">
        <v>125</v>
      </c>
      <c r="K38" s="36"/>
      <c r="L38" s="94" t="s">
        <v>125</v>
      </c>
      <c r="M38" s="95" t="s">
        <v>125</v>
      </c>
      <c r="N38" s="36"/>
      <c r="O38" s="34" t="s">
        <v>125</v>
      </c>
      <c r="P38" s="35" t="s">
        <v>125</v>
      </c>
      <c r="Q38" s="30"/>
      <c r="R38" s="34" t="s">
        <v>125</v>
      </c>
      <c r="S38" s="35" t="s">
        <v>125</v>
      </c>
      <c r="T38" s="401">
        <v>10396</v>
      </c>
      <c r="U38" s="87"/>
    </row>
    <row r="39" spans="1:21" ht="11.25" customHeight="1" x14ac:dyDescent="0.2">
      <c r="A39" s="44" t="s">
        <v>23</v>
      </c>
      <c r="B39" s="70"/>
      <c r="C39" s="38" t="str">
        <f>IF(B39="","",IF(VLOOKUP($A39,'Ex Ante LI &amp; Eligibility Stats'!$A$7:$M$22,C$5,FALSE)="N/A",0,VLOOKUP($A39,'Ex Ante LI &amp; Eligibility Stats'!$A$7:$M$22,C$5,FALSE)*B39/1000))</f>
        <v/>
      </c>
      <c r="D39" s="39" t="str">
        <f>IF(B39="","",IF(VLOOKUP($A39,'Ex Post LI &amp; Eligibility Stats'!#REF!,C$5,FALSE)="N/A",0,VLOOKUP($A39,'Ex Post LI &amp; Eligibility Stats'!#REF!,C$5,FALSE)*B39/1000))</f>
        <v/>
      </c>
      <c r="E39" s="40"/>
      <c r="F39" s="38" t="s">
        <v>125</v>
      </c>
      <c r="G39" s="39" t="s">
        <v>125</v>
      </c>
      <c r="H39" s="37"/>
      <c r="I39" s="38" t="s">
        <v>125</v>
      </c>
      <c r="J39" s="39" t="s">
        <v>125</v>
      </c>
      <c r="K39" s="43"/>
      <c r="L39" s="96" t="s">
        <v>125</v>
      </c>
      <c r="M39" s="97" t="s">
        <v>125</v>
      </c>
      <c r="N39" s="43"/>
      <c r="O39" s="41"/>
      <c r="P39" s="42" t="s">
        <v>125</v>
      </c>
      <c r="Q39" s="37"/>
      <c r="R39" s="41" t="s">
        <v>125</v>
      </c>
      <c r="S39" s="42" t="s">
        <v>125</v>
      </c>
      <c r="T39" s="401" t="s">
        <v>24</v>
      </c>
      <c r="U39" s="87"/>
    </row>
    <row r="40" spans="1:21" ht="11.25" customHeight="1" x14ac:dyDescent="0.2">
      <c r="A40" s="44" t="s">
        <v>26</v>
      </c>
      <c r="B40" s="70"/>
      <c r="C40" s="38" t="str">
        <f>IF(B40="","",IF(VLOOKUP($A40,'Ex Ante LI &amp; Eligibility Stats'!$A$7:$M$22,C$5,FALSE)="N/A",0,VLOOKUP($A40,'Ex Ante LI &amp; Eligibility Stats'!$A$7:$M$22,C$5,FALSE)*B40/1000))</f>
        <v/>
      </c>
      <c r="D40" s="39" t="str">
        <f>IF(B40="","",IF(VLOOKUP($A40,'Ex Post LI &amp; Eligibility Stats'!#REF!,C$5,FALSE)="N/A",0,VLOOKUP($A40,'Ex Post LI &amp; Eligibility Stats'!#REF!,C$5,FALSE)*B40/1000))</f>
        <v/>
      </c>
      <c r="E40" s="40"/>
      <c r="F40" s="38" t="s">
        <v>125</v>
      </c>
      <c r="G40" s="39" t="s">
        <v>125</v>
      </c>
      <c r="H40" s="37"/>
      <c r="I40" s="38" t="s">
        <v>125</v>
      </c>
      <c r="J40" s="39" t="s">
        <v>125</v>
      </c>
      <c r="K40" s="43"/>
      <c r="L40" s="96" t="s">
        <v>125</v>
      </c>
      <c r="M40" s="97" t="s">
        <v>125</v>
      </c>
      <c r="N40" s="43"/>
      <c r="O40" s="41" t="s">
        <v>125</v>
      </c>
      <c r="P40" s="42" t="s">
        <v>125</v>
      </c>
      <c r="Q40" s="37"/>
      <c r="R40" s="41" t="s">
        <v>125</v>
      </c>
      <c r="S40" s="42" t="s">
        <v>125</v>
      </c>
      <c r="T40" s="401" t="s">
        <v>24</v>
      </c>
      <c r="U40" s="87"/>
    </row>
    <row r="41" spans="1:21" ht="11.25" customHeight="1" x14ac:dyDescent="0.2">
      <c r="A41" s="44" t="s">
        <v>27</v>
      </c>
      <c r="B41" s="70"/>
      <c r="C41" s="38" t="str">
        <f>IF(B41="","",IF(VLOOKUP($A41,'Ex Ante LI &amp; Eligibility Stats'!$A$7:$M$22,C$5,FALSE)="N/A",0,VLOOKUP($A41,'Ex Ante LI &amp; Eligibility Stats'!$A$7:$M$22,C$5,FALSE)*B41/1000))</f>
        <v/>
      </c>
      <c r="D41" s="39" t="str">
        <f>IF(B41="","",IF(VLOOKUP($A41,'Ex Post LI &amp; Eligibility Stats'!#REF!,C$5,FALSE)="N/A",0,VLOOKUP($A41,'Ex Post LI &amp; Eligibility Stats'!#REF!,C$5,FALSE)*B41/1000))</f>
        <v/>
      </c>
      <c r="E41" s="40"/>
      <c r="F41" s="38" t="s">
        <v>125</v>
      </c>
      <c r="G41" s="39" t="s">
        <v>125</v>
      </c>
      <c r="H41" s="37"/>
      <c r="I41" s="38" t="s">
        <v>125</v>
      </c>
      <c r="J41" s="39" t="s">
        <v>125</v>
      </c>
      <c r="K41" s="43"/>
      <c r="L41" s="96" t="s">
        <v>125</v>
      </c>
      <c r="M41" s="97" t="s">
        <v>125</v>
      </c>
      <c r="N41" s="43"/>
      <c r="O41" s="41" t="s">
        <v>125</v>
      </c>
      <c r="P41" s="42" t="s">
        <v>125</v>
      </c>
      <c r="Q41" s="37"/>
      <c r="R41" s="41" t="s">
        <v>125</v>
      </c>
      <c r="S41" s="42" t="s">
        <v>125</v>
      </c>
      <c r="T41" s="401">
        <v>593312</v>
      </c>
      <c r="U41" s="87"/>
    </row>
    <row r="42" spans="1:21" ht="11.25" customHeight="1" x14ac:dyDescent="0.2">
      <c r="A42" s="44" t="s">
        <v>29</v>
      </c>
      <c r="B42" s="98"/>
      <c r="C42" s="46" t="str">
        <f>IF(B42="","",IF(VLOOKUP($A42,'Ex Ante LI &amp; Eligibility Stats'!$A$7:$M$22,C$5,FALSE)="N/A",0,VLOOKUP($A42,'Ex Ante LI &amp; Eligibility Stats'!$A$7:$M$22,C$5,FALSE)*B42/1000))</f>
        <v/>
      </c>
      <c r="D42" s="47" t="str">
        <f>IF(B42="","",IF(VLOOKUP($A42,'Ex Post LI &amp; Eligibility Stats'!#REF!,C$5,FALSE)="N/A",0,VLOOKUP($A42,'Ex Post LI &amp; Eligibility Stats'!#REF!,C$5,FALSE)*B42/1000))</f>
        <v/>
      </c>
      <c r="E42" s="48"/>
      <c r="F42" s="46" t="s">
        <v>125</v>
      </c>
      <c r="G42" s="47" t="s">
        <v>125</v>
      </c>
      <c r="H42" s="45"/>
      <c r="I42" s="46" t="s">
        <v>125</v>
      </c>
      <c r="J42" s="47" t="s">
        <v>125</v>
      </c>
      <c r="K42" s="51"/>
      <c r="L42" s="99" t="s">
        <v>125</v>
      </c>
      <c r="M42" s="100" t="s">
        <v>125</v>
      </c>
      <c r="N42" s="51"/>
      <c r="O42" s="49" t="s">
        <v>125</v>
      </c>
      <c r="P42" s="50" t="s">
        <v>125</v>
      </c>
      <c r="Q42" s="45"/>
      <c r="R42" s="49" t="s">
        <v>125</v>
      </c>
      <c r="S42" s="50" t="s">
        <v>125</v>
      </c>
      <c r="T42" s="402">
        <v>3000000</v>
      </c>
      <c r="U42" s="87"/>
    </row>
    <row r="43" spans="1:21" ht="12.75" customHeight="1" thickBot="1" x14ac:dyDescent="0.25">
      <c r="A43" s="52" t="s">
        <v>58</v>
      </c>
      <c r="B43" s="53"/>
      <c r="C43" s="54">
        <f t="shared" ref="C43:S43" si="5">SUM(C38:C42)</f>
        <v>0</v>
      </c>
      <c r="D43" s="55">
        <f>SUM(D38:D42)</f>
        <v>0</v>
      </c>
      <c r="E43" s="53"/>
      <c r="F43" s="54">
        <f t="shared" si="5"/>
        <v>0</v>
      </c>
      <c r="G43" s="55">
        <f t="shared" si="5"/>
        <v>0</v>
      </c>
      <c r="H43" s="53"/>
      <c r="I43" s="54">
        <f t="shared" si="5"/>
        <v>0</v>
      </c>
      <c r="J43" s="55">
        <f t="shared" si="5"/>
        <v>0</v>
      </c>
      <c r="K43" s="56"/>
      <c r="L43" s="101">
        <f t="shared" si="5"/>
        <v>0</v>
      </c>
      <c r="M43" s="102">
        <f t="shared" si="5"/>
        <v>0</v>
      </c>
      <c r="N43" s="56"/>
      <c r="O43" s="57">
        <f t="shared" si="5"/>
        <v>0</v>
      </c>
      <c r="P43" s="58">
        <f t="shared" si="5"/>
        <v>0</v>
      </c>
      <c r="Q43" s="53"/>
      <c r="R43" s="57">
        <f t="shared" si="5"/>
        <v>0</v>
      </c>
      <c r="S43" s="58">
        <f t="shared" si="5"/>
        <v>0</v>
      </c>
      <c r="T43" s="59"/>
      <c r="U43" s="87"/>
    </row>
    <row r="44" spans="1:21" ht="11.25" customHeight="1" thickTop="1" x14ac:dyDescent="0.2">
      <c r="A44" s="23" t="s">
        <v>59</v>
      </c>
      <c r="B44" s="24"/>
      <c r="C44" s="263"/>
      <c r="D44" s="264"/>
      <c r="E44" s="24"/>
      <c r="F44" s="60"/>
      <c r="G44" s="61"/>
      <c r="H44" s="24"/>
      <c r="I44" s="60"/>
      <c r="J44" s="61"/>
      <c r="K44" s="103"/>
      <c r="L44" s="63"/>
      <c r="M44" s="64"/>
      <c r="N44" s="103"/>
      <c r="O44" s="65"/>
      <c r="P44" s="66"/>
      <c r="Q44" s="104"/>
      <c r="R44" s="65"/>
      <c r="S44" s="105"/>
      <c r="T44" s="67"/>
      <c r="U44" s="87"/>
    </row>
    <row r="45" spans="1:21" ht="11.25" customHeight="1" x14ac:dyDescent="0.2">
      <c r="A45" s="44" t="s">
        <v>31</v>
      </c>
      <c r="B45" s="69"/>
      <c r="C45" s="38" t="str">
        <f>IF(B45="","",IF(VLOOKUP($A45,'Ex Ante LI &amp; Eligibility Stats'!$A$7:$M$22,C$5,FALSE)="N/A",0,VLOOKUP($A45,'Ex Ante LI &amp; Eligibility Stats'!$A$7:$M$22,C$5,FALSE)*B45/1000))</f>
        <v/>
      </c>
      <c r="D45" s="39" t="str">
        <f>IF(B45="","",IF(VLOOKUP($A45,'Ex Post LI &amp; Eligibility Stats'!#REF!,C$5,FALSE)="N/A",0,VLOOKUP($A45,'Ex Post LI &amp; Eligibility Stats'!#REF!,C$5,FALSE)*B45/1000))</f>
        <v/>
      </c>
      <c r="E45" s="259"/>
      <c r="F45" s="31" t="s">
        <v>125</v>
      </c>
      <c r="G45" s="32" t="s">
        <v>125</v>
      </c>
      <c r="H45" s="69"/>
      <c r="I45" s="31" t="s">
        <v>125</v>
      </c>
      <c r="J45" s="32" t="s">
        <v>125</v>
      </c>
      <c r="K45" s="106"/>
      <c r="L45" s="94" t="s">
        <v>125</v>
      </c>
      <c r="M45" s="95" t="s">
        <v>125</v>
      </c>
      <c r="N45" s="106"/>
      <c r="O45" s="34" t="s">
        <v>125</v>
      </c>
      <c r="P45" s="35" t="s">
        <v>125</v>
      </c>
      <c r="Q45" s="69"/>
      <c r="R45" s="34" t="s">
        <v>125</v>
      </c>
      <c r="S45" s="35" t="s">
        <v>125</v>
      </c>
      <c r="T45" s="401">
        <v>596031</v>
      </c>
      <c r="U45" s="87"/>
    </row>
    <row r="46" spans="1:21" ht="11.25" customHeight="1" x14ac:dyDescent="0.2">
      <c r="A46" s="44" t="s">
        <v>33</v>
      </c>
      <c r="B46" s="70"/>
      <c r="C46" s="38" t="str">
        <f>IF(B46="","",IF(VLOOKUP($A46,'Ex Ante LI &amp; Eligibility Stats'!$A$7:$M$22,C$5,FALSE)="N/A",0,VLOOKUP($A46,'Ex Ante LI &amp; Eligibility Stats'!$A$7:$M$22,C$5,FALSE)*B46/1000))</f>
        <v/>
      </c>
      <c r="D46" s="39" t="str">
        <f>IF(B46="","",IF(VLOOKUP($A46,'Ex Post LI &amp; Eligibility Stats'!#REF!,C$5,FALSE)="N/A",0,VLOOKUP($A46,'Ex Post LI &amp; Eligibility Stats'!#REF!,C$5,FALSE)*B46/1000))</f>
        <v/>
      </c>
      <c r="E46" s="75"/>
      <c r="F46" s="38" t="s">
        <v>125</v>
      </c>
      <c r="G46" s="39" t="s">
        <v>125</v>
      </c>
      <c r="H46" s="70"/>
      <c r="I46" s="38" t="s">
        <v>125</v>
      </c>
      <c r="J46" s="39" t="s">
        <v>125</v>
      </c>
      <c r="K46" s="71"/>
      <c r="L46" s="96" t="s">
        <v>125</v>
      </c>
      <c r="M46" s="97" t="s">
        <v>125</v>
      </c>
      <c r="N46" s="71"/>
      <c r="O46" s="41" t="s">
        <v>125</v>
      </c>
      <c r="P46" s="42" t="s">
        <v>125</v>
      </c>
      <c r="Q46" s="70"/>
      <c r="R46" s="41" t="s">
        <v>125</v>
      </c>
      <c r="S46" s="42" t="s">
        <v>125</v>
      </c>
      <c r="T46" s="401">
        <v>596031</v>
      </c>
      <c r="U46" s="87"/>
    </row>
    <row r="47" spans="1:21" ht="11.25" customHeight="1" x14ac:dyDescent="0.2">
      <c r="A47" s="44" t="s">
        <v>35</v>
      </c>
      <c r="B47" s="70"/>
      <c r="C47" s="38" t="str">
        <f>IF(B47="","",IF(VLOOKUP($A47,'Ex Ante LI &amp; Eligibility Stats'!$A$7:$M$22,C$5,FALSE)="N/A",0,VLOOKUP($A47,'Ex Ante LI &amp; Eligibility Stats'!$A$7:$M$22,C$5,FALSE)*B47/1000))</f>
        <v/>
      </c>
      <c r="D47" s="39" t="str">
        <f>IF(B47="","",IF(VLOOKUP($A47,'Ex Post LI &amp; Eligibility Stats'!#REF!,C$5,FALSE)="N/A",0,VLOOKUP($A47,'Ex Post LI &amp; Eligibility Stats'!#REF!,C$5,FALSE)*B47/1000))</f>
        <v/>
      </c>
      <c r="E47" s="75"/>
      <c r="F47" s="38" t="s">
        <v>125</v>
      </c>
      <c r="G47" s="39" t="s">
        <v>125</v>
      </c>
      <c r="H47" s="70"/>
      <c r="I47" s="38" t="s">
        <v>125</v>
      </c>
      <c r="J47" s="39" t="s">
        <v>125</v>
      </c>
      <c r="K47" s="71"/>
      <c r="L47" s="96" t="s">
        <v>125</v>
      </c>
      <c r="M47" s="97" t="s">
        <v>125</v>
      </c>
      <c r="N47" s="71"/>
      <c r="O47" s="41" t="s">
        <v>125</v>
      </c>
      <c r="P47" s="42" t="s">
        <v>125</v>
      </c>
      <c r="Q47" s="70"/>
      <c r="R47" s="41" t="s">
        <v>125</v>
      </c>
      <c r="S47" s="42" t="s">
        <v>125</v>
      </c>
      <c r="T47" s="401">
        <v>596031</v>
      </c>
      <c r="U47" s="87"/>
    </row>
    <row r="48" spans="1:21" ht="11.25" customHeight="1" x14ac:dyDescent="0.2">
      <c r="A48" s="44" t="s">
        <v>37</v>
      </c>
      <c r="B48" s="70"/>
      <c r="C48" s="38" t="str">
        <f>IF(B48="","",IF(VLOOKUP($A48,'Ex Ante LI &amp; Eligibility Stats'!$A$7:$M$22,C$5,FALSE)="N/A",0,VLOOKUP($A48,'Ex Ante LI &amp; Eligibility Stats'!$A$7:$M$22,C$5,FALSE)*B48/1000))</f>
        <v/>
      </c>
      <c r="D48" s="39" t="str">
        <f>IF(B48="","",IF(VLOOKUP($A48,'Ex Post LI &amp; Eligibility Stats'!#REF!,C$5,FALSE)="N/A",0,VLOOKUP($A48,'Ex Post LI &amp; Eligibility Stats'!#REF!,C$5,FALSE)*B48/1000))</f>
        <v/>
      </c>
      <c r="E48" s="75"/>
      <c r="F48" s="38" t="s">
        <v>125</v>
      </c>
      <c r="G48" s="39" t="s">
        <v>125</v>
      </c>
      <c r="H48" s="70"/>
      <c r="I48" s="38" t="s">
        <v>125</v>
      </c>
      <c r="J48" s="39" t="s">
        <v>125</v>
      </c>
      <c r="K48" s="71"/>
      <c r="L48" s="96" t="s">
        <v>125</v>
      </c>
      <c r="M48" s="97" t="s">
        <v>125</v>
      </c>
      <c r="N48" s="71"/>
      <c r="O48" s="41" t="s">
        <v>125</v>
      </c>
      <c r="P48" s="42" t="s">
        <v>125</v>
      </c>
      <c r="Q48" s="70"/>
      <c r="R48" s="41" t="s">
        <v>125</v>
      </c>
      <c r="S48" s="42" t="s">
        <v>125</v>
      </c>
      <c r="T48" s="401">
        <v>596031</v>
      </c>
      <c r="U48" s="87"/>
    </row>
    <row r="49" spans="1:26" ht="11.25" customHeight="1" x14ac:dyDescent="0.2">
      <c r="A49" s="44" t="s">
        <v>38</v>
      </c>
      <c r="B49" s="70"/>
      <c r="C49" s="38" t="str">
        <f>IF(B49="","",IF(VLOOKUP($A49,'Ex Ante LI &amp; Eligibility Stats'!$A$7:$M$22,C$5,FALSE)="N/A",0,VLOOKUP($A49,'Ex Ante LI &amp; Eligibility Stats'!$A$7:$M$22,C$5,FALSE)*B49/1000))</f>
        <v/>
      </c>
      <c r="D49" s="39" t="str">
        <f>IF(B49="","",IF(VLOOKUP($A49,'Ex Post LI &amp; Eligibility Stats'!#REF!,C$5,FALSE)="N/A",0,VLOOKUP($A49,'Ex Post LI &amp; Eligibility Stats'!#REF!,C$5,FALSE)*B49/1000))</f>
        <v/>
      </c>
      <c r="E49" s="40"/>
      <c r="F49" s="38" t="s">
        <v>125</v>
      </c>
      <c r="G49" s="39" t="s">
        <v>125</v>
      </c>
      <c r="H49" s="37"/>
      <c r="I49" s="38" t="s">
        <v>125</v>
      </c>
      <c r="J49" s="39" t="s">
        <v>125</v>
      </c>
      <c r="K49" s="43"/>
      <c r="L49" s="96" t="s">
        <v>125</v>
      </c>
      <c r="M49" s="97" t="s">
        <v>125</v>
      </c>
      <c r="N49" s="43"/>
      <c r="O49" s="41" t="s">
        <v>125</v>
      </c>
      <c r="P49" s="42" t="s">
        <v>125</v>
      </c>
      <c r="Q49" s="37"/>
      <c r="R49" s="41" t="s">
        <v>125</v>
      </c>
      <c r="S49" s="42" t="s">
        <v>125</v>
      </c>
      <c r="T49" s="401">
        <v>10396</v>
      </c>
      <c r="U49" s="87"/>
    </row>
    <row r="50" spans="1:26" ht="11.25" customHeight="1" x14ac:dyDescent="0.2">
      <c r="A50" s="44" t="s">
        <v>39</v>
      </c>
      <c r="B50" s="70"/>
      <c r="C50" s="38" t="str">
        <f>IF(B50="","",IF(VLOOKUP($A50,'Ex Ante LI &amp; Eligibility Stats'!$A$7:$M$22,C$5,FALSE)="N/A",0,VLOOKUP($A50,'Ex Ante LI &amp; Eligibility Stats'!$A$7:$M$22,C$5,FALSE)*B50/1000))</f>
        <v/>
      </c>
      <c r="D50" s="39" t="str">
        <f>IF(B50="","",IF(VLOOKUP($A50,'Ex Post LI &amp; Eligibility Stats'!#REF!,C$5,FALSE)="N/A",0,VLOOKUP($A50,'Ex Post LI &amp; Eligibility Stats'!#REF!,C$5,FALSE)*B50/1000))</f>
        <v/>
      </c>
      <c r="E50" s="75"/>
      <c r="F50" s="38" t="s">
        <v>125</v>
      </c>
      <c r="G50" s="39" t="s">
        <v>125</v>
      </c>
      <c r="H50" s="70"/>
      <c r="I50" s="38" t="s">
        <v>125</v>
      </c>
      <c r="J50" s="39" t="s">
        <v>125</v>
      </c>
      <c r="K50" s="71"/>
      <c r="L50" s="96" t="s">
        <v>125</v>
      </c>
      <c r="M50" s="97" t="s">
        <v>125</v>
      </c>
      <c r="N50" s="71"/>
      <c r="O50" s="41" t="s">
        <v>125</v>
      </c>
      <c r="P50" s="42" t="s">
        <v>125</v>
      </c>
      <c r="Q50" s="70"/>
      <c r="R50" s="41" t="s">
        <v>125</v>
      </c>
      <c r="S50" s="42" t="s">
        <v>125</v>
      </c>
      <c r="T50" s="401">
        <v>286311</v>
      </c>
      <c r="U50" s="87"/>
    </row>
    <row r="51" spans="1:26" ht="11.25" customHeight="1" x14ac:dyDescent="0.2">
      <c r="A51" s="44" t="s">
        <v>40</v>
      </c>
      <c r="B51" s="70"/>
      <c r="C51" s="38" t="str">
        <f>IF(B51="","",IF(VLOOKUP($A51,'Ex Ante LI &amp; Eligibility Stats'!$A$7:$M$22,C$5,FALSE)="N/A",0,VLOOKUP($A51,'Ex Ante LI &amp; Eligibility Stats'!$A$7:$M$22,C$5,FALSE)*B51/1000))</f>
        <v/>
      </c>
      <c r="D51" s="39" t="str">
        <f>IF(B51="","",IF(VLOOKUP($A51,'Ex Post LI &amp; Eligibility Stats'!#REF!,C$5,FALSE)="N/A",0,VLOOKUP($A51,'Ex Post LI &amp; Eligibility Stats'!#REF!,C$5,FALSE)*B51/1000))</f>
        <v/>
      </c>
      <c r="E51" s="75"/>
      <c r="F51" s="38" t="s">
        <v>125</v>
      </c>
      <c r="G51" s="39" t="s">
        <v>125</v>
      </c>
      <c r="H51" s="70"/>
      <c r="I51" s="38" t="s">
        <v>125</v>
      </c>
      <c r="J51" s="39" t="s">
        <v>125</v>
      </c>
      <c r="K51" s="71"/>
      <c r="L51" s="96" t="s">
        <v>125</v>
      </c>
      <c r="M51" s="97" t="s">
        <v>125</v>
      </c>
      <c r="N51" s="71"/>
      <c r="O51" s="41" t="s">
        <v>125</v>
      </c>
      <c r="P51" s="42" t="s">
        <v>125</v>
      </c>
      <c r="Q51" s="70"/>
      <c r="R51" s="41" t="s">
        <v>125</v>
      </c>
      <c r="S51" s="42" t="s">
        <v>125</v>
      </c>
      <c r="T51" s="401">
        <v>110349</v>
      </c>
      <c r="U51" s="87"/>
    </row>
    <row r="52" spans="1:26" ht="11.25" customHeight="1" x14ac:dyDescent="0.2">
      <c r="A52" s="44" t="s">
        <v>42</v>
      </c>
      <c r="B52" s="70"/>
      <c r="C52" s="38" t="str">
        <f>IF(B52="","",IF(VLOOKUP($A52,'Ex Ante LI &amp; Eligibility Stats'!$A$7:$M$22,C$5,FALSE)="N/A",0,VLOOKUP($A52,'Ex Ante LI &amp; Eligibility Stats'!$A$7:$M$22,C$5,FALSE)*B52/1000))</f>
        <v/>
      </c>
      <c r="D52" s="39" t="str">
        <f>IF(B52="","",IF(VLOOKUP($A52,'Ex Post LI &amp; Eligibility Stats'!#REF!,C$5,FALSE)="N/A",0,VLOOKUP($A52,'Ex Post LI &amp; Eligibility Stats'!#REF!,C$5,FALSE)*B52/1000))</f>
        <v/>
      </c>
      <c r="E52" s="75"/>
      <c r="F52" s="38" t="s">
        <v>125</v>
      </c>
      <c r="G52" s="39" t="s">
        <v>125</v>
      </c>
      <c r="H52" s="70"/>
      <c r="I52" s="38" t="s">
        <v>125</v>
      </c>
      <c r="J52" s="39" t="s">
        <v>125</v>
      </c>
      <c r="K52" s="71"/>
      <c r="L52" s="96" t="s">
        <v>125</v>
      </c>
      <c r="M52" s="97" t="s">
        <v>125</v>
      </c>
      <c r="N52" s="71"/>
      <c r="O52" s="41" t="s">
        <v>125</v>
      </c>
      <c r="P52" s="42" t="s">
        <v>125</v>
      </c>
      <c r="Q52" s="70"/>
      <c r="R52" s="41" t="s">
        <v>125</v>
      </c>
      <c r="S52" s="42" t="s">
        <v>125</v>
      </c>
      <c r="T52" s="401">
        <v>110349</v>
      </c>
      <c r="U52" s="87"/>
    </row>
    <row r="53" spans="1:26" ht="11.25" customHeight="1" x14ac:dyDescent="0.2">
      <c r="A53" s="44" t="s">
        <v>43</v>
      </c>
      <c r="B53" s="70"/>
      <c r="C53" s="38" t="str">
        <f>IF(B53="","",IF(VLOOKUP($A53,'Ex Ante LI &amp; Eligibility Stats'!$A$7:$M$22,C$5,FALSE)="N/A",0,VLOOKUP($A53,'Ex Ante LI &amp; Eligibility Stats'!$A$7:$M$22,C$5,FALSE)*B53/1000))</f>
        <v/>
      </c>
      <c r="D53" s="39" t="str">
        <f>IF(B53="","",IF(VLOOKUP($A53,'Ex Post LI &amp; Eligibility Stats'!#REF!,C$5,FALSE)="N/A",0,VLOOKUP($A53,'Ex Post LI &amp; Eligibility Stats'!#REF!,C$5,FALSE)*B53/1000))</f>
        <v/>
      </c>
      <c r="E53" s="75"/>
      <c r="F53" s="38" t="s">
        <v>125</v>
      </c>
      <c r="G53" s="39" t="s">
        <v>125</v>
      </c>
      <c r="H53" s="70"/>
      <c r="I53" s="38" t="s">
        <v>125</v>
      </c>
      <c r="J53" s="39" t="s">
        <v>125</v>
      </c>
      <c r="K53" s="71"/>
      <c r="L53" s="96" t="s">
        <v>125</v>
      </c>
      <c r="M53" s="97" t="s">
        <v>125</v>
      </c>
      <c r="N53" s="71"/>
      <c r="O53" s="41" t="s">
        <v>125</v>
      </c>
      <c r="P53" s="42" t="s">
        <v>125</v>
      </c>
      <c r="Q53" s="70"/>
      <c r="R53" s="41" t="s">
        <v>125</v>
      </c>
      <c r="S53" s="42" t="s">
        <v>125</v>
      </c>
      <c r="T53" s="401">
        <v>110349</v>
      </c>
      <c r="U53" s="87"/>
    </row>
    <row r="54" spans="1:26" ht="11.25" customHeight="1" x14ac:dyDescent="0.2">
      <c r="A54" s="44" t="s">
        <v>44</v>
      </c>
      <c r="B54" s="70"/>
      <c r="C54" s="38" t="str">
        <f>IF(B54="","",IF(VLOOKUP($A54,'Ex Ante LI &amp; Eligibility Stats'!$A$7:$M$22,C$5,FALSE)="N/A",0,VLOOKUP($A54,'Ex Ante LI &amp; Eligibility Stats'!$A$7:$M$22,C$5,FALSE)*B54/1000))</f>
        <v/>
      </c>
      <c r="D54" s="39" t="str">
        <f>IF(B54="","",IF(VLOOKUP($A54,'Ex Post LI &amp; Eligibility Stats'!#REF!,C$5,FALSE)="N/A",0,VLOOKUP($A54,'Ex Post LI &amp; Eligibility Stats'!#REF!,C$5,FALSE)*B54/1000))</f>
        <v/>
      </c>
      <c r="E54" s="75"/>
      <c r="F54" s="38" t="s">
        <v>125</v>
      </c>
      <c r="G54" s="39" t="s">
        <v>125</v>
      </c>
      <c r="H54" s="70"/>
      <c r="I54" s="38" t="s">
        <v>125</v>
      </c>
      <c r="J54" s="39" t="s">
        <v>125</v>
      </c>
      <c r="K54" s="71"/>
      <c r="L54" s="96" t="s">
        <v>125</v>
      </c>
      <c r="M54" s="97" t="s">
        <v>125</v>
      </c>
      <c r="N54" s="71"/>
      <c r="O54" s="41" t="s">
        <v>125</v>
      </c>
      <c r="P54" s="42" t="s">
        <v>125</v>
      </c>
      <c r="Q54" s="70"/>
      <c r="R54" s="41" t="s">
        <v>125</v>
      </c>
      <c r="S54" s="42" t="s">
        <v>125</v>
      </c>
      <c r="T54" s="401">
        <v>110349</v>
      </c>
      <c r="U54" s="87"/>
    </row>
    <row r="55" spans="1:26" ht="11.25" customHeight="1" x14ac:dyDescent="0.2">
      <c r="A55" s="44" t="s">
        <v>46</v>
      </c>
      <c r="B55" s="98"/>
      <c r="C55" s="46" t="str">
        <f>IF(B55="","",IF(VLOOKUP($A55,'Ex Ante LI &amp; Eligibility Stats'!$A$7:$M$22,C$5,FALSE)="N/A",0,VLOOKUP($A55,'Ex Ante LI &amp; Eligibility Stats'!$A$7:$M$22,C$5,FALSE)*B55/1000))</f>
        <v/>
      </c>
      <c r="D55" s="47" t="str">
        <f>IF(B55="","",IF(VLOOKUP($A55,'Ex Post LI &amp; Eligibility Stats'!#REF!,C$5,FALSE)="N/A",0,VLOOKUP($A55,'Ex Post LI &amp; Eligibility Stats'!#REF!,C$5,FALSE)*B55/1000))</f>
        <v/>
      </c>
      <c r="E55" s="48"/>
      <c r="F55" s="46" t="s">
        <v>125</v>
      </c>
      <c r="G55" s="47" t="s">
        <v>125</v>
      </c>
      <c r="H55" s="45"/>
      <c r="I55" s="46" t="s">
        <v>125</v>
      </c>
      <c r="J55" s="47" t="s">
        <v>125</v>
      </c>
      <c r="K55" s="51"/>
      <c r="L55" s="99" t="s">
        <v>125</v>
      </c>
      <c r="M55" s="100" t="s">
        <v>125</v>
      </c>
      <c r="N55" s="51"/>
      <c r="O55" s="49" t="s">
        <v>125</v>
      </c>
      <c r="P55" s="50" t="s">
        <v>125</v>
      </c>
      <c r="Q55" s="45"/>
      <c r="R55" s="49" t="s">
        <v>125</v>
      </c>
      <c r="S55" s="50" t="s">
        <v>125</v>
      </c>
      <c r="T55" s="401">
        <v>3000000</v>
      </c>
      <c r="U55" s="87"/>
    </row>
    <row r="56" spans="1:26" ht="12" customHeight="1" thickBot="1" x14ac:dyDescent="0.25">
      <c r="A56" s="52" t="s">
        <v>60</v>
      </c>
      <c r="B56" s="53"/>
      <c r="C56" s="54">
        <f>SUM(C45:C55)</f>
        <v>0</v>
      </c>
      <c r="D56" s="355">
        <f>SUM(D45:D55)</f>
        <v>0</v>
      </c>
      <c r="E56" s="53"/>
      <c r="F56" s="54">
        <f>SUM(F45:F55)</f>
        <v>0</v>
      </c>
      <c r="G56" s="355">
        <f>SUM(G45:G55)</f>
        <v>0</v>
      </c>
      <c r="H56" s="53"/>
      <c r="I56" s="54">
        <f>SUM(I45:I55)</f>
        <v>0</v>
      </c>
      <c r="J56" s="355">
        <f>SUM(J45:J55)</f>
        <v>0</v>
      </c>
      <c r="K56" s="56"/>
      <c r="L56" s="101">
        <f>SUM(L45:L55)</f>
        <v>0</v>
      </c>
      <c r="M56" s="357">
        <f>SUM(M45:M55)</f>
        <v>0</v>
      </c>
      <c r="N56" s="56"/>
      <c r="O56" s="57">
        <f>SUM(O45:O55)</f>
        <v>0</v>
      </c>
      <c r="P56" s="359">
        <f>SUM(P45:P55)</f>
        <v>0</v>
      </c>
      <c r="Q56" s="53"/>
      <c r="R56" s="57">
        <f>SUM(R45:R55)</f>
        <v>0</v>
      </c>
      <c r="S56" s="58">
        <f>SUM(S45:S55)</f>
        <v>0</v>
      </c>
      <c r="T56" s="59"/>
      <c r="U56" s="87"/>
    </row>
    <row r="57" spans="1:26" ht="13.5" customHeight="1" thickTop="1" x14ac:dyDescent="0.2">
      <c r="A57" s="107" t="s">
        <v>61</v>
      </c>
      <c r="B57" s="108"/>
      <c r="C57" s="46">
        <f>+C43+C56</f>
        <v>0</v>
      </c>
      <c r="D57" s="356">
        <f>+D43+D56</f>
        <v>0</v>
      </c>
      <c r="E57" s="108"/>
      <c r="F57" s="46">
        <f>+F43+F56</f>
        <v>0</v>
      </c>
      <c r="G57" s="356">
        <f>+G43+G56</f>
        <v>0</v>
      </c>
      <c r="H57" s="108"/>
      <c r="I57" s="46">
        <f>+I43+I56</f>
        <v>0</v>
      </c>
      <c r="J57" s="356">
        <f>+J43+J56</f>
        <v>0</v>
      </c>
      <c r="K57" s="109"/>
      <c r="L57" s="99">
        <f>+L43+L56</f>
        <v>0</v>
      </c>
      <c r="M57" s="358">
        <f>+M43+M56</f>
        <v>0</v>
      </c>
      <c r="N57" s="109"/>
      <c r="O57" s="49">
        <f>+O43+O56</f>
        <v>0</v>
      </c>
      <c r="P57" s="110">
        <f>+P43+P56</f>
        <v>0</v>
      </c>
      <c r="Q57" s="108"/>
      <c r="R57" s="49">
        <f>+R43+R56</f>
        <v>0</v>
      </c>
      <c r="S57" s="110">
        <f>+S43+S56</f>
        <v>0</v>
      </c>
      <c r="T57" s="111"/>
      <c r="U57" s="87"/>
    </row>
    <row r="58" spans="1:26" s="112" customFormat="1" ht="23.25" customHeight="1" x14ac:dyDescent="0.2">
      <c r="A58" s="455" t="s">
        <v>197</v>
      </c>
      <c r="B58" s="456"/>
      <c r="C58" s="456"/>
      <c r="D58" s="456"/>
      <c r="E58" s="456"/>
      <c r="F58" s="456"/>
      <c r="G58" s="456"/>
      <c r="H58" s="456"/>
      <c r="I58" s="456"/>
      <c r="J58" s="456"/>
      <c r="K58" s="456"/>
      <c r="L58" s="456"/>
      <c r="M58" s="456"/>
      <c r="N58" s="456"/>
      <c r="O58" s="456"/>
      <c r="P58" s="456"/>
      <c r="Q58" s="456"/>
      <c r="R58" s="456"/>
      <c r="S58" s="456"/>
      <c r="T58" s="456"/>
    </row>
    <row r="59" spans="1:26" s="112" customFormat="1" ht="23.25" customHeight="1" x14ac:dyDescent="0.2">
      <c r="A59" s="455" t="s">
        <v>196</v>
      </c>
      <c r="B59" s="456"/>
      <c r="C59" s="456"/>
      <c r="D59" s="456"/>
      <c r="E59" s="456"/>
      <c r="F59" s="456"/>
      <c r="G59" s="456"/>
      <c r="H59" s="456"/>
      <c r="I59" s="456"/>
      <c r="J59" s="456"/>
      <c r="K59" s="456"/>
      <c r="L59" s="456"/>
      <c r="M59" s="456"/>
      <c r="N59" s="456"/>
      <c r="O59" s="456"/>
      <c r="P59" s="456"/>
      <c r="Q59" s="456"/>
      <c r="R59" s="456"/>
      <c r="S59" s="456"/>
      <c r="T59" s="456"/>
    </row>
    <row r="60" spans="1:26" s="113" customFormat="1" ht="14.25" customHeight="1" x14ac:dyDescent="0.2">
      <c r="A60" s="404" t="s">
        <v>198</v>
      </c>
      <c r="B60" s="351"/>
      <c r="C60" s="351"/>
      <c r="D60" s="351"/>
      <c r="E60" s="351"/>
      <c r="F60" s="351"/>
      <c r="G60" s="351"/>
      <c r="H60" s="351"/>
      <c r="I60" s="351"/>
      <c r="J60" s="351"/>
      <c r="K60" s="351"/>
      <c r="L60" s="351"/>
      <c r="M60" s="351"/>
      <c r="N60" s="352"/>
      <c r="O60" s="114"/>
      <c r="P60" s="114"/>
      <c r="Q60" s="115"/>
      <c r="R60" s="114"/>
      <c r="S60" s="114"/>
      <c r="T60" s="115"/>
    </row>
    <row r="61" spans="1:26" s="113" customFormat="1" ht="48" customHeight="1" x14ac:dyDescent="0.2">
      <c r="A61" s="457" t="s">
        <v>65</v>
      </c>
      <c r="B61" s="456"/>
      <c r="C61" s="456"/>
      <c r="D61" s="456"/>
      <c r="E61" s="456"/>
      <c r="F61" s="456"/>
      <c r="G61" s="456"/>
      <c r="H61" s="456"/>
      <c r="I61" s="456"/>
      <c r="J61" s="456"/>
      <c r="K61" s="456"/>
      <c r="L61" s="456"/>
      <c r="M61" s="456"/>
      <c r="N61" s="456"/>
      <c r="O61" s="456"/>
      <c r="P61" s="456"/>
      <c r="Q61" s="456"/>
      <c r="R61" s="456"/>
      <c r="S61" s="456"/>
      <c r="T61" s="456"/>
    </row>
    <row r="62" spans="1:26" s="10" customFormat="1" ht="13.5" customHeight="1" x14ac:dyDescent="0.2">
      <c r="A62" s="457" t="s">
        <v>218</v>
      </c>
      <c r="B62" s="456"/>
      <c r="C62" s="456"/>
      <c r="D62" s="456"/>
      <c r="E62" s="456"/>
      <c r="F62" s="456"/>
      <c r="G62" s="456"/>
      <c r="H62" s="456"/>
      <c r="I62" s="456"/>
      <c r="J62" s="456"/>
      <c r="K62" s="456"/>
      <c r="L62" s="456"/>
      <c r="M62" s="456"/>
      <c r="N62" s="456"/>
      <c r="O62" s="456"/>
      <c r="P62" s="456"/>
      <c r="Q62" s="456"/>
      <c r="R62" s="456"/>
      <c r="S62" s="456"/>
      <c r="T62" s="456"/>
      <c r="U62" s="115"/>
      <c r="V62" s="115"/>
      <c r="W62" s="115"/>
      <c r="X62" s="115"/>
      <c r="Y62" s="115"/>
      <c r="Z62" s="115"/>
    </row>
    <row r="63" spans="1:26" s="10" customFormat="1" ht="13.5" customHeight="1" x14ac:dyDescent="0.2">
      <c r="A63" s="116"/>
      <c r="N63" s="11"/>
      <c r="O63" s="114"/>
      <c r="P63" s="114"/>
      <c r="Q63" s="115"/>
      <c r="R63" s="114"/>
      <c r="S63" s="114"/>
      <c r="T63" s="115"/>
      <c r="U63" s="115"/>
      <c r="V63" s="115"/>
      <c r="W63" s="115"/>
      <c r="X63" s="115"/>
      <c r="Y63" s="115"/>
      <c r="Z63" s="115"/>
    </row>
    <row r="64" spans="1:26" s="10" customFormat="1" ht="13.5" customHeight="1" x14ac:dyDescent="0.2">
      <c r="N64" s="11"/>
      <c r="O64" s="114"/>
      <c r="P64" s="114"/>
      <c r="Q64" s="115"/>
      <c r="R64" s="114"/>
      <c r="S64" s="114"/>
      <c r="T64" s="115"/>
      <c r="U64" s="115"/>
      <c r="V64" s="115"/>
      <c r="W64" s="115"/>
      <c r="X64" s="115"/>
      <c r="Y64" s="115"/>
      <c r="Z64" s="115"/>
    </row>
    <row r="65" spans="1:26" ht="13.5" customHeight="1" x14ac:dyDescent="0.2">
      <c r="A65" s="117"/>
      <c r="B65" s="118"/>
      <c r="C65" s="115"/>
      <c r="D65" s="115"/>
      <c r="E65" s="115"/>
      <c r="F65" s="115"/>
      <c r="G65" s="115"/>
      <c r="H65" s="115"/>
      <c r="I65" s="115"/>
      <c r="J65" s="115"/>
      <c r="K65" s="114"/>
      <c r="L65" s="117"/>
      <c r="M65" s="117"/>
      <c r="N65" s="114"/>
      <c r="O65" s="114"/>
      <c r="P65" s="114"/>
      <c r="Q65" s="115"/>
      <c r="R65" s="114"/>
      <c r="S65" s="114"/>
      <c r="T65" s="117"/>
      <c r="U65" s="117"/>
      <c r="V65" s="117"/>
      <c r="W65" s="117"/>
      <c r="X65" s="117"/>
      <c r="Y65" s="117"/>
      <c r="Z65" s="117"/>
    </row>
    <row r="66" spans="1:26" ht="13.5" customHeight="1" x14ac:dyDescent="0.2">
      <c r="A66" s="450"/>
      <c r="B66" s="451"/>
      <c r="C66" s="451"/>
      <c r="D66" s="451"/>
      <c r="E66" s="451"/>
      <c r="F66" s="451"/>
      <c r="G66" s="451"/>
      <c r="H66" s="451"/>
      <c r="I66" s="451"/>
      <c r="J66" s="451"/>
      <c r="K66" s="451"/>
      <c r="L66" s="451"/>
      <c r="M66" s="451"/>
      <c r="N66" s="451"/>
      <c r="O66" s="451"/>
      <c r="P66" s="451"/>
      <c r="Q66" s="451"/>
      <c r="R66" s="451"/>
      <c r="S66" s="451"/>
      <c r="T66" s="451"/>
    </row>
    <row r="67" spans="1:26" ht="13.5" customHeight="1" x14ac:dyDescent="0.2">
      <c r="A67" s="117"/>
    </row>
    <row r="68" spans="1:26" ht="13.5" customHeight="1" x14ac:dyDescent="0.2">
      <c r="A68" s="117"/>
    </row>
  </sheetData>
  <sheetProtection password="C511" sheet="1" objects="1" scenarios="1"/>
  <protectedRanges>
    <protectedRange sqref="Q21" name="Range1_2"/>
    <protectedRange sqref="Q28" name="Range1_4"/>
    <protectedRange sqref="Q13" name="Range1_6"/>
    <protectedRange sqref="Q14" name="Range1_7"/>
  </protectedRanges>
  <mergeCells count="17">
    <mergeCell ref="Q7:S7"/>
    <mergeCell ref="B7:D7"/>
    <mergeCell ref="E7:G7"/>
    <mergeCell ref="H7:J7"/>
    <mergeCell ref="K7:M7"/>
    <mergeCell ref="N7:P7"/>
    <mergeCell ref="A66:T66"/>
    <mergeCell ref="B35:D35"/>
    <mergeCell ref="E35:G35"/>
    <mergeCell ref="H35:J35"/>
    <mergeCell ref="K35:M35"/>
    <mergeCell ref="N35:P35"/>
    <mergeCell ref="Q35:S35"/>
    <mergeCell ref="A58:T58"/>
    <mergeCell ref="A59:T59"/>
    <mergeCell ref="A61:T61"/>
    <mergeCell ref="A62:T62"/>
  </mergeCells>
  <printOptions horizontalCentered="1"/>
  <pageMargins left="0" right="0" top="1" bottom="0.25" header="0.13" footer="0.1"/>
  <pageSetup paperSize="17" scale="94" orientation="landscape" r:id="rId1"/>
  <headerFooter>
    <oddHeader>&amp;C&amp;"Arial,Bold"&amp;K000000Table I-1
Pacific Gas and Electric Company 
Interruptible and Price Responsible Programs
Subscription Statistics - Enrolled MW
June 2012</oddHeader>
    <oddFooter>&amp;L&amp;F&amp;CPage 3 of 9&amp;R&amp;A</oddFooter>
  </headerFooter>
  <ignoredErrors>
    <ignoredError sqref="B16:K16 C29:D29 B19:B21 E31:S37 E43:S44 E38:E42 H38:H42 K38:K42 N38:N42 Q38:Q42 E45:E54 H45:H55 K45:K55 N45:N55 Q45:Q55 F15:G15 F29:G30 I15 K30 M16:N16 M29:M30 M15 B28 Q16:S16 R15:S15 B30:D54 C15:D15 B55:E55"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showGridLines="0" view="pageLayout" zoomScale="70" zoomScaleNormal="100" zoomScalePageLayoutView="70" workbookViewId="0">
      <selection activeCell="A6" sqref="A6"/>
    </sheetView>
  </sheetViews>
  <sheetFormatPr defaultRowHeight="12.75" x14ac:dyDescent="0.2"/>
  <cols>
    <col min="1" max="1" width="35.7109375" style="250" customWidth="1"/>
    <col min="2" max="2" width="11.140625" style="250" customWidth="1"/>
    <col min="3" max="3" width="10" style="250" customWidth="1"/>
    <col min="4" max="4" width="8.7109375" style="250" customWidth="1"/>
    <col min="5" max="5" width="7.5703125" style="250" customWidth="1"/>
    <col min="6" max="6" width="7.140625" style="250" customWidth="1"/>
    <col min="7" max="7" width="7.28515625" style="250" customWidth="1"/>
    <col min="8" max="8" width="7.140625" style="250" customWidth="1"/>
    <col min="9" max="9" width="9.5703125" style="250" customWidth="1"/>
    <col min="10" max="10" width="11.5703125" style="250" customWidth="1"/>
    <col min="11" max="11" width="9.42578125" style="250" customWidth="1"/>
    <col min="12" max="12" width="11.140625" style="250" customWidth="1"/>
    <col min="13" max="13" width="10.7109375" style="250" customWidth="1"/>
    <col min="14" max="14" width="13.28515625" style="250" customWidth="1"/>
    <col min="15" max="15" width="52.140625" style="250" customWidth="1"/>
    <col min="16" max="17" width="26.7109375" style="250" hidden="1" customWidth="1"/>
    <col min="18" max="18" width="46.28515625" style="250" customWidth="1"/>
    <col min="19" max="19" width="10.85546875" style="250" customWidth="1"/>
    <col min="20" max="20" width="12.140625" style="250" bestFit="1" customWidth="1"/>
    <col min="21" max="21" width="12.140625" style="250" customWidth="1"/>
    <col min="22" max="22" width="9.5703125" style="250" bestFit="1" customWidth="1"/>
    <col min="23" max="23" width="11.140625" style="250" customWidth="1"/>
    <col min="24" max="24" width="11.7109375" style="250" bestFit="1" customWidth="1"/>
    <col min="25" max="25" width="11.7109375" style="250" customWidth="1"/>
    <col min="26" max="16384" width="9.140625" style="250"/>
  </cols>
  <sheetData>
    <row r="1" spans="1:17" x14ac:dyDescent="0.2">
      <c r="A1" s="379" t="s">
        <v>3</v>
      </c>
      <c r="B1" s="380"/>
      <c r="C1" s="380"/>
      <c r="D1" s="380"/>
      <c r="E1" s="380"/>
      <c r="F1" s="380"/>
      <c r="G1" s="380"/>
      <c r="H1" s="380"/>
      <c r="I1" s="380"/>
      <c r="J1" s="380"/>
      <c r="K1" s="380"/>
      <c r="L1" s="380"/>
      <c r="M1" s="380"/>
      <c r="N1" s="380"/>
      <c r="O1" s="381"/>
    </row>
    <row r="2" spans="1:17" ht="6.75" hidden="1" customHeight="1" x14ac:dyDescent="0.2">
      <c r="A2" s="382"/>
      <c r="B2" s="277"/>
      <c r="C2" s="277"/>
      <c r="D2" s="277"/>
      <c r="E2" s="277"/>
      <c r="F2" s="277"/>
      <c r="G2" s="277"/>
      <c r="H2" s="277"/>
      <c r="I2" s="277"/>
      <c r="J2" s="277"/>
      <c r="K2" s="277"/>
      <c r="L2" s="277"/>
      <c r="M2" s="277"/>
      <c r="N2" s="277"/>
      <c r="O2" s="383"/>
    </row>
    <row r="3" spans="1:17" ht="6.75" hidden="1" customHeight="1" x14ac:dyDescent="0.2">
      <c r="A3" s="384"/>
      <c r="B3" s="277"/>
      <c r="C3" s="277"/>
      <c r="D3" s="277"/>
      <c r="E3" s="277"/>
      <c r="F3" s="277"/>
      <c r="G3" s="277"/>
      <c r="H3" s="277"/>
      <c r="I3" s="277"/>
      <c r="J3" s="277"/>
      <c r="K3" s="277"/>
      <c r="L3" s="277"/>
      <c r="M3" s="277"/>
      <c r="N3" s="277"/>
      <c r="O3" s="383"/>
    </row>
    <row r="4" spans="1:17" ht="6.75" customHeight="1" x14ac:dyDescent="0.2">
      <c r="A4" s="384"/>
      <c r="B4" s="277"/>
      <c r="C4" s="277"/>
      <c r="D4" s="277"/>
      <c r="E4" s="277"/>
      <c r="F4" s="277"/>
      <c r="G4" s="277"/>
      <c r="H4" s="277"/>
      <c r="I4" s="277"/>
      <c r="J4" s="277"/>
      <c r="K4" s="277"/>
      <c r="L4" s="277"/>
      <c r="M4" s="277"/>
      <c r="N4" s="277"/>
      <c r="O4" s="383"/>
    </row>
    <row r="5" spans="1:17" ht="12.75" customHeight="1" x14ac:dyDescent="0.2">
      <c r="A5" s="416"/>
      <c r="B5" s="458" t="s">
        <v>4</v>
      </c>
      <c r="C5" s="458"/>
      <c r="D5" s="458"/>
      <c r="E5" s="458"/>
      <c r="F5" s="458"/>
      <c r="G5" s="458"/>
      <c r="H5" s="458"/>
      <c r="I5" s="458"/>
      <c r="J5" s="458"/>
      <c r="K5" s="458"/>
      <c r="L5" s="458"/>
      <c r="M5" s="458"/>
      <c r="N5" s="459" t="s">
        <v>194</v>
      </c>
      <c r="O5" s="416"/>
      <c r="P5" s="461" t="s">
        <v>5</v>
      </c>
      <c r="Q5" s="462"/>
    </row>
    <row r="6" spans="1:17" ht="48" customHeight="1" x14ac:dyDescent="0.2">
      <c r="A6" s="385" t="s">
        <v>6</v>
      </c>
      <c r="B6" s="415" t="s">
        <v>7</v>
      </c>
      <c r="C6" s="415" t="s">
        <v>8</v>
      </c>
      <c r="D6" s="415" t="s">
        <v>9</v>
      </c>
      <c r="E6" s="415" t="s">
        <v>10</v>
      </c>
      <c r="F6" s="415" t="s">
        <v>11</v>
      </c>
      <c r="G6" s="415" t="s">
        <v>12</v>
      </c>
      <c r="H6" s="415" t="s">
        <v>13</v>
      </c>
      <c r="I6" s="415" t="s">
        <v>14</v>
      </c>
      <c r="J6" s="415" t="s">
        <v>15</v>
      </c>
      <c r="K6" s="415" t="s">
        <v>16</v>
      </c>
      <c r="L6" s="415" t="s">
        <v>17</v>
      </c>
      <c r="M6" s="415" t="s">
        <v>18</v>
      </c>
      <c r="N6" s="460"/>
      <c r="O6" s="417" t="s">
        <v>19</v>
      </c>
      <c r="P6" s="273" t="s">
        <v>20</v>
      </c>
      <c r="Q6" s="272" t="s">
        <v>21</v>
      </c>
    </row>
    <row r="7" spans="1:17" ht="38.25" x14ac:dyDescent="0.2">
      <c r="A7" s="386" t="s">
        <v>22</v>
      </c>
      <c r="B7" s="376">
        <v>308</v>
      </c>
      <c r="C7" s="376">
        <v>330.2</v>
      </c>
      <c r="D7" s="376">
        <v>354.1</v>
      </c>
      <c r="E7" s="376">
        <v>761.1</v>
      </c>
      <c r="F7" s="376">
        <v>773.7</v>
      </c>
      <c r="G7" s="376">
        <v>756.9</v>
      </c>
      <c r="H7" s="376">
        <v>787.1</v>
      </c>
      <c r="I7" s="376">
        <v>800.4</v>
      </c>
      <c r="J7" s="376">
        <v>842.6</v>
      </c>
      <c r="K7" s="376">
        <v>810.2</v>
      </c>
      <c r="L7" s="376">
        <v>341</v>
      </c>
      <c r="M7" s="376">
        <v>313</v>
      </c>
      <c r="N7" s="7">
        <v>10396</v>
      </c>
      <c r="O7" s="377" t="s">
        <v>186</v>
      </c>
    </row>
    <row r="8" spans="1:17" ht="76.5" x14ac:dyDescent="0.2">
      <c r="A8" s="386" t="s">
        <v>23</v>
      </c>
      <c r="B8" s="6" t="s">
        <v>24</v>
      </c>
      <c r="C8" s="6" t="s">
        <v>24</v>
      </c>
      <c r="D8" s="6" t="s">
        <v>24</v>
      </c>
      <c r="E8" s="6" t="s">
        <v>24</v>
      </c>
      <c r="F8" s="6" t="s">
        <v>24</v>
      </c>
      <c r="G8" s="6" t="s">
        <v>24</v>
      </c>
      <c r="H8" s="6" t="s">
        <v>24</v>
      </c>
      <c r="I8" s="6" t="s">
        <v>24</v>
      </c>
      <c r="J8" s="6" t="s">
        <v>24</v>
      </c>
      <c r="K8" s="6" t="s">
        <v>24</v>
      </c>
      <c r="L8" s="6" t="s">
        <v>24</v>
      </c>
      <c r="M8" s="6" t="s">
        <v>24</v>
      </c>
      <c r="N8" s="7" t="s">
        <v>24</v>
      </c>
      <c r="O8" s="377" t="s">
        <v>25</v>
      </c>
    </row>
    <row r="9" spans="1:17" ht="63.75" x14ac:dyDescent="0.2">
      <c r="A9" s="386" t="s">
        <v>26</v>
      </c>
      <c r="B9" s="6" t="s">
        <v>24</v>
      </c>
      <c r="C9" s="6" t="s">
        <v>24</v>
      </c>
      <c r="D9" s="6" t="s">
        <v>24</v>
      </c>
      <c r="E9" s="6" t="s">
        <v>24</v>
      </c>
      <c r="F9" s="6" t="s">
        <v>24</v>
      </c>
      <c r="G9" s="6" t="s">
        <v>24</v>
      </c>
      <c r="H9" s="6" t="s">
        <v>24</v>
      </c>
      <c r="I9" s="6" t="s">
        <v>24</v>
      </c>
      <c r="J9" s="6" t="s">
        <v>24</v>
      </c>
      <c r="K9" s="6" t="s">
        <v>24</v>
      </c>
      <c r="L9" s="6" t="s">
        <v>24</v>
      </c>
      <c r="M9" s="6" t="s">
        <v>24</v>
      </c>
      <c r="N9" s="7" t="s">
        <v>24</v>
      </c>
      <c r="O9" s="377" t="s">
        <v>187</v>
      </c>
    </row>
    <row r="10" spans="1:17" ht="38.25" x14ac:dyDescent="0.2">
      <c r="A10" s="386" t="s">
        <v>203</v>
      </c>
      <c r="B10" s="376">
        <v>0</v>
      </c>
      <c r="C10" s="376">
        <v>0</v>
      </c>
      <c r="D10" s="376">
        <v>0</v>
      </c>
      <c r="E10" s="376">
        <v>0</v>
      </c>
      <c r="F10" s="376">
        <v>0.4</v>
      </c>
      <c r="G10" s="376">
        <v>0.5</v>
      </c>
      <c r="H10" s="376">
        <v>0.7</v>
      </c>
      <c r="I10" s="376">
        <v>0.5</v>
      </c>
      <c r="J10" s="376">
        <v>0.5</v>
      </c>
      <c r="K10" s="376">
        <v>0.3</v>
      </c>
      <c r="L10" s="376">
        <v>0</v>
      </c>
      <c r="M10" s="376">
        <v>0</v>
      </c>
      <c r="N10" s="7">
        <v>593312</v>
      </c>
      <c r="O10" s="377" t="s">
        <v>28</v>
      </c>
    </row>
    <row r="11" spans="1:17" ht="38.25" x14ac:dyDescent="0.2">
      <c r="A11" s="386" t="s">
        <v>204</v>
      </c>
      <c r="B11" s="376" t="s">
        <v>24</v>
      </c>
      <c r="C11" s="376" t="s">
        <v>24</v>
      </c>
      <c r="D11" s="376" t="s">
        <v>24</v>
      </c>
      <c r="E11" s="376" t="s">
        <v>24</v>
      </c>
      <c r="F11" s="376">
        <v>0.3</v>
      </c>
      <c r="G11" s="376">
        <v>0.4</v>
      </c>
      <c r="H11" s="376">
        <v>0.6</v>
      </c>
      <c r="I11" s="376">
        <v>0.5</v>
      </c>
      <c r="J11" s="376">
        <v>0.5</v>
      </c>
      <c r="K11" s="376">
        <v>0.2</v>
      </c>
      <c r="L11" s="376" t="s">
        <v>24</v>
      </c>
      <c r="M11" s="376" t="s">
        <v>24</v>
      </c>
      <c r="N11" s="7">
        <v>3000000</v>
      </c>
      <c r="O11" s="377" t="s">
        <v>30</v>
      </c>
    </row>
    <row r="12" spans="1:17" ht="51" x14ac:dyDescent="0.2">
      <c r="A12" s="386" t="s">
        <v>31</v>
      </c>
      <c r="B12" s="376">
        <v>0</v>
      </c>
      <c r="C12" s="376">
        <v>0</v>
      </c>
      <c r="D12" s="376">
        <v>0</v>
      </c>
      <c r="E12" s="376">
        <v>0</v>
      </c>
      <c r="F12" s="376">
        <v>214.2</v>
      </c>
      <c r="G12" s="376">
        <v>214.2</v>
      </c>
      <c r="H12" s="376">
        <v>214.2</v>
      </c>
      <c r="I12" s="376">
        <v>214.2</v>
      </c>
      <c r="J12" s="376">
        <v>214.2</v>
      </c>
      <c r="K12" s="376">
        <v>214.2</v>
      </c>
      <c r="L12" s="376">
        <v>0</v>
      </c>
      <c r="M12" s="376">
        <v>0</v>
      </c>
      <c r="N12" s="7">
        <v>596031</v>
      </c>
      <c r="O12" s="421" t="s">
        <v>32</v>
      </c>
    </row>
    <row r="13" spans="1:17" ht="51" x14ac:dyDescent="0.2">
      <c r="A13" s="386" t="s">
        <v>33</v>
      </c>
      <c r="B13" s="376">
        <v>0</v>
      </c>
      <c r="C13" s="376">
        <v>0</v>
      </c>
      <c r="D13" s="376">
        <v>0</v>
      </c>
      <c r="E13" s="376">
        <v>0</v>
      </c>
      <c r="F13" s="376">
        <v>114.6</v>
      </c>
      <c r="G13" s="376">
        <v>114.6</v>
      </c>
      <c r="H13" s="376">
        <v>114.6</v>
      </c>
      <c r="I13" s="376">
        <v>114.6</v>
      </c>
      <c r="J13" s="376">
        <v>114.6</v>
      </c>
      <c r="K13" s="376">
        <v>114.6</v>
      </c>
      <c r="L13" s="376">
        <v>0</v>
      </c>
      <c r="M13" s="376">
        <v>0</v>
      </c>
      <c r="N13" s="7">
        <v>596031</v>
      </c>
      <c r="O13" s="377" t="s">
        <v>34</v>
      </c>
    </row>
    <row r="14" spans="1:17" ht="51" x14ac:dyDescent="0.2">
      <c r="A14" s="386" t="s">
        <v>35</v>
      </c>
      <c r="B14" s="376">
        <v>0</v>
      </c>
      <c r="C14" s="376">
        <v>0</v>
      </c>
      <c r="D14" s="376">
        <v>0</v>
      </c>
      <c r="E14" s="376">
        <v>0</v>
      </c>
      <c r="F14" s="376">
        <v>74.599999999999994</v>
      </c>
      <c r="G14" s="376">
        <v>74.599999999999994</v>
      </c>
      <c r="H14" s="376">
        <v>74.599999999999994</v>
      </c>
      <c r="I14" s="376">
        <v>74.599999999999994</v>
      </c>
      <c r="J14" s="376">
        <v>74.599999999999994</v>
      </c>
      <c r="K14" s="376">
        <v>74.599999999999994</v>
      </c>
      <c r="L14" s="376">
        <v>0</v>
      </c>
      <c r="M14" s="376">
        <v>0</v>
      </c>
      <c r="N14" s="7">
        <v>596031</v>
      </c>
      <c r="O14" s="377" t="s">
        <v>36</v>
      </c>
    </row>
    <row r="15" spans="1:17" ht="51" x14ac:dyDescent="0.2">
      <c r="A15" s="386" t="s">
        <v>37</v>
      </c>
      <c r="B15" s="376">
        <v>0</v>
      </c>
      <c r="C15" s="376">
        <v>0</v>
      </c>
      <c r="D15" s="376">
        <v>0</v>
      </c>
      <c r="E15" s="376">
        <v>0</v>
      </c>
      <c r="F15" s="376">
        <v>81.900000000000006</v>
      </c>
      <c r="G15" s="376">
        <v>81.900000000000006</v>
      </c>
      <c r="H15" s="376">
        <v>82</v>
      </c>
      <c r="I15" s="376">
        <v>82</v>
      </c>
      <c r="J15" s="376">
        <v>82</v>
      </c>
      <c r="K15" s="376">
        <v>82</v>
      </c>
      <c r="L15" s="376">
        <v>0</v>
      </c>
      <c r="M15" s="376">
        <v>0</v>
      </c>
      <c r="N15" s="7">
        <v>596031</v>
      </c>
      <c r="O15" s="377" t="s">
        <v>36</v>
      </c>
    </row>
    <row r="16" spans="1:17" ht="89.25" x14ac:dyDescent="0.2">
      <c r="A16" s="386" t="s">
        <v>38</v>
      </c>
      <c r="B16" s="376">
        <v>16.2</v>
      </c>
      <c r="C16" s="376">
        <v>16.7</v>
      </c>
      <c r="D16" s="376">
        <v>16.8</v>
      </c>
      <c r="E16" s="376">
        <v>17.3</v>
      </c>
      <c r="F16" s="376">
        <v>41.1</v>
      </c>
      <c r="G16" s="376">
        <v>42.7</v>
      </c>
      <c r="H16" s="376">
        <v>43.3</v>
      </c>
      <c r="I16" s="376">
        <v>41.8</v>
      </c>
      <c r="J16" s="376">
        <v>42.5</v>
      </c>
      <c r="K16" s="376">
        <v>42.3</v>
      </c>
      <c r="L16" s="376">
        <v>16.7</v>
      </c>
      <c r="M16" s="376">
        <v>14.2</v>
      </c>
      <c r="N16" s="7">
        <v>10396</v>
      </c>
      <c r="O16" s="421" t="s">
        <v>205</v>
      </c>
    </row>
    <row r="17" spans="1:18" ht="33.75" customHeight="1" x14ac:dyDescent="0.2">
      <c r="A17" s="386" t="s">
        <v>206</v>
      </c>
      <c r="B17" s="376">
        <v>0</v>
      </c>
      <c r="C17" s="376">
        <v>0</v>
      </c>
      <c r="D17" s="376">
        <v>0</v>
      </c>
      <c r="E17" s="376">
        <v>0</v>
      </c>
      <c r="F17" s="376">
        <v>18.86</v>
      </c>
      <c r="G17" s="376">
        <v>20.64</v>
      </c>
      <c r="H17" s="376">
        <v>20.62</v>
      </c>
      <c r="I17" s="376">
        <v>20.36</v>
      </c>
      <c r="J17" s="376">
        <v>19.440000000000001</v>
      </c>
      <c r="K17" s="376">
        <v>18.5</v>
      </c>
      <c r="L17" s="376">
        <v>0</v>
      </c>
      <c r="M17" s="376">
        <v>0</v>
      </c>
      <c r="N17" s="464">
        <v>286311</v>
      </c>
      <c r="O17" s="466" t="s">
        <v>211</v>
      </c>
      <c r="R17" s="350"/>
    </row>
    <row r="18" spans="1:18" ht="33.75" customHeight="1" x14ac:dyDescent="0.2">
      <c r="A18" s="386" t="s">
        <v>207</v>
      </c>
      <c r="B18" s="376">
        <v>0</v>
      </c>
      <c r="C18" s="376">
        <v>0</v>
      </c>
      <c r="D18" s="376">
        <v>0</v>
      </c>
      <c r="E18" s="376">
        <v>0</v>
      </c>
      <c r="F18" s="376">
        <v>1.84</v>
      </c>
      <c r="G18" s="376">
        <v>2.2000000000000002</v>
      </c>
      <c r="H18" s="376">
        <v>3.27</v>
      </c>
      <c r="I18" s="376">
        <v>2.61</v>
      </c>
      <c r="J18" s="376">
        <v>2.36</v>
      </c>
      <c r="K18" s="376">
        <v>0.88</v>
      </c>
      <c r="L18" s="376">
        <v>0</v>
      </c>
      <c r="M18" s="376">
        <v>0</v>
      </c>
      <c r="N18" s="465"/>
      <c r="O18" s="467"/>
    </row>
    <row r="19" spans="1:18" ht="51" x14ac:dyDescent="0.2">
      <c r="A19" s="386" t="s">
        <v>40</v>
      </c>
      <c r="B19" s="376">
        <v>0</v>
      </c>
      <c r="C19" s="376">
        <v>0</v>
      </c>
      <c r="D19" s="376">
        <v>0</v>
      </c>
      <c r="E19" s="376">
        <v>0</v>
      </c>
      <c r="F19" s="376">
        <v>8.3000000000000007</v>
      </c>
      <c r="G19" s="376">
        <v>9.6</v>
      </c>
      <c r="H19" s="376">
        <v>9.1999999999999993</v>
      </c>
      <c r="I19" s="376">
        <v>9.1999999999999993</v>
      </c>
      <c r="J19" s="376">
        <v>9.8000000000000007</v>
      </c>
      <c r="K19" s="376">
        <v>9.4</v>
      </c>
      <c r="L19" s="376">
        <v>0</v>
      </c>
      <c r="M19" s="376">
        <v>0</v>
      </c>
      <c r="N19" s="7">
        <v>110349</v>
      </c>
      <c r="O19" s="377" t="s">
        <v>41</v>
      </c>
    </row>
    <row r="20" spans="1:18" ht="51" x14ac:dyDescent="0.2">
      <c r="A20" s="386" t="s">
        <v>42</v>
      </c>
      <c r="B20" s="376">
        <v>0</v>
      </c>
      <c r="C20" s="376">
        <v>0</v>
      </c>
      <c r="D20" s="376">
        <v>0</v>
      </c>
      <c r="E20" s="376">
        <v>0</v>
      </c>
      <c r="F20" s="376">
        <v>10.4</v>
      </c>
      <c r="G20" s="376">
        <v>12.1</v>
      </c>
      <c r="H20" s="376">
        <v>12.3</v>
      </c>
      <c r="I20" s="376">
        <v>11.9</v>
      </c>
      <c r="J20" s="376">
        <v>11.9</v>
      </c>
      <c r="K20" s="376">
        <v>11.5</v>
      </c>
      <c r="L20" s="376">
        <v>0</v>
      </c>
      <c r="M20" s="376">
        <v>0</v>
      </c>
      <c r="N20" s="7">
        <v>110349</v>
      </c>
      <c r="O20" s="377" t="s">
        <v>41</v>
      </c>
    </row>
    <row r="21" spans="1:18" ht="51" x14ac:dyDescent="0.2">
      <c r="A21" s="386" t="s">
        <v>43</v>
      </c>
      <c r="B21" s="376">
        <v>0</v>
      </c>
      <c r="C21" s="376">
        <v>0</v>
      </c>
      <c r="D21" s="376">
        <v>0</v>
      </c>
      <c r="E21" s="376">
        <v>0</v>
      </c>
      <c r="F21" s="376">
        <v>26.5</v>
      </c>
      <c r="G21" s="376">
        <v>31.2</v>
      </c>
      <c r="H21" s="376">
        <v>32.200000000000003</v>
      </c>
      <c r="I21" s="376">
        <v>31.6</v>
      </c>
      <c r="J21" s="376">
        <v>30.3</v>
      </c>
      <c r="K21" s="376">
        <v>29.9</v>
      </c>
      <c r="L21" s="376">
        <v>0</v>
      </c>
      <c r="M21" s="376">
        <v>0</v>
      </c>
      <c r="N21" s="7">
        <v>110349</v>
      </c>
      <c r="O21" s="377" t="s">
        <v>41</v>
      </c>
    </row>
    <row r="22" spans="1:18" ht="51" x14ac:dyDescent="0.2">
      <c r="A22" s="386" t="s">
        <v>44</v>
      </c>
      <c r="B22" s="376">
        <v>0</v>
      </c>
      <c r="C22" s="376">
        <v>0</v>
      </c>
      <c r="D22" s="376">
        <v>0</v>
      </c>
      <c r="E22" s="376">
        <v>0</v>
      </c>
      <c r="F22" s="376">
        <v>808.5</v>
      </c>
      <c r="G22" s="376">
        <v>810</v>
      </c>
      <c r="H22" s="376">
        <v>817.1</v>
      </c>
      <c r="I22" s="376">
        <v>159.19999999999999</v>
      </c>
      <c r="J22" s="376">
        <v>154.9</v>
      </c>
      <c r="K22" s="376">
        <v>150.1</v>
      </c>
      <c r="L22" s="376">
        <v>0</v>
      </c>
      <c r="M22" s="376">
        <v>0</v>
      </c>
      <c r="N22" s="7">
        <v>110349</v>
      </c>
      <c r="O22" s="377" t="s">
        <v>41</v>
      </c>
    </row>
    <row r="23" spans="1:18" ht="51" x14ac:dyDescent="0.2">
      <c r="A23" s="386" t="s">
        <v>208</v>
      </c>
      <c r="B23" s="376" t="s">
        <v>24</v>
      </c>
      <c r="C23" s="376" t="s">
        <v>24</v>
      </c>
      <c r="D23" s="376" t="s">
        <v>24</v>
      </c>
      <c r="E23" s="376" t="s">
        <v>24</v>
      </c>
      <c r="F23" s="376">
        <v>0.2</v>
      </c>
      <c r="G23" s="376">
        <v>0.2</v>
      </c>
      <c r="H23" s="376">
        <v>0.30345364000000002</v>
      </c>
      <c r="I23" s="376">
        <v>0.19879833999999999</v>
      </c>
      <c r="J23" s="376">
        <v>0.2</v>
      </c>
      <c r="K23" s="376">
        <v>0.1</v>
      </c>
      <c r="L23" s="376">
        <v>0</v>
      </c>
      <c r="M23" s="376">
        <v>0</v>
      </c>
      <c r="N23" s="7">
        <v>3000000</v>
      </c>
      <c r="O23" s="377" t="s">
        <v>47</v>
      </c>
    </row>
    <row r="24" spans="1:18" ht="9.75" customHeight="1" x14ac:dyDescent="0.2">
      <c r="A24" s="433"/>
      <c r="B24" s="435"/>
      <c r="C24" s="435"/>
      <c r="D24" s="435"/>
      <c r="E24" s="435"/>
      <c r="F24" s="435"/>
      <c r="G24" s="435"/>
      <c r="H24" s="435"/>
      <c r="I24" s="435"/>
      <c r="J24" s="435"/>
      <c r="K24" s="435"/>
      <c r="L24" s="435"/>
      <c r="M24" s="435"/>
      <c r="N24" s="436"/>
      <c r="O24" s="434"/>
    </row>
    <row r="25" spans="1:18" ht="42.75" customHeight="1" x14ac:dyDescent="0.2">
      <c r="A25" s="463" t="s">
        <v>214</v>
      </c>
      <c r="B25" s="463"/>
      <c r="C25" s="463"/>
      <c r="D25" s="463"/>
      <c r="E25" s="463"/>
      <c r="F25" s="463"/>
      <c r="G25" s="463"/>
      <c r="H25" s="463"/>
      <c r="I25" s="463"/>
      <c r="J25" s="463"/>
      <c r="K25" s="463"/>
      <c r="L25" s="463"/>
      <c r="M25" s="463"/>
      <c r="N25" s="463"/>
    </row>
  </sheetData>
  <sheetProtection password="C511" sheet="1" objects="1" scenarios="1"/>
  <mergeCells count="6">
    <mergeCell ref="B5:M5"/>
    <mergeCell ref="N5:N6"/>
    <mergeCell ref="P5:Q5"/>
    <mergeCell ref="A25:N25"/>
    <mergeCell ref="N17:N18"/>
    <mergeCell ref="O17:O18"/>
  </mergeCells>
  <printOptions horizontalCentered="1"/>
  <pageMargins left="0.25" right="0.25" top="1.08630952380952" bottom="0.75" header="0.3" footer="0.3"/>
  <pageSetup scale="48" orientation="landscape" r:id="rId1"/>
  <headerFooter>
    <oddHeader>&amp;C&amp;"Arial,Bold"&amp;K000000
Pacific Gas and Electric Company 
Average Ex Ante Load Impact kW / Customer
June 2012</oddHeader>
    <oddFooter>&amp;L&amp;F&amp;CPage 4 of 9&amp;R&amp;A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Layout" zoomScale="70" zoomScaleNormal="100" zoomScalePageLayoutView="70" workbookViewId="0">
      <selection activeCell="K40" sqref="K40"/>
    </sheetView>
  </sheetViews>
  <sheetFormatPr defaultRowHeight="12.75" x14ac:dyDescent="0.2"/>
  <cols>
    <col min="1" max="1" width="37.28515625" style="250" customWidth="1"/>
    <col min="2" max="2" width="11.140625" style="250" bestFit="1" customWidth="1"/>
    <col min="3" max="3" width="10" style="250" bestFit="1" customWidth="1"/>
    <col min="4" max="4" width="8.7109375" style="250" customWidth="1"/>
    <col min="5" max="5" width="8.5703125" style="250" customWidth="1"/>
    <col min="6" max="6" width="8.42578125" style="250" customWidth="1"/>
    <col min="7" max="8" width="8.140625" style="250" customWidth="1"/>
    <col min="9" max="9" width="9.5703125" style="250" customWidth="1"/>
    <col min="10" max="10" width="11.5703125" style="250" customWidth="1"/>
    <col min="11" max="11" width="9.42578125" style="250" customWidth="1"/>
    <col min="12" max="12" width="11.140625" style="250" customWidth="1"/>
    <col min="13" max="13" width="10.7109375" style="250" customWidth="1"/>
    <col min="14" max="14" width="13.28515625" style="250" customWidth="1"/>
    <col min="15" max="15" width="66.7109375" style="250" customWidth="1"/>
    <col min="16" max="16" width="15" style="250" bestFit="1" customWidth="1"/>
    <col min="17" max="17" width="10.5703125" style="250" customWidth="1"/>
    <col min="18" max="18" width="9.85546875" style="250" bestFit="1" customWidth="1"/>
    <col min="19" max="19" width="11.140625" style="250" customWidth="1"/>
    <col min="20" max="20" width="9.85546875" style="250" bestFit="1" customWidth="1"/>
    <col min="21" max="21" width="10.85546875" style="250" customWidth="1"/>
    <col min="22" max="22" width="12.140625" style="250" bestFit="1" customWidth="1"/>
    <col min="23" max="23" width="12.140625" style="250" customWidth="1"/>
    <col min="24" max="24" width="9.5703125" style="250" bestFit="1" customWidth="1"/>
    <col min="25" max="25" width="11.140625" style="250" customWidth="1"/>
    <col min="26" max="26" width="11.7109375" style="250" bestFit="1" customWidth="1"/>
    <col min="27" max="27" width="11.7109375" style="250" customWidth="1"/>
    <col min="28" max="16384" width="9.140625" style="250"/>
  </cols>
  <sheetData>
    <row r="1" spans="1:15" x14ac:dyDescent="0.2">
      <c r="A1" s="3" t="s">
        <v>3</v>
      </c>
      <c r="B1" s="347"/>
      <c r="C1" s="347"/>
      <c r="D1" s="347"/>
      <c r="E1" s="347"/>
      <c r="F1" s="347"/>
      <c r="G1" s="347"/>
      <c r="H1" s="347"/>
      <c r="I1" s="347"/>
      <c r="J1" s="347"/>
      <c r="K1" s="347"/>
      <c r="L1" s="347"/>
      <c r="M1" s="347"/>
      <c r="N1" s="347"/>
      <c r="O1" s="348"/>
    </row>
    <row r="2" spans="1:15" ht="7.5" customHeight="1" x14ac:dyDescent="0.2">
      <c r="A2" s="4"/>
      <c r="B2" s="277"/>
      <c r="C2" s="277"/>
      <c r="D2" s="277"/>
      <c r="E2" s="277"/>
      <c r="F2" s="277"/>
      <c r="G2" s="277"/>
      <c r="H2" s="277"/>
      <c r="I2" s="277"/>
      <c r="J2" s="277"/>
      <c r="K2" s="277"/>
      <c r="L2" s="277"/>
      <c r="M2" s="277"/>
      <c r="N2" s="277"/>
      <c r="O2" s="349"/>
    </row>
    <row r="3" spans="1:15" ht="7.5" customHeight="1" x14ac:dyDescent="0.2">
      <c r="A3" s="4"/>
      <c r="B3" s="277"/>
      <c r="C3" s="277"/>
      <c r="D3" s="277"/>
      <c r="E3" s="277"/>
      <c r="F3" s="277"/>
      <c r="G3" s="277"/>
      <c r="H3" s="277"/>
      <c r="I3" s="277"/>
      <c r="J3" s="277"/>
      <c r="K3" s="277"/>
      <c r="L3" s="277"/>
      <c r="M3" s="277"/>
      <c r="N3" s="277"/>
      <c r="O3" s="349"/>
    </row>
    <row r="4" spans="1:15" ht="12.75" customHeight="1" x14ac:dyDescent="0.2">
      <c r="A4" s="416"/>
      <c r="B4" s="458" t="s">
        <v>48</v>
      </c>
      <c r="C4" s="458"/>
      <c r="D4" s="458"/>
      <c r="E4" s="458"/>
      <c r="F4" s="458"/>
      <c r="G4" s="458"/>
      <c r="H4" s="458"/>
      <c r="I4" s="458"/>
      <c r="J4" s="458"/>
      <c r="K4" s="458"/>
      <c r="L4" s="458"/>
      <c r="M4" s="458"/>
      <c r="N4" s="459" t="s">
        <v>194</v>
      </c>
      <c r="O4" s="416"/>
    </row>
    <row r="5" spans="1:15" ht="47.25" customHeight="1" x14ac:dyDescent="0.2">
      <c r="A5" s="385" t="s">
        <v>6</v>
      </c>
      <c r="B5" s="415" t="s">
        <v>7</v>
      </c>
      <c r="C5" s="415" t="s">
        <v>8</v>
      </c>
      <c r="D5" s="415" t="s">
        <v>9</v>
      </c>
      <c r="E5" s="415" t="s">
        <v>10</v>
      </c>
      <c r="F5" s="415" t="s">
        <v>11</v>
      </c>
      <c r="G5" s="415" t="s">
        <v>12</v>
      </c>
      <c r="H5" s="415" t="s">
        <v>13</v>
      </c>
      <c r="I5" s="415" t="s">
        <v>14</v>
      </c>
      <c r="J5" s="415" t="s">
        <v>15</v>
      </c>
      <c r="K5" s="415" t="s">
        <v>16</v>
      </c>
      <c r="L5" s="415" t="s">
        <v>17</v>
      </c>
      <c r="M5" s="415" t="s">
        <v>18</v>
      </c>
      <c r="N5" s="460"/>
      <c r="O5" s="417" t="s">
        <v>19</v>
      </c>
    </row>
    <row r="6" spans="1:15" ht="25.5" x14ac:dyDescent="0.2">
      <c r="A6" s="418" t="s">
        <v>22</v>
      </c>
      <c r="B6" s="419">
        <v>822.31</v>
      </c>
      <c r="C6" s="419">
        <v>822.31</v>
      </c>
      <c r="D6" s="419">
        <v>822.31</v>
      </c>
      <c r="E6" s="419">
        <v>822.31</v>
      </c>
      <c r="F6" s="419">
        <v>822.31</v>
      </c>
      <c r="G6" s="419">
        <v>822.31</v>
      </c>
      <c r="H6" s="419">
        <v>822.31</v>
      </c>
      <c r="I6" s="419">
        <v>822.31</v>
      </c>
      <c r="J6" s="419">
        <v>822.31</v>
      </c>
      <c r="K6" s="419">
        <v>822.31</v>
      </c>
      <c r="L6" s="419">
        <v>822.31</v>
      </c>
      <c r="M6" s="419">
        <v>822.31</v>
      </c>
      <c r="N6" s="7">
        <v>10396</v>
      </c>
      <c r="O6" s="377" t="s">
        <v>186</v>
      </c>
    </row>
    <row r="7" spans="1:15" ht="63.75" x14ac:dyDescent="0.2">
      <c r="A7" s="418" t="s">
        <v>23</v>
      </c>
      <c r="B7" s="420" t="s">
        <v>49</v>
      </c>
      <c r="C7" s="420" t="s">
        <v>49</v>
      </c>
      <c r="D7" s="420" t="s">
        <v>49</v>
      </c>
      <c r="E7" s="420" t="s">
        <v>49</v>
      </c>
      <c r="F7" s="420" t="s">
        <v>49</v>
      </c>
      <c r="G7" s="420" t="s">
        <v>49</v>
      </c>
      <c r="H7" s="420" t="s">
        <v>49</v>
      </c>
      <c r="I7" s="420" t="s">
        <v>49</v>
      </c>
      <c r="J7" s="420" t="s">
        <v>49</v>
      </c>
      <c r="K7" s="420" t="s">
        <v>49</v>
      </c>
      <c r="L7" s="420" t="s">
        <v>49</v>
      </c>
      <c r="M7" s="420" t="s">
        <v>49</v>
      </c>
      <c r="N7" s="7" t="s">
        <v>24</v>
      </c>
      <c r="O7" s="377" t="s">
        <v>25</v>
      </c>
    </row>
    <row r="8" spans="1:15" ht="51" x14ac:dyDescent="0.2">
      <c r="A8" s="418" t="s">
        <v>26</v>
      </c>
      <c r="B8" s="420" t="s">
        <v>49</v>
      </c>
      <c r="C8" s="420" t="s">
        <v>49</v>
      </c>
      <c r="D8" s="420" t="s">
        <v>49</v>
      </c>
      <c r="E8" s="420" t="s">
        <v>49</v>
      </c>
      <c r="F8" s="420" t="s">
        <v>49</v>
      </c>
      <c r="G8" s="420" t="s">
        <v>49</v>
      </c>
      <c r="H8" s="420" t="s">
        <v>49</v>
      </c>
      <c r="I8" s="420" t="s">
        <v>49</v>
      </c>
      <c r="J8" s="420" t="s">
        <v>49</v>
      </c>
      <c r="K8" s="420" t="s">
        <v>49</v>
      </c>
      <c r="L8" s="420" t="s">
        <v>49</v>
      </c>
      <c r="M8" s="420" t="s">
        <v>49</v>
      </c>
      <c r="N8" s="7" t="s">
        <v>24</v>
      </c>
      <c r="O8" s="377" t="s">
        <v>187</v>
      </c>
    </row>
    <row r="9" spans="1:15" ht="25.5" x14ac:dyDescent="0.2">
      <c r="A9" s="418" t="s">
        <v>203</v>
      </c>
      <c r="B9" s="6">
        <v>0.28999999999999998</v>
      </c>
      <c r="C9" s="6">
        <v>0.28999999999999998</v>
      </c>
      <c r="D9" s="6">
        <v>0.28999999999999998</v>
      </c>
      <c r="E9" s="6">
        <v>0.28999999999999998</v>
      </c>
      <c r="F9" s="6">
        <v>0.28999999999999998</v>
      </c>
      <c r="G9" s="6">
        <v>0.28999999999999998</v>
      </c>
      <c r="H9" s="6">
        <v>0.28999999999999998</v>
      </c>
      <c r="I9" s="6">
        <v>0.28999999999999998</v>
      </c>
      <c r="J9" s="6">
        <v>0.28999999999999998</v>
      </c>
      <c r="K9" s="6">
        <v>0.28999999999999998</v>
      </c>
      <c r="L9" s="6">
        <v>0.28999999999999998</v>
      </c>
      <c r="M9" s="6">
        <v>0.28999999999999998</v>
      </c>
      <c r="N9" s="7">
        <v>593312</v>
      </c>
      <c r="O9" s="377" t="s">
        <v>28</v>
      </c>
    </row>
    <row r="10" spans="1:15" ht="25.5" x14ac:dyDescent="0.2">
      <c r="A10" s="418" t="s">
        <v>204</v>
      </c>
      <c r="B10" s="6">
        <v>0.5</v>
      </c>
      <c r="C10" s="6">
        <v>0.5</v>
      </c>
      <c r="D10" s="6">
        <v>0.5</v>
      </c>
      <c r="E10" s="6">
        <v>0.5</v>
      </c>
      <c r="F10" s="6">
        <v>0.5</v>
      </c>
      <c r="G10" s="6">
        <v>0.5</v>
      </c>
      <c r="H10" s="6">
        <v>0.5</v>
      </c>
      <c r="I10" s="6">
        <v>0.5</v>
      </c>
      <c r="J10" s="6">
        <v>0.5</v>
      </c>
      <c r="K10" s="6">
        <v>0.5</v>
      </c>
      <c r="L10" s="6">
        <v>0.5</v>
      </c>
      <c r="M10" s="6">
        <v>0.5</v>
      </c>
      <c r="N10" s="7">
        <v>3000000</v>
      </c>
      <c r="O10" s="377" t="s">
        <v>30</v>
      </c>
    </row>
    <row r="11" spans="1:15" ht="38.25" x14ac:dyDescent="0.2">
      <c r="A11" s="418" t="s">
        <v>31</v>
      </c>
      <c r="B11" s="6">
        <v>211.94</v>
      </c>
      <c r="C11" s="6">
        <v>211.94</v>
      </c>
      <c r="D11" s="6">
        <v>211.94</v>
      </c>
      <c r="E11" s="6">
        <v>211.94</v>
      </c>
      <c r="F11" s="6">
        <v>211.94</v>
      </c>
      <c r="G11" s="6">
        <v>211.94</v>
      </c>
      <c r="H11" s="6">
        <v>211.94</v>
      </c>
      <c r="I11" s="6">
        <v>211.94</v>
      </c>
      <c r="J11" s="6">
        <v>211.94</v>
      </c>
      <c r="K11" s="6">
        <v>211.94</v>
      </c>
      <c r="L11" s="6">
        <v>211.94</v>
      </c>
      <c r="M11" s="6">
        <v>211.94</v>
      </c>
      <c r="N11" s="7">
        <v>596031</v>
      </c>
      <c r="O11" s="377" t="s">
        <v>32</v>
      </c>
    </row>
    <row r="12" spans="1:15" ht="38.25" x14ac:dyDescent="0.2">
      <c r="A12" s="418" t="s">
        <v>33</v>
      </c>
      <c r="B12" s="6">
        <v>101.51</v>
      </c>
      <c r="C12" s="6">
        <v>101.51</v>
      </c>
      <c r="D12" s="6">
        <v>101.51</v>
      </c>
      <c r="E12" s="6">
        <v>101.51</v>
      </c>
      <c r="F12" s="6">
        <v>101.51</v>
      </c>
      <c r="G12" s="6">
        <v>101.51</v>
      </c>
      <c r="H12" s="6">
        <v>101.51</v>
      </c>
      <c r="I12" s="6">
        <v>101.51</v>
      </c>
      <c r="J12" s="6">
        <v>101.51</v>
      </c>
      <c r="K12" s="6">
        <v>101.51</v>
      </c>
      <c r="L12" s="6">
        <v>101.51</v>
      </c>
      <c r="M12" s="6">
        <v>101.51</v>
      </c>
      <c r="N12" s="7">
        <v>596031</v>
      </c>
      <c r="O12" s="377" t="s">
        <v>34</v>
      </c>
    </row>
    <row r="13" spans="1:15" ht="38.25" x14ac:dyDescent="0.2">
      <c r="A13" s="418" t="s">
        <v>35</v>
      </c>
      <c r="B13" s="6">
        <v>90.7</v>
      </c>
      <c r="C13" s="6">
        <v>90.7</v>
      </c>
      <c r="D13" s="6">
        <v>90.7</v>
      </c>
      <c r="E13" s="6">
        <v>90.7</v>
      </c>
      <c r="F13" s="6">
        <v>90.7</v>
      </c>
      <c r="G13" s="6">
        <v>90.7</v>
      </c>
      <c r="H13" s="6">
        <v>90.7</v>
      </c>
      <c r="I13" s="6">
        <v>90.7</v>
      </c>
      <c r="J13" s="6">
        <v>90.7</v>
      </c>
      <c r="K13" s="6">
        <v>90.7</v>
      </c>
      <c r="L13" s="6">
        <v>90.7</v>
      </c>
      <c r="M13" s="6">
        <v>90.7</v>
      </c>
      <c r="N13" s="7">
        <v>596031</v>
      </c>
      <c r="O13" s="377" t="s">
        <v>36</v>
      </c>
    </row>
    <row r="14" spans="1:15" ht="38.25" x14ac:dyDescent="0.2">
      <c r="A14" s="418" t="s">
        <v>37</v>
      </c>
      <c r="B14" s="6">
        <v>79.400000000000006</v>
      </c>
      <c r="C14" s="6">
        <v>79.400000000000006</v>
      </c>
      <c r="D14" s="6">
        <v>79.400000000000006</v>
      </c>
      <c r="E14" s="6">
        <v>79.400000000000006</v>
      </c>
      <c r="F14" s="6">
        <v>79.400000000000006</v>
      </c>
      <c r="G14" s="6">
        <v>79.400000000000006</v>
      </c>
      <c r="H14" s="6">
        <v>79.400000000000006</v>
      </c>
      <c r="I14" s="6">
        <v>79.400000000000006</v>
      </c>
      <c r="J14" s="6">
        <v>79.400000000000006</v>
      </c>
      <c r="K14" s="6">
        <v>79.400000000000006</v>
      </c>
      <c r="L14" s="6">
        <v>79.400000000000006</v>
      </c>
      <c r="M14" s="6">
        <v>79.400000000000006</v>
      </c>
      <c r="N14" s="7">
        <v>596031</v>
      </c>
      <c r="O14" s="377" t="s">
        <v>36</v>
      </c>
    </row>
    <row r="15" spans="1:15" ht="76.5" x14ac:dyDescent="0.2">
      <c r="A15" s="418" t="s">
        <v>38</v>
      </c>
      <c r="B15" s="6">
        <v>54.7</v>
      </c>
      <c r="C15" s="6">
        <v>54.7</v>
      </c>
      <c r="D15" s="6">
        <v>54.7</v>
      </c>
      <c r="E15" s="6">
        <v>54.7</v>
      </c>
      <c r="F15" s="6">
        <v>54.7</v>
      </c>
      <c r="G15" s="6">
        <v>54.7</v>
      </c>
      <c r="H15" s="6">
        <v>54.7</v>
      </c>
      <c r="I15" s="6">
        <v>54.7</v>
      </c>
      <c r="J15" s="6">
        <v>54.7</v>
      </c>
      <c r="K15" s="6">
        <v>54.7</v>
      </c>
      <c r="L15" s="6">
        <v>54.7</v>
      </c>
      <c r="M15" s="6">
        <v>54.7</v>
      </c>
      <c r="N15" s="7">
        <v>10396</v>
      </c>
      <c r="O15" s="421" t="s">
        <v>205</v>
      </c>
    </row>
    <row r="16" spans="1:15" ht="30" customHeight="1" x14ac:dyDescent="0.2">
      <c r="A16" s="386" t="s">
        <v>206</v>
      </c>
      <c r="B16" s="6">
        <v>18.809999999999999</v>
      </c>
      <c r="C16" s="6">
        <v>18.809999999999999</v>
      </c>
      <c r="D16" s="6">
        <v>18.809999999999999</v>
      </c>
      <c r="E16" s="6">
        <v>18.809999999999999</v>
      </c>
      <c r="F16" s="6">
        <v>18.809999999999999</v>
      </c>
      <c r="G16" s="6">
        <v>18.809999999999999</v>
      </c>
      <c r="H16" s="6">
        <v>18.809999999999999</v>
      </c>
      <c r="I16" s="6">
        <v>18.809999999999999</v>
      </c>
      <c r="J16" s="6">
        <v>18.809999999999999</v>
      </c>
      <c r="K16" s="6">
        <v>18.809999999999999</v>
      </c>
      <c r="L16" s="6">
        <v>18.809999999999999</v>
      </c>
      <c r="M16" s="6">
        <v>18.809999999999999</v>
      </c>
      <c r="N16" s="464">
        <v>286311</v>
      </c>
      <c r="O16" s="466" t="s">
        <v>211</v>
      </c>
    </row>
    <row r="17" spans="1:15" ht="29.25" customHeight="1" x14ac:dyDescent="0.2">
      <c r="A17" s="386" t="s">
        <v>207</v>
      </c>
      <c r="B17" s="6">
        <v>3.37</v>
      </c>
      <c r="C17" s="6">
        <v>3.37</v>
      </c>
      <c r="D17" s="6">
        <v>3.37</v>
      </c>
      <c r="E17" s="6">
        <v>3.37</v>
      </c>
      <c r="F17" s="6">
        <v>3.37</v>
      </c>
      <c r="G17" s="6">
        <v>3.37</v>
      </c>
      <c r="H17" s="6">
        <v>3.37</v>
      </c>
      <c r="I17" s="6">
        <v>3.37</v>
      </c>
      <c r="J17" s="6">
        <v>3.37</v>
      </c>
      <c r="K17" s="6">
        <v>3.37</v>
      </c>
      <c r="L17" s="6">
        <v>3.37</v>
      </c>
      <c r="M17" s="6">
        <v>3.37</v>
      </c>
      <c r="N17" s="465"/>
      <c r="O17" s="467"/>
    </row>
    <row r="18" spans="1:15" ht="38.25" x14ac:dyDescent="0.2">
      <c r="A18" s="418" t="s">
        <v>40</v>
      </c>
      <c r="B18" s="419">
        <v>14</v>
      </c>
      <c r="C18" s="419">
        <v>14</v>
      </c>
      <c r="D18" s="419">
        <v>14</v>
      </c>
      <c r="E18" s="419">
        <v>14</v>
      </c>
      <c r="F18" s="419">
        <v>14</v>
      </c>
      <c r="G18" s="419">
        <v>14</v>
      </c>
      <c r="H18" s="419">
        <v>14</v>
      </c>
      <c r="I18" s="419">
        <v>14</v>
      </c>
      <c r="J18" s="419">
        <v>14</v>
      </c>
      <c r="K18" s="419">
        <v>14</v>
      </c>
      <c r="L18" s="419">
        <v>14</v>
      </c>
      <c r="M18" s="419">
        <v>14</v>
      </c>
      <c r="N18" s="7">
        <v>110349</v>
      </c>
      <c r="O18" s="377" t="s">
        <v>41</v>
      </c>
    </row>
    <row r="19" spans="1:15" ht="38.25" x14ac:dyDescent="0.2">
      <c r="A19" s="418" t="s">
        <v>42</v>
      </c>
      <c r="B19" s="419">
        <v>8</v>
      </c>
      <c r="C19" s="419">
        <v>8</v>
      </c>
      <c r="D19" s="419">
        <v>8</v>
      </c>
      <c r="E19" s="419">
        <v>8</v>
      </c>
      <c r="F19" s="419">
        <v>8</v>
      </c>
      <c r="G19" s="419">
        <v>8</v>
      </c>
      <c r="H19" s="419">
        <v>8</v>
      </c>
      <c r="I19" s="419">
        <v>8</v>
      </c>
      <c r="J19" s="419">
        <v>8</v>
      </c>
      <c r="K19" s="419">
        <v>8</v>
      </c>
      <c r="L19" s="419">
        <v>8</v>
      </c>
      <c r="M19" s="419">
        <v>8</v>
      </c>
      <c r="N19" s="7">
        <v>110349</v>
      </c>
      <c r="O19" s="377" t="s">
        <v>41</v>
      </c>
    </row>
    <row r="20" spans="1:15" ht="38.25" x14ac:dyDescent="0.2">
      <c r="A20" s="418" t="s">
        <v>43</v>
      </c>
      <c r="B20" s="6">
        <v>37</v>
      </c>
      <c r="C20" s="6">
        <v>37</v>
      </c>
      <c r="D20" s="6">
        <v>37</v>
      </c>
      <c r="E20" s="6">
        <v>37</v>
      </c>
      <c r="F20" s="6">
        <v>37</v>
      </c>
      <c r="G20" s="6">
        <v>37</v>
      </c>
      <c r="H20" s="6">
        <v>37</v>
      </c>
      <c r="I20" s="6">
        <v>37</v>
      </c>
      <c r="J20" s="6">
        <v>37</v>
      </c>
      <c r="K20" s="6">
        <v>37</v>
      </c>
      <c r="L20" s="6">
        <v>37</v>
      </c>
      <c r="M20" s="6">
        <v>37</v>
      </c>
      <c r="N20" s="7">
        <v>110349</v>
      </c>
      <c r="O20" s="377" t="s">
        <v>41</v>
      </c>
    </row>
    <row r="21" spans="1:15" ht="38.25" x14ac:dyDescent="0.2">
      <c r="A21" s="418" t="s">
        <v>44</v>
      </c>
      <c r="B21" s="6">
        <v>1047</v>
      </c>
      <c r="C21" s="6">
        <v>1047</v>
      </c>
      <c r="D21" s="6">
        <v>1047</v>
      </c>
      <c r="E21" s="6">
        <v>1047</v>
      </c>
      <c r="F21" s="6">
        <v>1047</v>
      </c>
      <c r="G21" s="6">
        <v>1047</v>
      </c>
      <c r="H21" s="6">
        <v>1047</v>
      </c>
      <c r="I21" s="6">
        <v>1047</v>
      </c>
      <c r="J21" s="6">
        <v>1047</v>
      </c>
      <c r="K21" s="6">
        <v>1047</v>
      </c>
      <c r="L21" s="6">
        <v>1047</v>
      </c>
      <c r="M21" s="6">
        <v>1047</v>
      </c>
      <c r="N21" s="7">
        <v>110349</v>
      </c>
      <c r="O21" s="377" t="s">
        <v>41</v>
      </c>
    </row>
    <row r="22" spans="1:15" ht="51" x14ac:dyDescent="0.2">
      <c r="A22" s="386" t="s">
        <v>208</v>
      </c>
      <c r="B22" s="6">
        <v>0.24</v>
      </c>
      <c r="C22" s="6">
        <v>0.24</v>
      </c>
      <c r="D22" s="6">
        <v>0.24</v>
      </c>
      <c r="E22" s="6">
        <v>0.24</v>
      </c>
      <c r="F22" s="6">
        <v>0.24</v>
      </c>
      <c r="G22" s="6">
        <v>0.24</v>
      </c>
      <c r="H22" s="6">
        <v>0.24</v>
      </c>
      <c r="I22" s="6">
        <v>0.24</v>
      </c>
      <c r="J22" s="6">
        <v>0.24</v>
      </c>
      <c r="K22" s="6">
        <v>0.24</v>
      </c>
      <c r="L22" s="6">
        <v>0.24</v>
      </c>
      <c r="M22" s="6">
        <v>0.24</v>
      </c>
      <c r="N22" s="422">
        <v>3000000</v>
      </c>
      <c r="O22" s="377" t="s">
        <v>47</v>
      </c>
    </row>
    <row r="23" spans="1:15" ht="9" customHeight="1" x14ac:dyDescent="0.2">
      <c r="A23" s="423"/>
      <c r="B23" s="427"/>
      <c r="C23" s="427"/>
      <c r="D23" s="427"/>
      <c r="E23" s="427"/>
      <c r="F23" s="427"/>
      <c r="G23" s="427"/>
      <c r="H23" s="427"/>
      <c r="I23" s="427"/>
      <c r="J23" s="427"/>
      <c r="K23" s="427"/>
      <c r="L23" s="427"/>
      <c r="M23" s="427"/>
      <c r="N23" s="428"/>
      <c r="O23" s="426"/>
    </row>
    <row r="24" spans="1:15" s="432" customFormat="1" ht="27.75" customHeight="1" x14ac:dyDescent="0.2">
      <c r="A24" s="468" t="s">
        <v>209</v>
      </c>
      <c r="B24" s="468"/>
      <c r="C24" s="468"/>
      <c r="D24" s="468"/>
      <c r="E24" s="468"/>
      <c r="F24" s="468"/>
      <c r="G24" s="468"/>
      <c r="H24" s="468"/>
      <c r="I24" s="468"/>
      <c r="J24" s="468"/>
      <c r="K24" s="468"/>
      <c r="L24" s="468"/>
      <c r="M24" s="468"/>
      <c r="N24" s="468"/>
      <c r="O24" s="468"/>
    </row>
    <row r="25" spans="1:15" s="432" customFormat="1" ht="15.75" customHeight="1" x14ac:dyDescent="0.2">
      <c r="A25" s="469"/>
      <c r="B25" s="469"/>
      <c r="C25" s="469"/>
      <c r="D25" s="469"/>
      <c r="E25" s="469"/>
      <c r="F25" s="469"/>
      <c r="G25" s="469"/>
      <c r="H25" s="469"/>
      <c r="I25" s="469"/>
      <c r="J25" s="469"/>
      <c r="K25" s="469"/>
      <c r="L25" s="469"/>
      <c r="M25" s="469"/>
      <c r="N25" s="469"/>
      <c r="O25" s="469"/>
    </row>
  </sheetData>
  <sheetProtection password="C511" sheet="1" objects="1" scenarios="1"/>
  <mergeCells count="5">
    <mergeCell ref="A24:O25"/>
    <mergeCell ref="B4:M4"/>
    <mergeCell ref="N4:N5"/>
    <mergeCell ref="N16:N17"/>
    <mergeCell ref="O16:O17"/>
  </mergeCells>
  <printOptions horizontalCentered="1"/>
  <pageMargins left="0.7" right="0.7" top="0.94285714285714295" bottom="0.75" header="0.3" footer="0.3"/>
  <pageSetup scale="53" orientation="landscape" r:id="rId1"/>
  <headerFooter>
    <oddHeader>&amp;C&amp;"Arial,Bold"&amp;K000000
Pacific Gas and Electric Company 
Average Ex Post Load Impact kW / Customer
June 2012</oddHeader>
    <oddFooter>&amp;L&amp;F&amp;CPage 5 of 9&amp;R&amp;A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1"/>
  <sheetViews>
    <sheetView view="pageLayout" zoomScaleNormal="100" workbookViewId="0">
      <selection activeCell="A4" sqref="A4"/>
    </sheetView>
  </sheetViews>
  <sheetFormatPr defaultRowHeight="12" x14ac:dyDescent="0.2"/>
  <cols>
    <col min="1" max="1" width="35.85546875" style="145" customWidth="1"/>
    <col min="2" max="25" width="10" style="145" customWidth="1"/>
    <col min="26" max="16384" width="9.140625" style="145"/>
  </cols>
  <sheetData>
    <row r="1" spans="1:25" x14ac:dyDescent="0.2">
      <c r="A1" s="298" t="s">
        <v>66</v>
      </c>
    </row>
    <row r="3" spans="1:25" ht="21.75" customHeight="1" x14ac:dyDescent="0.2">
      <c r="A3" s="430">
        <v>2012</v>
      </c>
      <c r="B3" s="470" t="s">
        <v>7</v>
      </c>
      <c r="C3" s="470"/>
      <c r="D3" s="470"/>
      <c r="E3" s="470"/>
      <c r="F3" s="470" t="s">
        <v>8</v>
      </c>
      <c r="G3" s="470"/>
      <c r="H3" s="470"/>
      <c r="I3" s="470"/>
      <c r="J3" s="470" t="s">
        <v>9</v>
      </c>
      <c r="K3" s="470"/>
      <c r="L3" s="470"/>
      <c r="M3" s="470"/>
      <c r="N3" s="470" t="s">
        <v>10</v>
      </c>
      <c r="O3" s="470"/>
      <c r="P3" s="470"/>
      <c r="Q3" s="470"/>
      <c r="R3" s="470" t="s">
        <v>11</v>
      </c>
      <c r="S3" s="470"/>
      <c r="T3" s="470"/>
      <c r="U3" s="470"/>
      <c r="V3" s="470" t="s">
        <v>12</v>
      </c>
      <c r="W3" s="470"/>
      <c r="X3" s="470"/>
      <c r="Y3" s="470"/>
    </row>
    <row r="4" spans="1:25" ht="44.25" customHeight="1" x14ac:dyDescent="0.2">
      <c r="A4" s="430" t="s">
        <v>67</v>
      </c>
      <c r="B4" s="299" t="s">
        <v>68</v>
      </c>
      <c r="C4" s="299" t="s">
        <v>69</v>
      </c>
      <c r="D4" s="299" t="s">
        <v>70</v>
      </c>
      <c r="E4" s="299" t="s">
        <v>71</v>
      </c>
      <c r="F4" s="299" t="s">
        <v>68</v>
      </c>
      <c r="G4" s="299" t="s">
        <v>69</v>
      </c>
      <c r="H4" s="299" t="s">
        <v>70</v>
      </c>
      <c r="I4" s="299" t="s">
        <v>71</v>
      </c>
      <c r="J4" s="299" t="s">
        <v>68</v>
      </c>
      <c r="K4" s="299" t="s">
        <v>69</v>
      </c>
      <c r="L4" s="299" t="s">
        <v>70</v>
      </c>
      <c r="M4" s="299" t="s">
        <v>71</v>
      </c>
      <c r="N4" s="299" t="s">
        <v>68</v>
      </c>
      <c r="O4" s="299" t="s">
        <v>69</v>
      </c>
      <c r="P4" s="299" t="s">
        <v>70</v>
      </c>
      <c r="Q4" s="299" t="s">
        <v>71</v>
      </c>
      <c r="R4" s="299" t="s">
        <v>68</v>
      </c>
      <c r="S4" s="299" t="s">
        <v>69</v>
      </c>
      <c r="T4" s="299" t="s">
        <v>70</v>
      </c>
      <c r="U4" s="299" t="s">
        <v>71</v>
      </c>
      <c r="V4" s="299" t="s">
        <v>68</v>
      </c>
      <c r="W4" s="299" t="s">
        <v>69</v>
      </c>
      <c r="X4" s="299" t="s">
        <v>70</v>
      </c>
      <c r="Y4" s="299" t="s">
        <v>71</v>
      </c>
    </row>
    <row r="5" spans="1:25" x14ac:dyDescent="0.2">
      <c r="A5" s="119" t="s">
        <v>31</v>
      </c>
      <c r="B5" s="300"/>
      <c r="C5" s="301">
        <v>0</v>
      </c>
      <c r="D5" s="300">
        <v>0</v>
      </c>
      <c r="E5" s="302">
        <f>SUM(B5:D5)</f>
        <v>0</v>
      </c>
      <c r="F5" s="303" t="s">
        <v>1</v>
      </c>
      <c r="G5" s="121">
        <v>0</v>
      </c>
      <c r="H5" s="304">
        <v>0</v>
      </c>
      <c r="I5" s="128">
        <f>SUM(F5:H5)</f>
        <v>0</v>
      </c>
      <c r="J5" s="303" t="s">
        <v>1</v>
      </c>
      <c r="K5" s="120">
        <v>0</v>
      </c>
      <c r="L5" s="121">
        <v>0</v>
      </c>
      <c r="M5" s="128">
        <f t="shared" ref="M5:M15" si="0">SUM(K5:L5)</f>
        <v>0</v>
      </c>
      <c r="N5" s="120"/>
      <c r="O5" s="121">
        <f>SUM(K5+0)</f>
        <v>0</v>
      </c>
      <c r="P5" s="121">
        <v>0</v>
      </c>
      <c r="Q5" s="128">
        <f>SUM(N5:P5)</f>
        <v>0</v>
      </c>
      <c r="R5" s="120"/>
      <c r="S5" s="121">
        <f>SUM(O5+0)</f>
        <v>0</v>
      </c>
      <c r="T5" s="304">
        <f>SUM(P5+0)</f>
        <v>0</v>
      </c>
      <c r="U5" s="128">
        <f t="shared" ref="U5:U15" si="1">SUM(R5:T5)</f>
        <v>0</v>
      </c>
      <c r="V5" s="120"/>
      <c r="W5" s="121">
        <f>SUM(S5+0/1000)</f>
        <v>0</v>
      </c>
      <c r="X5" s="121">
        <f>SUM(T5+0/1000)</f>
        <v>0</v>
      </c>
      <c r="Y5" s="128">
        <f>SUM(V5:X5)</f>
        <v>0</v>
      </c>
    </row>
    <row r="6" spans="1:25" x14ac:dyDescent="0.2">
      <c r="A6" s="119" t="s">
        <v>33</v>
      </c>
      <c r="B6" s="300"/>
      <c r="C6" s="301">
        <v>0</v>
      </c>
      <c r="D6" s="300">
        <v>0</v>
      </c>
      <c r="E6" s="302">
        <f t="shared" ref="E6:E15" si="2">SUM(B6:D6)</f>
        <v>0</v>
      </c>
      <c r="F6" s="303"/>
      <c r="G6" s="121">
        <v>0</v>
      </c>
      <c r="H6" s="304">
        <v>0</v>
      </c>
      <c r="I6" s="128">
        <f t="shared" ref="I6:I15" si="3">SUM(F6:H6)</f>
        <v>0</v>
      </c>
      <c r="J6" s="303" t="s">
        <v>1</v>
      </c>
      <c r="K6" s="120">
        <v>0</v>
      </c>
      <c r="L6" s="142">
        <f>SUM(H6+0.237)</f>
        <v>0.23699999999999999</v>
      </c>
      <c r="M6" s="128">
        <f t="shared" si="0"/>
        <v>0.23699999999999999</v>
      </c>
      <c r="N6" s="120"/>
      <c r="O6" s="121">
        <f>SUM(K6+0)</f>
        <v>0</v>
      </c>
      <c r="P6" s="125">
        <f>SUM(L6+0)</f>
        <v>0.23699999999999999</v>
      </c>
      <c r="Q6" s="128">
        <f t="shared" ref="Q6:Q15" si="4">SUM(N6:P6)</f>
        <v>0.23699999999999999</v>
      </c>
      <c r="R6" s="120"/>
      <c r="S6" s="121">
        <f t="shared" ref="S6:S15" si="5">SUM(O6+0)</f>
        <v>0</v>
      </c>
      <c r="T6" s="304">
        <f t="shared" ref="T6:T15" si="6">SUM(P6+0)</f>
        <v>0.23699999999999999</v>
      </c>
      <c r="U6" s="128">
        <f t="shared" si="1"/>
        <v>0.23699999999999999</v>
      </c>
      <c r="V6" s="120"/>
      <c r="W6" s="121">
        <f t="shared" ref="W6:W15" si="7">SUM(S6+0/1000)</f>
        <v>0</v>
      </c>
      <c r="X6" s="121">
        <f>SUM(T6+0/1000)</f>
        <v>0.23699999999999999</v>
      </c>
      <c r="Y6" s="128">
        <f t="shared" ref="Y6:Y15" si="8">SUM(V6:X6)</f>
        <v>0.23699999999999999</v>
      </c>
    </row>
    <row r="7" spans="1:25" x14ac:dyDescent="0.2">
      <c r="A7" s="119" t="s">
        <v>35</v>
      </c>
      <c r="B7" s="300"/>
      <c r="C7" s="301">
        <v>0</v>
      </c>
      <c r="D7" s="300">
        <v>0</v>
      </c>
      <c r="E7" s="302">
        <f t="shared" si="2"/>
        <v>0</v>
      </c>
      <c r="F7" s="303"/>
      <c r="G7" s="121">
        <v>0</v>
      </c>
      <c r="H7" s="304">
        <v>0</v>
      </c>
      <c r="I7" s="128">
        <f t="shared" si="3"/>
        <v>0</v>
      </c>
      <c r="J7" s="303"/>
      <c r="K7" s="120">
        <f>SUM(G7+516/1000/2)</f>
        <v>0.25800000000000001</v>
      </c>
      <c r="L7" s="121">
        <v>0</v>
      </c>
      <c r="M7" s="128">
        <f t="shared" si="0"/>
        <v>0.25800000000000001</v>
      </c>
      <c r="N7" s="120"/>
      <c r="O7" s="121">
        <f>SUM(K7+0)</f>
        <v>0.25800000000000001</v>
      </c>
      <c r="P7" s="304">
        <v>0</v>
      </c>
      <c r="Q7" s="128">
        <f t="shared" si="4"/>
        <v>0.25800000000000001</v>
      </c>
      <c r="S7" s="121">
        <f t="shared" si="5"/>
        <v>0.25800000000000001</v>
      </c>
      <c r="T7" s="304">
        <f t="shared" si="6"/>
        <v>0</v>
      </c>
      <c r="U7" s="128">
        <f>SUM(S7:T7)</f>
        <v>0.25800000000000001</v>
      </c>
      <c r="V7" s="120"/>
      <c r="W7" s="121">
        <f t="shared" si="7"/>
        <v>0.25800000000000001</v>
      </c>
      <c r="X7" s="121">
        <f>SUM(T7+0/1000)</f>
        <v>0</v>
      </c>
      <c r="Y7" s="128">
        <f t="shared" si="8"/>
        <v>0.25800000000000001</v>
      </c>
    </row>
    <row r="8" spans="1:25" x14ac:dyDescent="0.2">
      <c r="A8" s="119" t="s">
        <v>37</v>
      </c>
      <c r="B8" s="300"/>
      <c r="C8" s="301">
        <v>0</v>
      </c>
      <c r="D8" s="300">
        <v>0</v>
      </c>
      <c r="E8" s="302">
        <f t="shared" si="2"/>
        <v>0</v>
      </c>
      <c r="F8" s="303"/>
      <c r="G8" s="121">
        <v>0</v>
      </c>
      <c r="H8" s="304">
        <v>0</v>
      </c>
      <c r="I8" s="128">
        <f t="shared" si="3"/>
        <v>0</v>
      </c>
      <c r="J8" s="303"/>
      <c r="K8" s="120">
        <f>SUM(G8+516/1000/2)</f>
        <v>0.25800000000000001</v>
      </c>
      <c r="L8" s="121">
        <v>0</v>
      </c>
      <c r="M8" s="128">
        <f t="shared" si="0"/>
        <v>0.25800000000000001</v>
      </c>
      <c r="N8" s="120"/>
      <c r="O8" s="121">
        <v>0</v>
      </c>
      <c r="P8" s="304">
        <v>0</v>
      </c>
      <c r="Q8" s="128">
        <f t="shared" si="4"/>
        <v>0</v>
      </c>
      <c r="R8" s="120"/>
      <c r="S8" s="121">
        <f t="shared" si="5"/>
        <v>0</v>
      </c>
      <c r="T8" s="304">
        <f t="shared" si="6"/>
        <v>0</v>
      </c>
      <c r="U8" s="128">
        <f t="shared" si="1"/>
        <v>0</v>
      </c>
      <c r="V8" s="120"/>
      <c r="W8" s="121">
        <f t="shared" si="7"/>
        <v>0</v>
      </c>
      <c r="X8" s="121">
        <f>SUM(S7+806.9/1000)</f>
        <v>1.0649</v>
      </c>
      <c r="Y8" s="128">
        <f t="shared" si="8"/>
        <v>1.0649</v>
      </c>
    </row>
    <row r="9" spans="1:25" x14ac:dyDescent="0.2">
      <c r="A9" s="119" t="s">
        <v>38</v>
      </c>
      <c r="B9" s="300"/>
      <c r="C9" s="301">
        <v>0</v>
      </c>
      <c r="D9" s="300">
        <v>0</v>
      </c>
      <c r="E9" s="302">
        <f t="shared" si="2"/>
        <v>0</v>
      </c>
      <c r="F9" s="303"/>
      <c r="G9" s="121">
        <v>0</v>
      </c>
      <c r="H9" s="304">
        <v>0</v>
      </c>
      <c r="I9" s="128">
        <f t="shared" si="3"/>
        <v>0</v>
      </c>
      <c r="J9" s="303"/>
      <c r="K9" s="120">
        <f>SUM(G9+4,290/1000)</f>
        <v>4.29</v>
      </c>
      <c r="L9" s="121">
        <v>0</v>
      </c>
      <c r="M9" s="128">
        <f t="shared" si="0"/>
        <v>4.29</v>
      </c>
      <c r="N9" s="120"/>
      <c r="O9" s="121">
        <f>(K9+0.92)</f>
        <v>5.21</v>
      </c>
      <c r="P9" s="304">
        <v>0</v>
      </c>
      <c r="Q9" s="128">
        <f t="shared" si="4"/>
        <v>5.21</v>
      </c>
      <c r="R9" s="120"/>
      <c r="S9" s="121">
        <f t="shared" si="5"/>
        <v>5.21</v>
      </c>
      <c r="T9" s="304">
        <f t="shared" si="6"/>
        <v>0</v>
      </c>
      <c r="U9" s="128">
        <f t="shared" si="1"/>
        <v>5.21</v>
      </c>
      <c r="V9" s="120"/>
      <c r="W9" s="121">
        <f t="shared" si="7"/>
        <v>5.21</v>
      </c>
      <c r="X9" s="121">
        <f t="shared" ref="X9:X15" si="9">SUM(T9+0/1000)</f>
        <v>0</v>
      </c>
      <c r="Y9" s="128">
        <f t="shared" si="8"/>
        <v>5.21</v>
      </c>
    </row>
    <row r="10" spans="1:25" x14ac:dyDescent="0.2">
      <c r="A10" s="119" t="s">
        <v>39</v>
      </c>
      <c r="B10" s="300"/>
      <c r="C10" s="301">
        <v>0</v>
      </c>
      <c r="D10" s="300">
        <v>0</v>
      </c>
      <c r="E10" s="302">
        <f t="shared" si="2"/>
        <v>0</v>
      </c>
      <c r="F10" s="303"/>
      <c r="G10" s="121">
        <v>0</v>
      </c>
      <c r="H10" s="304">
        <v>0</v>
      </c>
      <c r="I10" s="128">
        <f t="shared" si="3"/>
        <v>0</v>
      </c>
      <c r="J10" s="303"/>
      <c r="K10" s="120">
        <f>SUM(G10+2,500/1000)</f>
        <v>2.5</v>
      </c>
      <c r="L10" s="121">
        <v>0</v>
      </c>
      <c r="M10" s="128">
        <f t="shared" si="0"/>
        <v>2.5</v>
      </c>
      <c r="N10" s="120"/>
      <c r="O10" s="121">
        <v>0</v>
      </c>
      <c r="P10" s="304">
        <v>0</v>
      </c>
      <c r="Q10" s="128">
        <f t="shared" si="4"/>
        <v>0</v>
      </c>
      <c r="R10" s="120"/>
      <c r="S10" s="121">
        <f t="shared" si="5"/>
        <v>0</v>
      </c>
      <c r="T10" s="304">
        <f t="shared" si="6"/>
        <v>0</v>
      </c>
      <c r="U10" s="302">
        <f t="shared" si="1"/>
        <v>0</v>
      </c>
      <c r="V10" s="120"/>
      <c r="W10" s="121">
        <f t="shared" si="7"/>
        <v>0</v>
      </c>
      <c r="X10" s="121">
        <f t="shared" si="9"/>
        <v>0</v>
      </c>
      <c r="Y10" s="128">
        <f t="shared" si="8"/>
        <v>0</v>
      </c>
    </row>
    <row r="11" spans="1:25" x14ac:dyDescent="0.2">
      <c r="A11" s="119" t="s">
        <v>40</v>
      </c>
      <c r="B11" s="300"/>
      <c r="C11" s="301">
        <v>0</v>
      </c>
      <c r="D11" s="300">
        <v>0</v>
      </c>
      <c r="E11" s="302">
        <f t="shared" si="2"/>
        <v>0</v>
      </c>
      <c r="F11" s="303"/>
      <c r="G11" s="121">
        <v>0</v>
      </c>
      <c r="H11" s="304">
        <v>0</v>
      </c>
      <c r="I11" s="128">
        <f t="shared" si="3"/>
        <v>0</v>
      </c>
      <c r="J11" s="303"/>
      <c r="K11" s="120">
        <f>SUM(G11+67/1000/4)</f>
        <v>1.6750000000000001E-2</v>
      </c>
      <c r="L11" s="121">
        <v>0</v>
      </c>
      <c r="M11" s="128">
        <f t="shared" si="0"/>
        <v>1.6750000000000001E-2</v>
      </c>
      <c r="N11" s="120"/>
      <c r="O11" s="121">
        <v>0</v>
      </c>
      <c r="P11" s="304">
        <v>0</v>
      </c>
      <c r="Q11" s="128">
        <f t="shared" si="4"/>
        <v>0</v>
      </c>
      <c r="R11" s="120"/>
      <c r="S11" s="121">
        <f t="shared" si="5"/>
        <v>0</v>
      </c>
      <c r="T11" s="304">
        <f t="shared" si="6"/>
        <v>0</v>
      </c>
      <c r="U11" s="302">
        <f t="shared" si="1"/>
        <v>0</v>
      </c>
      <c r="V11" s="120"/>
      <c r="W11" s="121">
        <f t="shared" si="7"/>
        <v>0</v>
      </c>
      <c r="X11" s="121">
        <f t="shared" si="9"/>
        <v>0</v>
      </c>
      <c r="Y11" s="128">
        <f t="shared" si="8"/>
        <v>0</v>
      </c>
    </row>
    <row r="12" spans="1:25" x14ac:dyDescent="0.2">
      <c r="A12" s="119" t="s">
        <v>42</v>
      </c>
      <c r="B12" s="300"/>
      <c r="C12" s="301">
        <v>0</v>
      </c>
      <c r="D12" s="300">
        <v>0</v>
      </c>
      <c r="E12" s="302">
        <f t="shared" si="2"/>
        <v>0</v>
      </c>
      <c r="F12" s="303"/>
      <c r="G12" s="121">
        <v>0</v>
      </c>
      <c r="H12" s="304">
        <v>0</v>
      </c>
      <c r="I12" s="128">
        <f t="shared" si="3"/>
        <v>0</v>
      </c>
      <c r="J12" s="303"/>
      <c r="K12" s="120">
        <f>SUM(G12+67/1000/4)</f>
        <v>1.6750000000000001E-2</v>
      </c>
      <c r="L12" s="142">
        <f>SUM(H12+0.037)</f>
        <v>3.6999999999999998E-2</v>
      </c>
      <c r="M12" s="128">
        <f t="shared" si="0"/>
        <v>5.3749999999999999E-2</v>
      </c>
      <c r="N12" s="120"/>
      <c r="O12" s="121">
        <v>0</v>
      </c>
      <c r="P12" s="125">
        <f>SUM(L12+0)</f>
        <v>3.6999999999999998E-2</v>
      </c>
      <c r="Q12" s="128">
        <f t="shared" si="4"/>
        <v>3.6999999999999998E-2</v>
      </c>
      <c r="R12" s="120"/>
      <c r="S12" s="121">
        <f t="shared" si="5"/>
        <v>0</v>
      </c>
      <c r="T12" s="304">
        <f t="shared" si="6"/>
        <v>3.6999999999999998E-2</v>
      </c>
      <c r="U12" s="302">
        <f t="shared" si="1"/>
        <v>3.6999999999999998E-2</v>
      </c>
      <c r="V12" s="120"/>
      <c r="W12" s="121">
        <f t="shared" si="7"/>
        <v>0</v>
      </c>
      <c r="X12" s="121">
        <f t="shared" si="9"/>
        <v>3.6999999999999998E-2</v>
      </c>
      <c r="Y12" s="128">
        <f t="shared" si="8"/>
        <v>3.6999999999999998E-2</v>
      </c>
    </row>
    <row r="13" spans="1:25" x14ac:dyDescent="0.2">
      <c r="A13" s="119" t="s">
        <v>43</v>
      </c>
      <c r="B13" s="300"/>
      <c r="C13" s="301">
        <v>0</v>
      </c>
      <c r="D13" s="300">
        <v>0</v>
      </c>
      <c r="E13" s="302">
        <f t="shared" si="2"/>
        <v>0</v>
      </c>
      <c r="F13" s="303"/>
      <c r="G13" s="121">
        <v>0</v>
      </c>
      <c r="H13" s="304">
        <v>0</v>
      </c>
      <c r="I13" s="128">
        <f t="shared" si="3"/>
        <v>0</v>
      </c>
      <c r="J13" s="303"/>
      <c r="K13" s="120">
        <f>SUM(G13+67/1000/4)</f>
        <v>1.6750000000000001E-2</v>
      </c>
      <c r="L13" s="121">
        <v>0</v>
      </c>
      <c r="M13" s="128">
        <f t="shared" si="0"/>
        <v>1.6750000000000001E-2</v>
      </c>
      <c r="N13" s="120"/>
      <c r="O13" s="121">
        <v>0</v>
      </c>
      <c r="P13" s="304">
        <v>0</v>
      </c>
      <c r="Q13" s="128">
        <f t="shared" si="4"/>
        <v>0</v>
      </c>
      <c r="R13" s="120"/>
      <c r="S13" s="121">
        <f t="shared" si="5"/>
        <v>0</v>
      </c>
      <c r="T13" s="304">
        <f t="shared" si="6"/>
        <v>0</v>
      </c>
      <c r="U13" s="302">
        <f t="shared" si="1"/>
        <v>0</v>
      </c>
      <c r="V13" s="120"/>
      <c r="W13" s="121">
        <f t="shared" si="7"/>
        <v>0</v>
      </c>
      <c r="X13" s="121">
        <f t="shared" si="9"/>
        <v>0</v>
      </c>
      <c r="Y13" s="128">
        <f t="shared" si="8"/>
        <v>0</v>
      </c>
    </row>
    <row r="14" spans="1:25" x14ac:dyDescent="0.2">
      <c r="A14" s="119" t="s">
        <v>44</v>
      </c>
      <c r="B14" s="300"/>
      <c r="C14" s="301">
        <v>0</v>
      </c>
      <c r="D14" s="300">
        <v>0</v>
      </c>
      <c r="E14" s="302">
        <f t="shared" si="2"/>
        <v>0</v>
      </c>
      <c r="F14" s="303"/>
      <c r="G14" s="121">
        <v>0</v>
      </c>
      <c r="H14" s="304">
        <v>0</v>
      </c>
      <c r="I14" s="128">
        <f t="shared" si="3"/>
        <v>0</v>
      </c>
      <c r="J14" s="303"/>
      <c r="K14" s="120">
        <f>SUM(G14+67/1000/4)</f>
        <v>1.6750000000000001E-2</v>
      </c>
      <c r="L14" s="121">
        <v>0</v>
      </c>
      <c r="M14" s="128">
        <f t="shared" si="0"/>
        <v>1.6750000000000001E-2</v>
      </c>
      <c r="N14" s="120"/>
      <c r="O14" s="121">
        <v>0</v>
      </c>
      <c r="P14" s="304">
        <v>0</v>
      </c>
      <c r="Q14" s="128">
        <f t="shared" si="4"/>
        <v>0</v>
      </c>
      <c r="R14" s="120"/>
      <c r="S14" s="121">
        <f t="shared" si="5"/>
        <v>0</v>
      </c>
      <c r="T14" s="304">
        <f t="shared" si="6"/>
        <v>0</v>
      </c>
      <c r="U14" s="302">
        <f t="shared" si="1"/>
        <v>0</v>
      </c>
      <c r="V14" s="120"/>
      <c r="W14" s="121">
        <f t="shared" si="7"/>
        <v>0</v>
      </c>
      <c r="X14" s="121">
        <f t="shared" si="9"/>
        <v>0</v>
      </c>
      <c r="Y14" s="128">
        <f t="shared" si="8"/>
        <v>0</v>
      </c>
    </row>
    <row r="15" spans="1:25" x14ac:dyDescent="0.2">
      <c r="A15" s="119" t="s">
        <v>46</v>
      </c>
      <c r="B15" s="300"/>
      <c r="C15" s="301">
        <v>0</v>
      </c>
      <c r="D15" s="300">
        <v>0</v>
      </c>
      <c r="E15" s="302">
        <f t="shared" si="2"/>
        <v>0</v>
      </c>
      <c r="F15" s="303"/>
      <c r="G15" s="121">
        <v>0</v>
      </c>
      <c r="H15" s="304">
        <v>0</v>
      </c>
      <c r="I15" s="128">
        <f t="shared" si="3"/>
        <v>0</v>
      </c>
      <c r="J15" s="303"/>
      <c r="K15" s="120">
        <v>0</v>
      </c>
      <c r="L15" s="121">
        <v>0</v>
      </c>
      <c r="M15" s="128">
        <f t="shared" si="0"/>
        <v>0</v>
      </c>
      <c r="N15" s="120"/>
      <c r="O15" s="121">
        <v>0</v>
      </c>
      <c r="P15" s="304">
        <v>0</v>
      </c>
      <c r="Q15" s="128">
        <f t="shared" si="4"/>
        <v>0</v>
      </c>
      <c r="R15" s="120"/>
      <c r="S15" s="121">
        <f t="shared" si="5"/>
        <v>0</v>
      </c>
      <c r="T15" s="304">
        <f t="shared" si="6"/>
        <v>0</v>
      </c>
      <c r="U15" s="302">
        <f t="shared" si="1"/>
        <v>0</v>
      </c>
      <c r="V15" s="120"/>
      <c r="W15" s="121">
        <f t="shared" si="7"/>
        <v>0</v>
      </c>
      <c r="X15" s="121">
        <f t="shared" si="9"/>
        <v>0</v>
      </c>
      <c r="Y15" s="128">
        <f t="shared" si="8"/>
        <v>0</v>
      </c>
    </row>
    <row r="16" spans="1:25" s="298" customFormat="1" x14ac:dyDescent="0.2">
      <c r="A16" s="305" t="s">
        <v>72</v>
      </c>
      <c r="B16" s="306"/>
      <c r="C16" s="306">
        <f>SUM(C5:C15)</f>
        <v>0</v>
      </c>
      <c r="D16" s="306">
        <f>SUM(D5:D15)</f>
        <v>0</v>
      </c>
      <c r="E16" s="306">
        <f>SUM(E5:E15)</f>
        <v>0</v>
      </c>
      <c r="F16" s="128"/>
      <c r="G16" s="306">
        <f>SUM(G5:G15)</f>
        <v>0</v>
      </c>
      <c r="H16" s="306">
        <f>SUM(H5:H15)</f>
        <v>0</v>
      </c>
      <c r="I16" s="306">
        <f>SUM(I5:I15)</f>
        <v>0</v>
      </c>
      <c r="J16" s="128"/>
      <c r="K16" s="306">
        <f>SUM(K5:K15)</f>
        <v>7.3730000000000002</v>
      </c>
      <c r="L16" s="306">
        <f>SUM(L5:L15)</f>
        <v>0.27399999999999997</v>
      </c>
      <c r="M16" s="306">
        <f>SUM(M5:M15)</f>
        <v>7.6470000000000002</v>
      </c>
      <c r="N16" s="128"/>
      <c r="O16" s="128">
        <f>SUM(O5:O15)</f>
        <v>5.468</v>
      </c>
      <c r="P16" s="128">
        <f>SUM(P5:P15)</f>
        <v>0.27399999999999997</v>
      </c>
      <c r="Q16" s="128">
        <f>SUM(Q5:Q15)</f>
        <v>5.742</v>
      </c>
      <c r="R16" s="128"/>
      <c r="S16" s="128">
        <f>SUM(S5:S15)</f>
        <v>5.468</v>
      </c>
      <c r="T16" s="128">
        <f>SUM(T5:T15)</f>
        <v>0.27399999999999997</v>
      </c>
      <c r="U16" s="128">
        <f>SUM(U5:U15)</f>
        <v>5.742</v>
      </c>
      <c r="V16" s="128"/>
      <c r="W16" s="128">
        <f>SUM(W5:W15)</f>
        <v>5.468</v>
      </c>
      <c r="X16" s="128">
        <f>SUM(X5:X15)</f>
        <v>1.3388999999999998</v>
      </c>
      <c r="Y16" s="128">
        <f>SUM(Y5:Y15)</f>
        <v>6.8068999999999997</v>
      </c>
    </row>
    <row r="17" spans="1:25" ht="3.95" customHeight="1" x14ac:dyDescent="0.2">
      <c r="A17" s="305"/>
      <c r="B17" s="307"/>
      <c r="C17" s="308"/>
      <c r="D17" s="308"/>
      <c r="E17" s="309"/>
      <c r="F17" s="307"/>
      <c r="G17" s="120"/>
      <c r="H17" s="120"/>
      <c r="I17" s="128"/>
      <c r="J17" s="130"/>
      <c r="K17" s="120"/>
      <c r="L17" s="131"/>
      <c r="M17" s="128"/>
      <c r="N17" s="130"/>
      <c r="O17" s="120"/>
      <c r="P17" s="131"/>
      <c r="Q17" s="128"/>
      <c r="R17" s="130"/>
      <c r="S17" s="120"/>
      <c r="T17" s="131"/>
      <c r="U17" s="128"/>
      <c r="V17" s="130"/>
      <c r="W17" s="120"/>
      <c r="X17" s="131"/>
      <c r="Y17" s="128"/>
    </row>
    <row r="18" spans="1:25" x14ac:dyDescent="0.2">
      <c r="A18" s="430" t="s">
        <v>56</v>
      </c>
      <c r="B18" s="310"/>
      <c r="C18" s="299"/>
      <c r="D18" s="299"/>
      <c r="E18" s="430"/>
      <c r="F18" s="310"/>
      <c r="G18" s="132"/>
      <c r="H18" s="133"/>
      <c r="I18" s="133"/>
      <c r="J18" s="122"/>
      <c r="K18" s="132"/>
      <c r="L18" s="133"/>
      <c r="M18" s="128"/>
      <c r="N18" s="122"/>
      <c r="O18" s="132"/>
      <c r="P18" s="133"/>
      <c r="Q18" s="128"/>
      <c r="R18" s="122"/>
      <c r="S18" s="132"/>
      <c r="T18" s="133"/>
      <c r="U18" s="128"/>
      <c r="V18" s="122"/>
      <c r="W18" s="132"/>
      <c r="X18" s="133"/>
      <c r="Y18" s="128"/>
    </row>
    <row r="19" spans="1:25" x14ac:dyDescent="0.2">
      <c r="A19" s="119" t="s">
        <v>57</v>
      </c>
      <c r="B19" s="311"/>
      <c r="C19" s="301">
        <v>0</v>
      </c>
      <c r="D19" s="300">
        <v>0</v>
      </c>
      <c r="E19" s="302">
        <f>SUM(B19:D19)</f>
        <v>0</v>
      </c>
      <c r="F19" s="310"/>
      <c r="G19" s="121">
        <v>0</v>
      </c>
      <c r="H19" s="304">
        <v>0</v>
      </c>
      <c r="I19" s="302">
        <f>SUM(F19:H19)</f>
        <v>0</v>
      </c>
      <c r="J19" s="122"/>
      <c r="K19" s="121">
        <v>0</v>
      </c>
      <c r="L19" s="121">
        <v>0</v>
      </c>
      <c r="M19" s="128">
        <f>SUM(K19:L19)</f>
        <v>0</v>
      </c>
      <c r="N19" s="122"/>
      <c r="O19" s="134">
        <f>SUM(K19+0)</f>
        <v>0</v>
      </c>
      <c r="P19" s="121">
        <v>0</v>
      </c>
      <c r="Q19" s="128">
        <f>SUM(O19:P19)</f>
        <v>0</v>
      </c>
      <c r="R19" s="122"/>
      <c r="S19" s="121">
        <f t="shared" ref="S19:T24" si="10">SUM(O19+0)</f>
        <v>0</v>
      </c>
      <c r="T19" s="135">
        <f t="shared" si="10"/>
        <v>0</v>
      </c>
      <c r="U19" s="128">
        <f>SUM(R19:T19)</f>
        <v>0</v>
      </c>
      <c r="V19" s="122"/>
      <c r="W19" s="135">
        <f t="shared" ref="W19" si="11">SUM(S19+0/1000)</f>
        <v>0</v>
      </c>
      <c r="X19" s="135">
        <f t="shared" ref="X19" si="12">SUM(T19+0/1000)</f>
        <v>0</v>
      </c>
      <c r="Y19" s="123">
        <f>SUM(V19:X19)</f>
        <v>0</v>
      </c>
    </row>
    <row r="20" spans="1:25" x14ac:dyDescent="0.2">
      <c r="A20" s="119" t="s">
        <v>23</v>
      </c>
      <c r="B20" s="311"/>
      <c r="C20" s="301">
        <v>0</v>
      </c>
      <c r="D20" s="300">
        <v>0</v>
      </c>
      <c r="E20" s="302">
        <f>SUM(B20:D20)</f>
        <v>0</v>
      </c>
      <c r="F20" s="310"/>
      <c r="G20" s="121">
        <v>0</v>
      </c>
      <c r="H20" s="304">
        <v>0</v>
      </c>
      <c r="I20" s="302">
        <f>SUM(F20:H20)</f>
        <v>0</v>
      </c>
      <c r="J20" s="122"/>
      <c r="K20" s="121">
        <v>0</v>
      </c>
      <c r="L20" s="121">
        <v>0</v>
      </c>
      <c r="M20" s="128">
        <f>SUM(K20:L20)</f>
        <v>0</v>
      </c>
      <c r="N20" s="122"/>
      <c r="O20" s="134">
        <f t="shared" ref="O20:O23" si="13">SUM(K20+0)</f>
        <v>0</v>
      </c>
      <c r="P20" s="121">
        <v>0</v>
      </c>
      <c r="Q20" s="128">
        <f>SUM(O20:P20)</f>
        <v>0</v>
      </c>
      <c r="R20" s="122"/>
      <c r="S20" s="121">
        <f t="shared" si="10"/>
        <v>0</v>
      </c>
      <c r="T20" s="135">
        <f t="shared" si="10"/>
        <v>0</v>
      </c>
      <c r="U20" s="128">
        <f>SUM(R20:T20)</f>
        <v>0</v>
      </c>
      <c r="V20" s="122"/>
      <c r="W20" s="134">
        <f t="shared" ref="W20:W24" si="14">SUM(S20+0/1000)</f>
        <v>0</v>
      </c>
      <c r="X20" s="134">
        <f t="shared" ref="X20:X24" si="15">SUM(T20+0/1000)</f>
        <v>0</v>
      </c>
      <c r="Y20" s="128">
        <f t="shared" ref="Y20:Y24" si="16">SUM(V20:X20)</f>
        <v>0</v>
      </c>
    </row>
    <row r="21" spans="1:25" x14ac:dyDescent="0.2">
      <c r="A21" s="119" t="s">
        <v>26</v>
      </c>
      <c r="B21" s="311"/>
      <c r="C21" s="301">
        <v>0</v>
      </c>
      <c r="D21" s="300">
        <v>0</v>
      </c>
      <c r="E21" s="302">
        <f>SUM(B21:D21)</f>
        <v>0</v>
      </c>
      <c r="F21" s="303"/>
      <c r="G21" s="121">
        <v>0</v>
      </c>
      <c r="H21" s="304">
        <v>0</v>
      </c>
      <c r="I21" s="302">
        <f>SUM(F21:H21)</f>
        <v>0</v>
      </c>
      <c r="J21" s="120"/>
      <c r="K21" s="121">
        <v>0</v>
      </c>
      <c r="L21" s="121">
        <v>0</v>
      </c>
      <c r="M21" s="128">
        <f>SUM(K21:L21)</f>
        <v>0</v>
      </c>
      <c r="N21" s="120"/>
      <c r="O21" s="134">
        <f t="shared" si="13"/>
        <v>0</v>
      </c>
      <c r="P21" s="121">
        <v>0</v>
      </c>
      <c r="Q21" s="128">
        <f>SUM(O21:P21)</f>
        <v>0</v>
      </c>
      <c r="R21" s="120"/>
      <c r="S21" s="121">
        <f t="shared" si="10"/>
        <v>0</v>
      </c>
      <c r="T21" s="135">
        <f t="shared" si="10"/>
        <v>0</v>
      </c>
      <c r="U21" s="128">
        <f>SUM(R21:T21)</f>
        <v>0</v>
      </c>
      <c r="V21" s="120"/>
      <c r="W21" s="134">
        <f t="shared" si="14"/>
        <v>0</v>
      </c>
      <c r="X21" s="134">
        <f t="shared" si="15"/>
        <v>0</v>
      </c>
      <c r="Y21" s="128">
        <f t="shared" si="16"/>
        <v>0</v>
      </c>
    </row>
    <row r="22" spans="1:25" x14ac:dyDescent="0.2">
      <c r="A22" s="119" t="s">
        <v>27</v>
      </c>
      <c r="B22" s="311"/>
      <c r="C22" s="301">
        <v>0</v>
      </c>
      <c r="D22" s="300">
        <v>0</v>
      </c>
      <c r="E22" s="302">
        <f>SUM(B22:D22)</f>
        <v>0</v>
      </c>
      <c r="F22" s="303"/>
      <c r="G22" s="121">
        <v>0</v>
      </c>
      <c r="H22" s="304">
        <v>0</v>
      </c>
      <c r="I22" s="302">
        <f>SUM(F22:H22)</f>
        <v>0</v>
      </c>
      <c r="J22" s="120"/>
      <c r="K22" s="121">
        <v>0</v>
      </c>
      <c r="L22" s="121">
        <v>0</v>
      </c>
      <c r="M22" s="128">
        <f>SUM(K22:L22)</f>
        <v>0</v>
      </c>
      <c r="N22" s="120"/>
      <c r="O22" s="134">
        <f t="shared" si="13"/>
        <v>0</v>
      </c>
      <c r="P22" s="121">
        <v>0</v>
      </c>
      <c r="Q22" s="128">
        <f>SUM(O22:P22)</f>
        <v>0</v>
      </c>
      <c r="R22" s="120"/>
      <c r="S22" s="121">
        <f t="shared" si="10"/>
        <v>0</v>
      </c>
      <c r="T22" s="135">
        <f t="shared" si="10"/>
        <v>0</v>
      </c>
      <c r="U22" s="128">
        <f>SUM(R22:T22)</f>
        <v>0</v>
      </c>
      <c r="V22" s="120"/>
      <c r="W22" s="134">
        <f t="shared" si="14"/>
        <v>0</v>
      </c>
      <c r="X22" s="134">
        <f t="shared" si="15"/>
        <v>0</v>
      </c>
      <c r="Y22" s="128">
        <f t="shared" si="16"/>
        <v>0</v>
      </c>
    </row>
    <row r="23" spans="1:25" x14ac:dyDescent="0.2">
      <c r="A23" s="119" t="s">
        <v>29</v>
      </c>
      <c r="B23" s="311"/>
      <c r="C23" s="301">
        <v>0</v>
      </c>
      <c r="D23" s="300">
        <v>0</v>
      </c>
      <c r="E23" s="302">
        <f>SUM(B23:D23)</f>
        <v>0</v>
      </c>
      <c r="F23" s="303"/>
      <c r="G23" s="121">
        <v>0</v>
      </c>
      <c r="H23" s="304">
        <v>0</v>
      </c>
      <c r="I23" s="302">
        <f>SUM(F23:H23)</f>
        <v>0</v>
      </c>
      <c r="J23" s="120"/>
      <c r="K23" s="121">
        <v>0</v>
      </c>
      <c r="L23" s="121">
        <v>0</v>
      </c>
      <c r="M23" s="128">
        <f>SUM(K23:L23)</f>
        <v>0</v>
      </c>
      <c r="N23" s="120"/>
      <c r="O23" s="134">
        <f t="shared" si="13"/>
        <v>0</v>
      </c>
      <c r="P23" s="121">
        <v>0</v>
      </c>
      <c r="Q23" s="128">
        <f>SUM(O23:P23)</f>
        <v>0</v>
      </c>
      <c r="R23" s="120"/>
      <c r="S23" s="121">
        <f t="shared" si="10"/>
        <v>0</v>
      </c>
      <c r="T23" s="135">
        <f t="shared" si="10"/>
        <v>0</v>
      </c>
      <c r="U23" s="128">
        <f>SUM(R23:T23)</f>
        <v>0</v>
      </c>
      <c r="V23" s="120"/>
      <c r="W23" s="134">
        <f t="shared" si="14"/>
        <v>0</v>
      </c>
      <c r="X23" s="134">
        <f t="shared" si="15"/>
        <v>0</v>
      </c>
      <c r="Y23" s="128">
        <f t="shared" si="16"/>
        <v>0</v>
      </c>
    </row>
    <row r="24" spans="1:25" s="298" customFormat="1" x14ac:dyDescent="0.2">
      <c r="A24" s="305" t="s">
        <v>72</v>
      </c>
      <c r="B24" s="306"/>
      <c r="C24" s="306">
        <f>SUM(C19:C23)</f>
        <v>0</v>
      </c>
      <c r="D24" s="306">
        <f>SUM(D19:D23)</f>
        <v>0</v>
      </c>
      <c r="E24" s="306">
        <f>SUM(E19:E23)</f>
        <v>0</v>
      </c>
      <c r="F24" s="123"/>
      <c r="G24" s="306">
        <f>SUM(G19:G23)</f>
        <v>0</v>
      </c>
      <c r="H24" s="306">
        <f>SUM(H19:H23)</f>
        <v>0</v>
      </c>
      <c r="I24" s="306">
        <f>SUM(I19:I23)</f>
        <v>0</v>
      </c>
      <c r="J24" s="123"/>
      <c r="K24" s="306">
        <f>SUM(K19:K23)</f>
        <v>0</v>
      </c>
      <c r="L24" s="306">
        <f>SUM(L19:L23)</f>
        <v>0</v>
      </c>
      <c r="M24" s="306">
        <f>SUM(M19:M23)</f>
        <v>0</v>
      </c>
      <c r="N24" s="123"/>
      <c r="O24" s="306">
        <f>SUM(O19:O23)</f>
        <v>0</v>
      </c>
      <c r="P24" s="306">
        <f>SUM(P19:P23)</f>
        <v>0</v>
      </c>
      <c r="Q24" s="306">
        <f>SUM(Q19:Q23)</f>
        <v>0</v>
      </c>
      <c r="R24" s="123"/>
      <c r="S24" s="121">
        <f t="shared" si="10"/>
        <v>0</v>
      </c>
      <c r="T24" s="135">
        <f t="shared" si="10"/>
        <v>0</v>
      </c>
      <c r="U24" s="306">
        <f>SUM(U19:U23)</f>
        <v>0</v>
      </c>
      <c r="V24" s="123"/>
      <c r="W24" s="306">
        <f t="shared" si="14"/>
        <v>0</v>
      </c>
      <c r="X24" s="306">
        <f t="shared" si="15"/>
        <v>0</v>
      </c>
      <c r="Y24" s="312">
        <f t="shared" si="16"/>
        <v>0</v>
      </c>
    </row>
    <row r="25" spans="1:25" ht="5.25" customHeight="1" x14ac:dyDescent="0.2">
      <c r="A25" s="305"/>
      <c r="B25" s="307"/>
      <c r="C25" s="308"/>
      <c r="D25" s="308"/>
      <c r="E25" s="309"/>
      <c r="F25" s="307"/>
      <c r="G25" s="120"/>
      <c r="H25" s="131"/>
      <c r="I25" s="128"/>
      <c r="J25" s="130"/>
      <c r="K25" s="120"/>
      <c r="L25" s="131"/>
      <c r="M25" s="128" t="s">
        <v>1</v>
      </c>
      <c r="N25" s="130"/>
      <c r="O25" s="120"/>
      <c r="P25" s="131"/>
      <c r="Q25" s="128" t="s">
        <v>1</v>
      </c>
      <c r="R25" s="130"/>
      <c r="S25" s="120"/>
      <c r="T25" s="131"/>
      <c r="U25" s="128" t="s">
        <v>1</v>
      </c>
      <c r="V25" s="130"/>
      <c r="W25" s="120"/>
      <c r="X25" s="131"/>
      <c r="Y25" s="128" t="s">
        <v>1</v>
      </c>
    </row>
    <row r="26" spans="1:25" s="298" customFormat="1" ht="17.25" customHeight="1" x14ac:dyDescent="0.2">
      <c r="A26" s="305" t="s">
        <v>71</v>
      </c>
      <c r="B26" s="307"/>
      <c r="C26" s="306">
        <f>SUM(C16+C24)</f>
        <v>0</v>
      </c>
      <c r="D26" s="306">
        <f>SUM(D16+D24)</f>
        <v>0</v>
      </c>
      <c r="E26" s="306">
        <f>E16+E24</f>
        <v>0</v>
      </c>
      <c r="F26" s="307"/>
      <c r="G26" s="128">
        <f>SUM(G16+G24)</f>
        <v>0</v>
      </c>
      <c r="H26" s="123">
        <f>SUM(H16+H24)</f>
        <v>0</v>
      </c>
      <c r="I26" s="128">
        <f>I16+I24</f>
        <v>0</v>
      </c>
      <c r="J26" s="130"/>
      <c r="K26" s="128">
        <f>SUM(K16+K24)</f>
        <v>7.3730000000000002</v>
      </c>
      <c r="L26" s="123">
        <f>SUM(L16+L24)</f>
        <v>0.27399999999999997</v>
      </c>
      <c r="M26" s="128">
        <f>M16+M24</f>
        <v>7.6470000000000002</v>
      </c>
      <c r="N26" s="130"/>
      <c r="O26" s="128">
        <f>SUM(O16+O24)</f>
        <v>5.468</v>
      </c>
      <c r="P26" s="123">
        <f>SUM(P16+P24)</f>
        <v>0.27399999999999997</v>
      </c>
      <c r="Q26" s="128">
        <f>Q16+Q24</f>
        <v>5.742</v>
      </c>
      <c r="R26" s="130"/>
      <c r="S26" s="128">
        <f>SUM(S16+S24)</f>
        <v>5.468</v>
      </c>
      <c r="T26" s="123">
        <f>SUM(T16+T24)</f>
        <v>0.27399999999999997</v>
      </c>
      <c r="U26" s="128">
        <f>U16+U24</f>
        <v>5.742</v>
      </c>
      <c r="V26" s="130"/>
      <c r="W26" s="128">
        <f>SUM(W16+W24)</f>
        <v>5.468</v>
      </c>
      <c r="X26" s="123">
        <f>SUM(X16+X24)</f>
        <v>1.3388999999999998</v>
      </c>
      <c r="Y26" s="128">
        <f>Y16+Y24</f>
        <v>6.8068999999999997</v>
      </c>
    </row>
    <row r="27" spans="1:25" ht="17.25" customHeight="1" x14ac:dyDescent="0.2">
      <c r="A27" s="313"/>
      <c r="B27" s="314"/>
      <c r="C27" s="315"/>
      <c r="D27" s="315"/>
      <c r="E27" s="316"/>
      <c r="F27" s="314"/>
      <c r="G27" s="136"/>
      <c r="H27" s="137"/>
      <c r="I27" s="138"/>
      <c r="J27" s="138"/>
      <c r="K27" s="136"/>
      <c r="L27" s="137"/>
      <c r="M27" s="138"/>
      <c r="N27" s="138"/>
      <c r="O27" s="136"/>
      <c r="P27" s="137"/>
      <c r="Q27" s="138"/>
      <c r="R27" s="138"/>
      <c r="S27" s="136"/>
      <c r="T27" s="137"/>
      <c r="U27" s="138"/>
      <c r="V27" s="138"/>
      <c r="W27" s="136"/>
      <c r="X27" s="137"/>
      <c r="Y27" s="317"/>
    </row>
    <row r="28" spans="1:25" x14ac:dyDescent="0.2">
      <c r="A28" s="430" t="s">
        <v>73</v>
      </c>
      <c r="B28" s="318"/>
      <c r="C28" s="319"/>
      <c r="D28" s="319"/>
      <c r="E28" s="320"/>
      <c r="F28" s="321"/>
      <c r="G28" s="139"/>
      <c r="H28" s="139"/>
      <c r="I28" s="140"/>
      <c r="J28" s="140"/>
      <c r="K28" s="139"/>
      <c r="L28" s="139"/>
      <c r="M28" s="140"/>
      <c r="N28" s="140"/>
      <c r="O28" s="139"/>
      <c r="P28" s="139"/>
      <c r="Q28" s="140"/>
      <c r="R28" s="140"/>
      <c r="S28" s="139"/>
      <c r="T28" s="139"/>
      <c r="U28" s="140"/>
      <c r="V28" s="140"/>
      <c r="W28" s="139"/>
      <c r="X28" s="139"/>
      <c r="Y28" s="322"/>
    </row>
    <row r="29" spans="1:25" x14ac:dyDescent="0.2">
      <c r="A29" s="323" t="s">
        <v>74</v>
      </c>
      <c r="B29" s="129">
        <f>SUM(0+(358.1/1000))</f>
        <v>0.35810000000000003</v>
      </c>
      <c r="C29" s="324"/>
      <c r="D29" s="324"/>
      <c r="E29" s="325"/>
      <c r="F29" s="129">
        <f>SUM(B29+381.4/1000)</f>
        <v>0.73950000000000005</v>
      </c>
      <c r="G29" s="121"/>
      <c r="H29" s="121"/>
      <c r="I29" s="120"/>
      <c r="J29" s="129">
        <f>SUM(F29+96.6/1000)</f>
        <v>0.83610000000000007</v>
      </c>
      <c r="K29" s="121"/>
      <c r="L29" s="121"/>
      <c r="M29" s="120"/>
      <c r="N29" s="121"/>
      <c r="O29" s="375">
        <f>SUM(J29+905.4/1000)</f>
        <v>1.7415</v>
      </c>
      <c r="P29" s="121"/>
      <c r="Q29" s="120"/>
      <c r="R29" s="120">
        <f>SUM(O29+1341/1000)</f>
        <v>3.0825</v>
      </c>
      <c r="S29" s="121"/>
      <c r="T29" s="121"/>
      <c r="U29" s="120"/>
      <c r="V29" s="120">
        <f>SUM(R29+360/1000)</f>
        <v>3.4424999999999999</v>
      </c>
      <c r="W29" s="121"/>
      <c r="X29" s="121"/>
      <c r="Y29" s="120"/>
    </row>
    <row r="30" spans="1:25" x14ac:dyDescent="0.2">
      <c r="A30" s="303"/>
      <c r="B30" s="129"/>
      <c r="C30" s="326"/>
      <c r="D30" s="326"/>
      <c r="E30" s="327"/>
      <c r="F30" s="303"/>
      <c r="G30" s="121"/>
      <c r="H30" s="121"/>
      <c r="I30" s="120"/>
      <c r="J30" s="120"/>
      <c r="K30" s="121"/>
      <c r="L30" s="121"/>
      <c r="M30" s="120"/>
      <c r="N30" s="120"/>
      <c r="O30" s="121"/>
      <c r="P30" s="121"/>
      <c r="Q30" s="120"/>
      <c r="R30" s="120"/>
      <c r="S30" s="121"/>
      <c r="T30" s="121"/>
      <c r="U30" s="120"/>
      <c r="V30" s="120"/>
      <c r="W30" s="121"/>
      <c r="X30" s="121"/>
      <c r="Y30" s="120"/>
    </row>
    <row r="31" spans="1:25" s="298" customFormat="1" x14ac:dyDescent="0.2">
      <c r="A31" s="305" t="s">
        <v>72</v>
      </c>
      <c r="B31" s="306">
        <f>SUM(B29:B30)</f>
        <v>0.35810000000000003</v>
      </c>
      <c r="C31" s="306">
        <f>SUM(C29:C30)</f>
        <v>0</v>
      </c>
      <c r="D31" s="306">
        <f>SUM(D29:D30)</f>
        <v>0</v>
      </c>
      <c r="E31" s="306">
        <f>SUM(E29)</f>
        <v>0</v>
      </c>
      <c r="F31" s="312">
        <f>SUM(F29:F30)</f>
        <v>0.73950000000000005</v>
      </c>
      <c r="G31" s="312">
        <f>SUM(G29:G30)</f>
        <v>0</v>
      </c>
      <c r="H31" s="312">
        <f>SUM(H29:H30)</f>
        <v>0</v>
      </c>
      <c r="I31" s="306">
        <f>SUM(I29)</f>
        <v>0</v>
      </c>
      <c r="J31" s="128">
        <f>SUM(J29:J30)</f>
        <v>0.83610000000000007</v>
      </c>
      <c r="K31" s="128">
        <f>SUM(K29:K30)</f>
        <v>0</v>
      </c>
      <c r="L31" s="128">
        <f>SUM(L29:L30)</f>
        <v>0</v>
      </c>
      <c r="M31" s="306">
        <f>SUM(M29)</f>
        <v>0</v>
      </c>
      <c r="N31" s="128">
        <f>SUM(N29:N30)</f>
        <v>0</v>
      </c>
      <c r="O31" s="128">
        <f>SUM(O29:O30)</f>
        <v>1.7415</v>
      </c>
      <c r="P31" s="128">
        <f>SUM(P29:P30)</f>
        <v>0</v>
      </c>
      <c r="Q31" s="306">
        <f>SUM(Q29)</f>
        <v>0</v>
      </c>
      <c r="R31" s="128">
        <f>SUM(R29:R30)</f>
        <v>3.0825</v>
      </c>
      <c r="S31" s="128">
        <f>SUM(S29:S30)</f>
        <v>0</v>
      </c>
      <c r="T31" s="128">
        <f>SUM(T29:T30)</f>
        <v>0</v>
      </c>
      <c r="U31" s="306">
        <f>SUM(U29)</f>
        <v>0</v>
      </c>
      <c r="V31" s="120">
        <f>SUM(V29:V30)</f>
        <v>3.4424999999999999</v>
      </c>
      <c r="W31" s="128">
        <f>SUM(W29:W30)</f>
        <v>0</v>
      </c>
      <c r="X31" s="128">
        <f>SUM(X29:X30)</f>
        <v>0</v>
      </c>
      <c r="Y31" s="312">
        <f>SUM(Y29)</f>
        <v>0</v>
      </c>
    </row>
    <row r="32" spans="1:25" ht="3.95" customHeight="1" x14ac:dyDescent="0.2">
      <c r="A32" s="307"/>
      <c r="B32" s="308"/>
      <c r="C32" s="308"/>
      <c r="D32" s="308"/>
      <c r="E32" s="309"/>
      <c r="F32" s="307"/>
      <c r="G32" s="120"/>
      <c r="H32" s="131"/>
      <c r="I32" s="128"/>
      <c r="J32" s="130"/>
      <c r="K32" s="120"/>
      <c r="L32" s="131"/>
      <c r="M32" s="128"/>
      <c r="N32" s="130"/>
      <c r="O32" s="120"/>
      <c r="P32" s="131"/>
      <c r="Q32" s="128"/>
      <c r="R32" s="130"/>
      <c r="S32" s="120"/>
      <c r="T32" s="131"/>
      <c r="U32" s="128"/>
      <c r="V32" s="130"/>
      <c r="W32" s="120"/>
      <c r="X32" s="131"/>
      <c r="Y32" s="128"/>
    </row>
    <row r="33" spans="1:25" s="298" customFormat="1" x14ac:dyDescent="0.2">
      <c r="A33" s="307" t="s">
        <v>75</v>
      </c>
      <c r="B33" s="328">
        <f>SUM( B31)</f>
        <v>0.35810000000000003</v>
      </c>
      <c r="C33" s="328" t="s">
        <v>24</v>
      </c>
      <c r="D33" s="328" t="s">
        <v>24</v>
      </c>
      <c r="E33" s="328" t="s">
        <v>24</v>
      </c>
      <c r="F33" s="312">
        <f>F31</f>
        <v>0.73950000000000005</v>
      </c>
      <c r="G33" s="328" t="s">
        <v>24</v>
      </c>
      <c r="H33" s="328" t="s">
        <v>24</v>
      </c>
      <c r="I33" s="328" t="s">
        <v>24</v>
      </c>
      <c r="J33" s="130">
        <f>J31</f>
        <v>0.83610000000000007</v>
      </c>
      <c r="K33" s="328" t="s">
        <v>24</v>
      </c>
      <c r="L33" s="328" t="s">
        <v>24</v>
      </c>
      <c r="M33" s="328" t="s">
        <v>24</v>
      </c>
      <c r="N33" s="130">
        <f>N31</f>
        <v>0</v>
      </c>
      <c r="O33" s="328" t="s">
        <v>24</v>
      </c>
      <c r="P33" s="328" t="s">
        <v>24</v>
      </c>
      <c r="Q33" s="328" t="s">
        <v>24</v>
      </c>
      <c r="R33" s="130">
        <f>R31</f>
        <v>3.0825</v>
      </c>
      <c r="S33" s="328" t="s">
        <v>24</v>
      </c>
      <c r="T33" s="328" t="s">
        <v>24</v>
      </c>
      <c r="U33" s="328" t="s">
        <v>24</v>
      </c>
      <c r="V33" s="120">
        <f>V31</f>
        <v>3.4424999999999999</v>
      </c>
      <c r="W33" s="328" t="s">
        <v>24</v>
      </c>
      <c r="X33" s="328" t="s">
        <v>24</v>
      </c>
      <c r="Y33" s="329" t="s">
        <v>24</v>
      </c>
    </row>
    <row r="34" spans="1:25" x14ac:dyDescent="0.2">
      <c r="A34" s="330"/>
      <c r="B34" s="330"/>
      <c r="C34" s="331"/>
      <c r="D34" s="331"/>
      <c r="E34" s="332"/>
      <c r="F34" s="330"/>
      <c r="G34" s="331"/>
      <c r="H34" s="332"/>
      <c r="I34" s="330"/>
      <c r="J34" s="330"/>
      <c r="K34" s="331"/>
      <c r="L34" s="332"/>
      <c r="M34" s="330"/>
      <c r="N34" s="330"/>
      <c r="O34" s="331"/>
      <c r="P34" s="332"/>
      <c r="Q34" s="330"/>
      <c r="R34" s="330"/>
      <c r="S34" s="331"/>
      <c r="T34" s="332"/>
      <c r="U34" s="330"/>
      <c r="V34" s="330"/>
      <c r="W34" s="331"/>
      <c r="X34" s="332"/>
      <c r="Y34" s="330"/>
    </row>
    <row r="36" spans="1:25" ht="24.75" customHeight="1" x14ac:dyDescent="0.2">
      <c r="A36" s="430">
        <v>2012</v>
      </c>
      <c r="B36" s="470" t="s">
        <v>13</v>
      </c>
      <c r="C36" s="470"/>
      <c r="D36" s="470"/>
      <c r="E36" s="470"/>
      <c r="F36" s="470" t="s">
        <v>62</v>
      </c>
      <c r="G36" s="470"/>
      <c r="H36" s="470"/>
      <c r="I36" s="470" t="s">
        <v>13</v>
      </c>
      <c r="J36" s="470" t="s">
        <v>63</v>
      </c>
      <c r="K36" s="470"/>
      <c r="L36" s="470"/>
      <c r="M36" s="470" t="s">
        <v>13</v>
      </c>
      <c r="N36" s="470" t="s">
        <v>16</v>
      </c>
      <c r="O36" s="470"/>
      <c r="P36" s="470"/>
      <c r="Q36" s="470" t="s">
        <v>13</v>
      </c>
      <c r="R36" s="470" t="s">
        <v>64</v>
      </c>
      <c r="S36" s="470"/>
      <c r="T36" s="470"/>
      <c r="U36" s="470" t="s">
        <v>13</v>
      </c>
      <c r="V36" s="470" t="s">
        <v>18</v>
      </c>
      <c r="W36" s="470"/>
      <c r="X36" s="470"/>
      <c r="Y36" s="470" t="s">
        <v>13</v>
      </c>
    </row>
    <row r="37" spans="1:25" ht="36" x14ac:dyDescent="0.2">
      <c r="A37" s="430" t="s">
        <v>67</v>
      </c>
      <c r="B37" s="299" t="s">
        <v>68</v>
      </c>
      <c r="C37" s="299" t="s">
        <v>69</v>
      </c>
      <c r="D37" s="299" t="s">
        <v>70</v>
      </c>
      <c r="E37" s="299" t="s">
        <v>71</v>
      </c>
      <c r="F37" s="299" t="s">
        <v>68</v>
      </c>
      <c r="G37" s="299" t="s">
        <v>69</v>
      </c>
      <c r="H37" s="299" t="s">
        <v>70</v>
      </c>
      <c r="I37" s="299" t="s">
        <v>71</v>
      </c>
      <c r="J37" s="299" t="s">
        <v>68</v>
      </c>
      <c r="K37" s="299" t="s">
        <v>69</v>
      </c>
      <c r="L37" s="299" t="s">
        <v>70</v>
      </c>
      <c r="M37" s="299" t="s">
        <v>71</v>
      </c>
      <c r="N37" s="299" t="s">
        <v>68</v>
      </c>
      <c r="O37" s="299" t="s">
        <v>69</v>
      </c>
      <c r="P37" s="299" t="s">
        <v>70</v>
      </c>
      <c r="Q37" s="299" t="s">
        <v>71</v>
      </c>
      <c r="R37" s="299" t="s">
        <v>68</v>
      </c>
      <c r="S37" s="299" t="s">
        <v>69</v>
      </c>
      <c r="T37" s="299" t="s">
        <v>70</v>
      </c>
      <c r="U37" s="299" t="s">
        <v>71</v>
      </c>
      <c r="V37" s="299" t="s">
        <v>68</v>
      </c>
      <c r="W37" s="299" t="s">
        <v>69</v>
      </c>
      <c r="X37" s="299" t="s">
        <v>70</v>
      </c>
      <c r="Y37" s="299" t="s">
        <v>71</v>
      </c>
    </row>
    <row r="38" spans="1:25" x14ac:dyDescent="0.2">
      <c r="A38" s="119" t="s">
        <v>31</v>
      </c>
      <c r="B38" s="299"/>
      <c r="C38" s="124"/>
      <c r="D38" s="124"/>
      <c r="E38" s="125">
        <f t="shared" ref="E38:E49" si="17">SUM(B38:D38)</f>
        <v>0</v>
      </c>
      <c r="F38" s="299"/>
      <c r="G38" s="124"/>
      <c r="H38" s="124"/>
      <c r="I38" s="125">
        <f>SUM(F38:H38)</f>
        <v>0</v>
      </c>
      <c r="J38" s="299"/>
      <c r="K38" s="124"/>
      <c r="L38" s="333"/>
      <c r="M38" s="125">
        <f t="shared" ref="M38:M44" si="18">SUM(J38:L38)</f>
        <v>0</v>
      </c>
      <c r="N38" s="299"/>
      <c r="O38" s="124"/>
      <c r="P38" s="124"/>
      <c r="Q38" s="125">
        <f t="shared" ref="Q38:Q44" si="19">SUM(N38:P38)</f>
        <v>0</v>
      </c>
      <c r="R38" s="126"/>
      <c r="S38" s="124"/>
      <c r="T38" s="124"/>
      <c r="U38" s="125">
        <f t="shared" ref="U38:U44" si="20">SUM(R38:T38)</f>
        <v>0</v>
      </c>
      <c r="V38" s="299"/>
      <c r="W38" s="121"/>
      <c r="X38" s="121"/>
      <c r="Y38" s="125">
        <f t="shared" ref="Y38:Y44" si="21">SUM(V38:X38)</f>
        <v>0</v>
      </c>
    </row>
    <row r="39" spans="1:25" x14ac:dyDescent="0.2">
      <c r="A39" s="119" t="s">
        <v>33</v>
      </c>
      <c r="B39" s="299"/>
      <c r="C39" s="124"/>
      <c r="D39" s="124"/>
      <c r="E39" s="125">
        <f t="shared" si="17"/>
        <v>0</v>
      </c>
      <c r="F39" s="299"/>
      <c r="G39" s="124"/>
      <c r="H39" s="124"/>
      <c r="I39" s="125">
        <f t="shared" ref="I39:I49" si="22">SUM(F39:H39)</f>
        <v>0</v>
      </c>
      <c r="J39" s="299"/>
      <c r="K39" s="124"/>
      <c r="L39" s="333"/>
      <c r="M39" s="125">
        <f t="shared" si="18"/>
        <v>0</v>
      </c>
      <c r="N39" s="299"/>
      <c r="O39" s="124"/>
      <c r="P39" s="124"/>
      <c r="Q39" s="125">
        <f t="shared" si="19"/>
        <v>0</v>
      </c>
      <c r="R39" s="126"/>
      <c r="S39" s="124"/>
      <c r="T39" s="124"/>
      <c r="U39" s="125">
        <f t="shared" si="20"/>
        <v>0</v>
      </c>
      <c r="V39" s="299"/>
      <c r="W39" s="121"/>
      <c r="X39" s="121"/>
      <c r="Y39" s="125">
        <f t="shared" si="21"/>
        <v>0</v>
      </c>
    </row>
    <row r="40" spans="1:25" x14ac:dyDescent="0.2">
      <c r="A40" s="119" t="s">
        <v>35</v>
      </c>
      <c r="B40" s="299"/>
      <c r="C40" s="127"/>
      <c r="D40" s="124"/>
      <c r="E40" s="125">
        <f t="shared" si="17"/>
        <v>0</v>
      </c>
      <c r="F40" s="299"/>
      <c r="G40" s="127"/>
      <c r="H40" s="124"/>
      <c r="I40" s="125">
        <f t="shared" si="22"/>
        <v>0</v>
      </c>
      <c r="J40" s="299"/>
      <c r="K40" s="127"/>
      <c r="L40" s="333"/>
      <c r="M40" s="125">
        <f t="shared" si="18"/>
        <v>0</v>
      </c>
      <c r="N40" s="299"/>
      <c r="O40" s="127"/>
      <c r="P40" s="127"/>
      <c r="Q40" s="125">
        <f t="shared" si="19"/>
        <v>0</v>
      </c>
      <c r="R40" s="126"/>
      <c r="S40" s="127"/>
      <c r="T40" s="127"/>
      <c r="U40" s="125">
        <f t="shared" si="20"/>
        <v>0</v>
      </c>
      <c r="V40" s="299"/>
      <c r="W40" s="121"/>
      <c r="X40" s="142"/>
      <c r="Y40" s="125">
        <f t="shared" si="21"/>
        <v>0</v>
      </c>
    </row>
    <row r="41" spans="1:25" x14ac:dyDescent="0.2">
      <c r="A41" s="119" t="s">
        <v>37</v>
      </c>
      <c r="B41" s="299"/>
      <c r="C41" s="127"/>
      <c r="D41" s="124"/>
      <c r="E41" s="125">
        <f t="shared" si="17"/>
        <v>0</v>
      </c>
      <c r="F41" s="299"/>
      <c r="G41" s="127"/>
      <c r="H41" s="124"/>
      <c r="I41" s="125">
        <f t="shared" si="22"/>
        <v>0</v>
      </c>
      <c r="J41" s="299"/>
      <c r="K41" s="127"/>
      <c r="L41" s="333"/>
      <c r="M41" s="125">
        <f t="shared" si="18"/>
        <v>0</v>
      </c>
      <c r="N41" s="299"/>
      <c r="O41" s="127"/>
      <c r="P41" s="127"/>
      <c r="Q41" s="125">
        <f t="shared" si="19"/>
        <v>0</v>
      </c>
      <c r="R41" s="126"/>
      <c r="S41" s="127"/>
      <c r="T41" s="127"/>
      <c r="U41" s="125">
        <f t="shared" si="20"/>
        <v>0</v>
      </c>
      <c r="V41" s="299"/>
      <c r="W41" s="121"/>
      <c r="X41" s="121"/>
      <c r="Y41" s="125">
        <f t="shared" si="21"/>
        <v>0</v>
      </c>
    </row>
    <row r="42" spans="1:25" x14ac:dyDescent="0.2">
      <c r="A42" s="119" t="s">
        <v>38</v>
      </c>
      <c r="B42" s="299"/>
      <c r="C42" s="127"/>
      <c r="D42" s="124"/>
      <c r="E42" s="125">
        <f t="shared" si="17"/>
        <v>0</v>
      </c>
      <c r="F42" s="299"/>
      <c r="G42" s="127"/>
      <c r="H42" s="124"/>
      <c r="I42" s="125">
        <f t="shared" si="22"/>
        <v>0</v>
      </c>
      <c r="J42" s="299"/>
      <c r="K42" s="127"/>
      <c r="L42" s="333"/>
      <c r="M42" s="125">
        <f t="shared" si="18"/>
        <v>0</v>
      </c>
      <c r="N42" s="126"/>
      <c r="O42" s="127"/>
      <c r="P42" s="124"/>
      <c r="Q42" s="125">
        <f t="shared" si="19"/>
        <v>0</v>
      </c>
      <c r="R42" s="126"/>
      <c r="S42" s="127"/>
      <c r="T42" s="124"/>
      <c r="U42" s="125">
        <f t="shared" si="20"/>
        <v>0</v>
      </c>
      <c r="V42" s="299"/>
      <c r="W42" s="142"/>
      <c r="X42" s="121"/>
      <c r="Y42" s="125">
        <f t="shared" si="21"/>
        <v>0</v>
      </c>
    </row>
    <row r="43" spans="1:25" x14ac:dyDescent="0.2">
      <c r="A43" s="119" t="s">
        <v>39</v>
      </c>
      <c r="B43" s="299"/>
      <c r="C43" s="127"/>
      <c r="D43" s="124"/>
      <c r="E43" s="125">
        <f t="shared" si="17"/>
        <v>0</v>
      </c>
      <c r="F43" s="299"/>
      <c r="G43" s="127"/>
      <c r="H43" s="124"/>
      <c r="I43" s="125">
        <f t="shared" si="22"/>
        <v>0</v>
      </c>
      <c r="J43" s="299"/>
      <c r="K43" s="127"/>
      <c r="L43" s="333"/>
      <c r="M43" s="125">
        <f t="shared" si="18"/>
        <v>0</v>
      </c>
      <c r="N43" s="299"/>
      <c r="O43" s="127"/>
      <c r="P43" s="124"/>
      <c r="Q43" s="125">
        <f t="shared" si="19"/>
        <v>0</v>
      </c>
      <c r="R43" s="126"/>
      <c r="S43" s="127"/>
      <c r="T43" s="124"/>
      <c r="U43" s="125">
        <f t="shared" si="20"/>
        <v>0</v>
      </c>
      <c r="V43" s="299"/>
      <c r="W43" s="121"/>
      <c r="X43" s="121"/>
      <c r="Y43" s="125">
        <f t="shared" si="21"/>
        <v>0</v>
      </c>
    </row>
    <row r="44" spans="1:25" x14ac:dyDescent="0.2">
      <c r="A44" s="119" t="s">
        <v>40</v>
      </c>
      <c r="B44" s="299"/>
      <c r="C44" s="124"/>
      <c r="D44" s="124"/>
      <c r="E44" s="125">
        <f t="shared" si="17"/>
        <v>0</v>
      </c>
      <c r="F44" s="299"/>
      <c r="G44" s="124"/>
      <c r="H44" s="124"/>
      <c r="I44" s="125">
        <f t="shared" si="22"/>
        <v>0</v>
      </c>
      <c r="J44" s="299"/>
      <c r="K44" s="124"/>
      <c r="L44" s="333"/>
      <c r="M44" s="125">
        <f t="shared" si="18"/>
        <v>0</v>
      </c>
      <c r="N44" s="299"/>
      <c r="O44" s="124"/>
      <c r="P44" s="124"/>
      <c r="Q44" s="125">
        <f t="shared" si="19"/>
        <v>0</v>
      </c>
      <c r="R44" s="126"/>
      <c r="S44" s="124"/>
      <c r="T44" s="124"/>
      <c r="U44" s="125">
        <f t="shared" si="20"/>
        <v>0</v>
      </c>
      <c r="V44" s="299"/>
      <c r="W44" s="121"/>
      <c r="X44" s="121"/>
      <c r="Y44" s="125">
        <f t="shared" si="21"/>
        <v>0</v>
      </c>
    </row>
    <row r="45" spans="1:25" x14ac:dyDescent="0.2">
      <c r="A45" s="119" t="s">
        <v>42</v>
      </c>
      <c r="B45" s="141"/>
      <c r="C45" s="124"/>
      <c r="D45" s="124"/>
      <c r="E45" s="125">
        <f t="shared" si="17"/>
        <v>0</v>
      </c>
      <c r="F45" s="120"/>
      <c r="G45" s="124"/>
      <c r="H45" s="124"/>
      <c r="I45" s="125">
        <f t="shared" si="22"/>
        <v>0</v>
      </c>
      <c r="J45" s="120"/>
      <c r="K45" s="124"/>
      <c r="L45" s="333"/>
      <c r="M45" s="128">
        <f>SUM(K45:L45)</f>
        <v>0</v>
      </c>
      <c r="N45" s="120"/>
      <c r="O45" s="124"/>
      <c r="P45" s="124"/>
      <c r="Q45" s="128">
        <f>SUM(O45:P45)</f>
        <v>0</v>
      </c>
      <c r="R45" s="129"/>
      <c r="S45" s="124"/>
      <c r="T45" s="124"/>
      <c r="U45" s="128">
        <f>SUM(S45:T45)</f>
        <v>0</v>
      </c>
      <c r="V45" s="120"/>
      <c r="W45" s="121"/>
      <c r="X45" s="121"/>
      <c r="Y45" s="128">
        <f>SUM(W45:X45)</f>
        <v>0</v>
      </c>
    </row>
    <row r="46" spans="1:25" x14ac:dyDescent="0.2">
      <c r="A46" s="119" t="s">
        <v>43</v>
      </c>
      <c r="B46" s="141"/>
      <c r="C46" s="124"/>
      <c r="D46" s="124"/>
      <c r="E46" s="125">
        <f t="shared" si="17"/>
        <v>0</v>
      </c>
      <c r="F46" s="120"/>
      <c r="G46" s="124"/>
      <c r="H46" s="124"/>
      <c r="I46" s="125">
        <f t="shared" si="22"/>
        <v>0</v>
      </c>
      <c r="J46" s="120"/>
      <c r="K46" s="124"/>
      <c r="L46" s="334"/>
      <c r="M46" s="128">
        <f>SUM(K46:L46)</f>
        <v>0</v>
      </c>
      <c r="N46" s="120"/>
      <c r="O46" s="124"/>
      <c r="P46" s="127"/>
      <c r="Q46" s="128">
        <f>SUM(O46:P46)</f>
        <v>0</v>
      </c>
      <c r="R46" s="129"/>
      <c r="S46" s="127"/>
      <c r="T46" s="127"/>
      <c r="U46" s="128">
        <f>SUM(S46:T46)</f>
        <v>0</v>
      </c>
      <c r="V46" s="120"/>
      <c r="W46" s="121"/>
      <c r="X46" s="121"/>
      <c r="Y46" s="128">
        <f>SUM(W46:X46)</f>
        <v>0</v>
      </c>
    </row>
    <row r="47" spans="1:25" x14ac:dyDescent="0.2">
      <c r="A47" s="119" t="s">
        <v>44</v>
      </c>
      <c r="B47" s="141"/>
      <c r="C47" s="124"/>
      <c r="D47" s="124"/>
      <c r="E47" s="125">
        <f t="shared" si="17"/>
        <v>0</v>
      </c>
      <c r="F47" s="120"/>
      <c r="G47" s="124"/>
      <c r="H47" s="124"/>
      <c r="I47" s="125">
        <f t="shared" si="22"/>
        <v>0</v>
      </c>
      <c r="J47" s="120"/>
      <c r="K47" s="124"/>
      <c r="L47" s="333"/>
      <c r="M47" s="128">
        <f>SUM(K47:L47)</f>
        <v>0</v>
      </c>
      <c r="N47" s="120"/>
      <c r="O47" s="124"/>
      <c r="P47" s="124"/>
      <c r="Q47" s="128">
        <f>SUM(O47:P47)</f>
        <v>0</v>
      </c>
      <c r="R47" s="129"/>
      <c r="S47" s="124"/>
      <c r="T47" s="124"/>
      <c r="U47" s="128">
        <f>SUM(S47:T47)</f>
        <v>0</v>
      </c>
      <c r="V47" s="120"/>
      <c r="W47" s="121"/>
      <c r="X47" s="121"/>
      <c r="Y47" s="128">
        <f>SUM(W47:X47)</f>
        <v>0</v>
      </c>
    </row>
    <row r="48" spans="1:25" x14ac:dyDescent="0.2">
      <c r="A48" s="119" t="s">
        <v>45</v>
      </c>
      <c r="B48" s="141"/>
      <c r="C48" s="124"/>
      <c r="D48" s="124"/>
      <c r="E48" s="125">
        <f t="shared" si="17"/>
        <v>0</v>
      </c>
      <c r="F48" s="120"/>
      <c r="G48" s="124"/>
      <c r="H48" s="124"/>
      <c r="I48" s="125">
        <f t="shared" si="22"/>
        <v>0</v>
      </c>
      <c r="J48" s="120"/>
      <c r="K48" s="124"/>
      <c r="L48" s="333"/>
      <c r="M48" s="128">
        <f>SUM(K48:L48)</f>
        <v>0</v>
      </c>
      <c r="N48" s="120"/>
      <c r="O48" s="124"/>
      <c r="P48" s="124"/>
      <c r="Q48" s="128">
        <f>SUM(O48:P48)</f>
        <v>0</v>
      </c>
      <c r="R48" s="129"/>
      <c r="S48" s="124"/>
      <c r="T48" s="124"/>
      <c r="U48" s="128">
        <f>SUM(S48:T48)</f>
        <v>0</v>
      </c>
      <c r="V48" s="120"/>
      <c r="W48" s="121"/>
      <c r="X48" s="121"/>
      <c r="Y48" s="128">
        <f>SUM(W48:X48)</f>
        <v>0</v>
      </c>
    </row>
    <row r="49" spans="1:25" x14ac:dyDescent="0.2">
      <c r="A49" s="119" t="s">
        <v>46</v>
      </c>
      <c r="B49" s="141"/>
      <c r="C49" s="124"/>
      <c r="D49" s="124"/>
      <c r="E49" s="125">
        <f t="shared" si="17"/>
        <v>0</v>
      </c>
      <c r="F49" s="120"/>
      <c r="G49" s="124"/>
      <c r="H49" s="124"/>
      <c r="I49" s="125">
        <f t="shared" si="22"/>
        <v>0</v>
      </c>
      <c r="J49" s="120"/>
      <c r="K49" s="124"/>
      <c r="L49" s="333"/>
      <c r="M49" s="128">
        <f>SUM(K49:L49)</f>
        <v>0</v>
      </c>
      <c r="N49" s="120"/>
      <c r="O49" s="124"/>
      <c r="P49" s="124"/>
      <c r="Q49" s="128">
        <f>SUM(O49:P49)</f>
        <v>0</v>
      </c>
      <c r="R49" s="129"/>
      <c r="S49" s="124"/>
      <c r="T49" s="124"/>
      <c r="U49" s="128">
        <f>SUM(S49:T49)</f>
        <v>0</v>
      </c>
      <c r="V49" s="120"/>
      <c r="W49" s="121"/>
      <c r="X49" s="121"/>
      <c r="Y49" s="128">
        <f>SUM(W49:X49)</f>
        <v>0</v>
      </c>
    </row>
    <row r="50" spans="1:25" s="298" customFormat="1" x14ac:dyDescent="0.2">
      <c r="A50" s="307" t="s">
        <v>72</v>
      </c>
      <c r="B50" s="130"/>
      <c r="C50" s="130"/>
      <c r="D50" s="130"/>
      <c r="E50" s="130">
        <f>SUM(E38:E49)</f>
        <v>0</v>
      </c>
      <c r="F50" s="128"/>
      <c r="G50" s="130"/>
      <c r="H50" s="130"/>
      <c r="I50" s="130">
        <f>SUM(I38:I49)</f>
        <v>0</v>
      </c>
      <c r="J50" s="128"/>
      <c r="K50" s="130"/>
      <c r="L50" s="130"/>
      <c r="M50" s="130">
        <f>SUM(M38:M49)</f>
        <v>0</v>
      </c>
      <c r="N50" s="128"/>
      <c r="O50" s="130"/>
      <c r="P50" s="130"/>
      <c r="Q50" s="130">
        <f>SUM(Q38:Q49)</f>
        <v>0</v>
      </c>
      <c r="R50" s="128"/>
      <c r="S50" s="130"/>
      <c r="T50" s="130"/>
      <c r="U50" s="130">
        <f>SUM(U38:U49)</f>
        <v>0</v>
      </c>
      <c r="V50" s="128"/>
      <c r="W50" s="130"/>
      <c r="X50" s="130"/>
      <c r="Y50" s="128">
        <f>SUM(Y38:Y49)</f>
        <v>0</v>
      </c>
    </row>
    <row r="51" spans="1:25" ht="3.95" customHeight="1" x14ac:dyDescent="0.2">
      <c r="A51" s="307"/>
      <c r="B51" s="130"/>
      <c r="C51" s="120"/>
      <c r="D51" s="120"/>
      <c r="E51" s="123"/>
      <c r="F51" s="130"/>
      <c r="G51" s="120"/>
      <c r="H51" s="131"/>
      <c r="I51" s="128"/>
      <c r="J51" s="130"/>
      <c r="K51" s="120"/>
      <c r="L51" s="131"/>
      <c r="M51" s="128"/>
      <c r="N51" s="130"/>
      <c r="O51" s="130"/>
      <c r="P51" s="130"/>
      <c r="Q51" s="130"/>
      <c r="R51" s="130"/>
      <c r="S51" s="120"/>
      <c r="T51" s="131"/>
      <c r="U51" s="128"/>
      <c r="V51" s="130"/>
      <c r="W51" s="120"/>
      <c r="X51" s="131"/>
      <c r="Y51" s="128"/>
    </row>
    <row r="52" spans="1:25" x14ac:dyDescent="0.2">
      <c r="A52" s="310" t="s">
        <v>56</v>
      </c>
      <c r="B52" s="122"/>
      <c r="C52" s="132"/>
      <c r="D52" s="132"/>
      <c r="E52" s="133"/>
      <c r="F52" s="122"/>
      <c r="G52" s="132"/>
      <c r="H52" s="133"/>
      <c r="I52" s="128"/>
      <c r="J52" s="122"/>
      <c r="K52" s="132"/>
      <c r="L52" s="133"/>
      <c r="M52" s="128"/>
      <c r="N52" s="122"/>
      <c r="O52" s="132"/>
      <c r="P52" s="133"/>
      <c r="Q52" s="128"/>
      <c r="R52" s="122"/>
      <c r="S52" s="132"/>
      <c r="T52" s="133"/>
      <c r="U52" s="128"/>
      <c r="V52" s="122"/>
      <c r="W52" s="132"/>
      <c r="X52" s="133"/>
      <c r="Y52" s="128"/>
    </row>
    <row r="53" spans="1:25" x14ac:dyDescent="0.2">
      <c r="A53" s="119" t="s">
        <v>57</v>
      </c>
      <c r="B53" s="122"/>
      <c r="C53" s="134"/>
      <c r="D53" s="134"/>
      <c r="E53" s="125">
        <f>SUM(B53:D53)</f>
        <v>0</v>
      </c>
      <c r="F53" s="122"/>
      <c r="G53" s="134"/>
      <c r="H53" s="135"/>
      <c r="I53" s="125">
        <f>SUM(F53:H53)</f>
        <v>0</v>
      </c>
      <c r="J53" s="122"/>
      <c r="K53" s="134"/>
      <c r="L53" s="135"/>
      <c r="M53" s="125">
        <f>SUM(J53:L53)</f>
        <v>0</v>
      </c>
      <c r="N53" s="122"/>
      <c r="O53" s="134"/>
      <c r="P53" s="124"/>
      <c r="Q53" s="125">
        <f>SUM(N53:P53)</f>
        <v>0</v>
      </c>
      <c r="R53" s="122"/>
      <c r="S53" s="134"/>
      <c r="T53" s="135"/>
      <c r="U53" s="125">
        <f>SUM(R53:T53)</f>
        <v>0</v>
      </c>
      <c r="V53" s="122"/>
      <c r="W53" s="120"/>
      <c r="X53" s="120"/>
      <c r="Y53" s="125">
        <f>SUM(V53:X53)</f>
        <v>0</v>
      </c>
    </row>
    <row r="54" spans="1:25" x14ac:dyDescent="0.2">
      <c r="A54" s="119" t="s">
        <v>23</v>
      </c>
      <c r="B54" s="122"/>
      <c r="C54" s="134"/>
      <c r="D54" s="134"/>
      <c r="E54" s="125">
        <f>SUM(B54:D54)</f>
        <v>0</v>
      </c>
      <c r="F54" s="122"/>
      <c r="G54" s="134"/>
      <c r="H54" s="135"/>
      <c r="I54" s="125">
        <f>SUM(F54:H54)</f>
        <v>0</v>
      </c>
      <c r="J54" s="122"/>
      <c r="K54" s="134"/>
      <c r="L54" s="135"/>
      <c r="M54" s="125">
        <f>SUM(J54:L54)</f>
        <v>0</v>
      </c>
      <c r="N54" s="122"/>
      <c r="O54" s="134"/>
      <c r="P54" s="124"/>
      <c r="Q54" s="125">
        <f>SUM(N54:P54)</f>
        <v>0</v>
      </c>
      <c r="R54" s="122"/>
      <c r="S54" s="134"/>
      <c r="T54" s="135"/>
      <c r="U54" s="125">
        <f>SUM(R54:T54)</f>
        <v>0</v>
      </c>
      <c r="V54" s="122"/>
      <c r="W54" s="120"/>
      <c r="X54" s="120"/>
      <c r="Y54" s="125">
        <f>SUM(V54:X54)</f>
        <v>0</v>
      </c>
    </row>
    <row r="55" spans="1:25" x14ac:dyDescent="0.2">
      <c r="A55" s="119" t="s">
        <v>26</v>
      </c>
      <c r="B55" s="122"/>
      <c r="C55" s="134"/>
      <c r="D55" s="134"/>
      <c r="E55" s="125">
        <f>SUM(B55:D55)</f>
        <v>0</v>
      </c>
      <c r="F55" s="122"/>
      <c r="G55" s="134"/>
      <c r="H55" s="135"/>
      <c r="I55" s="125">
        <f>SUM(F55:H55)</f>
        <v>0</v>
      </c>
      <c r="J55" s="122"/>
      <c r="K55" s="134"/>
      <c r="L55" s="135"/>
      <c r="M55" s="125">
        <f>SUM(J55:L55)</f>
        <v>0</v>
      </c>
      <c r="N55" s="122"/>
      <c r="O55" s="134"/>
      <c r="P55" s="124"/>
      <c r="Q55" s="125">
        <f>SUM(N55:P55)</f>
        <v>0</v>
      </c>
      <c r="R55" s="122"/>
      <c r="S55" s="134"/>
      <c r="T55" s="135"/>
      <c r="U55" s="125">
        <f>SUM(R55:T55)</f>
        <v>0</v>
      </c>
      <c r="V55" s="122"/>
      <c r="W55" s="120"/>
      <c r="X55" s="120"/>
      <c r="Y55" s="125">
        <f>SUM(V55:X55)</f>
        <v>0</v>
      </c>
    </row>
    <row r="56" spans="1:25" x14ac:dyDescent="0.2">
      <c r="A56" s="119" t="s">
        <v>27</v>
      </c>
      <c r="B56" s="141"/>
      <c r="C56" s="134"/>
      <c r="D56" s="134"/>
      <c r="E56" s="125">
        <f>SUM(B56:D56)</f>
        <v>0</v>
      </c>
      <c r="F56" s="120"/>
      <c r="G56" s="134"/>
      <c r="H56" s="135"/>
      <c r="I56" s="128">
        <f>SUM(G56:H56)</f>
        <v>0</v>
      </c>
      <c r="J56" s="120"/>
      <c r="K56" s="134"/>
      <c r="L56" s="135"/>
      <c r="M56" s="128">
        <f>SUM(K56:L56)</f>
        <v>0</v>
      </c>
      <c r="N56" s="120"/>
      <c r="O56" s="134"/>
      <c r="P56" s="124"/>
      <c r="Q56" s="128">
        <f>SUM(O56:P56)</f>
        <v>0</v>
      </c>
      <c r="R56" s="120"/>
      <c r="S56" s="134"/>
      <c r="T56" s="135"/>
      <c r="U56" s="128">
        <f>SUM(S56:T56)</f>
        <v>0</v>
      </c>
      <c r="V56" s="120"/>
      <c r="W56" s="120"/>
      <c r="X56" s="120"/>
      <c r="Y56" s="128">
        <f>SUM(W56:X56)</f>
        <v>0</v>
      </c>
    </row>
    <row r="57" spans="1:25" x14ac:dyDescent="0.2">
      <c r="A57" s="119" t="s">
        <v>29</v>
      </c>
      <c r="B57" s="141"/>
      <c r="C57" s="134"/>
      <c r="D57" s="134"/>
      <c r="E57" s="125">
        <f>SUM(B57:D57)</f>
        <v>0</v>
      </c>
      <c r="F57" s="120"/>
      <c r="G57" s="134"/>
      <c r="H57" s="135"/>
      <c r="I57" s="128">
        <f>SUM(G57:H57)</f>
        <v>0</v>
      </c>
      <c r="J57" s="120"/>
      <c r="K57" s="134"/>
      <c r="L57" s="135"/>
      <c r="M57" s="128">
        <f>SUM(K57:L57)</f>
        <v>0</v>
      </c>
      <c r="N57" s="120"/>
      <c r="O57" s="134"/>
      <c r="P57" s="124"/>
      <c r="Q57" s="128">
        <f>SUM(O57:P57)</f>
        <v>0</v>
      </c>
      <c r="R57" s="120"/>
      <c r="S57" s="134"/>
      <c r="T57" s="135"/>
      <c r="U57" s="128">
        <f>SUM(S57:T57)</f>
        <v>0</v>
      </c>
      <c r="V57" s="120"/>
      <c r="W57" s="120"/>
      <c r="X57" s="120"/>
      <c r="Y57" s="128">
        <f>SUM(W57:X57)</f>
        <v>0</v>
      </c>
    </row>
    <row r="58" spans="1:25" s="298" customFormat="1" x14ac:dyDescent="0.2">
      <c r="A58" s="307" t="s">
        <v>72</v>
      </c>
      <c r="B58" s="130"/>
      <c r="C58" s="130"/>
      <c r="D58" s="130"/>
      <c r="E58" s="130">
        <f>SUM(E53:E57)</f>
        <v>0</v>
      </c>
      <c r="F58" s="123"/>
      <c r="G58" s="130"/>
      <c r="H58" s="130"/>
      <c r="I58" s="130">
        <f>SUM(I53:I57)</f>
        <v>0</v>
      </c>
      <c r="J58" s="123"/>
      <c r="K58" s="130"/>
      <c r="L58" s="130"/>
      <c r="M58" s="130">
        <f>SUM(M53:M57)</f>
        <v>0</v>
      </c>
      <c r="N58" s="123"/>
      <c r="O58" s="130"/>
      <c r="P58" s="130"/>
      <c r="Q58" s="130">
        <f>SUM(Q53:Q57)</f>
        <v>0</v>
      </c>
      <c r="R58" s="123"/>
      <c r="S58" s="130"/>
      <c r="T58" s="130"/>
      <c r="U58" s="130">
        <f>SUM(U53:U57)</f>
        <v>0</v>
      </c>
      <c r="V58" s="123"/>
      <c r="W58" s="130"/>
      <c r="X58" s="130"/>
      <c r="Y58" s="128">
        <f>SUM(Y53:Y57)</f>
        <v>0</v>
      </c>
    </row>
    <row r="59" spans="1:25" ht="3.95" customHeight="1" x14ac:dyDescent="0.2">
      <c r="A59" s="307"/>
      <c r="B59" s="130"/>
      <c r="C59" s="120"/>
      <c r="D59" s="120"/>
      <c r="E59" s="123"/>
      <c r="F59" s="130"/>
      <c r="G59" s="120"/>
      <c r="H59" s="131"/>
      <c r="I59" s="128" t="s">
        <v>1</v>
      </c>
      <c r="J59" s="130"/>
      <c r="K59" s="120"/>
      <c r="L59" s="131"/>
      <c r="M59" s="128" t="s">
        <v>1</v>
      </c>
      <c r="N59" s="130"/>
      <c r="O59" s="120"/>
      <c r="P59" s="131"/>
      <c r="Q59" s="128" t="s">
        <v>1</v>
      </c>
      <c r="R59" s="130"/>
      <c r="S59" s="120"/>
      <c r="T59" s="131"/>
      <c r="U59" s="128" t="s">
        <v>1</v>
      </c>
      <c r="V59" s="130"/>
      <c r="W59" s="120"/>
      <c r="X59" s="131"/>
      <c r="Y59" s="128"/>
    </row>
    <row r="60" spans="1:25" ht="17.25" customHeight="1" x14ac:dyDescent="0.2">
      <c r="A60" s="307" t="s">
        <v>71</v>
      </c>
      <c r="B60" s="130"/>
      <c r="C60" s="130"/>
      <c r="D60" s="130"/>
      <c r="E60" s="130">
        <f>E50+E58</f>
        <v>0</v>
      </c>
      <c r="F60" s="130"/>
      <c r="G60" s="128"/>
      <c r="H60" s="123"/>
      <c r="I60" s="128">
        <f>I50+I58</f>
        <v>0</v>
      </c>
      <c r="J60" s="130"/>
      <c r="K60" s="128"/>
      <c r="L60" s="123"/>
      <c r="M60" s="128">
        <f>M50+M58</f>
        <v>0</v>
      </c>
      <c r="N60" s="130"/>
      <c r="O60" s="128"/>
      <c r="P60" s="123"/>
      <c r="Q60" s="128">
        <f>Q50+Q58</f>
        <v>0</v>
      </c>
      <c r="R60" s="130"/>
      <c r="S60" s="128"/>
      <c r="T60" s="123"/>
      <c r="U60" s="128">
        <f>U50+U58</f>
        <v>0</v>
      </c>
      <c r="V60" s="130"/>
      <c r="W60" s="128"/>
      <c r="X60" s="123"/>
      <c r="Y60" s="128">
        <f>Y50+Y58</f>
        <v>0</v>
      </c>
    </row>
    <row r="61" spans="1:25" ht="17.25" customHeight="1" x14ac:dyDescent="0.2">
      <c r="A61" s="313"/>
      <c r="B61" s="138"/>
      <c r="C61" s="136"/>
      <c r="D61" s="136"/>
      <c r="E61" s="335"/>
      <c r="F61" s="138"/>
      <c r="G61" s="136"/>
      <c r="H61" s="137"/>
      <c r="I61" s="138"/>
      <c r="J61" s="138"/>
      <c r="K61" s="136"/>
      <c r="L61" s="137"/>
      <c r="M61" s="138"/>
      <c r="N61" s="138"/>
      <c r="O61" s="136"/>
      <c r="P61" s="137"/>
      <c r="Q61" s="138"/>
      <c r="R61" s="138"/>
      <c r="S61" s="136"/>
      <c r="T61" s="137"/>
      <c r="U61" s="138"/>
      <c r="V61" s="138"/>
      <c r="W61" s="136"/>
      <c r="X61" s="137"/>
      <c r="Y61" s="317"/>
    </row>
    <row r="62" spans="1:25" x14ac:dyDescent="0.2">
      <c r="A62" s="430" t="s">
        <v>73</v>
      </c>
      <c r="B62" s="336"/>
      <c r="C62" s="139"/>
      <c r="D62" s="139"/>
      <c r="E62" s="337"/>
      <c r="F62" s="140"/>
      <c r="G62" s="139"/>
      <c r="H62" s="139"/>
      <c r="I62" s="140"/>
      <c r="J62" s="140"/>
      <c r="K62" s="139"/>
      <c r="L62" s="139"/>
      <c r="M62" s="140"/>
      <c r="N62" s="140"/>
      <c r="O62" s="139"/>
      <c r="P62" s="139"/>
      <c r="Q62" s="140"/>
      <c r="R62" s="140"/>
      <c r="S62" s="139"/>
      <c r="T62" s="139"/>
      <c r="U62" s="140"/>
      <c r="V62" s="140"/>
      <c r="W62" s="139"/>
      <c r="X62" s="139"/>
      <c r="Y62" s="322"/>
    </row>
    <row r="63" spans="1:25" x14ac:dyDescent="0.2">
      <c r="A63" s="323" t="s">
        <v>74</v>
      </c>
      <c r="B63" s="120"/>
      <c r="C63" s="141"/>
      <c r="D63" s="141"/>
      <c r="E63" s="142"/>
      <c r="F63" s="140"/>
      <c r="G63" s="141"/>
      <c r="H63" s="141"/>
      <c r="I63" s="142"/>
      <c r="J63" s="120"/>
      <c r="K63" s="141"/>
      <c r="L63" s="141"/>
      <c r="M63" s="142"/>
      <c r="N63" s="120"/>
      <c r="O63" s="141"/>
      <c r="P63" s="141"/>
      <c r="Q63" s="142"/>
      <c r="R63" s="120"/>
      <c r="S63" s="141"/>
      <c r="T63" s="141"/>
      <c r="U63" s="142"/>
      <c r="V63" s="128"/>
      <c r="W63" s="135"/>
      <c r="X63" s="338"/>
      <c r="Y63" s="128"/>
    </row>
    <row r="64" spans="1:25" x14ac:dyDescent="0.2">
      <c r="A64" s="303"/>
      <c r="B64" s="120"/>
      <c r="C64" s="121"/>
      <c r="D64" s="121"/>
      <c r="E64" s="142"/>
      <c r="F64" s="120"/>
      <c r="G64" s="121"/>
      <c r="H64" s="121"/>
      <c r="I64" s="142"/>
      <c r="J64" s="120"/>
      <c r="K64" s="121"/>
      <c r="L64" s="121"/>
      <c r="M64" s="142"/>
      <c r="N64" s="120"/>
      <c r="O64" s="121"/>
      <c r="P64" s="121"/>
      <c r="Q64" s="142"/>
      <c r="R64" s="120"/>
      <c r="S64" s="121"/>
      <c r="T64" s="121"/>
      <c r="U64" s="142"/>
      <c r="V64" s="120"/>
      <c r="W64" s="121"/>
      <c r="X64" s="121"/>
      <c r="Y64" s="142"/>
    </row>
    <row r="65" spans="1:25" s="298" customFormat="1" x14ac:dyDescent="0.2">
      <c r="A65" s="305" t="s">
        <v>72</v>
      </c>
      <c r="B65" s="130">
        <f>SUM(B63:B64)</f>
        <v>0</v>
      </c>
      <c r="C65" s="130">
        <f>SUM(C63:C64)</f>
        <v>0</v>
      </c>
      <c r="D65" s="130">
        <f>SUM(D63:D64)</f>
        <v>0</v>
      </c>
      <c r="E65" s="130">
        <f>SUM(E63)</f>
        <v>0</v>
      </c>
      <c r="F65" s="130">
        <f>SUM(F63:F64)</f>
        <v>0</v>
      </c>
      <c r="G65" s="130">
        <f>SUM(G63:G64)</f>
        <v>0</v>
      </c>
      <c r="H65" s="130">
        <f>SUM(H63:H64)</f>
        <v>0</v>
      </c>
      <c r="I65" s="130">
        <f>SUM(I63)</f>
        <v>0</v>
      </c>
      <c r="J65" s="130">
        <f>SUM(J63:J64)</f>
        <v>0</v>
      </c>
      <c r="K65" s="130">
        <f>SUM(K63:K64)</f>
        <v>0</v>
      </c>
      <c r="L65" s="130">
        <f>SUM(L63:L64)</f>
        <v>0</v>
      </c>
      <c r="M65" s="130">
        <f>SUM(M63)</f>
        <v>0</v>
      </c>
      <c r="N65" s="130">
        <f>SUM(N63:N64)</f>
        <v>0</v>
      </c>
      <c r="O65" s="130">
        <f>SUM(O63:O64)</f>
        <v>0</v>
      </c>
      <c r="P65" s="130">
        <f>SUM(P63:P64)</f>
        <v>0</v>
      </c>
      <c r="Q65" s="130">
        <f>SUM(Q63)</f>
        <v>0</v>
      </c>
      <c r="R65" s="130">
        <f>SUM(R63:R64)</f>
        <v>0</v>
      </c>
      <c r="S65" s="130">
        <f>SUM(S63:S64)</f>
        <v>0</v>
      </c>
      <c r="T65" s="130">
        <f>SUM(T63:T64)</f>
        <v>0</v>
      </c>
      <c r="U65" s="130">
        <f>SUM(U63)</f>
        <v>0</v>
      </c>
      <c r="V65" s="130">
        <f>SUM(V63:V64)</f>
        <v>0</v>
      </c>
      <c r="W65" s="130">
        <f>SUM(W63:W64)</f>
        <v>0</v>
      </c>
      <c r="X65" s="130">
        <f>SUM(X63:X64)</f>
        <v>0</v>
      </c>
      <c r="Y65" s="128">
        <f>SUM(Y63)</f>
        <v>0</v>
      </c>
    </row>
    <row r="66" spans="1:25" ht="3.95" customHeight="1" x14ac:dyDescent="0.2">
      <c r="A66" s="307"/>
      <c r="B66" s="120"/>
      <c r="C66" s="120"/>
      <c r="D66" s="120"/>
      <c r="E66" s="123"/>
      <c r="F66" s="120"/>
      <c r="G66" s="120"/>
      <c r="H66" s="120"/>
      <c r="I66" s="123"/>
      <c r="J66" s="120"/>
      <c r="K66" s="120"/>
      <c r="L66" s="120"/>
      <c r="M66" s="123"/>
      <c r="N66" s="120"/>
      <c r="O66" s="120"/>
      <c r="P66" s="120"/>
      <c r="Q66" s="123"/>
      <c r="R66" s="120"/>
      <c r="S66" s="120"/>
      <c r="T66" s="120"/>
      <c r="U66" s="123"/>
      <c r="V66" s="120"/>
      <c r="W66" s="120"/>
      <c r="X66" s="120"/>
      <c r="Y66" s="123"/>
    </row>
    <row r="67" spans="1:25" s="340" customFormat="1" x14ac:dyDescent="0.2">
      <c r="A67" s="307" t="s">
        <v>75</v>
      </c>
      <c r="B67" s="143">
        <f>B65</f>
        <v>0</v>
      </c>
      <c r="C67" s="143" t="s">
        <v>24</v>
      </c>
      <c r="D67" s="143" t="s">
        <v>24</v>
      </c>
      <c r="E67" s="143" t="s">
        <v>24</v>
      </c>
      <c r="F67" s="143">
        <f>F65</f>
        <v>0</v>
      </c>
      <c r="G67" s="143" t="s">
        <v>24</v>
      </c>
      <c r="H67" s="143" t="s">
        <v>24</v>
      </c>
      <c r="I67" s="143" t="s">
        <v>24</v>
      </c>
      <c r="J67" s="143">
        <f>J65</f>
        <v>0</v>
      </c>
      <c r="K67" s="143" t="s">
        <v>24</v>
      </c>
      <c r="L67" s="143" t="s">
        <v>24</v>
      </c>
      <c r="M67" s="143" t="s">
        <v>24</v>
      </c>
      <c r="N67" s="143">
        <f>N65</f>
        <v>0</v>
      </c>
      <c r="O67" s="143" t="s">
        <v>24</v>
      </c>
      <c r="P67" s="143" t="s">
        <v>24</v>
      </c>
      <c r="Q67" s="143" t="s">
        <v>24</v>
      </c>
      <c r="R67" s="143">
        <f>R65</f>
        <v>0</v>
      </c>
      <c r="S67" s="143" t="s">
        <v>24</v>
      </c>
      <c r="T67" s="143" t="s">
        <v>24</v>
      </c>
      <c r="U67" s="143" t="s">
        <v>24</v>
      </c>
      <c r="V67" s="143">
        <f>V65</f>
        <v>0</v>
      </c>
      <c r="W67" s="143" t="s">
        <v>24</v>
      </c>
      <c r="X67" s="143" t="s">
        <v>24</v>
      </c>
      <c r="Y67" s="339" t="s">
        <v>24</v>
      </c>
    </row>
    <row r="68" spans="1:25" s="214" customFormat="1" x14ac:dyDescent="0.2">
      <c r="A68" s="144"/>
      <c r="B68" s="341"/>
      <c r="C68" s="341"/>
      <c r="D68" s="341"/>
      <c r="E68" s="342"/>
      <c r="F68" s="343"/>
      <c r="G68" s="344"/>
      <c r="H68" s="345"/>
      <c r="I68" s="343"/>
      <c r="J68" s="343"/>
      <c r="K68" s="344"/>
      <c r="L68" s="345"/>
      <c r="M68" s="343"/>
      <c r="N68" s="343"/>
      <c r="O68" s="344"/>
      <c r="P68" s="345"/>
      <c r="Q68" s="343"/>
      <c r="R68" s="343"/>
      <c r="S68" s="344"/>
      <c r="T68" s="345"/>
      <c r="U68" s="343"/>
      <c r="V68" s="343"/>
      <c r="W68" s="344"/>
      <c r="X68" s="345"/>
      <c r="Y68" s="343"/>
    </row>
    <row r="69" spans="1:25" x14ac:dyDescent="0.2">
      <c r="A69" s="144"/>
      <c r="B69" s="330"/>
      <c r="C69" s="332"/>
      <c r="D69" s="332"/>
      <c r="E69" s="332"/>
      <c r="F69" s="330"/>
      <c r="G69" s="332"/>
      <c r="H69" s="332"/>
      <c r="I69" s="330"/>
      <c r="J69" s="330"/>
      <c r="K69" s="332"/>
      <c r="L69" s="332"/>
      <c r="M69" s="330"/>
      <c r="N69" s="330"/>
      <c r="O69" s="332"/>
      <c r="P69" s="332"/>
      <c r="Q69" s="330"/>
      <c r="R69" s="330"/>
      <c r="S69" s="332"/>
      <c r="T69" s="332"/>
      <c r="U69" s="330"/>
      <c r="V69" s="330"/>
      <c r="W69" s="332"/>
      <c r="X69" s="332"/>
      <c r="Y69" s="330"/>
    </row>
    <row r="70" spans="1:25" x14ac:dyDescent="0.2">
      <c r="A70" s="330"/>
      <c r="B70" s="330"/>
      <c r="C70" s="332"/>
      <c r="D70" s="332"/>
      <c r="E70" s="332"/>
      <c r="F70" s="330"/>
      <c r="G70" s="332"/>
      <c r="H70" s="332"/>
      <c r="I70" s="330"/>
      <c r="J70" s="330"/>
      <c r="K70" s="332"/>
      <c r="L70" s="332"/>
      <c r="M70" s="330"/>
      <c r="N70" s="330"/>
      <c r="O70" s="332"/>
      <c r="P70" s="332"/>
      <c r="Q70" s="330"/>
      <c r="R70" s="330"/>
      <c r="S70" s="332"/>
      <c r="T70" s="332"/>
      <c r="U70" s="330"/>
      <c r="V70" s="330"/>
      <c r="W70" s="332"/>
      <c r="X70" s="332"/>
      <c r="Y70" s="330"/>
    </row>
    <row r="71" spans="1:25" x14ac:dyDescent="0.2">
      <c r="A71" s="330"/>
      <c r="B71" s="330"/>
      <c r="C71" s="332"/>
      <c r="D71" s="332"/>
      <c r="E71" s="332"/>
      <c r="F71" s="330"/>
      <c r="G71" s="332"/>
      <c r="H71" s="332"/>
      <c r="I71" s="330"/>
      <c r="J71" s="330"/>
      <c r="K71" s="332"/>
      <c r="L71" s="332"/>
      <c r="M71" s="330"/>
      <c r="N71" s="330"/>
      <c r="O71" s="332"/>
      <c r="P71" s="332"/>
      <c r="Q71" s="330"/>
      <c r="R71" s="330"/>
      <c r="S71" s="332"/>
      <c r="T71" s="332"/>
      <c r="U71" s="330"/>
      <c r="V71" s="330"/>
      <c r="W71" s="332"/>
      <c r="X71" s="332"/>
      <c r="Y71" s="330"/>
    </row>
    <row r="72" spans="1:25" x14ac:dyDescent="0.2">
      <c r="A72" s="330"/>
      <c r="B72" s="330"/>
      <c r="D72" s="332"/>
      <c r="G72" s="332"/>
      <c r="I72" s="330"/>
      <c r="K72" s="332"/>
      <c r="M72" s="330"/>
      <c r="N72" s="148"/>
      <c r="O72" s="332"/>
      <c r="P72" s="332"/>
      <c r="Q72" s="148"/>
      <c r="R72" s="148"/>
      <c r="S72" s="332"/>
      <c r="T72" s="332"/>
      <c r="U72" s="148"/>
      <c r="V72" s="148"/>
      <c r="W72" s="332"/>
      <c r="X72" s="332"/>
      <c r="Y72" s="148"/>
    </row>
    <row r="74" spans="1:25" x14ac:dyDescent="0.2">
      <c r="A74" s="330"/>
      <c r="B74" s="330"/>
      <c r="D74" s="332"/>
      <c r="G74" s="332"/>
      <c r="I74" s="330"/>
      <c r="K74" s="332"/>
      <c r="M74" s="330"/>
      <c r="N74" s="148"/>
      <c r="O74" s="332"/>
      <c r="P74" s="332"/>
      <c r="Q74" s="148"/>
      <c r="R74" s="148"/>
      <c r="S74" s="332"/>
      <c r="T74" s="332"/>
      <c r="U74" s="148"/>
      <c r="V74" s="148"/>
      <c r="W74" s="332"/>
      <c r="X74" s="332"/>
      <c r="Y74" s="148"/>
    </row>
    <row r="75" spans="1:25" x14ac:dyDescent="0.2">
      <c r="A75" s="330"/>
      <c r="B75" s="330"/>
      <c r="D75" s="332"/>
      <c r="G75" s="332"/>
      <c r="I75" s="330"/>
      <c r="K75" s="332"/>
      <c r="M75" s="330"/>
    </row>
    <row r="76" spans="1:25" x14ac:dyDescent="0.2">
      <c r="A76" s="330"/>
      <c r="B76" s="330"/>
      <c r="D76" s="332"/>
      <c r="F76" s="346"/>
      <c r="I76" s="346"/>
      <c r="J76" s="346"/>
      <c r="M76" s="346"/>
      <c r="N76" s="346"/>
      <c r="Q76" s="346"/>
      <c r="R76" s="346"/>
      <c r="U76" s="346"/>
      <c r="V76" s="346"/>
      <c r="Y76" s="346"/>
    </row>
    <row r="77" spans="1:25" x14ac:dyDescent="0.2">
      <c r="A77" s="330"/>
      <c r="B77" s="330"/>
      <c r="D77" s="332"/>
      <c r="G77" s="332"/>
      <c r="I77" s="330"/>
      <c r="K77" s="332"/>
      <c r="M77" s="330"/>
      <c r="N77" s="148"/>
      <c r="O77" s="332"/>
      <c r="P77" s="332"/>
      <c r="Q77" s="148"/>
      <c r="R77" s="148"/>
      <c r="S77" s="332"/>
      <c r="T77" s="332"/>
      <c r="U77" s="148"/>
      <c r="V77" s="148"/>
      <c r="W77" s="332"/>
      <c r="X77" s="332"/>
      <c r="Y77" s="148"/>
    </row>
    <row r="78" spans="1:25" x14ac:dyDescent="0.2">
      <c r="A78" s="346"/>
      <c r="B78" s="346"/>
      <c r="F78" s="346"/>
      <c r="I78" s="346"/>
      <c r="J78" s="346"/>
      <c r="M78" s="346"/>
      <c r="N78" s="346"/>
      <c r="Q78" s="346"/>
      <c r="R78" s="346"/>
      <c r="U78" s="346"/>
      <c r="V78" s="346"/>
      <c r="Y78" s="346"/>
    </row>
    <row r="79" spans="1:25" x14ac:dyDescent="0.2">
      <c r="A79" s="346"/>
      <c r="B79" s="346"/>
      <c r="F79" s="346"/>
      <c r="I79" s="346"/>
      <c r="J79" s="346"/>
      <c r="M79" s="346"/>
      <c r="N79" s="346"/>
      <c r="Q79" s="346"/>
      <c r="R79" s="346"/>
      <c r="U79" s="346"/>
      <c r="V79" s="346"/>
      <c r="Y79" s="346"/>
    </row>
    <row r="80" spans="1:25" x14ac:dyDescent="0.2">
      <c r="A80" s="346"/>
      <c r="B80" s="346"/>
      <c r="F80" s="346"/>
      <c r="I80" s="346"/>
      <c r="J80" s="346"/>
      <c r="M80" s="346"/>
      <c r="N80" s="346"/>
      <c r="Q80" s="346"/>
      <c r="R80" s="346"/>
      <c r="U80" s="346"/>
      <c r="V80" s="346"/>
      <c r="Y80" s="346"/>
    </row>
    <row r="81" spans="1:25" x14ac:dyDescent="0.2">
      <c r="A81" s="346"/>
      <c r="B81" s="346"/>
      <c r="F81" s="346"/>
      <c r="I81" s="346"/>
      <c r="J81" s="346"/>
      <c r="M81" s="346"/>
      <c r="N81" s="346"/>
      <c r="Q81" s="346"/>
      <c r="R81" s="346"/>
      <c r="U81" s="346"/>
      <c r="V81" s="346"/>
      <c r="Y81" s="346"/>
    </row>
  </sheetData>
  <sheetProtection password="C511" sheet="1" objects="1" scenarios="1"/>
  <mergeCells count="12">
    <mergeCell ref="V36:Y36"/>
    <mergeCell ref="B3:E3"/>
    <mergeCell ref="F3:I3"/>
    <mergeCell ref="J3:M3"/>
    <mergeCell ref="N3:Q3"/>
    <mergeCell ref="R3:U3"/>
    <mergeCell ref="V3:Y3"/>
    <mergeCell ref="B36:E36"/>
    <mergeCell ref="F36:I36"/>
    <mergeCell ref="J36:M36"/>
    <mergeCell ref="N36:Q36"/>
    <mergeCell ref="R36:U36"/>
  </mergeCells>
  <printOptions horizontalCentered="1"/>
  <pageMargins left="0.7" right="0.7" top="0.89333333333333298" bottom="0.75" header="0.3" footer="0.3"/>
  <pageSetup scale="43" orientation="landscape" r:id="rId1"/>
  <headerFooter>
    <oddHeader>&amp;C&amp;"Arial,Bold"&amp;K000000Table I-2
Pacific Gas and Electtric Company
Program Subscription Statistics
June 2012</oddHeader>
    <oddFooter>&amp;L&amp;F&amp;CPage 6 of 9&amp;R&amp;A</oddFooter>
  </headerFooter>
  <ignoredErrors>
    <ignoredError sqref="B6:F6 B17:Y18 B7:F7 Y7 B32:Y32 B31:D31 B65:D65 B5:E5 I5 I6 B8:F14 I8 I7 B25:Y25 B19:F19 I19:J19 B20:F23 I20:J23 B24:F24 I24:J24 B30:Y30 C29:E29 G29:I29 K29:N29 I15 I10 M10:N10 I9 M9:N9 I11 M11:N11 I12 M12:N12 I13:I14 M13:N14 M7:N7 M8:N8 M5 M6:N6 M15:N15 B16:F16 N16 Q9:R9 Q5:R5 Q10:R10 Q11:R11 Q12:R12 Q13:R14 Q7:R7 Q8:R8 Q6:R6 Q15:R15 Q16:R16 M19:N19 M20:N23 M24:N24 Q19:R19 Q20:R23 Q24:R24 P29:Q29 U5:V5 U9:V9 U10:V10 U11:V11 U12:V12 U13:V14 U8:V8 U6:V6 U15:V15 U16:V16 U19:V19 U21:V23 U24:V24 B27:Y28 B26 M26:N26 Q26:R26 E26:F26 I26:J26 U26:V26 B34:Y57 B33:Q33 S33:Y33 S29:U29 B15:F15 Y8 Y5 Y9 Y10 Y11 Y12 Y13:Y14 Y6 Y15 Y16 U20 Y19 Y20:Y24 W29:Y29" emptyCellReference="1"/>
    <ignoredError sqref="U7 R31:T31 V31:Y31 E31:P31 Q31 U31 E65:Y65" formula="1" emptyCellReference="1"/>
    <ignoredError sqref="X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view="pageLayout" topLeftCell="B1" zoomScaleNormal="100" workbookViewId="0">
      <selection activeCell="B5" sqref="B5"/>
    </sheetView>
  </sheetViews>
  <sheetFormatPr defaultRowHeight="12.75" x14ac:dyDescent="0.2"/>
  <cols>
    <col min="1" max="1" width="0" style="145" hidden="1" customWidth="1"/>
    <col min="2" max="2" width="52" style="145" customWidth="1"/>
    <col min="3" max="3" width="17.7109375" style="267" hidden="1" customWidth="1"/>
    <col min="4" max="5" width="10.5703125" style="148" customWidth="1"/>
    <col min="6" max="6" width="10.5703125" style="145" customWidth="1"/>
    <col min="7" max="7" width="11.85546875" style="145" customWidth="1"/>
    <col min="8" max="15" width="10.5703125" style="145" customWidth="1"/>
    <col min="16" max="17" width="14.28515625" style="145" customWidth="1"/>
    <col min="18" max="18" width="13.140625" style="145" customWidth="1"/>
    <col min="19" max="19" width="14.42578125" style="145" hidden="1" customWidth="1"/>
    <col min="20" max="20" width="9.7109375" style="145" customWidth="1"/>
    <col min="21" max="256" width="9.140625" style="145"/>
    <col min="257" max="257" width="0" style="145" hidden="1" customWidth="1"/>
    <col min="258" max="258" width="52" style="145" customWidth="1"/>
    <col min="259" max="259" width="0" style="145" hidden="1" customWidth="1"/>
    <col min="260" max="262" width="10.5703125" style="145" customWidth="1"/>
    <col min="263" max="263" width="11.85546875" style="145" customWidth="1"/>
    <col min="264" max="271" width="10.5703125" style="145" customWidth="1"/>
    <col min="272" max="273" width="14.28515625" style="145" customWidth="1"/>
    <col min="274" max="274" width="13.140625" style="145" customWidth="1"/>
    <col min="275" max="275" width="14.42578125" style="145" customWidth="1"/>
    <col min="276" max="276" width="9.7109375" style="145" customWidth="1"/>
    <col min="277" max="512" width="9.140625" style="145"/>
    <col min="513" max="513" width="0" style="145" hidden="1" customWidth="1"/>
    <col min="514" max="514" width="52" style="145" customWidth="1"/>
    <col min="515" max="515" width="0" style="145" hidden="1" customWidth="1"/>
    <col min="516" max="518" width="10.5703125" style="145" customWidth="1"/>
    <col min="519" max="519" width="11.85546875" style="145" customWidth="1"/>
    <col min="520" max="527" width="10.5703125" style="145" customWidth="1"/>
    <col min="528" max="529" width="14.28515625" style="145" customWidth="1"/>
    <col min="530" max="530" width="13.140625" style="145" customWidth="1"/>
    <col min="531" max="531" width="14.42578125" style="145" customWidth="1"/>
    <col min="532" max="532" width="9.7109375" style="145" customWidth="1"/>
    <col min="533" max="768" width="9.140625" style="145"/>
    <col min="769" max="769" width="0" style="145" hidden="1" customWidth="1"/>
    <col min="770" max="770" width="52" style="145" customWidth="1"/>
    <col min="771" max="771" width="0" style="145" hidden="1" customWidth="1"/>
    <col min="772" max="774" width="10.5703125" style="145" customWidth="1"/>
    <col min="775" max="775" width="11.85546875" style="145" customWidth="1"/>
    <col min="776" max="783" width="10.5703125" style="145" customWidth="1"/>
    <col min="784" max="785" width="14.28515625" style="145" customWidth="1"/>
    <col min="786" max="786" width="13.140625" style="145" customWidth="1"/>
    <col min="787" max="787" width="14.42578125" style="145" customWidth="1"/>
    <col min="788" max="788" width="9.7109375" style="145" customWidth="1"/>
    <col min="789" max="1024" width="9.140625" style="145"/>
    <col min="1025" max="1025" width="0" style="145" hidden="1" customWidth="1"/>
    <col min="1026" max="1026" width="52" style="145" customWidth="1"/>
    <col min="1027" max="1027" width="0" style="145" hidden="1" customWidth="1"/>
    <col min="1028" max="1030" width="10.5703125" style="145" customWidth="1"/>
    <col min="1031" max="1031" width="11.85546875" style="145" customWidth="1"/>
    <col min="1032" max="1039" width="10.5703125" style="145" customWidth="1"/>
    <col min="1040" max="1041" width="14.28515625" style="145" customWidth="1"/>
    <col min="1042" max="1042" width="13.140625" style="145" customWidth="1"/>
    <col min="1043" max="1043" width="14.42578125" style="145" customWidth="1"/>
    <col min="1044" max="1044" width="9.7109375" style="145" customWidth="1"/>
    <col min="1045" max="1280" width="9.140625" style="145"/>
    <col min="1281" max="1281" width="0" style="145" hidden="1" customWidth="1"/>
    <col min="1282" max="1282" width="52" style="145" customWidth="1"/>
    <col min="1283" max="1283" width="0" style="145" hidden="1" customWidth="1"/>
    <col min="1284" max="1286" width="10.5703125" style="145" customWidth="1"/>
    <col min="1287" max="1287" width="11.85546875" style="145" customWidth="1"/>
    <col min="1288" max="1295" width="10.5703125" style="145" customWidth="1"/>
    <col min="1296" max="1297" width="14.28515625" style="145" customWidth="1"/>
    <col min="1298" max="1298" width="13.140625" style="145" customWidth="1"/>
    <col min="1299" max="1299" width="14.42578125" style="145" customWidth="1"/>
    <col min="1300" max="1300" width="9.7109375" style="145" customWidth="1"/>
    <col min="1301" max="1536" width="9.140625" style="145"/>
    <col min="1537" max="1537" width="0" style="145" hidden="1" customWidth="1"/>
    <col min="1538" max="1538" width="52" style="145" customWidth="1"/>
    <col min="1539" max="1539" width="0" style="145" hidden="1" customWidth="1"/>
    <col min="1540" max="1542" width="10.5703125" style="145" customWidth="1"/>
    <col min="1543" max="1543" width="11.85546875" style="145" customWidth="1"/>
    <col min="1544" max="1551" width="10.5703125" style="145" customWidth="1"/>
    <col min="1552" max="1553" width="14.28515625" style="145" customWidth="1"/>
    <col min="1554" max="1554" width="13.140625" style="145" customWidth="1"/>
    <col min="1555" max="1555" width="14.42578125" style="145" customWidth="1"/>
    <col min="1556" max="1556" width="9.7109375" style="145" customWidth="1"/>
    <col min="1557" max="1792" width="9.140625" style="145"/>
    <col min="1793" max="1793" width="0" style="145" hidden="1" customWidth="1"/>
    <col min="1794" max="1794" width="52" style="145" customWidth="1"/>
    <col min="1795" max="1795" width="0" style="145" hidden="1" customWidth="1"/>
    <col min="1796" max="1798" width="10.5703125" style="145" customWidth="1"/>
    <col min="1799" max="1799" width="11.85546875" style="145" customWidth="1"/>
    <col min="1800" max="1807" width="10.5703125" style="145" customWidth="1"/>
    <col min="1808" max="1809" width="14.28515625" style="145" customWidth="1"/>
    <col min="1810" max="1810" width="13.140625" style="145" customWidth="1"/>
    <col min="1811" max="1811" width="14.42578125" style="145" customWidth="1"/>
    <col min="1812" max="1812" width="9.7109375" style="145" customWidth="1"/>
    <col min="1813" max="2048" width="9.140625" style="145"/>
    <col min="2049" max="2049" width="0" style="145" hidden="1" customWidth="1"/>
    <col min="2050" max="2050" width="52" style="145" customWidth="1"/>
    <col min="2051" max="2051" width="0" style="145" hidden="1" customWidth="1"/>
    <col min="2052" max="2054" width="10.5703125" style="145" customWidth="1"/>
    <col min="2055" max="2055" width="11.85546875" style="145" customWidth="1"/>
    <col min="2056" max="2063" width="10.5703125" style="145" customWidth="1"/>
    <col min="2064" max="2065" width="14.28515625" style="145" customWidth="1"/>
    <col min="2066" max="2066" width="13.140625" style="145" customWidth="1"/>
    <col min="2067" max="2067" width="14.42578125" style="145" customWidth="1"/>
    <col min="2068" max="2068" width="9.7109375" style="145" customWidth="1"/>
    <col min="2069" max="2304" width="9.140625" style="145"/>
    <col min="2305" max="2305" width="0" style="145" hidden="1" customWidth="1"/>
    <col min="2306" max="2306" width="52" style="145" customWidth="1"/>
    <col min="2307" max="2307" width="0" style="145" hidden="1" customWidth="1"/>
    <col min="2308" max="2310" width="10.5703125" style="145" customWidth="1"/>
    <col min="2311" max="2311" width="11.85546875" style="145" customWidth="1"/>
    <col min="2312" max="2319" width="10.5703125" style="145" customWidth="1"/>
    <col min="2320" max="2321" width="14.28515625" style="145" customWidth="1"/>
    <col min="2322" max="2322" width="13.140625" style="145" customWidth="1"/>
    <col min="2323" max="2323" width="14.42578125" style="145" customWidth="1"/>
    <col min="2324" max="2324" width="9.7109375" style="145" customWidth="1"/>
    <col min="2325" max="2560" width="9.140625" style="145"/>
    <col min="2561" max="2561" width="0" style="145" hidden="1" customWidth="1"/>
    <col min="2562" max="2562" width="52" style="145" customWidth="1"/>
    <col min="2563" max="2563" width="0" style="145" hidden="1" customWidth="1"/>
    <col min="2564" max="2566" width="10.5703125" style="145" customWidth="1"/>
    <col min="2567" max="2567" width="11.85546875" style="145" customWidth="1"/>
    <col min="2568" max="2575" width="10.5703125" style="145" customWidth="1"/>
    <col min="2576" max="2577" width="14.28515625" style="145" customWidth="1"/>
    <col min="2578" max="2578" width="13.140625" style="145" customWidth="1"/>
    <col min="2579" max="2579" width="14.42578125" style="145" customWidth="1"/>
    <col min="2580" max="2580" width="9.7109375" style="145" customWidth="1"/>
    <col min="2581" max="2816" width="9.140625" style="145"/>
    <col min="2817" max="2817" width="0" style="145" hidden="1" customWidth="1"/>
    <col min="2818" max="2818" width="52" style="145" customWidth="1"/>
    <col min="2819" max="2819" width="0" style="145" hidden="1" customWidth="1"/>
    <col min="2820" max="2822" width="10.5703125" style="145" customWidth="1"/>
    <col min="2823" max="2823" width="11.85546875" style="145" customWidth="1"/>
    <col min="2824" max="2831" width="10.5703125" style="145" customWidth="1"/>
    <col min="2832" max="2833" width="14.28515625" style="145" customWidth="1"/>
    <col min="2834" max="2834" width="13.140625" style="145" customWidth="1"/>
    <col min="2835" max="2835" width="14.42578125" style="145" customWidth="1"/>
    <col min="2836" max="2836" width="9.7109375" style="145" customWidth="1"/>
    <col min="2837" max="3072" width="9.140625" style="145"/>
    <col min="3073" max="3073" width="0" style="145" hidden="1" customWidth="1"/>
    <col min="3074" max="3074" width="52" style="145" customWidth="1"/>
    <col min="3075" max="3075" width="0" style="145" hidden="1" customWidth="1"/>
    <col min="3076" max="3078" width="10.5703125" style="145" customWidth="1"/>
    <col min="3079" max="3079" width="11.85546875" style="145" customWidth="1"/>
    <col min="3080" max="3087" width="10.5703125" style="145" customWidth="1"/>
    <col min="3088" max="3089" width="14.28515625" style="145" customWidth="1"/>
    <col min="3090" max="3090" width="13.140625" style="145" customWidth="1"/>
    <col min="3091" max="3091" width="14.42578125" style="145" customWidth="1"/>
    <col min="3092" max="3092" width="9.7109375" style="145" customWidth="1"/>
    <col min="3093" max="3328" width="9.140625" style="145"/>
    <col min="3329" max="3329" width="0" style="145" hidden="1" customWidth="1"/>
    <col min="3330" max="3330" width="52" style="145" customWidth="1"/>
    <col min="3331" max="3331" width="0" style="145" hidden="1" customWidth="1"/>
    <col min="3332" max="3334" width="10.5703125" style="145" customWidth="1"/>
    <col min="3335" max="3335" width="11.85546875" style="145" customWidth="1"/>
    <col min="3336" max="3343" width="10.5703125" style="145" customWidth="1"/>
    <col min="3344" max="3345" width="14.28515625" style="145" customWidth="1"/>
    <col min="3346" max="3346" width="13.140625" style="145" customWidth="1"/>
    <col min="3347" max="3347" width="14.42578125" style="145" customWidth="1"/>
    <col min="3348" max="3348" width="9.7109375" style="145" customWidth="1"/>
    <col min="3349" max="3584" width="9.140625" style="145"/>
    <col min="3585" max="3585" width="0" style="145" hidden="1" customWidth="1"/>
    <col min="3586" max="3586" width="52" style="145" customWidth="1"/>
    <col min="3587" max="3587" width="0" style="145" hidden="1" customWidth="1"/>
    <col min="3588" max="3590" width="10.5703125" style="145" customWidth="1"/>
    <col min="3591" max="3591" width="11.85546875" style="145" customWidth="1"/>
    <col min="3592" max="3599" width="10.5703125" style="145" customWidth="1"/>
    <col min="3600" max="3601" width="14.28515625" style="145" customWidth="1"/>
    <col min="3602" max="3602" width="13.140625" style="145" customWidth="1"/>
    <col min="3603" max="3603" width="14.42578125" style="145" customWidth="1"/>
    <col min="3604" max="3604" width="9.7109375" style="145" customWidth="1"/>
    <col min="3605" max="3840" width="9.140625" style="145"/>
    <col min="3841" max="3841" width="0" style="145" hidden="1" customWidth="1"/>
    <col min="3842" max="3842" width="52" style="145" customWidth="1"/>
    <col min="3843" max="3843" width="0" style="145" hidden="1" customWidth="1"/>
    <col min="3844" max="3846" width="10.5703125" style="145" customWidth="1"/>
    <col min="3847" max="3847" width="11.85546875" style="145" customWidth="1"/>
    <col min="3848" max="3855" width="10.5703125" style="145" customWidth="1"/>
    <col min="3856" max="3857" width="14.28515625" style="145" customWidth="1"/>
    <col min="3858" max="3858" width="13.140625" style="145" customWidth="1"/>
    <col min="3859" max="3859" width="14.42578125" style="145" customWidth="1"/>
    <col min="3860" max="3860" width="9.7109375" style="145" customWidth="1"/>
    <col min="3861" max="4096" width="9.140625" style="145"/>
    <col min="4097" max="4097" width="0" style="145" hidden="1" customWidth="1"/>
    <col min="4098" max="4098" width="52" style="145" customWidth="1"/>
    <col min="4099" max="4099" width="0" style="145" hidden="1" customWidth="1"/>
    <col min="4100" max="4102" width="10.5703125" style="145" customWidth="1"/>
    <col min="4103" max="4103" width="11.85546875" style="145" customWidth="1"/>
    <col min="4104" max="4111" width="10.5703125" style="145" customWidth="1"/>
    <col min="4112" max="4113" width="14.28515625" style="145" customWidth="1"/>
    <col min="4114" max="4114" width="13.140625" style="145" customWidth="1"/>
    <col min="4115" max="4115" width="14.42578125" style="145" customWidth="1"/>
    <col min="4116" max="4116" width="9.7109375" style="145" customWidth="1"/>
    <col min="4117" max="4352" width="9.140625" style="145"/>
    <col min="4353" max="4353" width="0" style="145" hidden="1" customWidth="1"/>
    <col min="4354" max="4354" width="52" style="145" customWidth="1"/>
    <col min="4355" max="4355" width="0" style="145" hidden="1" customWidth="1"/>
    <col min="4356" max="4358" width="10.5703125" style="145" customWidth="1"/>
    <col min="4359" max="4359" width="11.85546875" style="145" customWidth="1"/>
    <col min="4360" max="4367" width="10.5703125" style="145" customWidth="1"/>
    <col min="4368" max="4369" width="14.28515625" style="145" customWidth="1"/>
    <col min="4370" max="4370" width="13.140625" style="145" customWidth="1"/>
    <col min="4371" max="4371" width="14.42578125" style="145" customWidth="1"/>
    <col min="4372" max="4372" width="9.7109375" style="145" customWidth="1"/>
    <col min="4373" max="4608" width="9.140625" style="145"/>
    <col min="4609" max="4609" width="0" style="145" hidden="1" customWidth="1"/>
    <col min="4610" max="4610" width="52" style="145" customWidth="1"/>
    <col min="4611" max="4611" width="0" style="145" hidden="1" customWidth="1"/>
    <col min="4612" max="4614" width="10.5703125" style="145" customWidth="1"/>
    <col min="4615" max="4615" width="11.85546875" style="145" customWidth="1"/>
    <col min="4616" max="4623" width="10.5703125" style="145" customWidth="1"/>
    <col min="4624" max="4625" width="14.28515625" style="145" customWidth="1"/>
    <col min="4626" max="4626" width="13.140625" style="145" customWidth="1"/>
    <col min="4627" max="4627" width="14.42578125" style="145" customWidth="1"/>
    <col min="4628" max="4628" width="9.7109375" style="145" customWidth="1"/>
    <col min="4629" max="4864" width="9.140625" style="145"/>
    <col min="4865" max="4865" width="0" style="145" hidden="1" customWidth="1"/>
    <col min="4866" max="4866" width="52" style="145" customWidth="1"/>
    <col min="4867" max="4867" width="0" style="145" hidden="1" customWidth="1"/>
    <col min="4868" max="4870" width="10.5703125" style="145" customWidth="1"/>
    <col min="4871" max="4871" width="11.85546875" style="145" customWidth="1"/>
    <col min="4872" max="4879" width="10.5703125" style="145" customWidth="1"/>
    <col min="4880" max="4881" width="14.28515625" style="145" customWidth="1"/>
    <col min="4882" max="4882" width="13.140625" style="145" customWidth="1"/>
    <col min="4883" max="4883" width="14.42578125" style="145" customWidth="1"/>
    <col min="4884" max="4884" width="9.7109375" style="145" customWidth="1"/>
    <col min="4885" max="5120" width="9.140625" style="145"/>
    <col min="5121" max="5121" width="0" style="145" hidden="1" customWidth="1"/>
    <col min="5122" max="5122" width="52" style="145" customWidth="1"/>
    <col min="5123" max="5123" width="0" style="145" hidden="1" customWidth="1"/>
    <col min="5124" max="5126" width="10.5703125" style="145" customWidth="1"/>
    <col min="5127" max="5127" width="11.85546875" style="145" customWidth="1"/>
    <col min="5128" max="5135" width="10.5703125" style="145" customWidth="1"/>
    <col min="5136" max="5137" width="14.28515625" style="145" customWidth="1"/>
    <col min="5138" max="5138" width="13.140625" style="145" customWidth="1"/>
    <col min="5139" max="5139" width="14.42578125" style="145" customWidth="1"/>
    <col min="5140" max="5140" width="9.7109375" style="145" customWidth="1"/>
    <col min="5141" max="5376" width="9.140625" style="145"/>
    <col min="5377" max="5377" width="0" style="145" hidden="1" customWidth="1"/>
    <col min="5378" max="5378" width="52" style="145" customWidth="1"/>
    <col min="5379" max="5379" width="0" style="145" hidden="1" customWidth="1"/>
    <col min="5380" max="5382" width="10.5703125" style="145" customWidth="1"/>
    <col min="5383" max="5383" width="11.85546875" style="145" customWidth="1"/>
    <col min="5384" max="5391" width="10.5703125" style="145" customWidth="1"/>
    <col min="5392" max="5393" width="14.28515625" style="145" customWidth="1"/>
    <col min="5394" max="5394" width="13.140625" style="145" customWidth="1"/>
    <col min="5395" max="5395" width="14.42578125" style="145" customWidth="1"/>
    <col min="5396" max="5396" width="9.7109375" style="145" customWidth="1"/>
    <col min="5397" max="5632" width="9.140625" style="145"/>
    <col min="5633" max="5633" width="0" style="145" hidden="1" customWidth="1"/>
    <col min="5634" max="5634" width="52" style="145" customWidth="1"/>
    <col min="5635" max="5635" width="0" style="145" hidden="1" customWidth="1"/>
    <col min="5636" max="5638" width="10.5703125" style="145" customWidth="1"/>
    <col min="5639" max="5639" width="11.85546875" style="145" customWidth="1"/>
    <col min="5640" max="5647" width="10.5703125" style="145" customWidth="1"/>
    <col min="5648" max="5649" width="14.28515625" style="145" customWidth="1"/>
    <col min="5650" max="5650" width="13.140625" style="145" customWidth="1"/>
    <col min="5651" max="5651" width="14.42578125" style="145" customWidth="1"/>
    <col min="5652" max="5652" width="9.7109375" style="145" customWidth="1"/>
    <col min="5653" max="5888" width="9.140625" style="145"/>
    <col min="5889" max="5889" width="0" style="145" hidden="1" customWidth="1"/>
    <col min="5890" max="5890" width="52" style="145" customWidth="1"/>
    <col min="5891" max="5891" width="0" style="145" hidden="1" customWidth="1"/>
    <col min="5892" max="5894" width="10.5703125" style="145" customWidth="1"/>
    <col min="5895" max="5895" width="11.85546875" style="145" customWidth="1"/>
    <col min="5896" max="5903" width="10.5703125" style="145" customWidth="1"/>
    <col min="5904" max="5905" width="14.28515625" style="145" customWidth="1"/>
    <col min="5906" max="5906" width="13.140625" style="145" customWidth="1"/>
    <col min="5907" max="5907" width="14.42578125" style="145" customWidth="1"/>
    <col min="5908" max="5908" width="9.7109375" style="145" customWidth="1"/>
    <col min="5909" max="6144" width="9.140625" style="145"/>
    <col min="6145" max="6145" width="0" style="145" hidden="1" customWidth="1"/>
    <col min="6146" max="6146" width="52" style="145" customWidth="1"/>
    <col min="6147" max="6147" width="0" style="145" hidden="1" customWidth="1"/>
    <col min="6148" max="6150" width="10.5703125" style="145" customWidth="1"/>
    <col min="6151" max="6151" width="11.85546875" style="145" customWidth="1"/>
    <col min="6152" max="6159" width="10.5703125" style="145" customWidth="1"/>
    <col min="6160" max="6161" width="14.28515625" style="145" customWidth="1"/>
    <col min="6162" max="6162" width="13.140625" style="145" customWidth="1"/>
    <col min="6163" max="6163" width="14.42578125" style="145" customWidth="1"/>
    <col min="6164" max="6164" width="9.7109375" style="145" customWidth="1"/>
    <col min="6165" max="6400" width="9.140625" style="145"/>
    <col min="6401" max="6401" width="0" style="145" hidden="1" customWidth="1"/>
    <col min="6402" max="6402" width="52" style="145" customWidth="1"/>
    <col min="6403" max="6403" width="0" style="145" hidden="1" customWidth="1"/>
    <col min="6404" max="6406" width="10.5703125" style="145" customWidth="1"/>
    <col min="6407" max="6407" width="11.85546875" style="145" customWidth="1"/>
    <col min="6408" max="6415" width="10.5703125" style="145" customWidth="1"/>
    <col min="6416" max="6417" width="14.28515625" style="145" customWidth="1"/>
    <col min="6418" max="6418" width="13.140625" style="145" customWidth="1"/>
    <col min="6419" max="6419" width="14.42578125" style="145" customWidth="1"/>
    <col min="6420" max="6420" width="9.7109375" style="145" customWidth="1"/>
    <col min="6421" max="6656" width="9.140625" style="145"/>
    <col min="6657" max="6657" width="0" style="145" hidden="1" customWidth="1"/>
    <col min="6658" max="6658" width="52" style="145" customWidth="1"/>
    <col min="6659" max="6659" width="0" style="145" hidden="1" customWidth="1"/>
    <col min="6660" max="6662" width="10.5703125" style="145" customWidth="1"/>
    <col min="6663" max="6663" width="11.85546875" style="145" customWidth="1"/>
    <col min="6664" max="6671" width="10.5703125" style="145" customWidth="1"/>
    <col min="6672" max="6673" width="14.28515625" style="145" customWidth="1"/>
    <col min="6674" max="6674" width="13.140625" style="145" customWidth="1"/>
    <col min="6675" max="6675" width="14.42578125" style="145" customWidth="1"/>
    <col min="6676" max="6676" width="9.7109375" style="145" customWidth="1"/>
    <col min="6677" max="6912" width="9.140625" style="145"/>
    <col min="6913" max="6913" width="0" style="145" hidden="1" customWidth="1"/>
    <col min="6914" max="6914" width="52" style="145" customWidth="1"/>
    <col min="6915" max="6915" width="0" style="145" hidden="1" customWidth="1"/>
    <col min="6916" max="6918" width="10.5703125" style="145" customWidth="1"/>
    <col min="6919" max="6919" width="11.85546875" style="145" customWidth="1"/>
    <col min="6920" max="6927" width="10.5703125" style="145" customWidth="1"/>
    <col min="6928" max="6929" width="14.28515625" style="145" customWidth="1"/>
    <col min="6930" max="6930" width="13.140625" style="145" customWidth="1"/>
    <col min="6931" max="6931" width="14.42578125" style="145" customWidth="1"/>
    <col min="6932" max="6932" width="9.7109375" style="145" customWidth="1"/>
    <col min="6933" max="7168" width="9.140625" style="145"/>
    <col min="7169" max="7169" width="0" style="145" hidden="1" customWidth="1"/>
    <col min="7170" max="7170" width="52" style="145" customWidth="1"/>
    <col min="7171" max="7171" width="0" style="145" hidden="1" customWidth="1"/>
    <col min="7172" max="7174" width="10.5703125" style="145" customWidth="1"/>
    <col min="7175" max="7175" width="11.85546875" style="145" customWidth="1"/>
    <col min="7176" max="7183" width="10.5703125" style="145" customWidth="1"/>
    <col min="7184" max="7185" width="14.28515625" style="145" customWidth="1"/>
    <col min="7186" max="7186" width="13.140625" style="145" customWidth="1"/>
    <col min="7187" max="7187" width="14.42578125" style="145" customWidth="1"/>
    <col min="7188" max="7188" width="9.7109375" style="145" customWidth="1"/>
    <col min="7189" max="7424" width="9.140625" style="145"/>
    <col min="7425" max="7425" width="0" style="145" hidden="1" customWidth="1"/>
    <col min="7426" max="7426" width="52" style="145" customWidth="1"/>
    <col min="7427" max="7427" width="0" style="145" hidden="1" customWidth="1"/>
    <col min="7428" max="7430" width="10.5703125" style="145" customWidth="1"/>
    <col min="7431" max="7431" width="11.85546875" style="145" customWidth="1"/>
    <col min="7432" max="7439" width="10.5703125" style="145" customWidth="1"/>
    <col min="7440" max="7441" width="14.28515625" style="145" customWidth="1"/>
    <col min="7442" max="7442" width="13.140625" style="145" customWidth="1"/>
    <col min="7443" max="7443" width="14.42578125" style="145" customWidth="1"/>
    <col min="7444" max="7444" width="9.7109375" style="145" customWidth="1"/>
    <col min="7445" max="7680" width="9.140625" style="145"/>
    <col min="7681" max="7681" width="0" style="145" hidden="1" customWidth="1"/>
    <col min="7682" max="7682" width="52" style="145" customWidth="1"/>
    <col min="7683" max="7683" width="0" style="145" hidden="1" customWidth="1"/>
    <col min="7684" max="7686" width="10.5703125" style="145" customWidth="1"/>
    <col min="7687" max="7687" width="11.85546875" style="145" customWidth="1"/>
    <col min="7688" max="7695" width="10.5703125" style="145" customWidth="1"/>
    <col min="7696" max="7697" width="14.28515625" style="145" customWidth="1"/>
    <col min="7698" max="7698" width="13.140625" style="145" customWidth="1"/>
    <col min="7699" max="7699" width="14.42578125" style="145" customWidth="1"/>
    <col min="7700" max="7700" width="9.7109375" style="145" customWidth="1"/>
    <col min="7701" max="7936" width="9.140625" style="145"/>
    <col min="7937" max="7937" width="0" style="145" hidden="1" customWidth="1"/>
    <col min="7938" max="7938" width="52" style="145" customWidth="1"/>
    <col min="7939" max="7939" width="0" style="145" hidden="1" customWidth="1"/>
    <col min="7940" max="7942" width="10.5703125" style="145" customWidth="1"/>
    <col min="7943" max="7943" width="11.85546875" style="145" customWidth="1"/>
    <col min="7944" max="7951" width="10.5703125" style="145" customWidth="1"/>
    <col min="7952" max="7953" width="14.28515625" style="145" customWidth="1"/>
    <col min="7954" max="7954" width="13.140625" style="145" customWidth="1"/>
    <col min="7955" max="7955" width="14.42578125" style="145" customWidth="1"/>
    <col min="7956" max="7956" width="9.7109375" style="145" customWidth="1"/>
    <col min="7957" max="8192" width="9.140625" style="145"/>
    <col min="8193" max="8193" width="0" style="145" hidden="1" customWidth="1"/>
    <col min="8194" max="8194" width="52" style="145" customWidth="1"/>
    <col min="8195" max="8195" width="0" style="145" hidden="1" customWidth="1"/>
    <col min="8196" max="8198" width="10.5703125" style="145" customWidth="1"/>
    <col min="8199" max="8199" width="11.85546875" style="145" customWidth="1"/>
    <col min="8200" max="8207" width="10.5703125" style="145" customWidth="1"/>
    <col min="8208" max="8209" width="14.28515625" style="145" customWidth="1"/>
    <col min="8210" max="8210" width="13.140625" style="145" customWidth="1"/>
    <col min="8211" max="8211" width="14.42578125" style="145" customWidth="1"/>
    <col min="8212" max="8212" width="9.7109375" style="145" customWidth="1"/>
    <col min="8213" max="8448" width="9.140625" style="145"/>
    <col min="8449" max="8449" width="0" style="145" hidden="1" customWidth="1"/>
    <col min="8450" max="8450" width="52" style="145" customWidth="1"/>
    <col min="8451" max="8451" width="0" style="145" hidden="1" customWidth="1"/>
    <col min="8452" max="8454" width="10.5703125" style="145" customWidth="1"/>
    <col min="8455" max="8455" width="11.85546875" style="145" customWidth="1"/>
    <col min="8456" max="8463" width="10.5703125" style="145" customWidth="1"/>
    <col min="8464" max="8465" width="14.28515625" style="145" customWidth="1"/>
    <col min="8466" max="8466" width="13.140625" style="145" customWidth="1"/>
    <col min="8467" max="8467" width="14.42578125" style="145" customWidth="1"/>
    <col min="8468" max="8468" width="9.7109375" style="145" customWidth="1"/>
    <col min="8469" max="8704" width="9.140625" style="145"/>
    <col min="8705" max="8705" width="0" style="145" hidden="1" customWidth="1"/>
    <col min="8706" max="8706" width="52" style="145" customWidth="1"/>
    <col min="8707" max="8707" width="0" style="145" hidden="1" customWidth="1"/>
    <col min="8708" max="8710" width="10.5703125" style="145" customWidth="1"/>
    <col min="8711" max="8711" width="11.85546875" style="145" customWidth="1"/>
    <col min="8712" max="8719" width="10.5703125" style="145" customWidth="1"/>
    <col min="8720" max="8721" width="14.28515625" style="145" customWidth="1"/>
    <col min="8722" max="8722" width="13.140625" style="145" customWidth="1"/>
    <col min="8723" max="8723" width="14.42578125" style="145" customWidth="1"/>
    <col min="8724" max="8724" width="9.7109375" style="145" customWidth="1"/>
    <col min="8725" max="8960" width="9.140625" style="145"/>
    <col min="8961" max="8961" width="0" style="145" hidden="1" customWidth="1"/>
    <col min="8962" max="8962" width="52" style="145" customWidth="1"/>
    <col min="8963" max="8963" width="0" style="145" hidden="1" customWidth="1"/>
    <col min="8964" max="8966" width="10.5703125" style="145" customWidth="1"/>
    <col min="8967" max="8967" width="11.85546875" style="145" customWidth="1"/>
    <col min="8968" max="8975" width="10.5703125" style="145" customWidth="1"/>
    <col min="8976" max="8977" width="14.28515625" style="145" customWidth="1"/>
    <col min="8978" max="8978" width="13.140625" style="145" customWidth="1"/>
    <col min="8979" max="8979" width="14.42578125" style="145" customWidth="1"/>
    <col min="8980" max="8980" width="9.7109375" style="145" customWidth="1"/>
    <col min="8981" max="9216" width="9.140625" style="145"/>
    <col min="9217" max="9217" width="0" style="145" hidden="1" customWidth="1"/>
    <col min="9218" max="9218" width="52" style="145" customWidth="1"/>
    <col min="9219" max="9219" width="0" style="145" hidden="1" customWidth="1"/>
    <col min="9220" max="9222" width="10.5703125" style="145" customWidth="1"/>
    <col min="9223" max="9223" width="11.85546875" style="145" customWidth="1"/>
    <col min="9224" max="9231" width="10.5703125" style="145" customWidth="1"/>
    <col min="9232" max="9233" width="14.28515625" style="145" customWidth="1"/>
    <col min="9234" max="9234" width="13.140625" style="145" customWidth="1"/>
    <col min="9235" max="9235" width="14.42578125" style="145" customWidth="1"/>
    <col min="9236" max="9236" width="9.7109375" style="145" customWidth="1"/>
    <col min="9237" max="9472" width="9.140625" style="145"/>
    <col min="9473" max="9473" width="0" style="145" hidden="1" customWidth="1"/>
    <col min="9474" max="9474" width="52" style="145" customWidth="1"/>
    <col min="9475" max="9475" width="0" style="145" hidden="1" customWidth="1"/>
    <col min="9476" max="9478" width="10.5703125" style="145" customWidth="1"/>
    <col min="9479" max="9479" width="11.85546875" style="145" customWidth="1"/>
    <col min="9480" max="9487" width="10.5703125" style="145" customWidth="1"/>
    <col min="9488" max="9489" width="14.28515625" style="145" customWidth="1"/>
    <col min="9490" max="9490" width="13.140625" style="145" customWidth="1"/>
    <col min="9491" max="9491" width="14.42578125" style="145" customWidth="1"/>
    <col min="9492" max="9492" width="9.7109375" style="145" customWidth="1"/>
    <col min="9493" max="9728" width="9.140625" style="145"/>
    <col min="9729" max="9729" width="0" style="145" hidden="1" customWidth="1"/>
    <col min="9730" max="9730" width="52" style="145" customWidth="1"/>
    <col min="9731" max="9731" width="0" style="145" hidden="1" customWidth="1"/>
    <col min="9732" max="9734" width="10.5703125" style="145" customWidth="1"/>
    <col min="9735" max="9735" width="11.85546875" style="145" customWidth="1"/>
    <col min="9736" max="9743" width="10.5703125" style="145" customWidth="1"/>
    <col min="9744" max="9745" width="14.28515625" style="145" customWidth="1"/>
    <col min="9746" max="9746" width="13.140625" style="145" customWidth="1"/>
    <col min="9747" max="9747" width="14.42578125" style="145" customWidth="1"/>
    <col min="9748" max="9748" width="9.7109375" style="145" customWidth="1"/>
    <col min="9749" max="9984" width="9.140625" style="145"/>
    <col min="9985" max="9985" width="0" style="145" hidden="1" customWidth="1"/>
    <col min="9986" max="9986" width="52" style="145" customWidth="1"/>
    <col min="9987" max="9987" width="0" style="145" hidden="1" customWidth="1"/>
    <col min="9988" max="9990" width="10.5703125" style="145" customWidth="1"/>
    <col min="9991" max="9991" width="11.85546875" style="145" customWidth="1"/>
    <col min="9992" max="9999" width="10.5703125" style="145" customWidth="1"/>
    <col min="10000" max="10001" width="14.28515625" style="145" customWidth="1"/>
    <col min="10002" max="10002" width="13.140625" style="145" customWidth="1"/>
    <col min="10003" max="10003" width="14.42578125" style="145" customWidth="1"/>
    <col min="10004" max="10004" width="9.7109375" style="145" customWidth="1"/>
    <col min="10005" max="10240" width="9.140625" style="145"/>
    <col min="10241" max="10241" width="0" style="145" hidden="1" customWidth="1"/>
    <col min="10242" max="10242" width="52" style="145" customWidth="1"/>
    <col min="10243" max="10243" width="0" style="145" hidden="1" customWidth="1"/>
    <col min="10244" max="10246" width="10.5703125" style="145" customWidth="1"/>
    <col min="10247" max="10247" width="11.85546875" style="145" customWidth="1"/>
    <col min="10248" max="10255" width="10.5703125" style="145" customWidth="1"/>
    <col min="10256" max="10257" width="14.28515625" style="145" customWidth="1"/>
    <col min="10258" max="10258" width="13.140625" style="145" customWidth="1"/>
    <col min="10259" max="10259" width="14.42578125" style="145" customWidth="1"/>
    <col min="10260" max="10260" width="9.7109375" style="145" customWidth="1"/>
    <col min="10261" max="10496" width="9.140625" style="145"/>
    <col min="10497" max="10497" width="0" style="145" hidden="1" customWidth="1"/>
    <col min="10498" max="10498" width="52" style="145" customWidth="1"/>
    <col min="10499" max="10499" width="0" style="145" hidden="1" customWidth="1"/>
    <col min="10500" max="10502" width="10.5703125" style="145" customWidth="1"/>
    <col min="10503" max="10503" width="11.85546875" style="145" customWidth="1"/>
    <col min="10504" max="10511" width="10.5703125" style="145" customWidth="1"/>
    <col min="10512" max="10513" width="14.28515625" style="145" customWidth="1"/>
    <col min="10514" max="10514" width="13.140625" style="145" customWidth="1"/>
    <col min="10515" max="10515" width="14.42578125" style="145" customWidth="1"/>
    <col min="10516" max="10516" width="9.7109375" style="145" customWidth="1"/>
    <col min="10517" max="10752" width="9.140625" style="145"/>
    <col min="10753" max="10753" width="0" style="145" hidden="1" customWidth="1"/>
    <col min="10754" max="10754" width="52" style="145" customWidth="1"/>
    <col min="10755" max="10755" width="0" style="145" hidden="1" customWidth="1"/>
    <col min="10756" max="10758" width="10.5703125" style="145" customWidth="1"/>
    <col min="10759" max="10759" width="11.85546875" style="145" customWidth="1"/>
    <col min="10760" max="10767" width="10.5703125" style="145" customWidth="1"/>
    <col min="10768" max="10769" width="14.28515625" style="145" customWidth="1"/>
    <col min="10770" max="10770" width="13.140625" style="145" customWidth="1"/>
    <col min="10771" max="10771" width="14.42578125" style="145" customWidth="1"/>
    <col min="10772" max="10772" width="9.7109375" style="145" customWidth="1"/>
    <col min="10773" max="11008" width="9.140625" style="145"/>
    <col min="11009" max="11009" width="0" style="145" hidden="1" customWidth="1"/>
    <col min="11010" max="11010" width="52" style="145" customWidth="1"/>
    <col min="11011" max="11011" width="0" style="145" hidden="1" customWidth="1"/>
    <col min="11012" max="11014" width="10.5703125" style="145" customWidth="1"/>
    <col min="11015" max="11015" width="11.85546875" style="145" customWidth="1"/>
    <col min="11016" max="11023" width="10.5703125" style="145" customWidth="1"/>
    <col min="11024" max="11025" width="14.28515625" style="145" customWidth="1"/>
    <col min="11026" max="11026" width="13.140625" style="145" customWidth="1"/>
    <col min="11027" max="11027" width="14.42578125" style="145" customWidth="1"/>
    <col min="11028" max="11028" width="9.7109375" style="145" customWidth="1"/>
    <col min="11029" max="11264" width="9.140625" style="145"/>
    <col min="11265" max="11265" width="0" style="145" hidden="1" customWidth="1"/>
    <col min="11266" max="11266" width="52" style="145" customWidth="1"/>
    <col min="11267" max="11267" width="0" style="145" hidden="1" customWidth="1"/>
    <col min="11268" max="11270" width="10.5703125" style="145" customWidth="1"/>
    <col min="11271" max="11271" width="11.85546875" style="145" customWidth="1"/>
    <col min="11272" max="11279" width="10.5703125" style="145" customWidth="1"/>
    <col min="11280" max="11281" width="14.28515625" style="145" customWidth="1"/>
    <col min="11282" max="11282" width="13.140625" style="145" customWidth="1"/>
    <col min="11283" max="11283" width="14.42578125" style="145" customWidth="1"/>
    <col min="11284" max="11284" width="9.7109375" style="145" customWidth="1"/>
    <col min="11285" max="11520" width="9.140625" style="145"/>
    <col min="11521" max="11521" width="0" style="145" hidden="1" customWidth="1"/>
    <col min="11522" max="11522" width="52" style="145" customWidth="1"/>
    <col min="11523" max="11523" width="0" style="145" hidden="1" customWidth="1"/>
    <col min="11524" max="11526" width="10.5703125" style="145" customWidth="1"/>
    <col min="11527" max="11527" width="11.85546875" style="145" customWidth="1"/>
    <col min="11528" max="11535" width="10.5703125" style="145" customWidth="1"/>
    <col min="11536" max="11537" width="14.28515625" style="145" customWidth="1"/>
    <col min="11538" max="11538" width="13.140625" style="145" customWidth="1"/>
    <col min="11539" max="11539" width="14.42578125" style="145" customWidth="1"/>
    <col min="11540" max="11540" width="9.7109375" style="145" customWidth="1"/>
    <col min="11541" max="11776" width="9.140625" style="145"/>
    <col min="11777" max="11777" width="0" style="145" hidden="1" customWidth="1"/>
    <col min="11778" max="11778" width="52" style="145" customWidth="1"/>
    <col min="11779" max="11779" width="0" style="145" hidden="1" customWidth="1"/>
    <col min="11780" max="11782" width="10.5703125" style="145" customWidth="1"/>
    <col min="11783" max="11783" width="11.85546875" style="145" customWidth="1"/>
    <col min="11784" max="11791" width="10.5703125" style="145" customWidth="1"/>
    <col min="11792" max="11793" width="14.28515625" style="145" customWidth="1"/>
    <col min="11794" max="11794" width="13.140625" style="145" customWidth="1"/>
    <col min="11795" max="11795" width="14.42578125" style="145" customWidth="1"/>
    <col min="11796" max="11796" width="9.7109375" style="145" customWidth="1"/>
    <col min="11797" max="12032" width="9.140625" style="145"/>
    <col min="12033" max="12033" width="0" style="145" hidden="1" customWidth="1"/>
    <col min="12034" max="12034" width="52" style="145" customWidth="1"/>
    <col min="12035" max="12035" width="0" style="145" hidden="1" customWidth="1"/>
    <col min="12036" max="12038" width="10.5703125" style="145" customWidth="1"/>
    <col min="12039" max="12039" width="11.85546875" style="145" customWidth="1"/>
    <col min="12040" max="12047" width="10.5703125" style="145" customWidth="1"/>
    <col min="12048" max="12049" width="14.28515625" style="145" customWidth="1"/>
    <col min="12050" max="12050" width="13.140625" style="145" customWidth="1"/>
    <col min="12051" max="12051" width="14.42578125" style="145" customWidth="1"/>
    <col min="12052" max="12052" width="9.7109375" style="145" customWidth="1"/>
    <col min="12053" max="12288" width="9.140625" style="145"/>
    <col min="12289" max="12289" width="0" style="145" hidden="1" customWidth="1"/>
    <col min="12290" max="12290" width="52" style="145" customWidth="1"/>
    <col min="12291" max="12291" width="0" style="145" hidden="1" customWidth="1"/>
    <col min="12292" max="12294" width="10.5703125" style="145" customWidth="1"/>
    <col min="12295" max="12295" width="11.85546875" style="145" customWidth="1"/>
    <col min="12296" max="12303" width="10.5703125" style="145" customWidth="1"/>
    <col min="12304" max="12305" width="14.28515625" style="145" customWidth="1"/>
    <col min="12306" max="12306" width="13.140625" style="145" customWidth="1"/>
    <col min="12307" max="12307" width="14.42578125" style="145" customWidth="1"/>
    <col min="12308" max="12308" width="9.7109375" style="145" customWidth="1"/>
    <col min="12309" max="12544" width="9.140625" style="145"/>
    <col min="12545" max="12545" width="0" style="145" hidden="1" customWidth="1"/>
    <col min="12546" max="12546" width="52" style="145" customWidth="1"/>
    <col min="12547" max="12547" width="0" style="145" hidden="1" customWidth="1"/>
    <col min="12548" max="12550" width="10.5703125" style="145" customWidth="1"/>
    <col min="12551" max="12551" width="11.85546875" style="145" customWidth="1"/>
    <col min="12552" max="12559" width="10.5703125" style="145" customWidth="1"/>
    <col min="12560" max="12561" width="14.28515625" style="145" customWidth="1"/>
    <col min="12562" max="12562" width="13.140625" style="145" customWidth="1"/>
    <col min="12563" max="12563" width="14.42578125" style="145" customWidth="1"/>
    <col min="12564" max="12564" width="9.7109375" style="145" customWidth="1"/>
    <col min="12565" max="12800" width="9.140625" style="145"/>
    <col min="12801" max="12801" width="0" style="145" hidden="1" customWidth="1"/>
    <col min="12802" max="12802" width="52" style="145" customWidth="1"/>
    <col min="12803" max="12803" width="0" style="145" hidden="1" customWidth="1"/>
    <col min="12804" max="12806" width="10.5703125" style="145" customWidth="1"/>
    <col min="12807" max="12807" width="11.85546875" style="145" customWidth="1"/>
    <col min="12808" max="12815" width="10.5703125" style="145" customWidth="1"/>
    <col min="12816" max="12817" width="14.28515625" style="145" customWidth="1"/>
    <col min="12818" max="12818" width="13.140625" style="145" customWidth="1"/>
    <col min="12819" max="12819" width="14.42578125" style="145" customWidth="1"/>
    <col min="12820" max="12820" width="9.7109375" style="145" customWidth="1"/>
    <col min="12821" max="13056" width="9.140625" style="145"/>
    <col min="13057" max="13057" width="0" style="145" hidden="1" customWidth="1"/>
    <col min="13058" max="13058" width="52" style="145" customWidth="1"/>
    <col min="13059" max="13059" width="0" style="145" hidden="1" customWidth="1"/>
    <col min="13060" max="13062" width="10.5703125" style="145" customWidth="1"/>
    <col min="13063" max="13063" width="11.85546875" style="145" customWidth="1"/>
    <col min="13064" max="13071" width="10.5703125" style="145" customWidth="1"/>
    <col min="13072" max="13073" width="14.28515625" style="145" customWidth="1"/>
    <col min="13074" max="13074" width="13.140625" style="145" customWidth="1"/>
    <col min="13075" max="13075" width="14.42578125" style="145" customWidth="1"/>
    <col min="13076" max="13076" width="9.7109375" style="145" customWidth="1"/>
    <col min="13077" max="13312" width="9.140625" style="145"/>
    <col min="13313" max="13313" width="0" style="145" hidden="1" customWidth="1"/>
    <col min="13314" max="13314" width="52" style="145" customWidth="1"/>
    <col min="13315" max="13315" width="0" style="145" hidden="1" customWidth="1"/>
    <col min="13316" max="13318" width="10.5703125" style="145" customWidth="1"/>
    <col min="13319" max="13319" width="11.85546875" style="145" customWidth="1"/>
    <col min="13320" max="13327" width="10.5703125" style="145" customWidth="1"/>
    <col min="13328" max="13329" width="14.28515625" style="145" customWidth="1"/>
    <col min="13330" max="13330" width="13.140625" style="145" customWidth="1"/>
    <col min="13331" max="13331" width="14.42578125" style="145" customWidth="1"/>
    <col min="13332" max="13332" width="9.7109375" style="145" customWidth="1"/>
    <col min="13333" max="13568" width="9.140625" style="145"/>
    <col min="13569" max="13569" width="0" style="145" hidden="1" customWidth="1"/>
    <col min="13570" max="13570" width="52" style="145" customWidth="1"/>
    <col min="13571" max="13571" width="0" style="145" hidden="1" customWidth="1"/>
    <col min="13572" max="13574" width="10.5703125" style="145" customWidth="1"/>
    <col min="13575" max="13575" width="11.85546875" style="145" customWidth="1"/>
    <col min="13576" max="13583" width="10.5703125" style="145" customWidth="1"/>
    <col min="13584" max="13585" width="14.28515625" style="145" customWidth="1"/>
    <col min="13586" max="13586" width="13.140625" style="145" customWidth="1"/>
    <col min="13587" max="13587" width="14.42578125" style="145" customWidth="1"/>
    <col min="13588" max="13588" width="9.7109375" style="145" customWidth="1"/>
    <col min="13589" max="13824" width="9.140625" style="145"/>
    <col min="13825" max="13825" width="0" style="145" hidden="1" customWidth="1"/>
    <col min="13826" max="13826" width="52" style="145" customWidth="1"/>
    <col min="13827" max="13827" width="0" style="145" hidden="1" customWidth="1"/>
    <col min="13828" max="13830" width="10.5703125" style="145" customWidth="1"/>
    <col min="13831" max="13831" width="11.85546875" style="145" customWidth="1"/>
    <col min="13832" max="13839" width="10.5703125" style="145" customWidth="1"/>
    <col min="13840" max="13841" width="14.28515625" style="145" customWidth="1"/>
    <col min="13842" max="13842" width="13.140625" style="145" customWidth="1"/>
    <col min="13843" max="13843" width="14.42578125" style="145" customWidth="1"/>
    <col min="13844" max="13844" width="9.7109375" style="145" customWidth="1"/>
    <col min="13845" max="14080" width="9.140625" style="145"/>
    <col min="14081" max="14081" width="0" style="145" hidden="1" customWidth="1"/>
    <col min="14082" max="14082" width="52" style="145" customWidth="1"/>
    <col min="14083" max="14083" width="0" style="145" hidden="1" customWidth="1"/>
    <col min="14084" max="14086" width="10.5703125" style="145" customWidth="1"/>
    <col min="14087" max="14087" width="11.85546875" style="145" customWidth="1"/>
    <col min="14088" max="14095" width="10.5703125" style="145" customWidth="1"/>
    <col min="14096" max="14097" width="14.28515625" style="145" customWidth="1"/>
    <col min="14098" max="14098" width="13.140625" style="145" customWidth="1"/>
    <col min="14099" max="14099" width="14.42578125" style="145" customWidth="1"/>
    <col min="14100" max="14100" width="9.7109375" style="145" customWidth="1"/>
    <col min="14101" max="14336" width="9.140625" style="145"/>
    <col min="14337" max="14337" width="0" style="145" hidden="1" customWidth="1"/>
    <col min="14338" max="14338" width="52" style="145" customWidth="1"/>
    <col min="14339" max="14339" width="0" style="145" hidden="1" customWidth="1"/>
    <col min="14340" max="14342" width="10.5703125" style="145" customWidth="1"/>
    <col min="14343" max="14343" width="11.85546875" style="145" customWidth="1"/>
    <col min="14344" max="14351" width="10.5703125" style="145" customWidth="1"/>
    <col min="14352" max="14353" width="14.28515625" style="145" customWidth="1"/>
    <col min="14354" max="14354" width="13.140625" style="145" customWidth="1"/>
    <col min="14355" max="14355" width="14.42578125" style="145" customWidth="1"/>
    <col min="14356" max="14356" width="9.7109375" style="145" customWidth="1"/>
    <col min="14357" max="14592" width="9.140625" style="145"/>
    <col min="14593" max="14593" width="0" style="145" hidden="1" customWidth="1"/>
    <col min="14594" max="14594" width="52" style="145" customWidth="1"/>
    <col min="14595" max="14595" width="0" style="145" hidden="1" customWidth="1"/>
    <col min="14596" max="14598" width="10.5703125" style="145" customWidth="1"/>
    <col min="14599" max="14599" width="11.85546875" style="145" customWidth="1"/>
    <col min="14600" max="14607" width="10.5703125" style="145" customWidth="1"/>
    <col min="14608" max="14609" width="14.28515625" style="145" customWidth="1"/>
    <col min="14610" max="14610" width="13.140625" style="145" customWidth="1"/>
    <col min="14611" max="14611" width="14.42578125" style="145" customWidth="1"/>
    <col min="14612" max="14612" width="9.7109375" style="145" customWidth="1"/>
    <col min="14613" max="14848" width="9.140625" style="145"/>
    <col min="14849" max="14849" width="0" style="145" hidden="1" customWidth="1"/>
    <col min="14850" max="14850" width="52" style="145" customWidth="1"/>
    <col min="14851" max="14851" width="0" style="145" hidden="1" customWidth="1"/>
    <col min="14852" max="14854" width="10.5703125" style="145" customWidth="1"/>
    <col min="14855" max="14855" width="11.85546875" style="145" customWidth="1"/>
    <col min="14856" max="14863" width="10.5703125" style="145" customWidth="1"/>
    <col min="14864" max="14865" width="14.28515625" style="145" customWidth="1"/>
    <col min="14866" max="14866" width="13.140625" style="145" customWidth="1"/>
    <col min="14867" max="14867" width="14.42578125" style="145" customWidth="1"/>
    <col min="14868" max="14868" width="9.7109375" style="145" customWidth="1"/>
    <col min="14869" max="15104" width="9.140625" style="145"/>
    <col min="15105" max="15105" width="0" style="145" hidden="1" customWidth="1"/>
    <col min="15106" max="15106" width="52" style="145" customWidth="1"/>
    <col min="15107" max="15107" width="0" style="145" hidden="1" customWidth="1"/>
    <col min="15108" max="15110" width="10.5703125" style="145" customWidth="1"/>
    <col min="15111" max="15111" width="11.85546875" style="145" customWidth="1"/>
    <col min="15112" max="15119" width="10.5703125" style="145" customWidth="1"/>
    <col min="15120" max="15121" width="14.28515625" style="145" customWidth="1"/>
    <col min="15122" max="15122" width="13.140625" style="145" customWidth="1"/>
    <col min="15123" max="15123" width="14.42578125" style="145" customWidth="1"/>
    <col min="15124" max="15124" width="9.7109375" style="145" customWidth="1"/>
    <col min="15125" max="15360" width="9.140625" style="145"/>
    <col min="15361" max="15361" width="0" style="145" hidden="1" customWidth="1"/>
    <col min="15362" max="15362" width="52" style="145" customWidth="1"/>
    <col min="15363" max="15363" width="0" style="145" hidden="1" customWidth="1"/>
    <col min="15364" max="15366" width="10.5703125" style="145" customWidth="1"/>
    <col min="15367" max="15367" width="11.85546875" style="145" customWidth="1"/>
    <col min="15368" max="15375" width="10.5703125" style="145" customWidth="1"/>
    <col min="15376" max="15377" width="14.28515625" style="145" customWidth="1"/>
    <col min="15378" max="15378" width="13.140625" style="145" customWidth="1"/>
    <col min="15379" max="15379" width="14.42578125" style="145" customWidth="1"/>
    <col min="15380" max="15380" width="9.7109375" style="145" customWidth="1"/>
    <col min="15381" max="15616" width="9.140625" style="145"/>
    <col min="15617" max="15617" width="0" style="145" hidden="1" customWidth="1"/>
    <col min="15618" max="15618" width="52" style="145" customWidth="1"/>
    <col min="15619" max="15619" width="0" style="145" hidden="1" customWidth="1"/>
    <col min="15620" max="15622" width="10.5703125" style="145" customWidth="1"/>
    <col min="15623" max="15623" width="11.85546875" style="145" customWidth="1"/>
    <col min="15624" max="15631" width="10.5703125" style="145" customWidth="1"/>
    <col min="15632" max="15633" width="14.28515625" style="145" customWidth="1"/>
    <col min="15634" max="15634" width="13.140625" style="145" customWidth="1"/>
    <col min="15635" max="15635" width="14.42578125" style="145" customWidth="1"/>
    <col min="15636" max="15636" width="9.7109375" style="145" customWidth="1"/>
    <col min="15637" max="15872" width="9.140625" style="145"/>
    <col min="15873" max="15873" width="0" style="145" hidden="1" customWidth="1"/>
    <col min="15874" max="15874" width="52" style="145" customWidth="1"/>
    <col min="15875" max="15875" width="0" style="145" hidden="1" customWidth="1"/>
    <col min="15876" max="15878" width="10.5703125" style="145" customWidth="1"/>
    <col min="15879" max="15879" width="11.85546875" style="145" customWidth="1"/>
    <col min="15880" max="15887" width="10.5703125" style="145" customWidth="1"/>
    <col min="15888" max="15889" width="14.28515625" style="145" customWidth="1"/>
    <col min="15890" max="15890" width="13.140625" style="145" customWidth="1"/>
    <col min="15891" max="15891" width="14.42578125" style="145" customWidth="1"/>
    <col min="15892" max="15892" width="9.7109375" style="145" customWidth="1"/>
    <col min="15893" max="16128" width="9.140625" style="145"/>
    <col min="16129" max="16129" width="0" style="145" hidden="1" customWidth="1"/>
    <col min="16130" max="16130" width="52" style="145" customWidth="1"/>
    <col min="16131" max="16131" width="0" style="145" hidden="1" customWidth="1"/>
    <col min="16132" max="16134" width="10.5703125" style="145" customWidth="1"/>
    <col min="16135" max="16135" width="11.85546875" style="145" customWidth="1"/>
    <col min="16136" max="16143" width="10.5703125" style="145" customWidth="1"/>
    <col min="16144" max="16145" width="14.28515625" style="145" customWidth="1"/>
    <col min="16146" max="16146" width="13.140625" style="145" customWidth="1"/>
    <col min="16147" max="16147" width="14.42578125" style="145" customWidth="1"/>
    <col min="16148" max="16148" width="9.7109375" style="145" customWidth="1"/>
    <col min="16149" max="16384" width="9.140625" style="145"/>
  </cols>
  <sheetData>
    <row r="1" spans="1:25" s="147" customFormat="1" ht="10.5" customHeight="1" x14ac:dyDescent="0.2">
      <c r="B1" s="146" t="s">
        <v>152</v>
      </c>
      <c r="C1" s="295"/>
    </row>
    <row r="2" spans="1:25" s="148" customFormat="1" ht="5.25" customHeight="1" thickBot="1" x14ac:dyDescent="0.25">
      <c r="C2" s="213"/>
    </row>
    <row r="3" spans="1:25" ht="4.5" hidden="1" customHeight="1" x14ac:dyDescent="0.2">
      <c r="B3" s="149"/>
      <c r="C3" s="296"/>
      <c r="D3" s="150"/>
      <c r="E3" s="150"/>
      <c r="F3" s="150"/>
      <c r="G3" s="150"/>
      <c r="H3" s="150"/>
      <c r="I3" s="150"/>
      <c r="J3" s="150"/>
      <c r="K3" s="150"/>
      <c r="L3" s="150"/>
      <c r="M3" s="150"/>
      <c r="N3" s="150"/>
      <c r="O3" s="148"/>
      <c r="P3" s="148"/>
      <c r="Q3" s="148"/>
      <c r="R3" s="151"/>
      <c r="S3" s="151"/>
      <c r="T3" s="152"/>
    </row>
    <row r="4" spans="1:25" s="150" customFormat="1" ht="4.5" hidden="1" customHeight="1" x14ac:dyDescent="0.2">
      <c r="A4" s="148"/>
      <c r="B4" s="153"/>
      <c r="C4" s="297"/>
      <c r="D4" s="154"/>
      <c r="E4" s="154"/>
      <c r="F4" s="148"/>
      <c r="G4" s="148"/>
      <c r="H4" s="148"/>
      <c r="I4" s="148"/>
      <c r="J4" s="148"/>
      <c r="K4" s="148"/>
      <c r="L4" s="148"/>
      <c r="M4" s="148"/>
      <c r="N4" s="148"/>
      <c r="O4" s="154"/>
      <c r="P4" s="154"/>
      <c r="Q4" s="154"/>
      <c r="R4" s="155"/>
      <c r="S4" s="155"/>
      <c r="T4" s="156"/>
    </row>
    <row r="5" spans="1:25" ht="50.25" customHeight="1" x14ac:dyDescent="0.2">
      <c r="B5" s="157" t="s">
        <v>76</v>
      </c>
      <c r="C5" s="265" t="s">
        <v>124</v>
      </c>
      <c r="D5" s="158" t="s">
        <v>7</v>
      </c>
      <c r="E5" s="158" t="s">
        <v>8</v>
      </c>
      <c r="F5" s="158" t="s">
        <v>9</v>
      </c>
      <c r="G5" s="158" t="s">
        <v>10</v>
      </c>
      <c r="H5" s="158" t="s">
        <v>11</v>
      </c>
      <c r="I5" s="158" t="s">
        <v>12</v>
      </c>
      <c r="J5" s="158" t="s">
        <v>13</v>
      </c>
      <c r="K5" s="158" t="s">
        <v>62</v>
      </c>
      <c r="L5" s="158" t="s">
        <v>63</v>
      </c>
      <c r="M5" s="158" t="s">
        <v>16</v>
      </c>
      <c r="N5" s="158" t="s">
        <v>64</v>
      </c>
      <c r="O5" s="158" t="s">
        <v>18</v>
      </c>
      <c r="P5" s="159" t="s">
        <v>126</v>
      </c>
      <c r="Q5" s="159" t="s">
        <v>127</v>
      </c>
      <c r="R5" s="159" t="s">
        <v>153</v>
      </c>
      <c r="S5" s="159" t="s">
        <v>154</v>
      </c>
      <c r="T5" s="160" t="s">
        <v>77</v>
      </c>
    </row>
    <row r="6" spans="1:25" ht="12" x14ac:dyDescent="0.2">
      <c r="B6" s="161" t="s">
        <v>155</v>
      </c>
      <c r="C6" s="169" t="s">
        <v>1</v>
      </c>
      <c r="D6" s="162"/>
      <c r="E6" s="162"/>
      <c r="F6" s="162"/>
      <c r="G6" s="162"/>
      <c r="H6" s="162"/>
      <c r="I6" s="162"/>
      <c r="J6" s="162"/>
      <c r="K6" s="162"/>
      <c r="L6" s="162"/>
      <c r="M6" s="162"/>
      <c r="N6" s="162"/>
      <c r="O6" s="163"/>
      <c r="P6" s="164"/>
      <c r="Q6" s="165" t="s">
        <v>1</v>
      </c>
      <c r="R6" s="166"/>
      <c r="S6" s="166"/>
      <c r="T6" s="167"/>
    </row>
    <row r="7" spans="1:25" x14ac:dyDescent="0.2">
      <c r="A7" s="277" t="s">
        <v>132</v>
      </c>
      <c r="B7" s="168" t="s">
        <v>79</v>
      </c>
      <c r="C7" s="169">
        <v>0</v>
      </c>
      <c r="D7" s="162">
        <v>6300.1900000000014</v>
      </c>
      <c r="E7" s="162">
        <v>9488.6100000000024</v>
      </c>
      <c r="F7" s="162">
        <v>11675.63</v>
      </c>
      <c r="G7" s="162">
        <v>8932.0499999999993</v>
      </c>
      <c r="H7" s="162">
        <v>31787.599999999999</v>
      </c>
      <c r="I7" s="162">
        <v>8007.87</v>
      </c>
      <c r="J7" s="162"/>
      <c r="K7" s="162"/>
      <c r="L7" s="162"/>
      <c r="M7" s="162"/>
      <c r="N7" s="162"/>
      <c r="O7" s="169"/>
      <c r="P7" s="169">
        <f>SUM(D7:O7)</f>
        <v>76191.949999999983</v>
      </c>
      <c r="Q7" s="166">
        <f>+C7+P7</f>
        <v>76191.949999999983</v>
      </c>
      <c r="R7" s="170">
        <v>666349</v>
      </c>
      <c r="S7" s="170"/>
      <c r="T7" s="171">
        <f>+Q7/R7</f>
        <v>0.11434240915796375</v>
      </c>
      <c r="Y7" s="277"/>
    </row>
    <row r="8" spans="1:25" ht="24" x14ac:dyDescent="0.2">
      <c r="A8" s="277" t="s">
        <v>146</v>
      </c>
      <c r="B8" s="172" t="s">
        <v>156</v>
      </c>
      <c r="C8" s="174">
        <v>0</v>
      </c>
      <c r="D8" s="173">
        <v>1371.6800000000003</v>
      </c>
      <c r="E8" s="162">
        <v>2057.0600000000009</v>
      </c>
      <c r="F8" s="173">
        <v>3755.03</v>
      </c>
      <c r="G8" s="173">
        <v>1451.59</v>
      </c>
      <c r="H8" s="173">
        <v>1828.14</v>
      </c>
      <c r="I8" s="173">
        <v>1216.24</v>
      </c>
      <c r="J8" s="173"/>
      <c r="K8" s="173"/>
      <c r="L8" s="173"/>
      <c r="M8" s="173"/>
      <c r="N8" s="173"/>
      <c r="O8" s="169"/>
      <c r="P8" s="174">
        <f>SUM(D8:O8)</f>
        <v>11679.74</v>
      </c>
      <c r="Q8" s="175">
        <f>+C8+P8</f>
        <v>11679.74</v>
      </c>
      <c r="R8" s="170">
        <v>413532</v>
      </c>
      <c r="S8" s="176"/>
      <c r="T8" s="171">
        <f>+Q8/R8</f>
        <v>2.8243860209125293E-2</v>
      </c>
      <c r="Y8" s="277"/>
    </row>
    <row r="9" spans="1:25" x14ac:dyDescent="0.2">
      <c r="A9" s="277"/>
      <c r="B9" s="177" t="s">
        <v>80</v>
      </c>
      <c r="C9" s="178">
        <f>SUM(C7:C8)</f>
        <v>0</v>
      </c>
      <c r="D9" s="268">
        <f>SUM(D7:D8)</f>
        <v>7671.8700000000017</v>
      </c>
      <c r="E9" s="178">
        <f t="shared" ref="E9:S9" si="0">SUM(E7:E8)</f>
        <v>11545.670000000004</v>
      </c>
      <c r="F9" s="178">
        <f t="shared" si="0"/>
        <v>15430.66</v>
      </c>
      <c r="G9" s="178">
        <f t="shared" si="0"/>
        <v>10383.64</v>
      </c>
      <c r="H9" s="178">
        <f t="shared" si="0"/>
        <v>33615.74</v>
      </c>
      <c r="I9" s="178">
        <f t="shared" si="0"/>
        <v>9224.11</v>
      </c>
      <c r="J9" s="178">
        <f t="shared" si="0"/>
        <v>0</v>
      </c>
      <c r="K9" s="178">
        <f t="shared" si="0"/>
        <v>0</v>
      </c>
      <c r="L9" s="178">
        <f t="shared" si="0"/>
        <v>0</v>
      </c>
      <c r="M9" s="178">
        <f t="shared" si="0"/>
        <v>0</v>
      </c>
      <c r="N9" s="178">
        <f t="shared" si="0"/>
        <v>0</v>
      </c>
      <c r="O9" s="179">
        <f t="shared" si="0"/>
        <v>0</v>
      </c>
      <c r="P9" s="179">
        <f t="shared" si="0"/>
        <v>87871.689999999988</v>
      </c>
      <c r="Q9" s="179">
        <f t="shared" si="0"/>
        <v>87871.689999999988</v>
      </c>
      <c r="R9" s="179">
        <f t="shared" si="0"/>
        <v>1079881</v>
      </c>
      <c r="S9" s="179">
        <f t="shared" si="0"/>
        <v>0</v>
      </c>
      <c r="T9" s="180">
        <f>+Q9/R9</f>
        <v>8.1371641875354769E-2</v>
      </c>
      <c r="Y9" s="277"/>
    </row>
    <row r="10" spans="1:25" s="148" customFormat="1" ht="3.75" customHeight="1" x14ac:dyDescent="0.2">
      <c r="A10" s="277"/>
      <c r="B10" s="181"/>
      <c r="C10" s="169"/>
      <c r="D10" s="162"/>
      <c r="E10" s="162"/>
      <c r="F10" s="162"/>
      <c r="G10" s="162"/>
      <c r="H10" s="162"/>
      <c r="I10" s="162"/>
      <c r="J10" s="162"/>
      <c r="K10" s="162"/>
      <c r="L10" s="162"/>
      <c r="M10" s="162"/>
      <c r="N10" s="162"/>
      <c r="O10" s="163"/>
      <c r="P10" s="163"/>
      <c r="Q10" s="182"/>
      <c r="R10" s="182"/>
      <c r="S10" s="182"/>
      <c r="T10" s="183"/>
      <c r="Y10" s="277"/>
    </row>
    <row r="11" spans="1:25" s="148" customFormat="1" x14ac:dyDescent="0.2">
      <c r="A11" s="277"/>
      <c r="B11" s="161" t="s">
        <v>157</v>
      </c>
      <c r="C11" s="169"/>
      <c r="D11" s="162"/>
      <c r="E11" s="162"/>
      <c r="F11" s="162"/>
      <c r="G11" s="162"/>
      <c r="H11" s="162"/>
      <c r="I11" s="162"/>
      <c r="J11" s="162"/>
      <c r="K11" s="162"/>
      <c r="L11" s="162"/>
      <c r="M11" s="162"/>
      <c r="N11" s="162"/>
      <c r="O11" s="169"/>
      <c r="P11" s="169"/>
      <c r="Q11" s="166"/>
      <c r="R11" s="166"/>
      <c r="S11" s="166"/>
      <c r="T11" s="167"/>
      <c r="Y11" s="277"/>
    </row>
    <row r="12" spans="1:25" x14ac:dyDescent="0.2">
      <c r="A12" s="277" t="s">
        <v>135</v>
      </c>
      <c r="B12" s="168" t="s">
        <v>158</v>
      </c>
      <c r="C12" s="169">
        <v>0</v>
      </c>
      <c r="D12" s="162">
        <v>12525.029999999995</v>
      </c>
      <c r="E12" s="162">
        <v>19283.299999999974</v>
      </c>
      <c r="F12" s="162">
        <v>23796.23</v>
      </c>
      <c r="G12" s="162">
        <v>17945.560000000001</v>
      </c>
      <c r="H12" s="162">
        <v>70456.38</v>
      </c>
      <c r="I12" s="162">
        <v>17427.28</v>
      </c>
      <c r="J12" s="162"/>
      <c r="K12" s="162"/>
      <c r="L12" s="162"/>
      <c r="M12" s="162"/>
      <c r="N12" s="162"/>
      <c r="O12" s="169"/>
      <c r="P12" s="169">
        <f>SUM(D12:O12)</f>
        <v>161433.77999999997</v>
      </c>
      <c r="Q12" s="166">
        <f>C12+P12</f>
        <v>161433.77999999997</v>
      </c>
      <c r="R12" s="166">
        <v>3216000</v>
      </c>
      <c r="S12" s="166"/>
      <c r="T12" s="171">
        <f>+Q12/R12</f>
        <v>5.0197070895522382E-2</v>
      </c>
      <c r="Y12" s="277"/>
    </row>
    <row r="13" spans="1:25" x14ac:dyDescent="0.2">
      <c r="A13" s="277" t="s">
        <v>134</v>
      </c>
      <c r="B13" s="168" t="s">
        <v>101</v>
      </c>
      <c r="C13" s="169">
        <v>0</v>
      </c>
      <c r="D13" s="162">
        <v>24553.580000000009</v>
      </c>
      <c r="E13" s="162">
        <v>31198.540000000008</v>
      </c>
      <c r="F13" s="162">
        <v>29580.3</v>
      </c>
      <c r="G13" s="162">
        <v>29176.04</v>
      </c>
      <c r="H13" s="162">
        <v>58936.51</v>
      </c>
      <c r="I13" s="162">
        <v>91639.16</v>
      </c>
      <c r="J13" s="162"/>
      <c r="K13" s="162"/>
      <c r="L13" s="162"/>
      <c r="M13" s="162"/>
      <c r="N13" s="162"/>
      <c r="O13" s="169"/>
      <c r="P13" s="169">
        <f>SUM(D13:O13)</f>
        <v>265084.13</v>
      </c>
      <c r="Q13" s="166">
        <f>C13+P13</f>
        <v>265084.13</v>
      </c>
      <c r="R13" s="169">
        <v>11563485</v>
      </c>
      <c r="S13" s="166"/>
      <c r="T13" s="184">
        <f>+Q13/R13</f>
        <v>2.2924242129427244E-2</v>
      </c>
      <c r="Y13" s="277"/>
    </row>
    <row r="14" spans="1:25" ht="13.5" x14ac:dyDescent="0.2">
      <c r="A14" s="277" t="s">
        <v>147</v>
      </c>
      <c r="B14" s="168" t="s">
        <v>183</v>
      </c>
      <c r="C14" s="169">
        <v>0</v>
      </c>
      <c r="D14" s="162">
        <v>30447.309999999998</v>
      </c>
      <c r="E14" s="162">
        <v>41323.729999999952</v>
      </c>
      <c r="F14" s="162">
        <v>40158.449999999997</v>
      </c>
      <c r="G14" s="162">
        <v>39365.72</v>
      </c>
      <c r="H14" s="162">
        <f>46713.81-54.61</f>
        <v>46659.199999999997</v>
      </c>
      <c r="I14" s="162">
        <v>35375.82</v>
      </c>
      <c r="J14" s="162"/>
      <c r="K14" s="162"/>
      <c r="L14" s="162"/>
      <c r="M14" s="162"/>
      <c r="N14" s="162"/>
      <c r="O14" s="169"/>
      <c r="P14" s="169">
        <f>SUM(D14:O14)</f>
        <v>233330.22999999998</v>
      </c>
      <c r="Q14" s="166">
        <f>C14+P14</f>
        <v>233330.22999999998</v>
      </c>
      <c r="R14" s="166">
        <v>1750000</v>
      </c>
      <c r="S14" s="166"/>
      <c r="T14" s="171">
        <f>+Q14/R14</f>
        <v>0.13333155999999999</v>
      </c>
      <c r="Y14" s="277"/>
    </row>
    <row r="15" spans="1:25" x14ac:dyDescent="0.2">
      <c r="A15" s="277"/>
      <c r="B15" s="168" t="s">
        <v>192</v>
      </c>
      <c r="C15" s="162">
        <v>0</v>
      </c>
      <c r="D15" s="362">
        <f>109076.16-1990.54-4390.65</f>
        <v>102694.97000000002</v>
      </c>
      <c r="E15" s="162">
        <f>132298.04-7747.52-4173.21</f>
        <v>120377.31</v>
      </c>
      <c r="F15" s="162">
        <f>-83180.43-10118.45-790.74</f>
        <v>-94089.62</v>
      </c>
      <c r="G15" s="162">
        <f>643442.18-214937.05-1997.17</f>
        <v>426507.96000000008</v>
      </c>
      <c r="H15" s="162">
        <f>143343.81+50</f>
        <v>143393.81</v>
      </c>
      <c r="I15" s="162">
        <v>206633.5</v>
      </c>
      <c r="J15" s="162"/>
      <c r="K15" s="162"/>
      <c r="L15" s="162"/>
      <c r="M15" s="162"/>
      <c r="N15" s="162"/>
      <c r="O15" s="169"/>
      <c r="P15" s="169">
        <f>SUM(D15:O15)</f>
        <v>905517.93000000017</v>
      </c>
      <c r="Q15" s="166">
        <f>C15+P15</f>
        <v>905517.93000000017</v>
      </c>
      <c r="R15" s="169">
        <v>19353335</v>
      </c>
      <c r="S15" s="166"/>
      <c r="T15" s="185">
        <f>+Q15/R15</f>
        <v>4.678872814427075E-2</v>
      </c>
      <c r="Y15" s="277"/>
    </row>
    <row r="16" spans="1:25" x14ac:dyDescent="0.2">
      <c r="A16" s="277"/>
      <c r="B16" s="177" t="s">
        <v>82</v>
      </c>
      <c r="C16" s="268">
        <f>SUM(C12:C15)</f>
        <v>0</v>
      </c>
      <c r="D16" s="268">
        <f>SUM(D12:D15)</f>
        <v>170220.89</v>
      </c>
      <c r="E16" s="178">
        <f>SUM(E12:E15)</f>
        <v>212182.87999999995</v>
      </c>
      <c r="F16" s="178">
        <f t="shared" ref="F16:R16" si="1">SUM(F12:F15)</f>
        <v>-554.63999999999942</v>
      </c>
      <c r="G16" s="178">
        <f t="shared" si="1"/>
        <v>512995.28000000009</v>
      </c>
      <c r="H16" s="178">
        <f t="shared" si="1"/>
        <v>319445.90000000002</v>
      </c>
      <c r="I16" s="178">
        <f t="shared" si="1"/>
        <v>351075.76</v>
      </c>
      <c r="J16" s="178">
        <f t="shared" si="1"/>
        <v>0</v>
      </c>
      <c r="K16" s="178">
        <f t="shared" si="1"/>
        <v>0</v>
      </c>
      <c r="L16" s="178">
        <f t="shared" si="1"/>
        <v>0</v>
      </c>
      <c r="M16" s="178">
        <f t="shared" si="1"/>
        <v>0</v>
      </c>
      <c r="N16" s="178">
        <f t="shared" si="1"/>
        <v>0</v>
      </c>
      <c r="O16" s="178">
        <f t="shared" si="1"/>
        <v>0</v>
      </c>
      <c r="P16" s="186">
        <f t="shared" si="1"/>
        <v>1565366.07</v>
      </c>
      <c r="Q16" s="179">
        <f t="shared" si="1"/>
        <v>1565366.07</v>
      </c>
      <c r="R16" s="179">
        <f t="shared" si="1"/>
        <v>35882820</v>
      </c>
      <c r="S16" s="179">
        <f>SUM(S12:S15)</f>
        <v>0</v>
      </c>
      <c r="T16" s="185">
        <f>+Q16/R16</f>
        <v>4.3624388216979601E-2</v>
      </c>
      <c r="Y16" s="277"/>
    </row>
    <row r="17" spans="1:25" ht="4.5" customHeight="1" x14ac:dyDescent="0.2">
      <c r="A17" s="277"/>
      <c r="B17" s="153"/>
      <c r="C17" s="169"/>
      <c r="D17" s="162"/>
      <c r="E17" s="162"/>
      <c r="F17" s="162"/>
      <c r="G17" s="162"/>
      <c r="H17" s="162"/>
      <c r="I17" s="162"/>
      <c r="J17" s="162"/>
      <c r="K17" s="162"/>
      <c r="L17" s="162"/>
      <c r="M17" s="162"/>
      <c r="N17" s="162"/>
      <c r="O17" s="163"/>
      <c r="P17" s="169"/>
      <c r="Q17" s="166"/>
      <c r="R17" s="166"/>
      <c r="S17" s="166"/>
      <c r="T17" s="187"/>
      <c r="Y17" s="277"/>
    </row>
    <row r="18" spans="1:25" x14ac:dyDescent="0.2">
      <c r="A18" s="277"/>
      <c r="B18" s="363" t="s">
        <v>159</v>
      </c>
      <c r="C18" s="169"/>
      <c r="D18" s="162"/>
      <c r="E18" s="162"/>
      <c r="F18" s="162"/>
      <c r="G18" s="162"/>
      <c r="H18" s="162"/>
      <c r="I18" s="162"/>
      <c r="J18" s="162"/>
      <c r="K18" s="162"/>
      <c r="L18" s="162"/>
      <c r="M18" s="162"/>
      <c r="N18" s="162"/>
      <c r="O18" s="169"/>
      <c r="P18" s="169"/>
      <c r="Q18" s="166"/>
      <c r="R18" s="166"/>
      <c r="S18" s="188"/>
      <c r="T18" s="187"/>
      <c r="Y18" s="277"/>
    </row>
    <row r="19" spans="1:25" x14ac:dyDescent="0.2">
      <c r="A19" s="277" t="s">
        <v>130</v>
      </c>
      <c r="B19" s="168" t="s">
        <v>84</v>
      </c>
      <c r="C19" s="169">
        <v>0</v>
      </c>
      <c r="D19" s="162">
        <v>24375.600000000013</v>
      </c>
      <c r="E19" s="162">
        <v>30776.860000000011</v>
      </c>
      <c r="F19" s="162">
        <v>29340.29</v>
      </c>
      <c r="G19" s="162">
        <v>28805.39</v>
      </c>
      <c r="H19" s="162">
        <v>50888.34</v>
      </c>
      <c r="I19" s="162">
        <v>81756.53</v>
      </c>
      <c r="J19" s="162"/>
      <c r="K19" s="162"/>
      <c r="L19" s="162"/>
      <c r="M19" s="162"/>
      <c r="N19" s="162"/>
      <c r="O19" s="169"/>
      <c r="P19" s="169">
        <f>SUM(D19:O19)</f>
        <v>245943.01000000004</v>
      </c>
      <c r="Q19" s="166">
        <f>C19+P19</f>
        <v>245943.01000000004</v>
      </c>
      <c r="R19" s="189">
        <v>1187700</v>
      </c>
      <c r="S19" s="190"/>
      <c r="T19" s="185">
        <f>+Q19/R19</f>
        <v>0.20707502736381245</v>
      </c>
      <c r="Y19" s="277"/>
    </row>
    <row r="20" spans="1:25" x14ac:dyDescent="0.2">
      <c r="A20" s="277"/>
      <c r="B20" s="177" t="s">
        <v>85</v>
      </c>
      <c r="C20" s="268">
        <f>C19</f>
        <v>0</v>
      </c>
      <c r="D20" s="268">
        <f>D19</f>
        <v>24375.600000000013</v>
      </c>
      <c r="E20" s="178">
        <f>E19</f>
        <v>30776.860000000011</v>
      </c>
      <c r="F20" s="178">
        <f t="shared" ref="F20:R20" si="2">F19</f>
        <v>29340.29</v>
      </c>
      <c r="G20" s="178">
        <f t="shared" si="2"/>
        <v>28805.39</v>
      </c>
      <c r="H20" s="178">
        <f t="shared" si="2"/>
        <v>50888.34</v>
      </c>
      <c r="I20" s="178">
        <f t="shared" si="2"/>
        <v>81756.53</v>
      </c>
      <c r="J20" s="178">
        <f t="shared" si="2"/>
        <v>0</v>
      </c>
      <c r="K20" s="178">
        <f t="shared" si="2"/>
        <v>0</v>
      </c>
      <c r="L20" s="178">
        <f t="shared" si="2"/>
        <v>0</v>
      </c>
      <c r="M20" s="178">
        <f t="shared" si="2"/>
        <v>0</v>
      </c>
      <c r="N20" s="178">
        <f t="shared" si="2"/>
        <v>0</v>
      </c>
      <c r="O20" s="178">
        <f t="shared" si="2"/>
        <v>0</v>
      </c>
      <c r="P20" s="186">
        <f t="shared" si="2"/>
        <v>245943.01000000004</v>
      </c>
      <c r="Q20" s="179">
        <f t="shared" si="2"/>
        <v>245943.01000000004</v>
      </c>
      <c r="R20" s="179">
        <f t="shared" si="2"/>
        <v>1187700</v>
      </c>
      <c r="S20" s="179">
        <f>S19</f>
        <v>0</v>
      </c>
      <c r="T20" s="194">
        <f>+Q20/R20</f>
        <v>0.20707502736381245</v>
      </c>
      <c r="Y20" s="277"/>
    </row>
    <row r="21" spans="1:25" ht="3" customHeight="1" x14ac:dyDescent="0.2">
      <c r="A21" s="277"/>
      <c r="B21" s="168"/>
      <c r="C21" s="169"/>
      <c r="D21" s="162"/>
      <c r="E21" s="162"/>
      <c r="F21" s="162"/>
      <c r="G21" s="162"/>
      <c r="H21" s="162"/>
      <c r="I21" s="162"/>
      <c r="J21" s="162"/>
      <c r="K21" s="162"/>
      <c r="L21" s="162"/>
      <c r="M21" s="162"/>
      <c r="N21" s="162"/>
      <c r="O21" s="169"/>
      <c r="P21" s="169"/>
      <c r="Q21" s="166"/>
      <c r="R21" s="170"/>
      <c r="S21" s="170"/>
      <c r="T21" s="195"/>
      <c r="Y21" s="277"/>
    </row>
    <row r="22" spans="1:25" x14ac:dyDescent="0.2">
      <c r="A22" s="277"/>
      <c r="B22" s="161" t="s">
        <v>160</v>
      </c>
      <c r="C22" s="169"/>
      <c r="D22" s="162"/>
      <c r="E22" s="162"/>
      <c r="F22" s="162"/>
      <c r="G22" s="162"/>
      <c r="H22" s="162"/>
      <c r="I22" s="162"/>
      <c r="J22" s="162"/>
      <c r="K22" s="162"/>
      <c r="L22" s="162"/>
      <c r="M22" s="162"/>
      <c r="N22" s="162"/>
      <c r="O22" s="169"/>
      <c r="P22" s="169"/>
      <c r="Q22" s="166"/>
      <c r="R22" s="166"/>
      <c r="S22" s="166"/>
      <c r="T22" s="167"/>
      <c r="Y22" s="277"/>
    </row>
    <row r="23" spans="1:25" x14ac:dyDescent="0.2">
      <c r="A23" s="277" t="s">
        <v>131</v>
      </c>
      <c r="B23" s="168" t="s">
        <v>161</v>
      </c>
      <c r="C23" s="169">
        <v>0</v>
      </c>
      <c r="D23" s="162">
        <v>43310.020000000011</v>
      </c>
      <c r="E23" s="162">
        <v>54004.30000000001</v>
      </c>
      <c r="F23" s="196">
        <v>50868.28</v>
      </c>
      <c r="G23" s="162">
        <v>50024.38</v>
      </c>
      <c r="H23" s="162">
        <v>64742.26</v>
      </c>
      <c r="I23" s="162">
        <v>87001.18</v>
      </c>
      <c r="J23" s="162"/>
      <c r="K23" s="162"/>
      <c r="L23" s="162"/>
      <c r="M23" s="162"/>
      <c r="N23" s="162"/>
      <c r="O23" s="169"/>
      <c r="P23" s="169">
        <f>SUM(D23:O23)</f>
        <v>349950.42000000004</v>
      </c>
      <c r="Q23" s="166">
        <f>C23+P23</f>
        <v>349950.42000000004</v>
      </c>
      <c r="R23" s="166">
        <v>26297459</v>
      </c>
      <c r="S23" s="166"/>
      <c r="T23" s="171">
        <f>Q23/R23</f>
        <v>1.3307385325707705E-2</v>
      </c>
      <c r="Y23" s="277"/>
    </row>
    <row r="24" spans="1:25" x14ac:dyDescent="0.2">
      <c r="A24" s="277" t="s">
        <v>140</v>
      </c>
      <c r="B24" s="168" t="s">
        <v>86</v>
      </c>
      <c r="C24" s="169">
        <v>0</v>
      </c>
      <c r="D24" s="162">
        <v>18904.670000000002</v>
      </c>
      <c r="E24" s="162">
        <v>22445.479999999996</v>
      </c>
      <c r="F24" s="162">
        <v>22538.44</v>
      </c>
      <c r="G24" s="162">
        <v>19680.810000000001</v>
      </c>
      <c r="H24" s="162">
        <v>25394.54</v>
      </c>
      <c r="I24" s="162">
        <v>19472.939999999999</v>
      </c>
      <c r="J24" s="162"/>
      <c r="K24" s="162"/>
      <c r="L24" s="162"/>
      <c r="M24" s="162"/>
      <c r="N24" s="162"/>
      <c r="O24" s="169"/>
      <c r="P24" s="169">
        <f>SUM(D24:O24)</f>
        <v>128436.88</v>
      </c>
      <c r="Q24" s="166">
        <f>C24+P24</f>
        <v>128436.88</v>
      </c>
      <c r="R24" s="189">
        <v>3749238</v>
      </c>
      <c r="S24" s="189"/>
      <c r="T24" s="185">
        <f>Q24/R24</f>
        <v>3.4256795647542249E-2</v>
      </c>
      <c r="Y24" s="277"/>
    </row>
    <row r="25" spans="1:25" x14ac:dyDescent="0.2">
      <c r="A25" s="277"/>
      <c r="B25" s="177" t="s">
        <v>87</v>
      </c>
      <c r="C25" s="268">
        <f>SUM(C23:C24)</f>
        <v>0</v>
      </c>
      <c r="D25" s="268">
        <f>SUM(D23:D24)</f>
        <v>62214.690000000017</v>
      </c>
      <c r="E25" s="178">
        <f>SUM(E23:E24)</f>
        <v>76449.78</v>
      </c>
      <c r="F25" s="178">
        <f t="shared" ref="F25:S25" si="3">SUM(F23:F24)</f>
        <v>73406.720000000001</v>
      </c>
      <c r="G25" s="178">
        <f t="shared" si="3"/>
        <v>69705.19</v>
      </c>
      <c r="H25" s="178">
        <f t="shared" si="3"/>
        <v>90136.8</v>
      </c>
      <c r="I25" s="178">
        <f t="shared" si="3"/>
        <v>106474.12</v>
      </c>
      <c r="J25" s="178">
        <f t="shared" si="3"/>
        <v>0</v>
      </c>
      <c r="K25" s="178">
        <f t="shared" si="3"/>
        <v>0</v>
      </c>
      <c r="L25" s="178">
        <f t="shared" si="3"/>
        <v>0</v>
      </c>
      <c r="M25" s="178">
        <f t="shared" si="3"/>
        <v>0</v>
      </c>
      <c r="N25" s="178">
        <f t="shared" si="3"/>
        <v>0</v>
      </c>
      <c r="O25" s="178">
        <f t="shared" si="3"/>
        <v>0</v>
      </c>
      <c r="P25" s="268">
        <f t="shared" si="3"/>
        <v>478387.30000000005</v>
      </c>
      <c r="Q25" s="268">
        <f t="shared" si="3"/>
        <v>478387.30000000005</v>
      </c>
      <c r="R25" s="186">
        <f t="shared" si="3"/>
        <v>30046697</v>
      </c>
      <c r="S25" s="186">
        <f t="shared" si="3"/>
        <v>0</v>
      </c>
      <c r="T25" s="185">
        <f>+Q25/R25</f>
        <v>1.5921460518605424E-2</v>
      </c>
      <c r="Y25" s="277"/>
    </row>
    <row r="26" spans="1:25" ht="3" customHeight="1" x14ac:dyDescent="0.2">
      <c r="A26" s="277"/>
      <c r="B26" s="168"/>
      <c r="C26" s="169"/>
      <c r="D26" s="162"/>
      <c r="E26" s="162"/>
      <c r="F26" s="162"/>
      <c r="G26" s="162"/>
      <c r="H26" s="162"/>
      <c r="I26" s="162"/>
      <c r="J26" s="162"/>
      <c r="K26" s="162"/>
      <c r="L26" s="162"/>
      <c r="M26" s="162"/>
      <c r="N26" s="162"/>
      <c r="O26" s="169"/>
      <c r="P26" s="169"/>
      <c r="Q26" s="166"/>
      <c r="R26" s="166"/>
      <c r="S26" s="166"/>
      <c r="T26" s="187"/>
      <c r="Y26" s="277"/>
    </row>
    <row r="27" spans="1:25" x14ac:dyDescent="0.2">
      <c r="A27" s="277"/>
      <c r="B27" s="271" t="s">
        <v>162</v>
      </c>
      <c r="C27" s="169"/>
      <c r="D27" s="162"/>
      <c r="E27" s="162"/>
      <c r="F27" s="162"/>
      <c r="G27" s="162"/>
      <c r="H27" s="162"/>
      <c r="I27" s="162"/>
      <c r="J27" s="162"/>
      <c r="K27" s="162"/>
      <c r="L27" s="162"/>
      <c r="M27" s="162"/>
      <c r="N27" s="162"/>
      <c r="O27" s="169"/>
      <c r="P27" s="169"/>
      <c r="Q27" s="166"/>
      <c r="R27" s="166"/>
      <c r="S27" s="166"/>
      <c r="T27" s="187"/>
      <c r="Y27" s="277"/>
    </row>
    <row r="28" spans="1:25" x14ac:dyDescent="0.2">
      <c r="A28" s="277" t="s">
        <v>133</v>
      </c>
      <c r="B28" s="168" t="s">
        <v>163</v>
      </c>
      <c r="C28" s="169">
        <v>0</v>
      </c>
      <c r="D28" s="162">
        <v>13353.599999999999</v>
      </c>
      <c r="E28" s="162">
        <v>15482.179999999997</v>
      </c>
      <c r="F28" s="162">
        <v>15217.72</v>
      </c>
      <c r="G28" s="162">
        <v>14159.1</v>
      </c>
      <c r="H28" s="162">
        <v>17858.759999999998</v>
      </c>
      <c r="I28" s="162">
        <v>12012.19</v>
      </c>
      <c r="J28" s="162"/>
      <c r="K28" s="162"/>
      <c r="L28" s="162"/>
      <c r="M28" s="162"/>
      <c r="N28" s="162"/>
      <c r="O28" s="169"/>
      <c r="P28" s="197">
        <f>SUM(D28:O28)</f>
        <v>88083.549999999988</v>
      </c>
      <c r="Q28" s="198">
        <f>C28+P28</f>
        <v>88083.549999999988</v>
      </c>
      <c r="R28" s="166">
        <v>2458336</v>
      </c>
      <c r="S28" s="166"/>
      <c r="T28" s="199">
        <f>Q28/R28</f>
        <v>3.5830557743123798E-2</v>
      </c>
      <c r="Y28" s="277"/>
    </row>
    <row r="29" spans="1:25" x14ac:dyDescent="0.2">
      <c r="A29" s="277"/>
      <c r="B29" s="168" t="s">
        <v>164</v>
      </c>
      <c r="C29" s="169">
        <v>0</v>
      </c>
      <c r="D29" s="162">
        <v>0</v>
      </c>
      <c r="E29" s="162">
        <v>0</v>
      </c>
      <c r="F29" s="162">
        <v>0</v>
      </c>
      <c r="G29" s="162">
        <v>0</v>
      </c>
      <c r="H29" s="162">
        <v>0</v>
      </c>
      <c r="I29" s="162">
        <v>0</v>
      </c>
      <c r="J29" s="162"/>
      <c r="K29" s="162"/>
      <c r="L29" s="162"/>
      <c r="M29" s="162"/>
      <c r="N29" s="162"/>
      <c r="O29" s="169"/>
      <c r="P29" s="197">
        <f>SUM(D29:O29)</f>
        <v>0</v>
      </c>
      <c r="Q29" s="198">
        <f>C29+P29</f>
        <v>0</v>
      </c>
      <c r="R29" s="166">
        <v>2458336</v>
      </c>
      <c r="S29" s="166"/>
      <c r="T29" s="199">
        <f>Q29/R29</f>
        <v>0</v>
      </c>
      <c r="Y29" s="277"/>
    </row>
    <row r="30" spans="1:25" x14ac:dyDescent="0.2">
      <c r="A30" s="373" t="s">
        <v>150</v>
      </c>
      <c r="B30" s="168" t="s">
        <v>165</v>
      </c>
      <c r="C30" s="169">
        <v>0</v>
      </c>
      <c r="D30" s="162">
        <v>0</v>
      </c>
      <c r="E30" s="162">
        <v>0</v>
      </c>
      <c r="F30" s="162">
        <v>0</v>
      </c>
      <c r="G30" s="162">
        <v>0</v>
      </c>
      <c r="H30" s="162">
        <v>0</v>
      </c>
      <c r="I30" s="162">
        <v>0</v>
      </c>
      <c r="J30" s="162"/>
      <c r="K30" s="162"/>
      <c r="L30" s="162"/>
      <c r="M30" s="162"/>
      <c r="N30" s="162"/>
      <c r="O30" s="169"/>
      <c r="P30" s="197">
        <f>SUM(D30:O30)</f>
        <v>0</v>
      </c>
      <c r="Q30" s="198">
        <f>C30+P30</f>
        <v>0</v>
      </c>
      <c r="R30" s="166">
        <v>3000000</v>
      </c>
      <c r="S30" s="166"/>
      <c r="T30" s="201">
        <f>Q30/R30</f>
        <v>0</v>
      </c>
      <c r="Y30" s="277"/>
    </row>
    <row r="31" spans="1:25" x14ac:dyDescent="0.2">
      <c r="A31" s="277"/>
      <c r="B31" s="177" t="s">
        <v>88</v>
      </c>
      <c r="C31" s="268">
        <f t="shared" ref="C31:S31" si="4">SUM(C28:C30)</f>
        <v>0</v>
      </c>
      <c r="D31" s="268">
        <f t="shared" si="4"/>
        <v>13353.599999999999</v>
      </c>
      <c r="E31" s="178">
        <f t="shared" si="4"/>
        <v>15482.179999999997</v>
      </c>
      <c r="F31" s="178">
        <f t="shared" si="4"/>
        <v>15217.72</v>
      </c>
      <c r="G31" s="178">
        <f t="shared" si="4"/>
        <v>14159.1</v>
      </c>
      <c r="H31" s="178">
        <f t="shared" si="4"/>
        <v>17858.759999999998</v>
      </c>
      <c r="I31" s="178">
        <f t="shared" si="4"/>
        <v>12012.19</v>
      </c>
      <c r="J31" s="178">
        <f t="shared" si="4"/>
        <v>0</v>
      </c>
      <c r="K31" s="178">
        <f t="shared" si="4"/>
        <v>0</v>
      </c>
      <c r="L31" s="178">
        <f t="shared" si="4"/>
        <v>0</v>
      </c>
      <c r="M31" s="178">
        <f t="shared" si="4"/>
        <v>0</v>
      </c>
      <c r="N31" s="178">
        <f t="shared" si="4"/>
        <v>0</v>
      </c>
      <c r="O31" s="179">
        <f t="shared" si="4"/>
        <v>0</v>
      </c>
      <c r="P31" s="179">
        <f t="shared" si="4"/>
        <v>88083.549999999988</v>
      </c>
      <c r="Q31" s="186">
        <f t="shared" si="4"/>
        <v>88083.549999999988</v>
      </c>
      <c r="R31" s="186">
        <f t="shared" si="4"/>
        <v>7916672</v>
      </c>
      <c r="S31" s="186">
        <f t="shared" si="4"/>
        <v>0</v>
      </c>
      <c r="T31" s="202">
        <f>Q31/R31</f>
        <v>1.1126335662258079E-2</v>
      </c>
      <c r="Y31" s="277"/>
    </row>
    <row r="32" spans="1:25" ht="3" customHeight="1" x14ac:dyDescent="0.2">
      <c r="A32" s="277"/>
      <c r="B32" s="168"/>
      <c r="C32" s="169"/>
      <c r="D32" s="162"/>
      <c r="E32" s="162"/>
      <c r="F32" s="162"/>
      <c r="G32" s="162"/>
      <c r="H32" s="162"/>
      <c r="I32" s="162"/>
      <c r="J32" s="162"/>
      <c r="K32" s="162"/>
      <c r="L32" s="162"/>
      <c r="M32" s="162"/>
      <c r="N32" s="162"/>
      <c r="O32" s="169"/>
      <c r="P32" s="169"/>
      <c r="Q32" s="166"/>
      <c r="R32" s="166"/>
      <c r="S32" s="166"/>
      <c r="T32" s="187"/>
      <c r="Y32" s="277"/>
    </row>
    <row r="33" spans="1:25" ht="12.75" customHeight="1" x14ac:dyDescent="0.2">
      <c r="A33" s="277"/>
      <c r="B33" s="363" t="s">
        <v>166</v>
      </c>
      <c r="C33" s="169"/>
      <c r="D33" s="162"/>
      <c r="E33" s="162"/>
      <c r="F33" s="162"/>
      <c r="G33" s="162"/>
      <c r="H33" s="162"/>
      <c r="I33" s="162"/>
      <c r="J33" s="162"/>
      <c r="K33" s="162"/>
      <c r="L33" s="162"/>
      <c r="M33" s="162"/>
      <c r="N33" s="162"/>
      <c r="O33" s="169"/>
      <c r="P33" s="169"/>
      <c r="Q33" s="166"/>
      <c r="R33" s="166"/>
      <c r="S33" s="166"/>
      <c r="T33" s="187"/>
      <c r="Y33" s="277"/>
    </row>
    <row r="34" spans="1:25" x14ac:dyDescent="0.2">
      <c r="A34" s="373" t="s">
        <v>139</v>
      </c>
      <c r="B34" s="168" t="s">
        <v>167</v>
      </c>
      <c r="C34" s="166">
        <v>0</v>
      </c>
      <c r="D34" s="162">
        <v>0</v>
      </c>
      <c r="E34" s="162">
        <v>0</v>
      </c>
      <c r="F34" s="196">
        <v>0</v>
      </c>
      <c r="G34" s="162">
        <v>0</v>
      </c>
      <c r="H34" s="162">
        <v>0</v>
      </c>
      <c r="I34" s="162">
        <v>0</v>
      </c>
      <c r="J34" s="162"/>
      <c r="K34" s="162"/>
      <c r="L34" s="162"/>
      <c r="M34" s="162"/>
      <c r="N34" s="162"/>
      <c r="O34" s="169"/>
      <c r="P34" s="169">
        <f>SUM(D34:O34)</f>
        <v>0</v>
      </c>
      <c r="Q34" s="166">
        <f>C34+P34</f>
        <v>0</v>
      </c>
      <c r="R34" s="166">
        <v>14520981</v>
      </c>
      <c r="S34" s="166"/>
      <c r="T34" s="200">
        <f>Q34/R34</f>
        <v>0</v>
      </c>
      <c r="Y34" s="277"/>
    </row>
    <row r="35" spans="1:25" x14ac:dyDescent="0.2">
      <c r="A35" s="373"/>
      <c r="B35" s="168" t="s">
        <v>168</v>
      </c>
      <c r="C35" s="193">
        <v>0</v>
      </c>
      <c r="D35" s="162">
        <v>0</v>
      </c>
      <c r="E35" s="162">
        <v>0</v>
      </c>
      <c r="F35" s="196">
        <v>0</v>
      </c>
      <c r="G35" s="162">
        <v>0</v>
      </c>
      <c r="H35" s="162">
        <v>0</v>
      </c>
      <c r="I35" s="162">
        <v>10802.47</v>
      </c>
      <c r="J35" s="162"/>
      <c r="K35" s="162"/>
      <c r="L35" s="162"/>
      <c r="M35" s="162"/>
      <c r="N35" s="162"/>
      <c r="O35" s="162"/>
      <c r="P35" s="193">
        <f>SUM(D35:O35)</f>
        <v>10802.47</v>
      </c>
      <c r="Q35" s="166">
        <f>C35+P35</f>
        <v>10802.47</v>
      </c>
      <c r="R35" s="162">
        <v>1200000</v>
      </c>
      <c r="S35" s="166"/>
      <c r="T35" s="202">
        <f>Q35/R35</f>
        <v>9.0020583333333334E-3</v>
      </c>
      <c r="Y35" s="277"/>
    </row>
    <row r="36" spans="1:25" x14ac:dyDescent="0.2">
      <c r="A36" s="277"/>
      <c r="B36" s="177" t="s">
        <v>89</v>
      </c>
      <c r="C36" s="268">
        <f>SUM(C34:C35)</f>
        <v>0</v>
      </c>
      <c r="D36" s="268">
        <f>SUM(D34:D35)</f>
        <v>0</v>
      </c>
      <c r="E36" s="178">
        <f>SUM(E34:E35)</f>
        <v>0</v>
      </c>
      <c r="F36" s="178">
        <f t="shared" ref="F36:S36" si="5">SUM(F34:F35)</f>
        <v>0</v>
      </c>
      <c r="G36" s="178">
        <f t="shared" si="5"/>
        <v>0</v>
      </c>
      <c r="H36" s="178">
        <f t="shared" si="5"/>
        <v>0</v>
      </c>
      <c r="I36" s="178">
        <f t="shared" si="5"/>
        <v>10802.47</v>
      </c>
      <c r="J36" s="178">
        <f t="shared" si="5"/>
        <v>0</v>
      </c>
      <c r="K36" s="178">
        <f t="shared" si="5"/>
        <v>0</v>
      </c>
      <c r="L36" s="178">
        <f t="shared" si="5"/>
        <v>0</v>
      </c>
      <c r="M36" s="178">
        <f t="shared" si="5"/>
        <v>0</v>
      </c>
      <c r="N36" s="178">
        <f t="shared" si="5"/>
        <v>0</v>
      </c>
      <c r="O36" s="178">
        <f t="shared" si="5"/>
        <v>0</v>
      </c>
      <c r="P36" s="268">
        <f t="shared" si="5"/>
        <v>10802.47</v>
      </c>
      <c r="Q36" s="178">
        <f t="shared" si="5"/>
        <v>10802.47</v>
      </c>
      <c r="R36" s="186">
        <f t="shared" si="5"/>
        <v>15720981</v>
      </c>
      <c r="S36" s="186">
        <f t="shared" si="5"/>
        <v>0</v>
      </c>
      <c r="T36" s="202">
        <f>Q36/R36</f>
        <v>6.8713714494025532E-4</v>
      </c>
      <c r="Y36" s="277"/>
    </row>
    <row r="37" spans="1:25" ht="3" customHeight="1" x14ac:dyDescent="0.2">
      <c r="A37" s="277"/>
      <c r="B37" s="168"/>
      <c r="C37" s="169"/>
      <c r="D37" s="162"/>
      <c r="E37" s="162"/>
      <c r="F37" s="162"/>
      <c r="G37" s="162"/>
      <c r="H37" s="162"/>
      <c r="I37" s="162"/>
      <c r="J37" s="162"/>
      <c r="K37" s="162"/>
      <c r="L37" s="162"/>
      <c r="M37" s="162"/>
      <c r="N37" s="162"/>
      <c r="O37" s="169"/>
      <c r="P37" s="169"/>
      <c r="Q37" s="166"/>
      <c r="R37" s="170"/>
      <c r="S37" s="170"/>
      <c r="T37" s="203"/>
      <c r="Y37" s="277"/>
    </row>
    <row r="38" spans="1:25" ht="12.75" customHeight="1" x14ac:dyDescent="0.2">
      <c r="A38" s="277"/>
      <c r="B38" s="161" t="s">
        <v>169</v>
      </c>
      <c r="C38" s="169"/>
      <c r="D38" s="162"/>
      <c r="E38" s="162"/>
      <c r="F38" s="206"/>
      <c r="G38" s="162"/>
      <c r="H38" s="162"/>
      <c r="I38" s="162"/>
      <c r="J38" s="162"/>
      <c r="K38" s="162"/>
      <c r="L38" s="162"/>
      <c r="M38" s="162"/>
      <c r="N38" s="162"/>
      <c r="O38" s="169"/>
      <c r="P38" s="169"/>
      <c r="Q38" s="166"/>
      <c r="R38" s="166"/>
      <c r="S38" s="166"/>
      <c r="T38" s="200"/>
      <c r="Y38" s="277"/>
    </row>
    <row r="39" spans="1:25" ht="12.75" customHeight="1" x14ac:dyDescent="0.2">
      <c r="A39" s="277"/>
      <c r="B39" s="168" t="s">
        <v>184</v>
      </c>
      <c r="C39" s="169">
        <v>0</v>
      </c>
      <c r="D39" s="162">
        <v>0</v>
      </c>
      <c r="E39" s="162">
        <v>0</v>
      </c>
      <c r="F39" s="162">
        <v>0</v>
      </c>
      <c r="G39" s="162">
        <v>0</v>
      </c>
      <c r="H39" s="162">
        <v>0</v>
      </c>
      <c r="I39" s="162">
        <v>0</v>
      </c>
      <c r="J39" s="162"/>
      <c r="K39" s="162"/>
      <c r="L39" s="162"/>
      <c r="M39" s="162"/>
      <c r="N39" s="162"/>
      <c r="O39" s="169"/>
      <c r="P39" s="169">
        <f>SUM(D39:O39)</f>
        <v>0</v>
      </c>
      <c r="Q39" s="166">
        <f>C39+P39</f>
        <v>0</v>
      </c>
      <c r="R39" s="166">
        <v>3500000</v>
      </c>
      <c r="S39" s="166"/>
      <c r="T39" s="200">
        <f>Q39/R39</f>
        <v>0</v>
      </c>
      <c r="Y39" s="277"/>
    </row>
    <row r="40" spans="1:25" ht="13.5" x14ac:dyDescent="0.2">
      <c r="A40" s="277" t="s">
        <v>137</v>
      </c>
      <c r="B40" s="168" t="s">
        <v>190</v>
      </c>
      <c r="C40" s="166">
        <v>0</v>
      </c>
      <c r="D40" s="162">
        <f>48816.13</f>
        <v>48816.13</v>
      </c>
      <c r="E40" s="162">
        <f>86252.2000000001</f>
        <v>86252.200000000099</v>
      </c>
      <c r="F40" s="162">
        <f>101581.96</f>
        <v>101581.96</v>
      </c>
      <c r="G40" s="162">
        <f>86759.6</f>
        <v>86759.6</v>
      </c>
      <c r="H40" s="162">
        <f>529344-2997.47-441716.12-15870.91</f>
        <v>68759.500000000029</v>
      </c>
      <c r="I40" s="162">
        <v>86773.03</v>
      </c>
      <c r="J40" s="162"/>
      <c r="K40" s="162"/>
      <c r="L40" s="162"/>
      <c r="M40" s="162"/>
      <c r="N40" s="162"/>
      <c r="O40" s="169"/>
      <c r="P40" s="169">
        <f>SUM(D40:O40)</f>
        <v>478942.42000000016</v>
      </c>
      <c r="Q40" s="166">
        <f>C40+P40</f>
        <v>478942.42000000016</v>
      </c>
      <c r="R40" s="166">
        <v>13000000</v>
      </c>
      <c r="S40" s="166"/>
      <c r="T40" s="200">
        <f>Q40/R40</f>
        <v>3.6841724615384625E-2</v>
      </c>
      <c r="Y40" s="277"/>
    </row>
    <row r="41" spans="1:25" ht="13.5" x14ac:dyDescent="0.2">
      <c r="A41" s="277"/>
      <c r="B41" s="168" t="s">
        <v>191</v>
      </c>
      <c r="C41" s="169"/>
      <c r="D41" s="162">
        <f>1990.54+4390.65</f>
        <v>6381.19</v>
      </c>
      <c r="E41" s="162">
        <f>7747.52+4173.21</f>
        <v>11920.73</v>
      </c>
      <c r="F41" s="162">
        <f>10118.45+790.74</f>
        <v>10909.19</v>
      </c>
      <c r="G41" s="162">
        <f>214937.05+1997.17</f>
        <v>216934.22</v>
      </c>
      <c r="H41" s="162">
        <f>441716.12+15870.91+2997.47</f>
        <v>460584.49999999994</v>
      </c>
      <c r="I41" s="162">
        <v>462101.29</v>
      </c>
      <c r="J41" s="162"/>
      <c r="K41" s="162"/>
      <c r="L41" s="162"/>
      <c r="M41" s="162"/>
      <c r="N41" s="162"/>
      <c r="O41" s="169"/>
      <c r="P41" s="169">
        <f>SUM(D41:O41)</f>
        <v>1168831.1199999999</v>
      </c>
      <c r="Q41" s="166">
        <f>C41+P41</f>
        <v>1168831.1199999999</v>
      </c>
      <c r="R41" s="166">
        <v>0</v>
      </c>
      <c r="S41" s="166"/>
      <c r="T41" s="200"/>
      <c r="Y41" s="277"/>
    </row>
    <row r="42" spans="1:25" x14ac:dyDescent="0.2">
      <c r="A42" s="277" t="s">
        <v>136</v>
      </c>
      <c r="B42" s="168" t="s">
        <v>170</v>
      </c>
      <c r="C42" s="169">
        <v>0</v>
      </c>
      <c r="D42" s="162">
        <v>863.40999999999985</v>
      </c>
      <c r="E42" s="162">
        <v>5525.58</v>
      </c>
      <c r="F42" s="162">
        <v>19296.46</v>
      </c>
      <c r="G42" s="162">
        <v>4940.49</v>
      </c>
      <c r="H42" s="162">
        <v>5923.41</v>
      </c>
      <c r="I42" s="162">
        <v>4151.55</v>
      </c>
      <c r="J42" s="162"/>
      <c r="K42" s="162"/>
      <c r="L42" s="162"/>
      <c r="M42" s="162"/>
      <c r="N42" s="162"/>
      <c r="O42" s="169"/>
      <c r="P42" s="169">
        <f>SUM(D42:O42)</f>
        <v>40700.899999999994</v>
      </c>
      <c r="Q42" s="166">
        <f>C42+P42</f>
        <v>40700.899999999994</v>
      </c>
      <c r="R42" s="166">
        <v>771993</v>
      </c>
      <c r="S42" s="166"/>
      <c r="T42" s="200">
        <f>Q42/R42</f>
        <v>5.2721851104867525E-2</v>
      </c>
      <c r="Y42" s="277"/>
    </row>
    <row r="43" spans="1:25" x14ac:dyDescent="0.2">
      <c r="A43" s="277"/>
      <c r="B43" s="177" t="s">
        <v>90</v>
      </c>
      <c r="C43" s="268">
        <f t="shared" ref="C43:S43" si="6">SUM(C39:C42)</f>
        <v>0</v>
      </c>
      <c r="D43" s="268">
        <f t="shared" si="6"/>
        <v>56060.729999999996</v>
      </c>
      <c r="E43" s="178">
        <f t="shared" si="6"/>
        <v>103698.5100000001</v>
      </c>
      <c r="F43" s="178">
        <f t="shared" si="6"/>
        <v>131787.61000000002</v>
      </c>
      <c r="G43" s="178">
        <f t="shared" si="6"/>
        <v>308634.31</v>
      </c>
      <c r="H43" s="178">
        <f t="shared" si="6"/>
        <v>535267.41</v>
      </c>
      <c r="I43" s="178">
        <f t="shared" si="6"/>
        <v>553025.87</v>
      </c>
      <c r="J43" s="178">
        <f t="shared" si="6"/>
        <v>0</v>
      </c>
      <c r="K43" s="178">
        <f t="shared" si="6"/>
        <v>0</v>
      </c>
      <c r="L43" s="178">
        <f t="shared" si="6"/>
        <v>0</v>
      </c>
      <c r="M43" s="178">
        <f t="shared" si="6"/>
        <v>0</v>
      </c>
      <c r="N43" s="178">
        <f t="shared" si="6"/>
        <v>0</v>
      </c>
      <c r="O43" s="178">
        <f t="shared" si="6"/>
        <v>0</v>
      </c>
      <c r="P43" s="178">
        <f t="shared" si="6"/>
        <v>1688474.44</v>
      </c>
      <c r="Q43" s="178">
        <f t="shared" si="6"/>
        <v>1688474.44</v>
      </c>
      <c r="R43" s="268">
        <f t="shared" si="6"/>
        <v>17271993</v>
      </c>
      <c r="S43" s="186">
        <f t="shared" si="6"/>
        <v>0</v>
      </c>
      <c r="T43" s="204">
        <f>Q43/R43</f>
        <v>9.7757939109864161E-2</v>
      </c>
      <c r="Y43" s="277"/>
    </row>
    <row r="44" spans="1:25" ht="5.25" customHeight="1" x14ac:dyDescent="0.2">
      <c r="A44" s="277"/>
      <c r="B44" s="168"/>
      <c r="C44" s="169"/>
      <c r="D44" s="196"/>
      <c r="E44" s="196"/>
      <c r="F44" s="196"/>
      <c r="G44" s="196"/>
      <c r="H44" s="196"/>
      <c r="I44" s="196"/>
      <c r="J44" s="196"/>
      <c r="K44" s="196"/>
      <c r="L44" s="196"/>
      <c r="M44" s="196"/>
      <c r="N44" s="196"/>
      <c r="O44" s="205"/>
      <c r="P44" s="169"/>
      <c r="Q44" s="166"/>
      <c r="R44" s="166"/>
      <c r="S44" s="166"/>
      <c r="T44" s="200"/>
      <c r="Y44" s="277"/>
    </row>
    <row r="45" spans="1:25" x14ac:dyDescent="0.2">
      <c r="A45" s="277"/>
      <c r="B45" s="161" t="s">
        <v>171</v>
      </c>
      <c r="C45" s="169"/>
      <c r="D45" s="162"/>
      <c r="E45" s="162"/>
      <c r="F45" s="162"/>
      <c r="G45" s="162"/>
      <c r="H45" s="162"/>
      <c r="I45" s="162"/>
      <c r="J45" s="162"/>
      <c r="K45" s="162"/>
      <c r="L45" s="162"/>
      <c r="M45" s="162"/>
      <c r="N45" s="162"/>
      <c r="O45" s="169"/>
      <c r="P45" s="169"/>
      <c r="Q45" s="166"/>
      <c r="R45" s="166"/>
      <c r="S45" s="166"/>
      <c r="T45" s="200"/>
      <c r="Y45" s="277"/>
    </row>
    <row r="46" spans="1:25" ht="13.5" x14ac:dyDescent="0.2">
      <c r="A46" s="277" t="s">
        <v>141</v>
      </c>
      <c r="B46" s="168" t="s">
        <v>200</v>
      </c>
      <c r="C46" s="166">
        <v>0</v>
      </c>
      <c r="D46" s="162">
        <v>75329.010000000097</v>
      </c>
      <c r="E46" s="162">
        <v>144538.96</v>
      </c>
      <c r="F46" s="196">
        <v>1016990.86</v>
      </c>
      <c r="G46" s="162">
        <v>135530.06</v>
      </c>
      <c r="H46" s="162">
        <v>132501.91</v>
      </c>
      <c r="I46" s="162">
        <v>154356.72</v>
      </c>
      <c r="J46" s="162"/>
      <c r="K46" s="162"/>
      <c r="L46" s="162"/>
      <c r="M46" s="162"/>
      <c r="N46" s="162"/>
      <c r="O46" s="169"/>
      <c r="P46" s="169">
        <f>SUM(D46:O46)</f>
        <v>1659247.52</v>
      </c>
      <c r="Q46" s="166">
        <f>C46+P46</f>
        <v>1659247.52</v>
      </c>
      <c r="R46" s="166">
        <v>14407887</v>
      </c>
      <c r="S46" s="166"/>
      <c r="T46" s="200">
        <f>Q46/R46</f>
        <v>0.11516244679042804</v>
      </c>
      <c r="Y46" s="277"/>
    </row>
    <row r="47" spans="1:25" x14ac:dyDescent="0.2">
      <c r="A47" s="277" t="s">
        <v>138</v>
      </c>
      <c r="B47" s="168" t="s">
        <v>172</v>
      </c>
      <c r="C47" s="169">
        <v>0</v>
      </c>
      <c r="D47" s="162">
        <v>47964.840000000091</v>
      </c>
      <c r="E47" s="162">
        <v>72082.640000000174</v>
      </c>
      <c r="F47" s="196">
        <v>125633.87</v>
      </c>
      <c r="G47" s="162">
        <v>74269.320000000007</v>
      </c>
      <c r="H47" s="162">
        <v>118012.01</v>
      </c>
      <c r="I47" s="162">
        <v>98135.06</v>
      </c>
      <c r="J47" s="162"/>
      <c r="K47" s="162"/>
      <c r="L47" s="162"/>
      <c r="M47" s="162"/>
      <c r="N47" s="162"/>
      <c r="O47" s="169"/>
      <c r="P47" s="169">
        <f>SUM(D47:O47)</f>
        <v>536097.74000000022</v>
      </c>
      <c r="Q47" s="166">
        <f>C47+P47</f>
        <v>536097.74000000022</v>
      </c>
      <c r="R47" s="166">
        <v>15787400</v>
      </c>
      <c r="S47" s="166"/>
      <c r="T47" s="200">
        <f>Q47/R47</f>
        <v>3.3957316594246056E-2</v>
      </c>
      <c r="Y47" s="277"/>
    </row>
    <row r="48" spans="1:25" ht="13.5" x14ac:dyDescent="0.2">
      <c r="A48" s="277"/>
      <c r="B48" s="168" t="s">
        <v>201</v>
      </c>
      <c r="C48" s="169">
        <v>0</v>
      </c>
      <c r="D48" s="162">
        <v>3500</v>
      </c>
      <c r="E48" s="162">
        <v>-3500</v>
      </c>
      <c r="F48" s="196">
        <v>235.34</v>
      </c>
      <c r="G48" s="162">
        <v>3738.4</v>
      </c>
      <c r="H48" s="162">
        <v>1626.58</v>
      </c>
      <c r="I48" s="162">
        <v>-1371.72</v>
      </c>
      <c r="J48" s="162"/>
      <c r="K48" s="162"/>
      <c r="L48" s="162"/>
      <c r="M48" s="162"/>
      <c r="N48" s="162"/>
      <c r="O48" s="169"/>
      <c r="P48" s="169">
        <f>SUM(D48:O48)</f>
        <v>4228.5999999999995</v>
      </c>
      <c r="Q48" s="166">
        <f>C48+P48</f>
        <v>4228.5999999999995</v>
      </c>
      <c r="R48" s="166">
        <v>7427715</v>
      </c>
      <c r="S48" s="166"/>
      <c r="T48" s="200">
        <f>Q48/R48</f>
        <v>5.6930024913449148E-4</v>
      </c>
      <c r="Y48" s="277"/>
    </row>
    <row r="49" spans="1:25" x14ac:dyDescent="0.2">
      <c r="A49" s="277"/>
      <c r="B49" s="168" t="s">
        <v>173</v>
      </c>
      <c r="C49" s="193">
        <v>0</v>
      </c>
      <c r="D49" s="162">
        <v>0</v>
      </c>
      <c r="E49" s="162">
        <v>0</v>
      </c>
      <c r="F49" s="196">
        <v>0</v>
      </c>
      <c r="G49" s="162">
        <v>0</v>
      </c>
      <c r="H49" s="162">
        <v>0</v>
      </c>
      <c r="I49" s="162">
        <v>0</v>
      </c>
      <c r="J49" s="162"/>
      <c r="K49" s="162"/>
      <c r="L49" s="162"/>
      <c r="M49" s="162"/>
      <c r="N49" s="162"/>
      <c r="O49" s="169"/>
      <c r="P49" s="169">
        <f>SUM(D49:O49)</f>
        <v>0</v>
      </c>
      <c r="Q49" s="166">
        <f>C49+P49</f>
        <v>0</v>
      </c>
      <c r="R49" s="166">
        <v>3893342</v>
      </c>
      <c r="S49" s="166"/>
      <c r="T49" s="200">
        <f>Q49/R49</f>
        <v>0</v>
      </c>
      <c r="Y49" s="277"/>
    </row>
    <row r="50" spans="1:25" x14ac:dyDescent="0.2">
      <c r="A50" s="277"/>
      <c r="B50" s="177" t="s">
        <v>91</v>
      </c>
      <c r="C50" s="193">
        <f>SUM(C47:C47)</f>
        <v>0</v>
      </c>
      <c r="D50" s="268">
        <f>SUM(D46:D49)</f>
        <v>126793.85000000018</v>
      </c>
      <c r="E50" s="178">
        <f>SUM(E46:E49)</f>
        <v>213121.60000000015</v>
      </c>
      <c r="F50" s="178">
        <f t="shared" ref="F50:R50" si="7">SUM(F46:F49)</f>
        <v>1142860.07</v>
      </c>
      <c r="G50" s="178">
        <f t="shared" si="7"/>
        <v>213537.78</v>
      </c>
      <c r="H50" s="178">
        <f t="shared" si="7"/>
        <v>252140.49999999997</v>
      </c>
      <c r="I50" s="178">
        <f t="shared" si="7"/>
        <v>251120.06</v>
      </c>
      <c r="J50" s="178">
        <f t="shared" si="7"/>
        <v>0</v>
      </c>
      <c r="K50" s="178">
        <f t="shared" si="7"/>
        <v>0</v>
      </c>
      <c r="L50" s="178">
        <f t="shared" si="7"/>
        <v>0</v>
      </c>
      <c r="M50" s="178">
        <f t="shared" si="7"/>
        <v>0</v>
      </c>
      <c r="N50" s="178">
        <f t="shared" si="7"/>
        <v>0</v>
      </c>
      <c r="O50" s="178">
        <f t="shared" si="7"/>
        <v>0</v>
      </c>
      <c r="P50" s="268">
        <f t="shared" si="7"/>
        <v>2199573.8600000003</v>
      </c>
      <c r="Q50" s="268">
        <f t="shared" si="7"/>
        <v>2199573.8600000003</v>
      </c>
      <c r="R50" s="268">
        <f t="shared" si="7"/>
        <v>41516344</v>
      </c>
      <c r="S50" s="186">
        <f>SUM(S46:S49)</f>
        <v>0</v>
      </c>
      <c r="T50" s="204">
        <f>Q50/R50</f>
        <v>5.2980914215375041E-2</v>
      </c>
      <c r="Y50" s="277"/>
    </row>
    <row r="51" spans="1:25" ht="4.5" customHeight="1" x14ac:dyDescent="0.2">
      <c r="A51" s="277"/>
      <c r="B51" s="207"/>
      <c r="C51" s="166"/>
      <c r="D51" s="162"/>
      <c r="E51" s="162"/>
      <c r="F51" s="162"/>
      <c r="G51" s="162"/>
      <c r="H51" s="162"/>
      <c r="I51" s="162"/>
      <c r="J51" s="162"/>
      <c r="K51" s="162"/>
      <c r="L51" s="162"/>
      <c r="M51" s="162"/>
      <c r="N51" s="162"/>
      <c r="O51" s="169"/>
      <c r="P51" s="169"/>
      <c r="Q51" s="166"/>
      <c r="R51" s="166"/>
      <c r="S51" s="166"/>
      <c r="T51" s="200"/>
      <c r="Y51" s="277"/>
    </row>
    <row r="52" spans="1:25" ht="26.25" customHeight="1" x14ac:dyDescent="0.2">
      <c r="A52" s="277"/>
      <c r="B52" s="161" t="s">
        <v>185</v>
      </c>
      <c r="C52" s="166"/>
      <c r="D52" s="162"/>
      <c r="E52" s="162"/>
      <c r="F52" s="162"/>
      <c r="G52" s="162"/>
      <c r="H52" s="162"/>
      <c r="I52" s="162"/>
      <c r="J52" s="162"/>
      <c r="K52" s="162"/>
      <c r="L52" s="162"/>
      <c r="M52" s="162"/>
      <c r="N52" s="162"/>
      <c r="O52" s="169"/>
      <c r="P52" s="169"/>
      <c r="Q52" s="166"/>
      <c r="R52" s="166"/>
      <c r="S52" s="166"/>
      <c r="T52" s="200"/>
      <c r="Y52" s="277"/>
    </row>
    <row r="53" spans="1:25" x14ac:dyDescent="0.2">
      <c r="A53" s="277" t="s">
        <v>151</v>
      </c>
      <c r="B53" s="168" t="s">
        <v>174</v>
      </c>
      <c r="C53" s="166">
        <v>0</v>
      </c>
      <c r="D53" s="162">
        <v>23960.1</v>
      </c>
      <c r="E53" s="162">
        <v>30036.02</v>
      </c>
      <c r="F53" s="162">
        <v>28213.83</v>
      </c>
      <c r="G53" s="162">
        <v>25873.22</v>
      </c>
      <c r="H53" s="162">
        <v>33087.230000000003</v>
      </c>
      <c r="I53" s="162">
        <v>24459.73</v>
      </c>
      <c r="J53" s="162"/>
      <c r="K53" s="162"/>
      <c r="L53" s="162"/>
      <c r="M53" s="162"/>
      <c r="N53" s="162"/>
      <c r="O53" s="169"/>
      <c r="P53" s="169">
        <f t="shared" ref="P53:P59" si="8">SUM(D53:O53)</f>
        <v>165630.13</v>
      </c>
      <c r="Q53" s="166">
        <f t="shared" ref="Q53:Q59" si="9">C53+P53</f>
        <v>165630.13</v>
      </c>
      <c r="R53" s="166">
        <v>3538000</v>
      </c>
      <c r="S53" s="166"/>
      <c r="T53" s="171">
        <f>Q53/R53</f>
        <v>4.6814621254946301E-2</v>
      </c>
      <c r="Y53" s="277"/>
    </row>
    <row r="54" spans="1:25" x14ac:dyDescent="0.2">
      <c r="A54" s="277" t="s">
        <v>148</v>
      </c>
      <c r="B54" s="168" t="s">
        <v>94</v>
      </c>
      <c r="C54" s="166">
        <v>0</v>
      </c>
      <c r="D54" s="162">
        <v>0</v>
      </c>
      <c r="E54" s="162">
        <v>0</v>
      </c>
      <c r="F54" s="196">
        <v>0</v>
      </c>
      <c r="G54" s="162">
        <v>90190.85</v>
      </c>
      <c r="H54" s="162">
        <v>39522.93</v>
      </c>
      <c r="I54" s="162">
        <v>34856.75</v>
      </c>
      <c r="J54" s="162"/>
      <c r="K54" s="162"/>
      <c r="L54" s="162"/>
      <c r="M54" s="162"/>
      <c r="N54" s="162"/>
      <c r="O54" s="169"/>
      <c r="P54" s="169">
        <f t="shared" si="8"/>
        <v>164570.53</v>
      </c>
      <c r="Q54" s="166">
        <f t="shared" si="9"/>
        <v>164570.53</v>
      </c>
      <c r="R54" s="166">
        <v>560000</v>
      </c>
      <c r="S54" s="166"/>
      <c r="T54" s="171">
        <f t="shared" ref="T54:T59" si="10">Q54/R54</f>
        <v>0.2938759464285714</v>
      </c>
      <c r="Y54" s="277"/>
    </row>
    <row r="55" spans="1:25" x14ac:dyDescent="0.2">
      <c r="A55" s="277" t="s">
        <v>145</v>
      </c>
      <c r="B55" s="168" t="s">
        <v>175</v>
      </c>
      <c r="C55" s="166">
        <v>0</v>
      </c>
      <c r="D55" s="162">
        <v>150.45000000000005</v>
      </c>
      <c r="E55" s="162">
        <v>2321.7800000000002</v>
      </c>
      <c r="F55" s="196">
        <v>1225.06</v>
      </c>
      <c r="G55" s="162">
        <v>23442.68</v>
      </c>
      <c r="H55" s="162">
        <v>61184.47</v>
      </c>
      <c r="I55" s="162">
        <v>36675.49</v>
      </c>
      <c r="J55" s="162"/>
      <c r="K55" s="162"/>
      <c r="L55" s="162"/>
      <c r="M55" s="162"/>
      <c r="N55" s="162"/>
      <c r="O55" s="169"/>
      <c r="P55" s="169">
        <f t="shared" si="8"/>
        <v>124999.93</v>
      </c>
      <c r="Q55" s="166">
        <f t="shared" si="9"/>
        <v>124999.93</v>
      </c>
      <c r="R55" s="166">
        <v>304500</v>
      </c>
      <c r="S55" s="166"/>
      <c r="T55" s="171">
        <f t="shared" si="10"/>
        <v>0.41050880131362888</v>
      </c>
      <c r="Y55" s="277"/>
    </row>
    <row r="56" spans="1:25" x14ac:dyDescent="0.2">
      <c r="A56" s="277" t="s">
        <v>144</v>
      </c>
      <c r="B56" s="168" t="s">
        <v>176</v>
      </c>
      <c r="C56" s="166">
        <v>0</v>
      </c>
      <c r="D56" s="162">
        <v>39.520000000000003</v>
      </c>
      <c r="E56" s="162">
        <v>93.740000000000009</v>
      </c>
      <c r="F56" s="196">
        <v>85.25</v>
      </c>
      <c r="G56" s="162">
        <v>57.08</v>
      </c>
      <c r="H56" s="162">
        <v>77.48</v>
      </c>
      <c r="I56" s="162">
        <v>108.72</v>
      </c>
      <c r="J56" s="162"/>
      <c r="K56" s="162"/>
      <c r="L56" s="162"/>
      <c r="M56" s="162"/>
      <c r="N56" s="162"/>
      <c r="O56" s="169"/>
      <c r="P56" s="169">
        <f t="shared" si="8"/>
        <v>461.79000000000008</v>
      </c>
      <c r="Q56" s="166">
        <f t="shared" si="9"/>
        <v>461.79000000000008</v>
      </c>
      <c r="R56" s="166">
        <v>61000</v>
      </c>
      <c r="S56" s="166"/>
      <c r="T56" s="171">
        <f t="shared" si="10"/>
        <v>7.5703278688524604E-3</v>
      </c>
      <c r="Y56" s="277"/>
    </row>
    <row r="57" spans="1:25" x14ac:dyDescent="0.2">
      <c r="A57" s="277" t="s">
        <v>143</v>
      </c>
      <c r="B57" s="168" t="s">
        <v>93</v>
      </c>
      <c r="C57" s="166">
        <v>0</v>
      </c>
      <c r="D57" s="162">
        <v>49.800000000000004</v>
      </c>
      <c r="E57" s="162">
        <v>118.19</v>
      </c>
      <c r="F57" s="196">
        <v>107.52</v>
      </c>
      <c r="G57" s="162">
        <v>71.95</v>
      </c>
      <c r="H57" s="162">
        <v>97.68</v>
      </c>
      <c r="I57" s="162">
        <v>137.05000000000001</v>
      </c>
      <c r="J57" s="162"/>
      <c r="K57" s="162"/>
      <c r="L57" s="162"/>
      <c r="M57" s="162"/>
      <c r="N57" s="162"/>
      <c r="O57" s="169"/>
      <c r="P57" s="169">
        <f t="shared" si="8"/>
        <v>582.19000000000005</v>
      </c>
      <c r="Q57" s="166">
        <f t="shared" si="9"/>
        <v>582.19000000000005</v>
      </c>
      <c r="R57" s="166">
        <v>76000</v>
      </c>
      <c r="S57" s="166"/>
      <c r="T57" s="171">
        <f t="shared" si="10"/>
        <v>7.6603947368421056E-3</v>
      </c>
      <c r="Y57" s="277"/>
    </row>
    <row r="58" spans="1:25" x14ac:dyDescent="0.2">
      <c r="A58" s="277" t="s">
        <v>142</v>
      </c>
      <c r="B58" s="168" t="s">
        <v>177</v>
      </c>
      <c r="C58" s="169">
        <v>0</v>
      </c>
      <c r="D58" s="162">
        <v>68708.710000000006</v>
      </c>
      <c r="E58" s="162">
        <v>-56802.979999999996</v>
      </c>
      <c r="F58" s="162">
        <v>6491.02</v>
      </c>
      <c r="G58" s="162">
        <v>5292.28</v>
      </c>
      <c r="H58" s="162">
        <v>7473.9</v>
      </c>
      <c r="I58" s="162">
        <v>5811.93</v>
      </c>
      <c r="J58" s="162"/>
      <c r="K58" s="162"/>
      <c r="L58" s="162"/>
      <c r="M58" s="162"/>
      <c r="N58" s="162"/>
      <c r="O58" s="169"/>
      <c r="P58" s="169">
        <f t="shared" si="8"/>
        <v>36974.860000000008</v>
      </c>
      <c r="Q58" s="166">
        <f t="shared" si="9"/>
        <v>36974.860000000008</v>
      </c>
      <c r="R58" s="166">
        <v>1264000</v>
      </c>
      <c r="S58" s="166"/>
      <c r="T58" s="171">
        <f t="shared" si="10"/>
        <v>2.9252262658227855E-2</v>
      </c>
      <c r="Y58" s="277"/>
    </row>
    <row r="59" spans="1:25" x14ac:dyDescent="0.2">
      <c r="A59" s="277"/>
      <c r="B59" s="168" t="s">
        <v>178</v>
      </c>
      <c r="C59" s="169">
        <v>0</v>
      </c>
      <c r="D59" s="162">
        <v>0</v>
      </c>
      <c r="E59" s="162">
        <v>0</v>
      </c>
      <c r="F59" s="162">
        <v>0</v>
      </c>
      <c r="G59" s="162">
        <v>0</v>
      </c>
      <c r="H59" s="162">
        <v>0</v>
      </c>
      <c r="I59" s="162">
        <v>0</v>
      </c>
      <c r="J59" s="162"/>
      <c r="K59" s="162"/>
      <c r="L59" s="162"/>
      <c r="M59" s="162"/>
      <c r="N59" s="162"/>
      <c r="O59" s="169"/>
      <c r="P59" s="169">
        <f t="shared" si="8"/>
        <v>0</v>
      </c>
      <c r="Q59" s="166">
        <f t="shared" si="9"/>
        <v>0</v>
      </c>
      <c r="R59" s="166">
        <v>440000</v>
      </c>
      <c r="S59" s="166"/>
      <c r="T59" s="171">
        <f t="shared" si="10"/>
        <v>0</v>
      </c>
      <c r="Y59" s="277"/>
    </row>
    <row r="60" spans="1:25" s="148" customFormat="1" ht="12" x14ac:dyDescent="0.2">
      <c r="B60" s="177" t="s">
        <v>92</v>
      </c>
      <c r="C60" s="268">
        <f>SUM(C53:C59)</f>
        <v>0</v>
      </c>
      <c r="D60" s="268">
        <f>SUM(D53:D59)</f>
        <v>92908.58</v>
      </c>
      <c r="E60" s="178">
        <f>SUM(E53:E59)</f>
        <v>-24233.249999999996</v>
      </c>
      <c r="F60" s="178">
        <f>SUM(F53:F59)</f>
        <v>36122.680000000008</v>
      </c>
      <c r="G60" s="178">
        <f t="shared" ref="G60:Q60" si="11">SUM(G53:G59)</f>
        <v>144928.06</v>
      </c>
      <c r="H60" s="178">
        <f t="shared" si="11"/>
        <v>141443.69</v>
      </c>
      <c r="I60" s="178">
        <f t="shared" si="11"/>
        <v>102049.67000000001</v>
      </c>
      <c r="J60" s="178">
        <f t="shared" si="11"/>
        <v>0</v>
      </c>
      <c r="K60" s="178">
        <f t="shared" si="11"/>
        <v>0</v>
      </c>
      <c r="L60" s="178">
        <f t="shared" si="11"/>
        <v>0</v>
      </c>
      <c r="M60" s="178">
        <f t="shared" si="11"/>
        <v>0</v>
      </c>
      <c r="N60" s="178">
        <f t="shared" si="11"/>
        <v>0</v>
      </c>
      <c r="O60" s="178">
        <f t="shared" si="11"/>
        <v>0</v>
      </c>
      <c r="P60" s="268">
        <f t="shared" si="11"/>
        <v>493219.43</v>
      </c>
      <c r="Q60" s="268">
        <f t="shared" si="11"/>
        <v>493219.43</v>
      </c>
      <c r="R60" s="186">
        <f>SUM(R53:R59)</f>
        <v>6243500</v>
      </c>
      <c r="S60" s="186"/>
      <c r="T60" s="204">
        <f>Q60/R60</f>
        <v>7.8997265956594856E-2</v>
      </c>
    </row>
    <row r="61" spans="1:25" ht="3" customHeight="1" x14ac:dyDescent="0.2">
      <c r="A61" s="277"/>
      <c r="B61" s="168"/>
      <c r="C61" s="169"/>
      <c r="D61" s="162"/>
      <c r="E61" s="162"/>
      <c r="F61" s="162"/>
      <c r="G61" s="162"/>
      <c r="H61" s="162"/>
      <c r="I61" s="162"/>
      <c r="J61" s="162"/>
      <c r="K61" s="162"/>
      <c r="L61" s="162"/>
      <c r="M61" s="162"/>
      <c r="N61" s="162"/>
      <c r="O61" s="169"/>
      <c r="P61" s="169"/>
      <c r="Q61" s="166"/>
      <c r="R61" s="166"/>
      <c r="S61" s="166"/>
      <c r="T61" s="187"/>
      <c r="Y61" s="277"/>
    </row>
    <row r="62" spans="1:25" ht="11.25" customHeight="1" x14ac:dyDescent="0.2">
      <c r="A62" s="277"/>
      <c r="B62" s="161" t="s">
        <v>179</v>
      </c>
      <c r="C62" s="169"/>
      <c r="D62" s="162"/>
      <c r="E62" s="162"/>
      <c r="F62" s="162"/>
      <c r="G62" s="162"/>
      <c r="H62" s="162"/>
      <c r="I62" s="162"/>
      <c r="J62" s="162"/>
      <c r="K62" s="162"/>
      <c r="L62" s="162"/>
      <c r="M62" s="162"/>
      <c r="N62" s="162"/>
      <c r="O62" s="169"/>
      <c r="P62" s="169"/>
      <c r="Q62" s="166"/>
      <c r="R62" s="166"/>
      <c r="S62" s="166"/>
      <c r="T62" s="187"/>
      <c r="Y62" s="277"/>
    </row>
    <row r="63" spans="1:25" x14ac:dyDescent="0.2">
      <c r="A63" s="373" t="s">
        <v>139</v>
      </c>
      <c r="B63" s="168" t="s">
        <v>180</v>
      </c>
      <c r="C63" s="166">
        <v>0</v>
      </c>
      <c r="D63" s="162">
        <v>0</v>
      </c>
      <c r="E63" s="162">
        <v>0</v>
      </c>
      <c r="F63" s="196">
        <v>0</v>
      </c>
      <c r="G63" s="162">
        <v>0</v>
      </c>
      <c r="H63" s="162">
        <v>0</v>
      </c>
      <c r="I63" s="162">
        <v>0</v>
      </c>
      <c r="J63" s="162"/>
      <c r="K63" s="162"/>
      <c r="L63" s="162"/>
      <c r="M63" s="162"/>
      <c r="N63" s="162"/>
      <c r="O63" s="169"/>
      <c r="P63" s="169">
        <f>SUM(D63:O63)</f>
        <v>0</v>
      </c>
      <c r="Q63" s="166">
        <f>C63+P63</f>
        <v>0</v>
      </c>
      <c r="R63" s="166">
        <v>20020000</v>
      </c>
      <c r="S63" s="166"/>
      <c r="T63" s="200">
        <f>Q63/R63</f>
        <v>0</v>
      </c>
      <c r="Y63" s="277"/>
    </row>
    <row r="64" spans="1:25" x14ac:dyDescent="0.2">
      <c r="A64" s="277" t="s">
        <v>149</v>
      </c>
      <c r="B64" s="168" t="s">
        <v>181</v>
      </c>
      <c r="C64" s="169">
        <v>0</v>
      </c>
      <c r="D64" s="162">
        <v>0</v>
      </c>
      <c r="E64" s="162">
        <v>0</v>
      </c>
      <c r="F64" s="162">
        <v>0</v>
      </c>
      <c r="G64" s="162">
        <v>0</v>
      </c>
      <c r="H64" s="162">
        <v>0</v>
      </c>
      <c r="I64" s="162">
        <v>0</v>
      </c>
      <c r="J64" s="162"/>
      <c r="K64" s="162"/>
      <c r="L64" s="162"/>
      <c r="M64" s="162"/>
      <c r="N64" s="162"/>
      <c r="O64" s="169"/>
      <c r="P64" s="169">
        <f>SUM(D64:O64)</f>
        <v>0</v>
      </c>
      <c r="Q64" s="166">
        <f>C64+P64</f>
        <v>0</v>
      </c>
      <c r="R64" s="189">
        <v>15000000</v>
      </c>
      <c r="S64" s="189"/>
      <c r="T64" s="185">
        <f>Q64/R64</f>
        <v>0</v>
      </c>
      <c r="Y64" s="277"/>
    </row>
    <row r="65" spans="1:25" x14ac:dyDescent="0.2">
      <c r="A65" s="277"/>
      <c r="B65" s="177" t="s">
        <v>95</v>
      </c>
      <c r="C65" s="268">
        <f t="shared" ref="C65:S65" si="12">SUM(C63:C64)</f>
        <v>0</v>
      </c>
      <c r="D65" s="268">
        <f t="shared" si="12"/>
        <v>0</v>
      </c>
      <c r="E65" s="178">
        <f t="shared" si="12"/>
        <v>0</v>
      </c>
      <c r="F65" s="178">
        <f t="shared" si="12"/>
        <v>0</v>
      </c>
      <c r="G65" s="178">
        <f t="shared" si="12"/>
        <v>0</v>
      </c>
      <c r="H65" s="178">
        <f t="shared" si="12"/>
        <v>0</v>
      </c>
      <c r="I65" s="178">
        <f t="shared" si="12"/>
        <v>0</v>
      </c>
      <c r="J65" s="178">
        <f t="shared" si="12"/>
        <v>0</v>
      </c>
      <c r="K65" s="178">
        <f t="shared" si="12"/>
        <v>0</v>
      </c>
      <c r="L65" s="178">
        <f t="shared" si="12"/>
        <v>0</v>
      </c>
      <c r="M65" s="178">
        <f t="shared" si="12"/>
        <v>0</v>
      </c>
      <c r="N65" s="178">
        <f t="shared" si="12"/>
        <v>0</v>
      </c>
      <c r="O65" s="178">
        <f t="shared" si="12"/>
        <v>0</v>
      </c>
      <c r="P65" s="268">
        <f t="shared" si="12"/>
        <v>0</v>
      </c>
      <c r="Q65" s="186">
        <f t="shared" si="12"/>
        <v>0</v>
      </c>
      <c r="R65" s="186">
        <f t="shared" si="12"/>
        <v>35020000</v>
      </c>
      <c r="S65" s="186">
        <f t="shared" si="12"/>
        <v>0</v>
      </c>
      <c r="T65" s="202">
        <f>Q65/R65</f>
        <v>0</v>
      </c>
      <c r="Y65" s="277"/>
    </row>
    <row r="66" spans="1:25" s="148" customFormat="1" ht="7.5" customHeight="1" x14ac:dyDescent="0.2">
      <c r="B66" s="153"/>
      <c r="C66" s="186"/>
      <c r="D66" s="178"/>
      <c r="E66" s="178"/>
      <c r="F66" s="162"/>
      <c r="G66" s="162"/>
      <c r="H66" s="162"/>
      <c r="I66" s="162"/>
      <c r="J66" s="162"/>
      <c r="K66" s="162"/>
      <c r="L66" s="162"/>
      <c r="M66" s="162"/>
      <c r="N66" s="162"/>
      <c r="O66" s="169"/>
      <c r="P66" s="186"/>
      <c r="Q66" s="186"/>
      <c r="R66" s="166"/>
      <c r="S66" s="166"/>
      <c r="T66" s="200"/>
    </row>
    <row r="67" spans="1:25" s="148" customFormat="1" thickBot="1" x14ac:dyDescent="0.25">
      <c r="B67" s="208" t="s">
        <v>96</v>
      </c>
      <c r="C67" s="186">
        <v>0</v>
      </c>
      <c r="D67" s="178">
        <v>75201.796211385561</v>
      </c>
      <c r="E67" s="192">
        <v>74953.274863482409</v>
      </c>
      <c r="F67" s="178">
        <v>74705</v>
      </c>
      <c r="G67" s="178">
        <v>74546</v>
      </c>
      <c r="H67" s="178">
        <v>74208</v>
      </c>
      <c r="I67" s="178">
        <v>73959</v>
      </c>
      <c r="J67" s="178"/>
      <c r="K67" s="178"/>
      <c r="L67" s="178"/>
      <c r="M67" s="178"/>
      <c r="N67" s="178"/>
      <c r="O67" s="179"/>
      <c r="P67" s="182">
        <f>SUM(D67:O67)</f>
        <v>447573.07107486797</v>
      </c>
      <c r="Q67" s="182">
        <f>C67+P67</f>
        <v>447573.07107486797</v>
      </c>
      <c r="R67" s="186">
        <v>0</v>
      </c>
      <c r="S67" s="186"/>
      <c r="T67" s="365" t="s">
        <v>24</v>
      </c>
    </row>
    <row r="68" spans="1:25" s="148" customFormat="1" ht="15" customHeight="1" thickBot="1" x14ac:dyDescent="0.25">
      <c r="B68" s="209" t="s">
        <v>97</v>
      </c>
      <c r="C68" s="364" t="e">
        <f>C9+C16+C20+C25+C31+C36+C43+C50+C60+C65+#REF!+C67+#REF!</f>
        <v>#REF!</v>
      </c>
      <c r="D68" s="210">
        <f>D9+D16+D20+D25+D31+D36+D43+D50+D60+D65+D67</f>
        <v>628801.60621138569</v>
      </c>
      <c r="E68" s="210">
        <f>E9+E16+E20+E25+E31+E36+E43+E50+E60+E65+E67</f>
        <v>713977.50486348267</v>
      </c>
      <c r="F68" s="210">
        <f t="shared" ref="F68:S68" si="13">F9+F16+F20+F25+F31+F36+F43+F50+F60+F65+F67</f>
        <v>1518316.11</v>
      </c>
      <c r="G68" s="210">
        <f t="shared" si="13"/>
        <v>1377694.75</v>
      </c>
      <c r="H68" s="210">
        <f t="shared" si="13"/>
        <v>1515005.14</v>
      </c>
      <c r="I68" s="210">
        <f t="shared" si="13"/>
        <v>1551499.7799999998</v>
      </c>
      <c r="J68" s="210">
        <f t="shared" si="13"/>
        <v>0</v>
      </c>
      <c r="K68" s="210">
        <f t="shared" si="13"/>
        <v>0</v>
      </c>
      <c r="L68" s="210">
        <f t="shared" si="13"/>
        <v>0</v>
      </c>
      <c r="M68" s="210">
        <f t="shared" si="13"/>
        <v>0</v>
      </c>
      <c r="N68" s="210">
        <f t="shared" si="13"/>
        <v>0</v>
      </c>
      <c r="O68" s="210">
        <f t="shared" si="13"/>
        <v>0</v>
      </c>
      <c r="P68" s="210">
        <f t="shared" si="13"/>
        <v>7305294.8910748679</v>
      </c>
      <c r="Q68" s="210">
        <f t="shared" si="13"/>
        <v>7305294.8910748679</v>
      </c>
      <c r="R68" s="210">
        <f t="shared" si="13"/>
        <v>191886588</v>
      </c>
      <c r="S68" s="210">
        <f t="shared" si="13"/>
        <v>0</v>
      </c>
      <c r="T68" s="366">
        <f>Q68/R68</f>
        <v>3.8070898895106037E-2</v>
      </c>
    </row>
    <row r="69" spans="1:25" ht="8.25" customHeight="1" thickBot="1" x14ac:dyDescent="0.25">
      <c r="B69" s="211"/>
      <c r="C69" s="269"/>
      <c r="D69" s="162"/>
      <c r="E69" s="162"/>
      <c r="F69" s="162"/>
      <c r="G69" s="162"/>
      <c r="H69" s="162"/>
      <c r="I69" s="162"/>
      <c r="J69" s="162"/>
      <c r="K69" s="162"/>
      <c r="L69" s="162"/>
      <c r="M69" s="162"/>
      <c r="N69" s="162"/>
      <c r="O69" s="162"/>
      <c r="P69" s="162"/>
      <c r="Q69" s="162"/>
      <c r="R69" s="162"/>
      <c r="S69" s="162"/>
      <c r="T69" s="162"/>
    </row>
    <row r="70" spans="1:25" ht="32.25" customHeight="1" thickBot="1" x14ac:dyDescent="0.25">
      <c r="B70" s="437" t="s">
        <v>215</v>
      </c>
      <c r="C70" s="270"/>
      <c r="D70" s="438">
        <v>226831</v>
      </c>
      <c r="E70" s="162"/>
      <c r="F70" s="162"/>
      <c r="G70" s="162"/>
      <c r="H70" s="162"/>
      <c r="I70" s="162"/>
      <c r="J70" s="162"/>
      <c r="O70" s="162"/>
      <c r="P70" s="162"/>
      <c r="Q70" s="162"/>
      <c r="R70" s="162"/>
      <c r="S70" s="162"/>
      <c r="T70" s="162"/>
    </row>
    <row r="71" spans="1:25" s="148" customFormat="1" ht="1.5" customHeight="1" x14ac:dyDescent="0.2">
      <c r="B71" s="212"/>
      <c r="C71" s="213"/>
      <c r="D71" s="360"/>
      <c r="E71" s="162"/>
      <c r="F71" s="162"/>
      <c r="G71" s="162"/>
      <c r="H71" s="162"/>
      <c r="I71" s="162"/>
      <c r="J71" s="162"/>
      <c r="K71" s="162"/>
      <c r="L71" s="162"/>
      <c r="M71" s="162"/>
      <c r="N71" s="162"/>
      <c r="O71" s="162"/>
      <c r="P71" s="162"/>
      <c r="Q71" s="162"/>
      <c r="R71" s="162"/>
      <c r="S71" s="162"/>
      <c r="T71" s="162"/>
    </row>
    <row r="72" spans="1:25" ht="12" x14ac:dyDescent="0.2">
      <c r="B72" s="471" t="s">
        <v>182</v>
      </c>
      <c r="C72" s="472"/>
      <c r="D72" s="472"/>
      <c r="E72" s="472"/>
      <c r="F72" s="472"/>
      <c r="G72" s="472"/>
      <c r="H72" s="472"/>
      <c r="I72" s="472"/>
      <c r="J72" s="472"/>
      <c r="K72" s="472"/>
      <c r="L72" s="472"/>
      <c r="M72" s="472"/>
      <c r="N72" s="472"/>
      <c r="O72" s="472"/>
      <c r="P72" s="472"/>
    </row>
    <row r="73" spans="1:25" ht="25.5" customHeight="1" x14ac:dyDescent="0.2">
      <c r="B73" s="471" t="s">
        <v>202</v>
      </c>
      <c r="C73" s="472"/>
      <c r="D73" s="472"/>
      <c r="E73" s="472"/>
      <c r="F73" s="472"/>
      <c r="G73" s="472"/>
      <c r="H73" s="472"/>
      <c r="I73" s="472"/>
      <c r="J73" s="472"/>
      <c r="K73" s="472"/>
      <c r="L73" s="472"/>
      <c r="M73" s="472"/>
      <c r="N73" s="472"/>
      <c r="O73" s="472"/>
      <c r="P73" s="472"/>
    </row>
    <row r="74" spans="1:25" ht="26.25" customHeight="1" x14ac:dyDescent="0.2">
      <c r="B74" s="471" t="s">
        <v>216</v>
      </c>
      <c r="C74" s="472"/>
      <c r="D74" s="472"/>
      <c r="E74" s="472"/>
      <c r="F74" s="472"/>
      <c r="G74" s="472"/>
      <c r="H74" s="472"/>
      <c r="I74" s="472"/>
      <c r="J74" s="472"/>
      <c r="K74" s="472"/>
      <c r="L74" s="472"/>
      <c r="M74" s="472"/>
      <c r="N74" s="472"/>
      <c r="O74" s="472"/>
      <c r="P74" s="472"/>
    </row>
    <row r="75" spans="1:25" ht="12" customHeight="1" x14ac:dyDescent="0.2">
      <c r="B75" s="471" t="s">
        <v>199</v>
      </c>
      <c r="C75" s="472"/>
      <c r="D75" s="472"/>
      <c r="E75" s="472"/>
      <c r="F75" s="472"/>
      <c r="G75" s="472"/>
      <c r="H75" s="472"/>
      <c r="I75" s="472"/>
      <c r="J75" s="472"/>
      <c r="K75" s="472"/>
      <c r="L75" s="472"/>
      <c r="M75" s="472"/>
      <c r="N75" s="472"/>
      <c r="O75" s="472"/>
      <c r="P75" s="472"/>
      <c r="Q75" s="162"/>
    </row>
    <row r="78" spans="1:25" x14ac:dyDescent="0.2">
      <c r="D78" s="162"/>
    </row>
  </sheetData>
  <sheetProtection password="C511" sheet="1" objects="1" scenarios="1"/>
  <mergeCells count="4">
    <mergeCell ref="B74:P74"/>
    <mergeCell ref="B72:P72"/>
    <mergeCell ref="B73:P73"/>
    <mergeCell ref="B75:P75"/>
  </mergeCells>
  <printOptions horizontalCentered="1"/>
  <pageMargins left="0.25" right="0.25" top="1.02402777777778" bottom="0.77562500000000001" header="0.3" footer="0.3"/>
  <pageSetup scale="54" orientation="landscape" r:id="rId1"/>
  <headerFooter>
    <oddHeader>&amp;C&amp;"Arial,Bold"&amp;K000000Table I-3
Pacific Gas and Electric Company 
Demand Response Programs and Activities
2012-2014 Incremental Cost Funding
June 2012</oddHeader>
    <oddFooter>&amp;L&amp;F&amp;CPage 8 of 9&amp;R&amp;A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3"/>
  <sheetViews>
    <sheetView view="pageLayout" zoomScaleNormal="100" workbookViewId="0">
      <selection activeCell="A3" sqref="A3"/>
    </sheetView>
  </sheetViews>
  <sheetFormatPr defaultRowHeight="11.25" x14ac:dyDescent="0.2"/>
  <cols>
    <col min="1" max="1" width="30.42578125" style="237" customWidth="1"/>
    <col min="2" max="2" width="6" style="240" customWidth="1"/>
    <col min="3" max="3" width="10.140625" style="217" customWidth="1"/>
    <col min="4" max="4" width="20.28515625" style="241" customWidth="1"/>
    <col min="5" max="5" width="11.28515625" style="219" customWidth="1"/>
    <col min="6" max="6" width="9.85546875" style="220" customWidth="1"/>
    <col min="7" max="7" width="9.42578125" style="220" customWidth="1"/>
    <col min="8" max="8" width="12.7109375" style="242" customWidth="1"/>
    <col min="9" max="16384" width="9.140625" style="237"/>
  </cols>
  <sheetData>
    <row r="1" spans="1:9" s="215" customFormat="1" x14ac:dyDescent="0.2">
      <c r="A1" s="387" t="s">
        <v>103</v>
      </c>
      <c r="B1" s="388"/>
      <c r="C1" s="389"/>
      <c r="D1" s="390"/>
      <c r="E1" s="391"/>
      <c r="F1" s="392"/>
      <c r="G1" s="390"/>
      <c r="H1" s="393"/>
    </row>
    <row r="2" spans="1:9" s="215" customFormat="1" ht="5.25" customHeight="1" thickBot="1" x14ac:dyDescent="0.25">
      <c r="A2" s="394"/>
      <c r="B2" s="216" t="s">
        <v>1</v>
      </c>
      <c r="C2" s="217"/>
      <c r="D2" s="218"/>
      <c r="E2" s="219"/>
      <c r="F2" s="220"/>
      <c r="G2" s="218"/>
      <c r="H2" s="395"/>
    </row>
    <row r="3" spans="1:9" s="226" customFormat="1" ht="30.75" customHeight="1" x14ac:dyDescent="0.2">
      <c r="A3" s="396" t="s">
        <v>104</v>
      </c>
      <c r="B3" s="221" t="s">
        <v>105</v>
      </c>
      <c r="C3" s="222" t="s">
        <v>106</v>
      </c>
      <c r="D3" s="223" t="s">
        <v>107</v>
      </c>
      <c r="E3" s="224" t="s">
        <v>108</v>
      </c>
      <c r="F3" s="225" t="s">
        <v>109</v>
      </c>
      <c r="G3" s="223" t="s">
        <v>110</v>
      </c>
      <c r="H3" s="397" t="s">
        <v>111</v>
      </c>
    </row>
    <row r="4" spans="1:9" s="229" customFormat="1" ht="27" customHeight="1" x14ac:dyDescent="0.2">
      <c r="A4" s="398" t="s">
        <v>78</v>
      </c>
      <c r="B4" s="218"/>
      <c r="C4" s="217"/>
      <c r="D4" s="218"/>
      <c r="E4" s="219"/>
      <c r="F4" s="227"/>
      <c r="G4" s="228"/>
      <c r="H4" s="395"/>
    </row>
    <row r="5" spans="1:9" s="229" customFormat="1" ht="10.5" customHeight="1" x14ac:dyDescent="0.2">
      <c r="A5" s="230" t="s">
        <v>79</v>
      </c>
      <c r="B5" s="231"/>
      <c r="C5" s="232"/>
      <c r="D5" s="231"/>
      <c r="E5" s="233"/>
      <c r="F5" s="234"/>
      <c r="G5" s="235"/>
      <c r="H5" s="236"/>
    </row>
    <row r="6" spans="1:9" ht="11.25" customHeight="1" x14ac:dyDescent="0.2">
      <c r="A6" s="230" t="s">
        <v>112</v>
      </c>
      <c r="B6" s="231"/>
      <c r="C6" s="232"/>
      <c r="D6" s="231"/>
      <c r="E6" s="233"/>
      <c r="F6" s="234"/>
      <c r="G6" s="235"/>
      <c r="H6" s="236"/>
    </row>
    <row r="7" spans="1:9" ht="11.25" customHeight="1" x14ac:dyDescent="0.2">
      <c r="A7" s="238" t="s">
        <v>113</v>
      </c>
      <c r="B7" s="231"/>
      <c r="C7" s="232"/>
      <c r="D7" s="231"/>
      <c r="E7" s="233"/>
      <c r="F7" s="234"/>
      <c r="G7" s="235"/>
      <c r="H7" s="236"/>
    </row>
    <row r="8" spans="1:9" ht="26.25" customHeight="1" x14ac:dyDescent="0.2">
      <c r="A8" s="399" t="s">
        <v>81</v>
      </c>
      <c r="B8" s="218"/>
      <c r="D8" s="218"/>
      <c r="F8" s="227"/>
      <c r="G8" s="228"/>
      <c r="H8" s="395"/>
    </row>
    <row r="9" spans="1:9" ht="11.25" customHeight="1" x14ac:dyDescent="0.2">
      <c r="A9" s="230" t="s">
        <v>98</v>
      </c>
      <c r="B9" s="231"/>
      <c r="C9" s="232"/>
      <c r="D9" s="231"/>
      <c r="E9" s="233"/>
      <c r="F9" s="234"/>
      <c r="G9" s="235"/>
      <c r="H9" s="236"/>
    </row>
    <row r="10" spans="1:9" ht="11.25" customHeight="1" x14ac:dyDescent="0.2">
      <c r="A10" s="238" t="s">
        <v>114</v>
      </c>
      <c r="B10" s="231"/>
      <c r="C10" s="232"/>
      <c r="D10" s="231"/>
      <c r="E10" s="233"/>
      <c r="F10" s="234"/>
      <c r="G10" s="235"/>
      <c r="H10" s="236"/>
    </row>
    <row r="11" spans="1:9" ht="11.25" customHeight="1" x14ac:dyDescent="0.2">
      <c r="A11" s="230" t="s">
        <v>100</v>
      </c>
      <c r="B11" s="231"/>
      <c r="C11" s="232"/>
      <c r="D11" s="231"/>
      <c r="E11" s="233"/>
      <c r="F11" s="234"/>
      <c r="G11" s="235"/>
      <c r="H11" s="236"/>
    </row>
    <row r="12" spans="1:9" x14ac:dyDescent="0.2">
      <c r="A12" s="230" t="s">
        <v>115</v>
      </c>
      <c r="B12" s="231"/>
      <c r="C12" s="232"/>
      <c r="D12" s="231"/>
      <c r="E12" s="233"/>
      <c r="F12" s="234"/>
      <c r="G12" s="235"/>
      <c r="H12" s="236"/>
    </row>
    <row r="13" spans="1:9" ht="21.75" x14ac:dyDescent="0.2">
      <c r="A13" s="398" t="s">
        <v>83</v>
      </c>
      <c r="B13" s="218"/>
      <c r="D13" s="218"/>
      <c r="F13" s="227"/>
      <c r="G13" s="228"/>
      <c r="H13" s="395"/>
      <c r="I13" s="239"/>
    </row>
    <row r="14" spans="1:9" x14ac:dyDescent="0.2">
      <c r="A14" s="230" t="s">
        <v>101</v>
      </c>
      <c r="B14" s="231"/>
      <c r="C14" s="232"/>
      <c r="D14" s="231"/>
      <c r="E14" s="233"/>
      <c r="F14" s="234"/>
      <c r="G14" s="235"/>
      <c r="H14" s="236"/>
      <c r="I14" s="239"/>
    </row>
    <row r="15" spans="1:9" x14ac:dyDescent="0.2">
      <c r="A15" s="230" t="s">
        <v>84</v>
      </c>
      <c r="B15" s="231"/>
      <c r="C15" s="232"/>
      <c r="D15" s="231"/>
      <c r="E15" s="233"/>
      <c r="F15" s="234"/>
      <c r="G15" s="235"/>
      <c r="H15" s="236"/>
    </row>
    <row r="16" spans="1:9" ht="12.75" customHeight="1" x14ac:dyDescent="0.2"/>
    <row r="18" ht="12.75" customHeight="1" x14ac:dyDescent="0.2"/>
    <row r="19" ht="12.75" customHeight="1" x14ac:dyDescent="0.2"/>
    <row r="21" ht="12.75" customHeight="1" x14ac:dyDescent="0.2"/>
    <row r="64" ht="24.75" customHeight="1" x14ac:dyDescent="0.2"/>
    <row r="67" ht="12.75" customHeight="1" x14ac:dyDescent="0.2"/>
    <row r="70" ht="12.75" customHeight="1" x14ac:dyDescent="0.2"/>
    <row r="72" ht="12.75" customHeight="1" x14ac:dyDescent="0.2"/>
    <row r="74" ht="12.75" customHeight="1" x14ac:dyDescent="0.2"/>
    <row r="75" ht="12.75" customHeight="1" x14ac:dyDescent="0.2"/>
    <row r="77" ht="12.75" customHeight="1" x14ac:dyDescent="0.2"/>
    <row r="93" ht="12.75" customHeight="1" x14ac:dyDescent="0.2"/>
    <row r="94" ht="12.75" customHeight="1" x14ac:dyDescent="0.2"/>
    <row r="95" ht="12.75" customHeight="1" x14ac:dyDescent="0.2"/>
    <row r="96" ht="12.75" customHeight="1" x14ac:dyDescent="0.2"/>
    <row r="97" ht="12.75" customHeight="1" x14ac:dyDescent="0.2"/>
    <row r="99" ht="12.75" customHeight="1" x14ac:dyDescent="0.2"/>
    <row r="101" ht="12.75" customHeight="1" x14ac:dyDescent="0.2"/>
    <row r="103" ht="12.75" customHeight="1" x14ac:dyDescent="0.2"/>
    <row r="105" ht="12.75" customHeight="1" x14ac:dyDescent="0.2"/>
    <row r="107" ht="12.75" customHeight="1" x14ac:dyDescent="0.2"/>
    <row r="109"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30" ht="24.75" customHeight="1" x14ac:dyDescent="0.2"/>
    <row r="133" ht="12.75" customHeight="1" x14ac:dyDescent="0.2"/>
    <row r="136" ht="12.75" customHeight="1" x14ac:dyDescent="0.2"/>
    <row r="138" ht="12.75" customHeight="1" x14ac:dyDescent="0.2"/>
    <row r="140" ht="12.75" customHeight="1" x14ac:dyDescent="0.2"/>
    <row r="141" ht="12.75" customHeight="1" x14ac:dyDescent="0.2"/>
    <row r="143" ht="12.75" customHeight="1" x14ac:dyDescent="0.2"/>
  </sheetData>
  <sheetProtection password="C511" sheet="1" objects="1" scenarios="1"/>
  <protectedRanges>
    <protectedRange password="D9D5" sqref="C14:D15 C9:D12 C5:D7" name="Add Rows_3_1"/>
    <protectedRange sqref="C14:D15 C9:D12 C5:D7" name="Enter Event Data_3_1"/>
  </protectedRanges>
  <printOptions horizontalCentered="1"/>
  <pageMargins left="0.7" right="0.7" top="1.1979166666666667" bottom="0.75" header="0.3" footer="0.3"/>
  <pageSetup orientation="landscape" r:id="rId1"/>
  <headerFooter>
    <oddHeader>&amp;C&amp;"Arial,Bold"&amp;K000000Table I-4 
Pacific Gas and Electric Company 
 Interruptible and Price Responsive Programs
Event Summary 
June 2012</oddHeader>
    <oddFooter>&amp;L&amp;F&amp;CPage 7 of 9&amp;R&amp;A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Layout" zoomScaleNormal="100" workbookViewId="0">
      <selection activeCell="K40" sqref="K40"/>
    </sheetView>
  </sheetViews>
  <sheetFormatPr defaultRowHeight="12.75" x14ac:dyDescent="0.2"/>
  <cols>
    <col min="1" max="1" width="35.5703125" style="250" customWidth="1"/>
    <col min="2" max="2" width="12.42578125" style="250" bestFit="1" customWidth="1"/>
    <col min="3" max="6" width="12.28515625" style="250" bestFit="1" customWidth="1"/>
    <col min="7" max="7" width="11.7109375" style="250" customWidth="1"/>
    <col min="8" max="9" width="11.7109375" style="250" bestFit="1" customWidth="1"/>
    <col min="10" max="10" width="12.42578125" style="250" bestFit="1" customWidth="1"/>
    <col min="11" max="13" width="12.28515625" style="250" customWidth="1"/>
    <col min="14" max="14" width="15.7109375" style="250" bestFit="1" customWidth="1"/>
    <col min="15" max="15" width="11.7109375" style="250" bestFit="1" customWidth="1"/>
    <col min="16" max="16384" width="9.140625" style="250"/>
  </cols>
  <sheetData>
    <row r="1" spans="1:16" s="277" customFormat="1" ht="5.25" customHeight="1" x14ac:dyDescent="0.2"/>
    <row r="2" spans="1:16" s="277" customFormat="1" ht="4.5" customHeight="1" thickBot="1" x14ac:dyDescent="0.25"/>
    <row r="3" spans="1:16" x14ac:dyDescent="0.2">
      <c r="A3" s="243" t="s">
        <v>116</v>
      </c>
      <c r="B3" s="278"/>
      <c r="C3" s="278"/>
      <c r="D3" s="278"/>
      <c r="E3" s="278"/>
      <c r="F3" s="278"/>
      <c r="G3" s="278"/>
      <c r="H3" s="278"/>
      <c r="I3" s="278"/>
      <c r="J3" s="278"/>
      <c r="K3" s="278"/>
      <c r="L3" s="278"/>
      <c r="M3" s="278"/>
      <c r="N3" s="279"/>
    </row>
    <row r="4" spans="1:16" x14ac:dyDescent="0.2">
      <c r="A4" s="5"/>
      <c r="B4" s="280"/>
      <c r="C4" s="280"/>
      <c r="D4" s="280"/>
      <c r="E4" s="280"/>
      <c r="F4" s="280"/>
      <c r="G4" s="280"/>
      <c r="H4" s="280"/>
      <c r="I4" s="280"/>
      <c r="J4" s="280"/>
      <c r="K4" s="280"/>
      <c r="L4" s="280"/>
      <c r="M4" s="280"/>
      <c r="N4" s="281"/>
    </row>
    <row r="5" spans="1:16" ht="31.5" customHeight="1" x14ac:dyDescent="0.2">
      <c r="A5" s="244" t="s">
        <v>76</v>
      </c>
      <c r="B5" s="245" t="s">
        <v>7</v>
      </c>
      <c r="C5" s="245" t="s">
        <v>8</v>
      </c>
      <c r="D5" s="245" t="s">
        <v>9</v>
      </c>
      <c r="E5" s="245" t="s">
        <v>10</v>
      </c>
      <c r="F5" s="245" t="s">
        <v>11</v>
      </c>
      <c r="G5" s="245" t="s">
        <v>12</v>
      </c>
      <c r="H5" s="245" t="s">
        <v>13</v>
      </c>
      <c r="I5" s="245" t="s">
        <v>62</v>
      </c>
      <c r="J5" s="245" t="s">
        <v>63</v>
      </c>
      <c r="K5" s="245" t="s">
        <v>16</v>
      </c>
      <c r="L5" s="245" t="s">
        <v>64</v>
      </c>
      <c r="M5" s="245" t="s">
        <v>18</v>
      </c>
      <c r="N5" s="246" t="s">
        <v>117</v>
      </c>
    </row>
    <row r="6" spans="1:16" x14ac:dyDescent="0.2">
      <c r="A6" s="247" t="s">
        <v>118</v>
      </c>
      <c r="B6" s="248"/>
      <c r="C6" s="248"/>
      <c r="D6" s="248"/>
      <c r="E6" s="248"/>
      <c r="F6" s="248"/>
      <c r="G6" s="248"/>
      <c r="H6" s="248"/>
      <c r="I6" s="248"/>
      <c r="J6" s="248"/>
      <c r="K6" s="248"/>
      <c r="L6" s="248"/>
      <c r="M6" s="248"/>
      <c r="N6" s="282"/>
    </row>
    <row r="7" spans="1:16" x14ac:dyDescent="0.2">
      <c r="A7" s="251" t="s">
        <v>102</v>
      </c>
      <c r="B7" s="248">
        <v>0</v>
      </c>
      <c r="C7" s="248">
        <v>0</v>
      </c>
      <c r="D7" s="248">
        <v>0</v>
      </c>
      <c r="E7" s="248">
        <v>0</v>
      </c>
      <c r="F7" s="248">
        <v>0</v>
      </c>
      <c r="G7" s="248">
        <v>0</v>
      </c>
      <c r="H7" s="248"/>
      <c r="I7" s="248"/>
      <c r="J7" s="248"/>
      <c r="K7" s="248"/>
      <c r="L7" s="248"/>
      <c r="M7" s="248"/>
      <c r="N7" s="249">
        <f t="shared" ref="N7:N16" si="0">SUM(B7:M7)</f>
        <v>0</v>
      </c>
    </row>
    <row r="8" spans="1:16" x14ac:dyDescent="0.2">
      <c r="A8" s="251" t="s">
        <v>84</v>
      </c>
      <c r="B8" s="248">
        <v>0</v>
      </c>
      <c r="C8" s="248">
        <v>0</v>
      </c>
      <c r="D8" s="248">
        <v>0</v>
      </c>
      <c r="E8" s="248">
        <v>0</v>
      </c>
      <c r="F8" s="248">
        <v>0</v>
      </c>
      <c r="G8" s="248">
        <v>1629242.5</v>
      </c>
      <c r="H8" s="248"/>
      <c r="I8" s="248"/>
      <c r="J8" s="248"/>
      <c r="K8" s="248"/>
      <c r="L8" s="248"/>
      <c r="M8" s="248"/>
      <c r="N8" s="249">
        <f>SUM(B8:M8)</f>
        <v>1629242.5</v>
      </c>
      <c r="O8" s="250" t="s">
        <v>1</v>
      </c>
    </row>
    <row r="9" spans="1:16" ht="16.5" x14ac:dyDescent="0.2">
      <c r="A9" s="251" t="s">
        <v>119</v>
      </c>
      <c r="B9" s="248">
        <v>2008319.34</v>
      </c>
      <c r="C9" s="353">
        <v>1673328.2</v>
      </c>
      <c r="D9" s="253">
        <v>1799871.93</v>
      </c>
      <c r="E9" s="353">
        <v>1946172.92</v>
      </c>
      <c r="F9" s="248">
        <v>1949135.61</v>
      </c>
      <c r="G9" s="248">
        <v>2076070.07</v>
      </c>
      <c r="H9" s="248"/>
      <c r="I9" s="248"/>
      <c r="J9" s="248"/>
      <c r="K9" s="252"/>
      <c r="L9" s="252"/>
      <c r="M9" s="253"/>
      <c r="N9" s="249">
        <f t="shared" si="0"/>
        <v>11452898.07</v>
      </c>
    </row>
    <row r="10" spans="1:16" x14ac:dyDescent="0.2">
      <c r="A10" s="283" t="s">
        <v>120</v>
      </c>
      <c r="B10" s="248">
        <v>0</v>
      </c>
      <c r="C10" s="248">
        <v>0</v>
      </c>
      <c r="D10" s="248">
        <v>0</v>
      </c>
      <c r="E10" s="248">
        <v>0</v>
      </c>
      <c r="F10" s="248">
        <v>0</v>
      </c>
      <c r="G10" s="248">
        <v>0</v>
      </c>
      <c r="H10" s="248"/>
      <c r="I10" s="248"/>
      <c r="J10" s="248"/>
      <c r="K10" s="248"/>
      <c r="L10" s="248"/>
      <c r="M10" s="248"/>
      <c r="N10" s="249">
        <f t="shared" si="0"/>
        <v>0</v>
      </c>
    </row>
    <row r="11" spans="1:16" ht="12.75" customHeight="1" x14ac:dyDescent="0.2">
      <c r="A11" s="283" t="s">
        <v>99</v>
      </c>
      <c r="B11" s="248">
        <v>0</v>
      </c>
      <c r="C11" s="248">
        <v>0</v>
      </c>
      <c r="D11" s="248">
        <v>0</v>
      </c>
      <c r="E11" s="248">
        <v>0</v>
      </c>
      <c r="F11" s="248">
        <v>0</v>
      </c>
      <c r="G11" s="248">
        <v>0</v>
      </c>
      <c r="H11" s="248"/>
      <c r="I11" s="248"/>
      <c r="J11" s="248"/>
      <c r="K11" s="248"/>
      <c r="L11" s="248"/>
      <c r="M11" s="248"/>
      <c r="N11" s="249">
        <f t="shared" si="0"/>
        <v>0</v>
      </c>
      <c r="O11" s="284"/>
    </row>
    <row r="12" spans="1:16" ht="40.5" x14ac:dyDescent="0.2">
      <c r="A12" s="191" t="s">
        <v>193</v>
      </c>
      <c r="B12" s="248">
        <v>0</v>
      </c>
      <c r="C12" s="248">
        <v>0</v>
      </c>
      <c r="D12" s="248">
        <v>0</v>
      </c>
      <c r="E12" s="374">
        <v>0</v>
      </c>
      <c r="F12" s="374">
        <v>0</v>
      </c>
      <c r="G12" s="374">
        <v>0</v>
      </c>
      <c r="H12" s="254"/>
      <c r="I12" s="254"/>
      <c r="J12" s="254"/>
      <c r="K12" s="254"/>
      <c r="L12" s="254"/>
      <c r="M12" s="254"/>
      <c r="N12" s="354">
        <f t="shared" si="0"/>
        <v>0</v>
      </c>
      <c r="O12" s="286"/>
    </row>
    <row r="13" spans="1:16" x14ac:dyDescent="0.2">
      <c r="A13" s="172" t="s">
        <v>129</v>
      </c>
      <c r="B13" s="248">
        <v>0</v>
      </c>
      <c r="C13" s="248">
        <v>0</v>
      </c>
      <c r="D13" s="254">
        <v>0</v>
      </c>
      <c r="E13" s="254">
        <v>0</v>
      </c>
      <c r="F13" s="254">
        <v>0</v>
      </c>
      <c r="G13" s="254">
        <v>0</v>
      </c>
      <c r="H13" s="254"/>
      <c r="I13" s="254"/>
      <c r="J13" s="254"/>
      <c r="K13" s="254"/>
      <c r="L13" s="254"/>
      <c r="M13" s="254"/>
      <c r="N13" s="285">
        <f t="shared" si="0"/>
        <v>0</v>
      </c>
      <c r="O13" s="286"/>
    </row>
    <row r="14" spans="1:16" x14ac:dyDescent="0.2">
      <c r="A14" s="283" t="s">
        <v>121</v>
      </c>
      <c r="B14" s="248">
        <v>0</v>
      </c>
      <c r="C14" s="248">
        <v>0</v>
      </c>
      <c r="D14" s="248">
        <v>0</v>
      </c>
      <c r="E14" s="248">
        <v>0</v>
      </c>
      <c r="F14" s="248">
        <v>54.61</v>
      </c>
      <c r="G14" s="248">
        <v>0</v>
      </c>
      <c r="H14" s="248"/>
      <c r="I14" s="248"/>
      <c r="J14" s="248"/>
      <c r="K14" s="248"/>
      <c r="L14" s="254"/>
      <c r="M14" s="254"/>
      <c r="N14" s="249">
        <f t="shared" si="0"/>
        <v>54.61</v>
      </c>
      <c r="O14" s="286"/>
      <c r="P14" s="286"/>
    </row>
    <row r="15" spans="1:16" x14ac:dyDescent="0.2">
      <c r="A15" s="172" t="s">
        <v>128</v>
      </c>
      <c r="B15" s="248">
        <v>0</v>
      </c>
      <c r="C15" s="248">
        <v>0</v>
      </c>
      <c r="D15" s="248">
        <v>0</v>
      </c>
      <c r="E15" s="248">
        <v>0</v>
      </c>
      <c r="F15" s="248">
        <v>0</v>
      </c>
      <c r="G15" s="248">
        <v>0</v>
      </c>
      <c r="H15" s="248"/>
      <c r="I15" s="248"/>
      <c r="J15" s="248"/>
      <c r="K15" s="248"/>
      <c r="L15" s="248"/>
      <c r="M15" s="248"/>
      <c r="N15" s="249">
        <f t="shared" si="0"/>
        <v>0</v>
      </c>
      <c r="O15" s="286"/>
      <c r="P15" s="286"/>
    </row>
    <row r="16" spans="1:16" x14ac:dyDescent="0.2">
      <c r="A16" s="255" t="s">
        <v>192</v>
      </c>
      <c r="B16" s="248">
        <v>0</v>
      </c>
      <c r="C16" s="248">
        <v>11250</v>
      </c>
      <c r="D16" s="248">
        <v>0</v>
      </c>
      <c r="E16" s="248">
        <v>0</v>
      </c>
      <c r="F16" s="248">
        <v>-50</v>
      </c>
      <c r="G16" s="248">
        <v>0</v>
      </c>
      <c r="H16" s="248"/>
      <c r="I16" s="248"/>
      <c r="J16" s="248"/>
      <c r="K16" s="248"/>
      <c r="L16" s="248"/>
      <c r="M16" s="248"/>
      <c r="N16" s="249">
        <f t="shared" si="0"/>
        <v>11200</v>
      </c>
      <c r="O16" s="286"/>
      <c r="P16" s="286"/>
    </row>
    <row r="17" spans="1:14" x14ac:dyDescent="0.2">
      <c r="A17" s="445" t="s">
        <v>217</v>
      </c>
      <c r="B17" s="287">
        <f t="shared" ref="B17:G17" si="1">SUM(B7:B16)</f>
        <v>2008319.34</v>
      </c>
      <c r="C17" s="287">
        <f t="shared" si="1"/>
        <v>1684578.2</v>
      </c>
      <c r="D17" s="287">
        <f t="shared" si="1"/>
        <v>1799871.93</v>
      </c>
      <c r="E17" s="287">
        <f t="shared" si="1"/>
        <v>1946172.92</v>
      </c>
      <c r="F17" s="287">
        <f t="shared" si="1"/>
        <v>1949140.2200000002</v>
      </c>
      <c r="G17" s="287">
        <f t="shared" si="1"/>
        <v>3705312.5700000003</v>
      </c>
      <c r="H17" s="287">
        <f t="shared" ref="H17:M17" si="2">SUM(H7:H16)</f>
        <v>0</v>
      </c>
      <c r="I17" s="287">
        <f t="shared" si="2"/>
        <v>0</v>
      </c>
      <c r="J17" s="287">
        <f t="shared" si="2"/>
        <v>0</v>
      </c>
      <c r="K17" s="287">
        <f t="shared" si="2"/>
        <v>0</v>
      </c>
      <c r="L17" s="287">
        <f t="shared" si="2"/>
        <v>0</v>
      </c>
      <c r="M17" s="287">
        <f t="shared" si="2"/>
        <v>0</v>
      </c>
      <c r="N17" s="403">
        <f>SUM(N7:N16)</f>
        <v>13093395.18</v>
      </c>
    </row>
    <row r="18" spans="1:14" x14ac:dyDescent="0.2">
      <c r="A18" s="283"/>
      <c r="B18" s="288"/>
      <c r="C18" s="288"/>
      <c r="D18" s="288"/>
      <c r="E18" s="288"/>
      <c r="F18" s="288"/>
      <c r="G18" s="288"/>
      <c r="H18" s="288"/>
      <c r="I18" s="288"/>
      <c r="J18" s="288"/>
      <c r="K18" s="288"/>
      <c r="L18" s="288"/>
      <c r="M18" s="288"/>
      <c r="N18" s="289"/>
    </row>
    <row r="19" spans="1:14" ht="13.5" thickBot="1" x14ac:dyDescent="0.25">
      <c r="A19" s="256"/>
      <c r="B19" s="290"/>
      <c r="C19" s="290"/>
      <c r="D19" s="290"/>
      <c r="E19" s="290"/>
      <c r="F19" s="290"/>
      <c r="G19" s="290"/>
      <c r="H19" s="290"/>
      <c r="I19" s="290"/>
      <c r="J19" s="290"/>
      <c r="K19" s="290"/>
      <c r="L19" s="290"/>
      <c r="M19" s="290"/>
      <c r="N19" s="291"/>
    </row>
    <row r="20" spans="1:14" ht="9" customHeight="1" thickBot="1" x14ac:dyDescent="0.25">
      <c r="A20" s="4"/>
      <c r="B20" s="288"/>
      <c r="C20" s="288"/>
      <c r="D20" s="288"/>
      <c r="E20" s="288"/>
      <c r="F20" s="288"/>
      <c r="G20" s="288"/>
      <c r="H20" s="288"/>
      <c r="I20" s="288"/>
      <c r="J20" s="288"/>
      <c r="K20" s="288"/>
      <c r="L20" s="288"/>
      <c r="M20" s="288"/>
      <c r="N20" s="289"/>
    </row>
    <row r="21" spans="1:14" ht="20.25" customHeight="1" thickBot="1" x14ac:dyDescent="0.25">
      <c r="A21" s="257" t="s">
        <v>122</v>
      </c>
      <c r="B21" s="292">
        <v>0</v>
      </c>
      <c r="C21" s="292">
        <v>0</v>
      </c>
      <c r="D21" s="292">
        <v>0</v>
      </c>
      <c r="E21" s="292">
        <v>0</v>
      </c>
      <c r="F21" s="292">
        <v>0</v>
      </c>
      <c r="G21" s="292">
        <v>0</v>
      </c>
      <c r="H21" s="293">
        <v>0</v>
      </c>
      <c r="I21" s="293">
        <v>0</v>
      </c>
      <c r="J21" s="293">
        <v>0</v>
      </c>
      <c r="K21" s="293">
        <v>0</v>
      </c>
      <c r="L21" s="293">
        <v>0</v>
      </c>
      <c r="M21" s="293">
        <v>0</v>
      </c>
      <c r="N21" s="294">
        <f>SUM(B21:M21)</f>
        <v>0</v>
      </c>
    </row>
    <row r="22" spans="1:14" s="145" customFormat="1" ht="15.75" customHeight="1" x14ac:dyDescent="0.2">
      <c r="A22" s="258" t="s">
        <v>123</v>
      </c>
      <c r="B22" s="162"/>
      <c r="C22" s="162"/>
      <c r="D22" s="162"/>
      <c r="E22" s="162"/>
      <c r="F22" s="162"/>
      <c r="G22" s="162"/>
      <c r="H22" s="196"/>
      <c r="I22" s="196"/>
      <c r="J22" s="196"/>
      <c r="K22" s="196"/>
      <c r="L22" s="196"/>
      <c r="M22" s="196"/>
      <c r="N22" s="162"/>
    </row>
    <row r="23" spans="1:14" x14ac:dyDescent="0.2">
      <c r="A23" s="361"/>
    </row>
    <row r="24" spans="1:14" x14ac:dyDescent="0.2">
      <c r="A24" s="250" t="s">
        <v>1</v>
      </c>
    </row>
    <row r="25" spans="1:14" x14ac:dyDescent="0.2">
      <c r="A25" s="353" t="s">
        <v>1</v>
      </c>
      <c r="B25" s="286"/>
    </row>
    <row r="26" spans="1:14" x14ac:dyDescent="0.2">
      <c r="A26" s="248" t="s">
        <v>1</v>
      </c>
    </row>
    <row r="27" spans="1:14" x14ac:dyDescent="0.2">
      <c r="A27" s="353" t="s">
        <v>1</v>
      </c>
    </row>
  </sheetData>
  <sheetProtection password="C511" sheet="1" objects="1" scenarios="1"/>
  <printOptions horizontalCentered="1"/>
  <pageMargins left="0.25" right="0.25" top="0.90666666666666662" bottom="0.75" header="0.3" footer="0.3"/>
  <pageSetup scale="65" orientation="landscape" r:id="rId1"/>
  <headerFooter>
    <oddHeader>&amp;C&amp;"Arial,Bold"&amp;K000000Table I-5 
Pacific Gas and Electric Company 
2012-2014 Demand Response Programs 
Total Embedded Cost and Revenues
June 2012</oddHeader>
    <oddFooter>&amp;L&amp;F&amp;CPage 9 of 9&amp;R&amp;A</oddFooter>
  </headerFooter>
  <ignoredErrors>
    <ignoredError sqref="N7:N16 G17:M17"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5A7C31AD6C2E469C9C2F055F88C4AD" ma:contentTypeVersion="0" ma:contentTypeDescription="Create a new document." ma:contentTypeScope="" ma:versionID="9ab4c19e677a814e7c989ca40986430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04FFFEA-D033-4BC2-B681-FFA43C216FC9}">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D7D5A63-6E41-4EA8-9615-8ECB164F1469}">
  <ds:schemaRefs>
    <ds:schemaRef ds:uri="http://schemas.microsoft.com/sharepoint/v3/contenttype/forms"/>
  </ds:schemaRefs>
</ds:datastoreItem>
</file>

<file path=customXml/itemProps3.xml><?xml version="1.0" encoding="utf-8"?>
<ds:datastoreItem xmlns:ds="http://schemas.openxmlformats.org/officeDocument/2006/customXml" ds:itemID="{0C1A6D2F-329F-4363-BB71-E9C7CC289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Report Cover</vt:lpstr>
      <vt:lpstr>Cover Page</vt:lpstr>
      <vt:lpstr>Program MW</vt:lpstr>
      <vt:lpstr>Ex Ante LI &amp; Eligibility Stats</vt:lpstr>
      <vt:lpstr>Ex Post LI &amp; Eligibility Stats</vt:lpstr>
      <vt:lpstr>TA-TI Distribution</vt:lpstr>
      <vt:lpstr>DREBA Expenses 2012-14</vt:lpstr>
      <vt:lpstr>Event Summary</vt:lpstr>
      <vt:lpstr>Incentives 2012-14</vt:lpstr>
      <vt:lpstr>'DREBA Expenses 2012-14'!Print_Area</vt:lpstr>
      <vt:lpstr>'Event Summary'!Print_Area</vt:lpstr>
      <vt:lpstr>'Ex Ante LI &amp; Eligibility Stats'!Print_Area</vt:lpstr>
      <vt:lpstr>'Ex Post LI &amp; Eligibility Stats'!Print_Area</vt:lpstr>
      <vt:lpstr>'Incentives 2012-14'!Print_Area</vt:lpstr>
      <vt:lpstr>'Program MW'!Print_Area</vt:lpstr>
      <vt:lpstr>'TA-TI Distribution'!Print_Area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1970-01-01T07:00:00Z</cp:lastPrinted>
  <dcterms:created xsi:type="dcterms:W3CDTF">1970-01-01T07:00:00Z</dcterms:created>
  <dcterms:modified xsi:type="dcterms:W3CDTF">2012-07-23T21:16:14Z</dcterms:modified>
</cp:coreProperties>
</file>