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90" windowWidth="11570" windowHeight="7850" tabRatio="930"/>
  </bookViews>
  <sheets>
    <sheet name="Report Cover" sheetId="19" r:id="rId1"/>
    <sheet name="Cover Page" sheetId="22" r:id="rId2"/>
    <sheet name="Program MW" sheetId="32" r:id="rId3"/>
    <sheet name="Ex Ante LI &amp; Eligibility Stats" sheetId="3" r:id="rId4"/>
    <sheet name="Ex Post LI &amp; Eligibility Stats" sheetId="4" r:id="rId5"/>
    <sheet name="TA-TI Distribution" sheetId="6" r:id="rId6"/>
    <sheet name="DREBA Expenses 2012-14" sheetId="18" r:id="rId7"/>
    <sheet name="Event Summary" sheetId="10" r:id="rId8"/>
    <sheet name="Incentives 2012-14" sheetId="16" r:id="rId9"/>
    <sheet name="ME&amp;O Actual Expenditures" sheetId="29" r:id="rId10"/>
    <sheet name="Fund Shift Log 2012-2014" sheetId="31" r:id="rId11"/>
  </sheets>
  <externalReferences>
    <externalReference r:id="rId12"/>
    <externalReference r:id="rId13"/>
  </externalReferences>
  <definedNames>
    <definedName name="_xlnm._FilterDatabase" localSheetId="7" hidden="1">'Event Summary'!$A$1:$L$37</definedName>
    <definedName name="DREBA2012" localSheetId="6">#REF!</definedName>
    <definedName name="DREBA2012" localSheetId="8">#REF!</definedName>
    <definedName name="DREBA2012" localSheetId="0">#REF!</definedName>
    <definedName name="DREBA2012">#REF!</definedName>
    <definedName name="Orders" localSheetId="6">'[1]ORDERS BW'!$C:$H</definedName>
    <definedName name="Orders" localSheetId="0">'[2]ORDERS BW'!$C:$H</definedName>
    <definedName name="Orders">'[1]ORDERS BW'!$C:$H</definedName>
    <definedName name="_xlnm.Print_Area" localSheetId="6">'DREBA Expenses 2012-14'!$B$1:$T$78</definedName>
    <definedName name="_xlnm.Print_Area" localSheetId="7">'Event Summary'!$A$1:$M$40</definedName>
    <definedName name="_xlnm.Print_Area" localSheetId="3">'Ex Ante LI &amp; Eligibility Stats'!$A$1:$O$19</definedName>
    <definedName name="_xlnm.Print_Area" localSheetId="4">'Ex Post LI &amp; Eligibility Stats'!$A$1:$O$20</definedName>
    <definedName name="_xlnm.Print_Area" localSheetId="10">'Fund Shift Log 2012-2014'!$A$1:$E$23</definedName>
    <definedName name="_xlnm.Print_Area" localSheetId="8">'Incentives 2012-14'!$A$3:$P$21</definedName>
    <definedName name="_xlnm.Print_Area" localSheetId="9">'ME&amp;O Actual Expenditures'!$A$1:$R$64</definedName>
    <definedName name="_xlnm.Print_Area" localSheetId="2">'Program MW'!$A$1:$T$54</definedName>
    <definedName name="_xlnm.Print_Area" localSheetId="5">'TA-TI Distribution'!$A$1:$Y$60</definedName>
    <definedName name="SAPBEXhrIndnt" hidden="1">1</definedName>
    <definedName name="SAPBEXrevision" hidden="1">1</definedName>
    <definedName name="SAPBEXsysID" hidden="1">"BPR"</definedName>
    <definedName name="SAPBEXwbID" hidden="1">"4A0EOS2A54LDHQ8HAAMV1Z7LH"</definedName>
    <definedName name="text">"($ in '000s)"</definedName>
  </definedNames>
  <calcPr calcId="145621"/>
</workbook>
</file>

<file path=xl/calcChain.xml><?xml version="1.0" encoding="utf-8"?>
<calcChain xmlns="http://schemas.openxmlformats.org/spreadsheetml/2006/main">
  <c r="S24" i="32" l="1"/>
  <c r="S23" i="32"/>
  <c r="S22" i="32"/>
  <c r="S21" i="32"/>
  <c r="S20" i="32"/>
  <c r="S19" i="32"/>
  <c r="S18" i="32"/>
  <c r="S17" i="32"/>
  <c r="P24" i="32"/>
  <c r="P23" i="32"/>
  <c r="P22" i="32"/>
  <c r="P21" i="32"/>
  <c r="P20" i="32"/>
  <c r="P19" i="32"/>
  <c r="P18" i="32"/>
  <c r="P17" i="32"/>
  <c r="O17" i="32" l="1"/>
  <c r="O18" i="32"/>
  <c r="O19" i="32"/>
  <c r="O20" i="32"/>
  <c r="C21" i="32"/>
  <c r="C22" i="32"/>
  <c r="C23" i="32"/>
  <c r="C24" i="32"/>
  <c r="C11" i="32"/>
  <c r="C12" i="32"/>
  <c r="C13" i="32"/>
  <c r="C14" i="32"/>
  <c r="C10" i="32"/>
  <c r="B49" i="32" l="1"/>
  <c r="B39" i="32"/>
  <c r="B50" i="32" s="1"/>
  <c r="C30" i="32"/>
  <c r="K25" i="32"/>
  <c r="H25" i="32"/>
  <c r="E25" i="32"/>
  <c r="B25" i="32"/>
  <c r="R20" i="32"/>
  <c r="Q20" i="32"/>
  <c r="N20" i="32"/>
  <c r="R19" i="32"/>
  <c r="Q19" i="32"/>
  <c r="R18" i="32"/>
  <c r="Q18" i="32"/>
  <c r="N18" i="32"/>
  <c r="R17" i="32"/>
  <c r="Q17" i="32"/>
  <c r="N17" i="32"/>
  <c r="N25" i="32" s="1"/>
  <c r="Q15" i="32"/>
  <c r="N15" i="32"/>
  <c r="K15" i="32"/>
  <c r="K26" i="32" s="1"/>
  <c r="H15" i="32"/>
  <c r="E15" i="32"/>
  <c r="E26" i="32" s="1"/>
  <c r="B15" i="32"/>
  <c r="B26" i="32" s="1"/>
  <c r="F5" i="32"/>
  <c r="D5" i="32"/>
  <c r="C46" i="32" l="1"/>
  <c r="C47" i="32"/>
  <c r="C35" i="32"/>
  <c r="C34" i="32"/>
  <c r="C48" i="32"/>
  <c r="C36" i="32"/>
  <c r="C45" i="32"/>
  <c r="C37" i="32"/>
  <c r="C38" i="32"/>
  <c r="D17" i="32"/>
  <c r="D14" i="32"/>
  <c r="D18" i="32"/>
  <c r="D22" i="32"/>
  <c r="D13" i="32"/>
  <c r="D19" i="32"/>
  <c r="D23" i="32"/>
  <c r="D20" i="32"/>
  <c r="D24" i="32"/>
  <c r="D11" i="32"/>
  <c r="D10" i="32"/>
  <c r="D21" i="32"/>
  <c r="D12" i="32"/>
  <c r="D15" i="32" s="1"/>
  <c r="F30" i="32"/>
  <c r="F23" i="32"/>
  <c r="F11" i="32"/>
  <c r="F12" i="32"/>
  <c r="F24" i="32"/>
  <c r="F22" i="32"/>
  <c r="F14" i="32"/>
  <c r="F21" i="32"/>
  <c r="F13" i="32"/>
  <c r="F10" i="32"/>
  <c r="H26" i="32"/>
  <c r="C25" i="32"/>
  <c r="C15" i="32"/>
  <c r="N26" i="32"/>
  <c r="I5" i="32"/>
  <c r="Q25" i="32"/>
  <c r="Q26" i="32" s="1"/>
  <c r="D30" i="32"/>
  <c r="G5" i="32"/>
  <c r="D42" i="32" l="1"/>
  <c r="D46" i="32"/>
  <c r="D34" i="32"/>
  <c r="D43" i="32"/>
  <c r="D47" i="32"/>
  <c r="D36" i="32"/>
  <c r="D44" i="32"/>
  <c r="D48" i="32"/>
  <c r="D37" i="32"/>
  <c r="D45" i="32"/>
  <c r="D41" i="32"/>
  <c r="D38" i="32"/>
  <c r="D35" i="32"/>
  <c r="C26" i="32"/>
  <c r="G17" i="32"/>
  <c r="G24" i="32"/>
  <c r="G22" i="32"/>
  <c r="G20" i="32"/>
  <c r="G14" i="32"/>
  <c r="G12" i="32"/>
  <c r="G10" i="32"/>
  <c r="G19" i="32"/>
  <c r="G23" i="32"/>
  <c r="G21" i="32"/>
  <c r="G18" i="32"/>
  <c r="G13" i="32"/>
  <c r="G11" i="32"/>
  <c r="I23" i="32"/>
  <c r="I21" i="32"/>
  <c r="I14" i="32"/>
  <c r="I10" i="32"/>
  <c r="I11" i="32"/>
  <c r="I24" i="32"/>
  <c r="I22" i="32"/>
  <c r="I13" i="32"/>
  <c r="I12" i="32"/>
  <c r="C49" i="32"/>
  <c r="G30" i="32"/>
  <c r="C39" i="32"/>
  <c r="L5" i="32"/>
  <c r="J5" i="32"/>
  <c r="I30" i="32"/>
  <c r="D25" i="32"/>
  <c r="D26" i="32" s="1"/>
  <c r="F25" i="32"/>
  <c r="F15" i="32"/>
  <c r="J17" i="32" l="1"/>
  <c r="J24" i="32"/>
  <c r="J22" i="32"/>
  <c r="J20" i="32"/>
  <c r="J13" i="32"/>
  <c r="J11" i="32"/>
  <c r="J19" i="32"/>
  <c r="J23" i="32"/>
  <c r="J21" i="32"/>
  <c r="J18" i="32"/>
  <c r="J14" i="32"/>
  <c r="J12" i="32"/>
  <c r="J10" i="32"/>
  <c r="L23" i="32"/>
  <c r="L21" i="32"/>
  <c r="L13" i="32"/>
  <c r="L24" i="32"/>
  <c r="L22" i="32"/>
  <c r="L14" i="32"/>
  <c r="L12" i="32"/>
  <c r="L10" i="32"/>
  <c r="L11" i="32"/>
  <c r="C50" i="32"/>
  <c r="D39" i="32"/>
  <c r="J30" i="32"/>
  <c r="G15" i="32"/>
  <c r="F26" i="32"/>
  <c r="I15" i="32"/>
  <c r="I25" i="32"/>
  <c r="G25" i="32"/>
  <c r="D49" i="32"/>
  <c r="L30" i="32"/>
  <c r="O5" i="32"/>
  <c r="M5" i="32"/>
  <c r="M17" i="32" l="1"/>
  <c r="M24" i="32"/>
  <c r="M22" i="32"/>
  <c r="M20" i="32"/>
  <c r="M14" i="32"/>
  <c r="M12" i="32"/>
  <c r="M10" i="32"/>
  <c r="M19" i="32"/>
  <c r="M23" i="32"/>
  <c r="M21" i="32"/>
  <c r="M18" i="32"/>
  <c r="M13" i="32"/>
  <c r="M11" i="32"/>
  <c r="O23" i="32"/>
  <c r="O21" i="32"/>
  <c r="O12" i="32"/>
  <c r="O24" i="32"/>
  <c r="O22" i="32"/>
  <c r="O13" i="32"/>
  <c r="O11" i="32"/>
  <c r="O14" i="32"/>
  <c r="O10" i="32"/>
  <c r="L25" i="32"/>
  <c r="J25" i="32"/>
  <c r="I26" i="32"/>
  <c r="J15" i="32"/>
  <c r="D50" i="32"/>
  <c r="P5" i="32"/>
  <c r="O30" i="32"/>
  <c r="R5" i="32"/>
  <c r="L15" i="32"/>
  <c r="L26" i="32" s="1"/>
  <c r="G26" i="32"/>
  <c r="M30" i="32"/>
  <c r="R23" i="32" l="1"/>
  <c r="R21" i="32"/>
  <c r="R13" i="32"/>
  <c r="R11" i="32"/>
  <c r="R24" i="32"/>
  <c r="R22" i="32"/>
  <c r="R14" i="32"/>
  <c r="R12" i="32"/>
  <c r="R10" i="32"/>
  <c r="P13" i="32"/>
  <c r="P11" i="32"/>
  <c r="P14" i="32"/>
  <c r="P12" i="32"/>
  <c r="P10" i="32"/>
  <c r="J26" i="32"/>
  <c r="M15" i="32"/>
  <c r="O25" i="32"/>
  <c r="P30" i="32"/>
  <c r="M25" i="32"/>
  <c r="R30" i="32"/>
  <c r="S5" i="32"/>
  <c r="O15" i="32"/>
  <c r="S14" i="32" l="1"/>
  <c r="S12" i="32"/>
  <c r="S10" i="32"/>
  <c r="S13" i="32"/>
  <c r="S11" i="32"/>
  <c r="O26" i="32"/>
  <c r="R15" i="32"/>
  <c r="P25" i="32"/>
  <c r="M26" i="32"/>
  <c r="R25" i="32"/>
  <c r="S30" i="32"/>
  <c r="P15" i="32"/>
  <c r="P26" i="32" s="1"/>
  <c r="R26" i="32" l="1"/>
  <c r="S15" i="32"/>
  <c r="S25" i="32"/>
  <c r="S26" i="32" l="1"/>
  <c r="D36" i="6" l="1"/>
  <c r="D37" i="6"/>
  <c r="D38" i="6"/>
  <c r="D39" i="6"/>
  <c r="D40" i="6"/>
  <c r="D41" i="6"/>
  <c r="D42" i="6"/>
  <c r="W6" i="6"/>
  <c r="Y6" i="6" s="1"/>
  <c r="W7" i="6"/>
  <c r="Y7" i="6" s="1"/>
  <c r="W8" i="6"/>
  <c r="W9" i="6"/>
  <c r="W10" i="6"/>
  <c r="Y10" i="6" s="1"/>
  <c r="W11" i="6"/>
  <c r="Y11" i="6" s="1"/>
  <c r="W12" i="6"/>
  <c r="W5" i="6"/>
  <c r="Y17" i="6"/>
  <c r="Y18" i="6"/>
  <c r="Y19" i="6"/>
  <c r="Y20" i="6"/>
  <c r="Y16" i="6"/>
  <c r="X17" i="6"/>
  <c r="X18" i="6"/>
  <c r="X19" i="6"/>
  <c r="X20" i="6"/>
  <c r="X16" i="6"/>
  <c r="W17" i="6"/>
  <c r="W18" i="6"/>
  <c r="W19" i="6"/>
  <c r="W20" i="6"/>
  <c r="Y8" i="6"/>
  <c r="Y9" i="6"/>
  <c r="Y12" i="6"/>
  <c r="X6" i="6"/>
  <c r="X7" i="6"/>
  <c r="X8" i="6"/>
  <c r="X9" i="6"/>
  <c r="X10" i="6"/>
  <c r="X11" i="6"/>
  <c r="X12" i="6"/>
  <c r="X5" i="6"/>
  <c r="U6" i="6"/>
  <c r="U7" i="6"/>
  <c r="U8" i="6"/>
  <c r="U9" i="6"/>
  <c r="U10" i="6"/>
  <c r="U11" i="6"/>
  <c r="U12" i="6"/>
  <c r="Q6" i="6"/>
  <c r="Q7" i="6"/>
  <c r="Q8" i="6"/>
  <c r="Q9" i="6"/>
  <c r="Q10" i="6"/>
  <c r="Q11" i="6"/>
  <c r="Q12" i="6"/>
  <c r="O9" i="6"/>
  <c r="O10" i="6"/>
  <c r="O11" i="6"/>
  <c r="O12" i="6"/>
  <c r="P9" i="6"/>
  <c r="P10" i="6"/>
  <c r="P11" i="6"/>
  <c r="P12" i="6"/>
  <c r="T11" i="6"/>
  <c r="S11" i="6"/>
  <c r="U5" i="6"/>
  <c r="Q5" i="6"/>
  <c r="I6" i="6"/>
  <c r="I7" i="6"/>
  <c r="I8" i="6"/>
  <c r="I9" i="6"/>
  <c r="I10" i="6"/>
  <c r="I11" i="6"/>
  <c r="I12" i="6"/>
  <c r="I5" i="6"/>
  <c r="E6" i="6"/>
  <c r="E7" i="6"/>
  <c r="E8" i="6"/>
  <c r="E9" i="6"/>
  <c r="E10" i="6"/>
  <c r="E11" i="6"/>
  <c r="E12" i="6"/>
  <c r="E5" i="6"/>
  <c r="M11" i="6"/>
  <c r="M12" i="6"/>
  <c r="L11" i="6"/>
  <c r="L12" i="6"/>
  <c r="K11" i="6"/>
  <c r="K12" i="6"/>
  <c r="H11" i="6"/>
  <c r="H12" i="6"/>
  <c r="G11" i="6"/>
  <c r="G12" i="6"/>
  <c r="D47" i="6" l="1"/>
  <c r="D48" i="6"/>
  <c r="D49" i="6"/>
  <c r="D50" i="6"/>
  <c r="D46" i="6"/>
  <c r="D35" i="6"/>
  <c r="C47" i="6" l="1"/>
  <c r="C48" i="6"/>
  <c r="C49" i="6"/>
  <c r="C50" i="6"/>
  <c r="C46" i="6"/>
  <c r="C36" i="6"/>
  <c r="C35" i="6"/>
  <c r="I15" i="18" l="1"/>
  <c r="I13" i="18"/>
  <c r="I12" i="18"/>
  <c r="W16" i="6" l="1"/>
  <c r="V26" i="6"/>
  <c r="R26" i="6" l="1"/>
  <c r="T17" i="6" l="1"/>
  <c r="T18" i="6"/>
  <c r="T19" i="6"/>
  <c r="T20" i="6"/>
  <c r="T16" i="6"/>
  <c r="S17" i="6"/>
  <c r="S18" i="6"/>
  <c r="S19" i="6"/>
  <c r="S20" i="6"/>
  <c r="S16" i="6"/>
  <c r="T5" i="6"/>
  <c r="S5" i="6"/>
  <c r="H40" i="18" l="1"/>
  <c r="J26" i="6" l="1"/>
  <c r="N26" i="6"/>
  <c r="G15" i="18" l="1"/>
  <c r="B23" i="31" l="1"/>
  <c r="P20" i="6"/>
  <c r="P19" i="6"/>
  <c r="P18" i="6"/>
  <c r="P17" i="6"/>
  <c r="P16" i="6"/>
  <c r="L16" i="6"/>
  <c r="O20" i="6"/>
  <c r="O19" i="6"/>
  <c r="O18" i="6"/>
  <c r="O17" i="6"/>
  <c r="O16" i="6"/>
  <c r="K20" i="6"/>
  <c r="K19" i="6"/>
  <c r="K18" i="6"/>
  <c r="K17" i="6"/>
  <c r="K16" i="6"/>
  <c r="G17" i="6"/>
  <c r="G18" i="6"/>
  <c r="G19" i="6"/>
  <c r="G20" i="6"/>
  <c r="G16" i="6"/>
  <c r="P5" i="6"/>
  <c r="O5" i="6"/>
  <c r="K7" i="6"/>
  <c r="O7" i="6" s="1"/>
  <c r="L5" i="6"/>
  <c r="K5" i="6"/>
  <c r="G6" i="6"/>
  <c r="K6" i="6" s="1"/>
  <c r="O6" i="6" s="1"/>
  <c r="G7" i="6"/>
  <c r="G8" i="6"/>
  <c r="K8" i="6" s="1"/>
  <c r="O8" i="6" s="1"/>
  <c r="G9" i="6"/>
  <c r="K9" i="6" s="1"/>
  <c r="G10" i="6"/>
  <c r="K10" i="6" s="1"/>
  <c r="G5" i="6"/>
  <c r="L20" i="6"/>
  <c r="L19" i="6"/>
  <c r="L18" i="6"/>
  <c r="L17" i="6"/>
  <c r="C41" i="6" l="1"/>
  <c r="S10" i="6"/>
  <c r="C37" i="6"/>
  <c r="S6" i="6"/>
  <c r="C39" i="6"/>
  <c r="S8" i="6"/>
  <c r="C42" i="6"/>
  <c r="S12" i="6"/>
  <c r="C40" i="6"/>
  <c r="S9" i="6"/>
  <c r="C38" i="6"/>
  <c r="S7" i="6"/>
  <c r="F15" i="18" l="1"/>
  <c r="O20" i="16" l="1"/>
  <c r="O8" i="16"/>
  <c r="P8" i="16" s="1"/>
  <c r="O9" i="16"/>
  <c r="P9" i="16" s="1"/>
  <c r="O10" i="16"/>
  <c r="O11" i="16"/>
  <c r="P11" i="16" s="1"/>
  <c r="O12" i="16"/>
  <c r="P12" i="16" s="1"/>
  <c r="O13" i="16"/>
  <c r="P13" i="16" s="1"/>
  <c r="O14" i="16"/>
  <c r="P14" i="16" s="1"/>
  <c r="O15" i="16"/>
  <c r="P15" i="16" s="1"/>
  <c r="O7" i="16"/>
  <c r="P7" i="16" s="1"/>
  <c r="B16" i="16"/>
  <c r="O16" i="16" l="1"/>
  <c r="P10" i="16"/>
  <c r="H17" i="6"/>
  <c r="H18" i="6"/>
  <c r="H19" i="6"/>
  <c r="H20" i="6"/>
  <c r="H16" i="6"/>
  <c r="H9" i="6"/>
  <c r="L9" i="6" s="1"/>
  <c r="H10" i="6"/>
  <c r="L10" i="6" s="1"/>
  <c r="T9" i="6" l="1"/>
  <c r="T12" i="6"/>
  <c r="T10" i="6"/>
  <c r="E15" i="18"/>
  <c r="D15" i="18"/>
  <c r="E41" i="18"/>
  <c r="D41" i="18"/>
  <c r="E40" i="18"/>
  <c r="D40" i="18"/>
  <c r="B26" i="6" l="1"/>
  <c r="F26" i="6" s="1"/>
  <c r="S60" i="18" l="1"/>
  <c r="D7" i="6" l="1"/>
  <c r="H7" i="6" s="1"/>
  <c r="L7" i="6" s="1"/>
  <c r="P7" i="6" s="1"/>
  <c r="D8" i="6"/>
  <c r="H8" i="6" s="1"/>
  <c r="L8" i="6" s="1"/>
  <c r="P8" i="6" s="1"/>
  <c r="D6" i="6"/>
  <c r="H6" i="6" s="1"/>
  <c r="L6" i="6" s="1"/>
  <c r="P6" i="6" s="1"/>
  <c r="T8" i="6" l="1"/>
  <c r="E36" i="6"/>
  <c r="T6" i="6"/>
  <c r="T7" i="6"/>
  <c r="P67" i="18"/>
  <c r="Q67" i="18" s="1"/>
  <c r="P64" i="18"/>
  <c r="Q64" i="18" s="1"/>
  <c r="P63" i="18"/>
  <c r="Q63" i="18" s="1"/>
  <c r="P59" i="18"/>
  <c r="Q59" i="18" s="1"/>
  <c r="P58" i="18"/>
  <c r="Q58" i="18" s="1"/>
  <c r="P57" i="18"/>
  <c r="Q57" i="18" s="1"/>
  <c r="P56" i="18"/>
  <c r="Q56" i="18" s="1"/>
  <c r="P55" i="18"/>
  <c r="Q55" i="18" s="1"/>
  <c r="P54" i="18"/>
  <c r="Q54" i="18" s="1"/>
  <c r="P53" i="18"/>
  <c r="Q53" i="18" s="1"/>
  <c r="P49" i="18"/>
  <c r="Q49" i="18" s="1"/>
  <c r="P48" i="18"/>
  <c r="Q48" i="18" s="1"/>
  <c r="P47" i="18"/>
  <c r="Q47" i="18" s="1"/>
  <c r="P46" i="18"/>
  <c r="Q46" i="18" s="1"/>
  <c r="P42" i="18"/>
  <c r="Q42" i="18" s="1"/>
  <c r="P39" i="18"/>
  <c r="Q39" i="18" s="1"/>
  <c r="P35" i="18"/>
  <c r="Q35" i="18" s="1"/>
  <c r="P34" i="18"/>
  <c r="Q34" i="18" s="1"/>
  <c r="P30" i="18"/>
  <c r="Q30" i="18" s="1"/>
  <c r="P29" i="18"/>
  <c r="Q29" i="18" s="1"/>
  <c r="P28" i="18"/>
  <c r="Q28" i="18" s="1"/>
  <c r="P24" i="18"/>
  <c r="Q24" i="18" s="1"/>
  <c r="P23" i="18"/>
  <c r="Q23" i="18" s="1"/>
  <c r="P19" i="18"/>
  <c r="Q19" i="18" s="1"/>
  <c r="P13" i="18"/>
  <c r="Q13" i="18" s="1"/>
  <c r="P14" i="18"/>
  <c r="Q14" i="18" s="1"/>
  <c r="P15" i="18"/>
  <c r="Q15" i="18" s="1"/>
  <c r="P12" i="18"/>
  <c r="Q12" i="18" s="1"/>
  <c r="P8" i="18"/>
  <c r="Q8" i="18" s="1"/>
  <c r="P7" i="18"/>
  <c r="Q7" i="18" s="1"/>
  <c r="P40" i="18" l="1"/>
  <c r="Q40" i="18" s="1"/>
  <c r="P41" i="18"/>
  <c r="Q41" i="18" s="1"/>
  <c r="D5" i="6" l="1"/>
  <c r="H5" i="6" s="1"/>
  <c r="O30" i="29" l="1"/>
  <c r="O29" i="29"/>
  <c r="Q29" i="29" s="1"/>
  <c r="O28" i="29"/>
  <c r="Q28" i="29" s="1"/>
  <c r="O27" i="29"/>
  <c r="O26" i="29"/>
  <c r="C25" i="29"/>
  <c r="D25" i="29"/>
  <c r="E25" i="29"/>
  <c r="F25" i="29"/>
  <c r="G25" i="29"/>
  <c r="H25" i="29"/>
  <c r="I25" i="29"/>
  <c r="J25" i="29"/>
  <c r="K25" i="29"/>
  <c r="L25" i="29"/>
  <c r="M25" i="29"/>
  <c r="N25" i="29"/>
  <c r="P25" i="29"/>
  <c r="P43" i="29" s="1"/>
  <c r="P58" i="29"/>
  <c r="O57" i="29"/>
  <c r="Q57" i="29" s="1"/>
  <c r="O56" i="29"/>
  <c r="Q56" i="29" s="1"/>
  <c r="O55" i="29"/>
  <c r="Q55" i="29" s="1"/>
  <c r="O54" i="29"/>
  <c r="Q54" i="29" s="1"/>
  <c r="P51" i="29"/>
  <c r="O50" i="29"/>
  <c r="Q50" i="29" s="1"/>
  <c r="O49" i="29"/>
  <c r="O48" i="29"/>
  <c r="Q48" i="29" s="1"/>
  <c r="O47" i="29"/>
  <c r="O46" i="29"/>
  <c r="Q46" i="29" s="1"/>
  <c r="O21" i="29"/>
  <c r="Q21" i="29" s="1"/>
  <c r="O20" i="29"/>
  <c r="Q20" i="29" s="1"/>
  <c r="O17" i="29"/>
  <c r="Q17" i="29" s="1"/>
  <c r="O15" i="29"/>
  <c r="Q15" i="29" s="1"/>
  <c r="O13" i="29"/>
  <c r="Q13" i="29" s="1"/>
  <c r="O12" i="29"/>
  <c r="Q12" i="29" s="1"/>
  <c r="Q49" i="29"/>
  <c r="Q47" i="29"/>
  <c r="Q30" i="29"/>
  <c r="Q26" i="29"/>
  <c r="O5" i="29"/>
  <c r="Q5" i="29" s="1"/>
  <c r="O22" i="29"/>
  <c r="Q22" i="29" s="1"/>
  <c r="B58" i="29"/>
  <c r="B43" i="29"/>
  <c r="B51" i="29"/>
  <c r="B25" i="29"/>
  <c r="Q51" i="29" l="1"/>
  <c r="Q58" i="29"/>
  <c r="O25" i="29"/>
  <c r="Q27" i="29"/>
  <c r="Q25" i="29" s="1"/>
  <c r="Q43" i="29" s="1"/>
  <c r="R58" i="18"/>
  <c r="R53" i="18"/>
  <c r="C50" i="18"/>
  <c r="C6" i="29" l="1"/>
  <c r="C43" i="29"/>
  <c r="G13" i="6" l="1"/>
  <c r="H13" i="6"/>
  <c r="Y42" i="6" l="1"/>
  <c r="U42" i="6"/>
  <c r="Q42" i="6"/>
  <c r="M42" i="6"/>
  <c r="X51" i="6"/>
  <c r="D51" i="6"/>
  <c r="T51" i="6"/>
  <c r="R55" i="18" l="1"/>
  <c r="N58" i="29" l="1"/>
  <c r="N51" i="29"/>
  <c r="N43" i="29"/>
  <c r="D6" i="29"/>
  <c r="E6" i="29"/>
  <c r="F6" i="29"/>
  <c r="G6" i="29"/>
  <c r="H6" i="29"/>
  <c r="I6" i="29"/>
  <c r="N6" i="29"/>
  <c r="M58" i="29" l="1"/>
  <c r="M51" i="29"/>
  <c r="M43" i="29"/>
  <c r="M6" i="29"/>
  <c r="P51" i="6" l="1"/>
  <c r="M49" i="6" l="1"/>
  <c r="M48" i="6"/>
  <c r="M46" i="6"/>
  <c r="M47" i="6"/>
  <c r="M50" i="6"/>
  <c r="Q48" i="6" l="1"/>
  <c r="Q47" i="6"/>
  <c r="Q50" i="6"/>
  <c r="Q46" i="6"/>
  <c r="M51" i="6"/>
  <c r="O51" i="6"/>
  <c r="Q49" i="6"/>
  <c r="L58" i="29"/>
  <c r="L51" i="29"/>
  <c r="L43" i="29"/>
  <c r="L6" i="29"/>
  <c r="L16" i="16"/>
  <c r="S51" i="6" l="1"/>
  <c r="U46" i="6"/>
  <c r="Y47" i="6"/>
  <c r="U47" i="6"/>
  <c r="Y49" i="6"/>
  <c r="U49" i="6"/>
  <c r="Y50" i="6"/>
  <c r="U50" i="6"/>
  <c r="U48" i="6"/>
  <c r="Y48" i="6"/>
  <c r="Q51" i="6"/>
  <c r="U51" i="6" l="1"/>
  <c r="Y46" i="6"/>
  <c r="Y51" i="6" s="1"/>
  <c r="W51" i="6"/>
  <c r="K43" i="29" l="1"/>
  <c r="K58" i="29"/>
  <c r="K51" i="29"/>
  <c r="K6" i="29"/>
  <c r="L51" i="6" l="1"/>
  <c r="K51" i="6"/>
  <c r="O4" i="29" l="1"/>
  <c r="Q4" i="29" s="1"/>
  <c r="Q6" i="29" s="1"/>
  <c r="O6" i="29" l="1"/>
  <c r="J58" i="29"/>
  <c r="I58" i="29"/>
  <c r="H58" i="29"/>
  <c r="G58" i="29"/>
  <c r="F58" i="29"/>
  <c r="E58" i="29"/>
  <c r="D58" i="29"/>
  <c r="C58" i="29"/>
  <c r="J51" i="29"/>
  <c r="I51" i="29"/>
  <c r="H51" i="29"/>
  <c r="G51" i="29"/>
  <c r="F51" i="29"/>
  <c r="E51" i="29"/>
  <c r="D51" i="29"/>
  <c r="C51" i="29"/>
  <c r="J43" i="29"/>
  <c r="I43" i="29"/>
  <c r="H43" i="29"/>
  <c r="E43" i="29"/>
  <c r="D43" i="29"/>
  <c r="G43" i="29"/>
  <c r="F43" i="29"/>
  <c r="J6" i="29"/>
  <c r="P4" i="29"/>
  <c r="P6" i="29" s="1"/>
  <c r="O58" i="29" l="1"/>
  <c r="O51" i="29"/>
  <c r="O43" i="29"/>
  <c r="H51" i="6" l="1"/>
  <c r="G51" i="6" l="1"/>
  <c r="I42" i="6"/>
  <c r="C51" i="6" l="1"/>
  <c r="D16" i="16" l="1"/>
  <c r="I16" i="16"/>
  <c r="J16" i="16"/>
  <c r="K16" i="16"/>
  <c r="M16" i="16"/>
  <c r="N16" i="16"/>
  <c r="H16" i="16"/>
  <c r="G16" i="16"/>
  <c r="F16" i="16"/>
  <c r="E16" i="16"/>
  <c r="C16" i="16"/>
  <c r="O21" i="6" l="1"/>
  <c r="S21" i="6" s="1"/>
  <c r="W21" i="6" s="1"/>
  <c r="I38" i="6" l="1"/>
  <c r="H43" i="6"/>
  <c r="H53" i="6" s="1"/>
  <c r="I41" i="6"/>
  <c r="I40" i="6"/>
  <c r="I36" i="6"/>
  <c r="U16" i="6"/>
  <c r="M38" i="6" l="1"/>
  <c r="M40" i="6"/>
  <c r="L43" i="6"/>
  <c r="L53" i="6" s="1"/>
  <c r="M41" i="6"/>
  <c r="I35" i="6"/>
  <c r="M36" i="6"/>
  <c r="Q38" i="6" l="1"/>
  <c r="Q41" i="6"/>
  <c r="Q40" i="6"/>
  <c r="P43" i="6"/>
  <c r="P53" i="6" s="1"/>
  <c r="Q36" i="6"/>
  <c r="M35" i="6"/>
  <c r="P21" i="6"/>
  <c r="T21" i="6" s="1"/>
  <c r="X21" i="6" s="1"/>
  <c r="Y21" i="6" s="1"/>
  <c r="L21" i="6"/>
  <c r="K21" i="6"/>
  <c r="U40" i="6" l="1"/>
  <c r="Y40" i="6"/>
  <c r="U38" i="6"/>
  <c r="Y38" i="6"/>
  <c r="T43" i="6"/>
  <c r="T53" i="6" s="1"/>
  <c r="X43" i="6"/>
  <c r="X53" i="6" s="1"/>
  <c r="U41" i="6"/>
  <c r="Y41" i="6"/>
  <c r="U36" i="6"/>
  <c r="Y36" i="6"/>
  <c r="Q35" i="6"/>
  <c r="U35" i="6" l="1"/>
  <c r="Y35" i="6"/>
  <c r="S65" i="18" l="1"/>
  <c r="S67" i="18" s="1"/>
  <c r="R65" i="18"/>
  <c r="O65" i="18"/>
  <c r="N65" i="18"/>
  <c r="M65" i="18"/>
  <c r="L65" i="18"/>
  <c r="K65" i="18"/>
  <c r="J65" i="18"/>
  <c r="I65" i="18"/>
  <c r="H65" i="18"/>
  <c r="G65" i="18"/>
  <c r="F65" i="18"/>
  <c r="E65" i="18"/>
  <c r="D65" i="18"/>
  <c r="C65" i="18"/>
  <c r="T64" i="18"/>
  <c r="R60" i="18"/>
  <c r="O60" i="18"/>
  <c r="N60" i="18"/>
  <c r="M60" i="18"/>
  <c r="L60" i="18"/>
  <c r="K60" i="18"/>
  <c r="J60" i="18"/>
  <c r="I60" i="18"/>
  <c r="H60" i="18"/>
  <c r="G60" i="18"/>
  <c r="F60" i="18"/>
  <c r="E60" i="18"/>
  <c r="D60" i="18"/>
  <c r="C60" i="18"/>
  <c r="T59" i="18"/>
  <c r="T58" i="18"/>
  <c r="T57" i="18"/>
  <c r="T56" i="18"/>
  <c r="T55" i="18"/>
  <c r="T54" i="18"/>
  <c r="S50" i="18"/>
  <c r="R50" i="18"/>
  <c r="O50" i="18"/>
  <c r="N50" i="18"/>
  <c r="M50" i="18"/>
  <c r="L50" i="18"/>
  <c r="K50" i="18"/>
  <c r="J50" i="18"/>
  <c r="I50" i="18"/>
  <c r="H50" i="18"/>
  <c r="G50" i="18"/>
  <c r="F50" i="18"/>
  <c r="E50" i="18"/>
  <c r="D50" i="18"/>
  <c r="T49" i="18"/>
  <c r="T48" i="18"/>
  <c r="T47" i="18"/>
  <c r="S43" i="18"/>
  <c r="R43" i="18"/>
  <c r="O43" i="18"/>
  <c r="N43" i="18"/>
  <c r="M43" i="18"/>
  <c r="L43" i="18"/>
  <c r="K43" i="18"/>
  <c r="J43" i="18"/>
  <c r="I43" i="18"/>
  <c r="H43" i="18"/>
  <c r="C43" i="18"/>
  <c r="T42" i="18"/>
  <c r="G43" i="18"/>
  <c r="F43" i="18"/>
  <c r="E43" i="18"/>
  <c r="D43" i="18"/>
  <c r="S36" i="18"/>
  <c r="R36" i="18"/>
  <c r="O36" i="18"/>
  <c r="N36" i="18"/>
  <c r="M36" i="18"/>
  <c r="L36" i="18"/>
  <c r="K36" i="18"/>
  <c r="J36" i="18"/>
  <c r="I36" i="18"/>
  <c r="H36" i="18"/>
  <c r="G36" i="18"/>
  <c r="F36" i="18"/>
  <c r="E36" i="18"/>
  <c r="D36" i="18"/>
  <c r="C36" i="18"/>
  <c r="T35" i="18"/>
  <c r="S31" i="18"/>
  <c r="R31" i="18"/>
  <c r="O31" i="18"/>
  <c r="N31" i="18"/>
  <c r="M31" i="18"/>
  <c r="L31" i="18"/>
  <c r="K31" i="18"/>
  <c r="J31" i="18"/>
  <c r="I31" i="18"/>
  <c r="H31" i="18"/>
  <c r="G31" i="18"/>
  <c r="F31" i="18"/>
  <c r="E31" i="18"/>
  <c r="D31" i="18"/>
  <c r="C31" i="18"/>
  <c r="T30" i="18"/>
  <c r="T29" i="18"/>
  <c r="S25" i="18"/>
  <c r="R25" i="18"/>
  <c r="O25" i="18"/>
  <c r="N25" i="18"/>
  <c r="M25" i="18"/>
  <c r="L25" i="18"/>
  <c r="K25" i="18"/>
  <c r="J25" i="18"/>
  <c r="I25" i="18"/>
  <c r="H25" i="18"/>
  <c r="G25" i="18"/>
  <c r="F25" i="18"/>
  <c r="E25" i="18"/>
  <c r="D25" i="18"/>
  <c r="C25" i="18"/>
  <c r="T24" i="18"/>
  <c r="S20" i="18"/>
  <c r="R20" i="18"/>
  <c r="O20" i="18"/>
  <c r="N20" i="18"/>
  <c r="M20" i="18"/>
  <c r="L20" i="18"/>
  <c r="K20" i="18"/>
  <c r="J20" i="18"/>
  <c r="I20" i="18"/>
  <c r="H20" i="18"/>
  <c r="G20" i="18"/>
  <c r="F20" i="18"/>
  <c r="E20" i="18"/>
  <c r="D20" i="18"/>
  <c r="C20" i="18"/>
  <c r="P20" i="18"/>
  <c r="S16" i="18"/>
  <c r="R16" i="18"/>
  <c r="O16" i="18"/>
  <c r="N16" i="18"/>
  <c r="M16" i="18"/>
  <c r="L16" i="18"/>
  <c r="K16" i="18"/>
  <c r="J16" i="18"/>
  <c r="I16" i="18"/>
  <c r="H16" i="18"/>
  <c r="C16" i="18"/>
  <c r="G16" i="18"/>
  <c r="F16" i="18"/>
  <c r="E16" i="18"/>
  <c r="D16" i="18"/>
  <c r="T14" i="18"/>
  <c r="T13" i="18"/>
  <c r="S9" i="18"/>
  <c r="R9" i="18"/>
  <c r="O9" i="18"/>
  <c r="N9" i="18"/>
  <c r="M9" i="18"/>
  <c r="L9" i="18"/>
  <c r="K9" i="18"/>
  <c r="J9" i="18"/>
  <c r="I9" i="18"/>
  <c r="H9" i="18"/>
  <c r="G9" i="18"/>
  <c r="F9" i="18"/>
  <c r="E9" i="18"/>
  <c r="D9" i="18"/>
  <c r="C9" i="18"/>
  <c r="C68" i="18" s="1"/>
  <c r="T8" i="18"/>
  <c r="H68" i="18" l="1"/>
  <c r="O68" i="18"/>
  <c r="S68" i="18"/>
  <c r="N68" i="18"/>
  <c r="M68" i="18"/>
  <c r="L68" i="18"/>
  <c r="K68" i="18"/>
  <c r="J68" i="18"/>
  <c r="P60" i="18"/>
  <c r="P50" i="18"/>
  <c r="I68" i="18"/>
  <c r="P65" i="18"/>
  <c r="P36" i="18"/>
  <c r="P9" i="18"/>
  <c r="G68" i="18"/>
  <c r="F68" i="18"/>
  <c r="E68" i="18"/>
  <c r="Q60" i="18"/>
  <c r="T60" i="18" s="1"/>
  <c r="Q65" i="18"/>
  <c r="T65" i="18" s="1"/>
  <c r="P25" i="18"/>
  <c r="R68" i="18"/>
  <c r="D68" i="18"/>
  <c r="Q31" i="18"/>
  <c r="T31" i="18" s="1"/>
  <c r="T28" i="18"/>
  <c r="T15" i="18"/>
  <c r="P31" i="18"/>
  <c r="T40" i="18"/>
  <c r="T63" i="18" l="1"/>
  <c r="T53" i="18"/>
  <c r="Q25" i="18"/>
  <c r="T25" i="18" s="1"/>
  <c r="T23" i="18"/>
  <c r="T39" i="18"/>
  <c r="Q43" i="18"/>
  <c r="T43" i="18" s="1"/>
  <c r="Q9" i="18"/>
  <c r="T7" i="18"/>
  <c r="P16" i="18"/>
  <c r="Q50" i="18"/>
  <c r="T50" i="18" s="1"/>
  <c r="T46" i="18"/>
  <c r="Q36" i="18"/>
  <c r="T36" i="18" s="1"/>
  <c r="T34" i="18"/>
  <c r="T19" i="18"/>
  <c r="Q20" i="18"/>
  <c r="T20" i="18" s="1"/>
  <c r="Q16" i="18"/>
  <c r="T16" i="18" s="1"/>
  <c r="T12" i="18"/>
  <c r="P43" i="18"/>
  <c r="P68" i="18" l="1"/>
  <c r="Q68" i="18"/>
  <c r="T9" i="18"/>
  <c r="T68" i="18" l="1"/>
  <c r="X13" i="6" l="1"/>
  <c r="X23" i="6" s="1"/>
  <c r="T13" i="6"/>
  <c r="T23" i="6" s="1"/>
  <c r="P13" i="6"/>
  <c r="L13" i="6"/>
  <c r="L23" i="6" s="1"/>
  <c r="P23" i="6" l="1"/>
  <c r="D43" i="6"/>
  <c r="D53" i="6" s="1"/>
  <c r="I39" i="6"/>
  <c r="K13" i="6"/>
  <c r="K23" i="6" s="1"/>
  <c r="O13" i="6"/>
  <c r="O23" i="6" s="1"/>
  <c r="M39" i="6" l="1"/>
  <c r="S13" i="6"/>
  <c r="S23" i="6" s="1"/>
  <c r="W13" i="6" l="1"/>
  <c r="W23" i="6" s="1"/>
  <c r="Q39" i="6"/>
  <c r="P20" i="16"/>
  <c r="U39" i="6" l="1"/>
  <c r="Y39" i="6"/>
  <c r="C43" i="6"/>
  <c r="C53" i="6" s="1"/>
  <c r="I37" i="6" l="1"/>
  <c r="I43" i="6" s="1"/>
  <c r="G43" i="6"/>
  <c r="G53" i="6" s="1"/>
  <c r="H21" i="6"/>
  <c r="H23" i="6" s="1"/>
  <c r="G21" i="6"/>
  <c r="G23" i="6" s="1"/>
  <c r="M37" i="6" l="1"/>
  <c r="M43" i="6" s="1"/>
  <c r="M53" i="6" s="1"/>
  <c r="K43" i="6"/>
  <c r="K53" i="6" s="1"/>
  <c r="Y58" i="6"/>
  <c r="X58" i="6"/>
  <c r="W58" i="6"/>
  <c r="V58" i="6"/>
  <c r="V60" i="6" s="1"/>
  <c r="U58" i="6"/>
  <c r="T58" i="6"/>
  <c r="S58" i="6"/>
  <c r="R58" i="6"/>
  <c r="R60" i="6" s="1"/>
  <c r="Q58" i="6"/>
  <c r="P58" i="6"/>
  <c r="O58" i="6"/>
  <c r="N58" i="6"/>
  <c r="N60" i="6" s="1"/>
  <c r="M58" i="6"/>
  <c r="L58" i="6"/>
  <c r="K58" i="6"/>
  <c r="J58" i="6"/>
  <c r="J60" i="6" s="1"/>
  <c r="I58" i="6"/>
  <c r="H58" i="6"/>
  <c r="G58" i="6"/>
  <c r="F58" i="6"/>
  <c r="F60" i="6" s="1"/>
  <c r="E58" i="6"/>
  <c r="D58" i="6"/>
  <c r="C58" i="6"/>
  <c r="B58" i="6"/>
  <c r="B60" i="6" s="1"/>
  <c r="I50" i="6"/>
  <c r="E50" i="6"/>
  <c r="I49" i="6"/>
  <c r="E49" i="6"/>
  <c r="I48" i="6"/>
  <c r="E48" i="6"/>
  <c r="I47" i="6"/>
  <c r="E47" i="6"/>
  <c r="I46" i="6"/>
  <c r="E46" i="6"/>
  <c r="E42" i="6"/>
  <c r="E41" i="6"/>
  <c r="E40" i="6"/>
  <c r="E39" i="6"/>
  <c r="E38" i="6"/>
  <c r="E37" i="6"/>
  <c r="E35" i="6"/>
  <c r="Y28" i="6"/>
  <c r="X28" i="6"/>
  <c r="W28" i="6"/>
  <c r="V28" i="6"/>
  <c r="V30" i="6" s="1"/>
  <c r="U28" i="6"/>
  <c r="T28" i="6"/>
  <c r="S28" i="6"/>
  <c r="R28" i="6"/>
  <c r="R30" i="6" s="1"/>
  <c r="Q28" i="6"/>
  <c r="P28" i="6"/>
  <c r="O28" i="6"/>
  <c r="N28" i="6"/>
  <c r="N30" i="6" s="1"/>
  <c r="M28" i="6"/>
  <c r="L28" i="6"/>
  <c r="K28" i="6"/>
  <c r="J28" i="6"/>
  <c r="J30" i="6" s="1"/>
  <c r="I28" i="6"/>
  <c r="H28" i="6"/>
  <c r="G28" i="6"/>
  <c r="F28" i="6"/>
  <c r="F30" i="6" s="1"/>
  <c r="E28" i="6"/>
  <c r="D28" i="6"/>
  <c r="C28" i="6"/>
  <c r="B28" i="6"/>
  <c r="B30" i="6" s="1"/>
  <c r="D21" i="6"/>
  <c r="C21" i="6"/>
  <c r="U20" i="6"/>
  <c r="Q20" i="6"/>
  <c r="M20" i="6"/>
  <c r="I20" i="6"/>
  <c r="E20" i="6"/>
  <c r="U19" i="6"/>
  <c r="Q19" i="6"/>
  <c r="M19" i="6"/>
  <c r="I19" i="6"/>
  <c r="E19" i="6"/>
  <c r="U18" i="6"/>
  <c r="Q18" i="6"/>
  <c r="M18" i="6"/>
  <c r="I18" i="6"/>
  <c r="E18" i="6"/>
  <c r="U17" i="6"/>
  <c r="Q17" i="6"/>
  <c r="M17" i="6"/>
  <c r="I17" i="6"/>
  <c r="E17" i="6"/>
  <c r="Q16" i="6"/>
  <c r="M16" i="6"/>
  <c r="I16" i="6"/>
  <c r="E16" i="6"/>
  <c r="D13" i="6"/>
  <c r="D23" i="6" s="1"/>
  <c r="C13" i="6"/>
  <c r="M10" i="6"/>
  <c r="M9" i="6"/>
  <c r="M8" i="6"/>
  <c r="M7" i="6"/>
  <c r="M6" i="6"/>
  <c r="Y5" i="6"/>
  <c r="M5" i="6"/>
  <c r="Q21" i="6" l="1"/>
  <c r="M21" i="6"/>
  <c r="I13" i="6"/>
  <c r="C23" i="6"/>
  <c r="E21" i="6"/>
  <c r="I21" i="6"/>
  <c r="E13" i="6"/>
  <c r="M13" i="6"/>
  <c r="O43" i="6"/>
  <c r="O53" i="6" s="1"/>
  <c r="Q37" i="6"/>
  <c r="Q43" i="6" s="1"/>
  <c r="Q53" i="6" s="1"/>
  <c r="U13" i="6"/>
  <c r="E51" i="6"/>
  <c r="E43" i="6"/>
  <c r="I51" i="6"/>
  <c r="I53" i="6" s="1"/>
  <c r="Y13" i="6"/>
  <c r="Y23" i="6" s="1"/>
  <c r="U21" i="6"/>
  <c r="Q13" i="6"/>
  <c r="Q23" i="6" s="1"/>
  <c r="E53" i="6" l="1"/>
  <c r="M23" i="6"/>
  <c r="I23" i="6"/>
  <c r="E23" i="6"/>
  <c r="U37" i="6"/>
  <c r="U43" i="6" s="1"/>
  <c r="U53" i="6" s="1"/>
  <c r="S43" i="6"/>
  <c r="S53" i="6" s="1"/>
  <c r="U23" i="6"/>
  <c r="Y37" i="6" l="1"/>
  <c r="Y43" i="6" s="1"/>
  <c r="Y53" i="6" s="1"/>
  <c r="W43" i="6"/>
  <c r="W53" i="6" s="1"/>
  <c r="P16" i="16" l="1"/>
</calcChain>
</file>

<file path=xl/comments1.xml><?xml version="1.0" encoding="utf-8"?>
<comments xmlns="http://schemas.openxmlformats.org/spreadsheetml/2006/main">
  <authors>
    <author>Chiu, Randy</author>
  </authors>
  <commentList>
    <comment ref="Y13" authorId="0">
      <text>
        <r>
          <rPr>
            <b/>
            <sz val="9"/>
            <color indexed="81"/>
            <rFont val="Tahoma"/>
            <family val="2"/>
          </rPr>
          <t>Chiu, Randy:</t>
        </r>
        <r>
          <rPr>
            <sz val="9"/>
            <color indexed="81"/>
            <rFont val="Tahoma"/>
            <family val="2"/>
          </rPr>
          <t xml:space="preserve">
Forecast based on historical performance. Sent before bids received.</t>
        </r>
      </text>
    </comment>
    <comment ref="Z13" authorId="0">
      <text>
        <r>
          <rPr>
            <b/>
            <sz val="9"/>
            <color indexed="81"/>
            <rFont val="Tahoma"/>
            <family val="2"/>
          </rPr>
          <t>Chiu, Randy:</t>
        </r>
        <r>
          <rPr>
            <sz val="9"/>
            <color indexed="81"/>
            <rFont val="Tahoma"/>
            <family val="2"/>
          </rPr>
          <t xml:space="preserve">
Forecast based on historical performance. Sent before bids received.</t>
        </r>
      </text>
    </comment>
    <comment ref="AA13" authorId="0">
      <text>
        <r>
          <rPr>
            <b/>
            <sz val="9"/>
            <color indexed="81"/>
            <rFont val="Tahoma"/>
            <family val="2"/>
          </rPr>
          <t>Chiu, Randy:</t>
        </r>
        <r>
          <rPr>
            <sz val="9"/>
            <color indexed="81"/>
            <rFont val="Tahoma"/>
            <family val="2"/>
          </rPr>
          <t xml:space="preserve">
Forecast based on historical performance. Sent before bids received.</t>
        </r>
      </text>
    </comment>
    <comment ref="AB13" authorId="0">
      <text>
        <r>
          <rPr>
            <b/>
            <sz val="9"/>
            <color indexed="81"/>
            <rFont val="Tahoma"/>
            <family val="2"/>
          </rPr>
          <t>Chiu, Randy:</t>
        </r>
        <r>
          <rPr>
            <sz val="9"/>
            <color indexed="81"/>
            <rFont val="Tahoma"/>
            <family val="2"/>
          </rPr>
          <t xml:space="preserve">
Forecast based on historical performance. Sent before bids received.</t>
        </r>
      </text>
    </comment>
    <comment ref="AC13" authorId="0">
      <text>
        <r>
          <rPr>
            <b/>
            <sz val="9"/>
            <color indexed="81"/>
            <rFont val="Tahoma"/>
            <family val="2"/>
          </rPr>
          <t>Chiu, Randy:</t>
        </r>
        <r>
          <rPr>
            <sz val="9"/>
            <color indexed="81"/>
            <rFont val="Tahoma"/>
            <family val="2"/>
          </rPr>
          <t xml:space="preserve">
Forecast based on historical performance. Sent before bids received.</t>
        </r>
      </text>
    </comment>
    <comment ref="AD13" authorId="0">
      <text>
        <r>
          <rPr>
            <b/>
            <sz val="9"/>
            <color indexed="81"/>
            <rFont val="Tahoma"/>
            <family val="2"/>
          </rPr>
          <t>Chiu, Randy:</t>
        </r>
        <r>
          <rPr>
            <sz val="9"/>
            <color indexed="81"/>
            <rFont val="Tahoma"/>
            <family val="2"/>
          </rPr>
          <t xml:space="preserve">
Forecast based on historical performance. Sent before bids received.</t>
        </r>
      </text>
    </comment>
    <comment ref="AE13" authorId="0">
      <text>
        <r>
          <rPr>
            <b/>
            <sz val="9"/>
            <color indexed="81"/>
            <rFont val="Tahoma"/>
            <family val="2"/>
          </rPr>
          <t>Chiu, Randy:</t>
        </r>
        <r>
          <rPr>
            <sz val="9"/>
            <color indexed="81"/>
            <rFont val="Tahoma"/>
            <family val="2"/>
          </rPr>
          <t xml:space="preserve">
Forecast based on historical performance. Sent before bids received.</t>
        </r>
      </text>
    </comment>
    <comment ref="AF13" authorId="0">
      <text>
        <r>
          <rPr>
            <b/>
            <sz val="9"/>
            <color indexed="81"/>
            <rFont val="Tahoma"/>
            <family val="2"/>
          </rPr>
          <t>Chiu, Randy:</t>
        </r>
        <r>
          <rPr>
            <sz val="9"/>
            <color indexed="81"/>
            <rFont val="Tahoma"/>
            <family val="2"/>
          </rPr>
          <t xml:space="preserve">
Forecast based on historical performance. Sent before bids received.</t>
        </r>
      </text>
    </comment>
  </commentList>
</comments>
</file>

<file path=xl/sharedStrings.xml><?xml version="1.0" encoding="utf-8"?>
<sst xmlns="http://schemas.openxmlformats.org/spreadsheetml/2006/main" count="1000" uniqueCount="300">
  <si>
    <t>Pacific Gas and Electric Company Monthly Report On Interruptible Load and Demand Response</t>
  </si>
  <si>
    <t xml:space="preserve"> </t>
  </si>
  <si>
    <t xml:space="preserve">http://www.pge.com/mybusiness/energysavingsrebates/demandresponse/cs/ </t>
  </si>
  <si>
    <t>Program Eligibility and Average Load Impacts</t>
  </si>
  <si>
    <t>Average Ex Ante Load Impact kW / Customer</t>
  </si>
  <si>
    <t>Program</t>
  </si>
  <si>
    <t>January</t>
  </si>
  <si>
    <t>February</t>
  </si>
  <si>
    <t>March</t>
  </si>
  <si>
    <t>April</t>
  </si>
  <si>
    <t>May</t>
  </si>
  <si>
    <t>June</t>
  </si>
  <si>
    <t>July</t>
  </si>
  <si>
    <t xml:space="preserve">August </t>
  </si>
  <si>
    <t xml:space="preserve">September </t>
  </si>
  <si>
    <t>October</t>
  </si>
  <si>
    <t xml:space="preserve">November </t>
  </si>
  <si>
    <t>December</t>
  </si>
  <si>
    <t>Eligibility Criteria (Refer to tariff for specifics)</t>
  </si>
  <si>
    <t>BIP - Day Of</t>
  </si>
  <si>
    <t>OBMC</t>
  </si>
  <si>
    <t>N/A</t>
  </si>
  <si>
    <t>SLRP</t>
  </si>
  <si>
    <t>SmartAC™ - Commercial</t>
  </si>
  <si>
    <t>SmartAC™ - Residential</t>
  </si>
  <si>
    <t>AMP - Day Ahead</t>
  </si>
  <si>
    <t>AMP - Day Of</t>
  </si>
  <si>
    <t>CBP - Day Ahead</t>
  </si>
  <si>
    <t>CBP - Day Of</t>
  </si>
  <si>
    <t>DBP</t>
  </si>
  <si>
    <t>PDP</t>
  </si>
  <si>
    <t>SmartRate™ - Commercial</t>
  </si>
  <si>
    <t>SmartRate™ - Residential</t>
  </si>
  <si>
    <t>Average Ex Post Load Impact kW / Customer</t>
  </si>
  <si>
    <t>Interruptible/Reliability</t>
  </si>
  <si>
    <t>BIP - Day of</t>
  </si>
  <si>
    <t>August</t>
  </si>
  <si>
    <t>September</t>
  </si>
  <si>
    <t>November</t>
  </si>
  <si>
    <t>Detailed Breakdown of MWs To Date in TA/Auto DR/TI Programs</t>
  </si>
  <si>
    <t>Price Responsive</t>
  </si>
  <si>
    <t>TA Identified MWs</t>
  </si>
  <si>
    <t>Auto DR Verified MWs</t>
  </si>
  <si>
    <t>TI Verified MWs</t>
  </si>
  <si>
    <t>Total Technology MWs</t>
  </si>
  <si>
    <t>Total</t>
  </si>
  <si>
    <t>General Program</t>
  </si>
  <si>
    <t>TA (may also be enrolled in TI and AutoDR)</t>
  </si>
  <si>
    <t>Total TA MWs</t>
  </si>
  <si>
    <t>Cost Item</t>
  </si>
  <si>
    <t>Percent Funding</t>
  </si>
  <si>
    <t>Base Interruptible Program (BIP)</t>
  </si>
  <si>
    <t xml:space="preserve"> Budget Category 1 Total</t>
  </si>
  <si>
    <t xml:space="preserve"> Budget Category 2 Total</t>
  </si>
  <si>
    <t>Aggregator Managed Portfolio (AMP)</t>
  </si>
  <si>
    <t xml:space="preserve"> Budget Category 3 Total</t>
  </si>
  <si>
    <t>DR Emerging Technology</t>
  </si>
  <si>
    <t xml:space="preserve"> Budget Category 4 Total</t>
  </si>
  <si>
    <t xml:space="preserve"> Budget Category 5 Total</t>
  </si>
  <si>
    <t xml:space="preserve"> Budget Category 6 Total</t>
  </si>
  <si>
    <t xml:space="preserve"> Budget Category 7 Total</t>
  </si>
  <si>
    <t xml:space="preserve"> Budget Category 8 Total</t>
  </si>
  <si>
    <t xml:space="preserve"> Budget Category 9 Total</t>
  </si>
  <si>
    <t xml:space="preserve"> Budget Category 10 Total</t>
  </si>
  <si>
    <t xml:space="preserve">    Demand Bidding Program (DBP)</t>
  </si>
  <si>
    <t>Capacity Bidding Program (CBP)</t>
  </si>
  <si>
    <t>Automatic Demand Response (AutoDR)</t>
  </si>
  <si>
    <t>Program Category</t>
  </si>
  <si>
    <t>Event Date</t>
  </si>
  <si>
    <t>SmartAC</t>
  </si>
  <si>
    <t>Annual Total Cost</t>
  </si>
  <si>
    <t>Year-to-Date Total Cost</t>
  </si>
  <si>
    <t>Program Incentives</t>
  </si>
  <si>
    <r>
      <t>Base Interruptible Program (BIP)</t>
    </r>
    <r>
      <rPr>
        <vertAlign val="superscript"/>
        <sz val="11"/>
        <rFont val="Arial"/>
        <family val="2"/>
      </rPr>
      <t>1</t>
    </r>
  </si>
  <si>
    <t xml:space="preserve">    Capacity Bidding Program (CBP)</t>
  </si>
  <si>
    <t>Revenues from Penalties</t>
  </si>
  <si>
    <t>Program-to-Date Total Expenditures 2012-2014</t>
  </si>
  <si>
    <t>Technology Incentive (TI)</t>
  </si>
  <si>
    <t>AGGR MAN PFO</t>
  </si>
  <si>
    <t>AUTO DR</t>
  </si>
  <si>
    <t>BASEINTERRUP</t>
  </si>
  <si>
    <t>C&amp;I INTM RSC</t>
  </si>
  <si>
    <t>CAPACIT BIDD</t>
  </si>
  <si>
    <t>DEMAND BIDD</t>
  </si>
  <si>
    <t>DR CORE E&amp;T</t>
  </si>
  <si>
    <t>DR CORE MKT</t>
  </si>
  <si>
    <t>DR ONLN EROL</t>
  </si>
  <si>
    <t>EM&amp;V_01</t>
  </si>
  <si>
    <t>EMRGTEK</t>
  </si>
  <si>
    <t>INTERACT</t>
  </si>
  <si>
    <t>INTG ENE AUD</t>
  </si>
  <si>
    <t>INTG SALES T</t>
  </si>
  <si>
    <t>INTGRTED E&amp;T</t>
  </si>
  <si>
    <t>INTGRTED MKT</t>
  </si>
  <si>
    <t>OBMC/SLRP</t>
  </si>
  <si>
    <t>PEAK CHOICE</t>
  </si>
  <si>
    <t>PEAK_01</t>
  </si>
  <si>
    <t>PERM LOAD_01</t>
  </si>
  <si>
    <t>PHEV/EV PILO</t>
  </si>
  <si>
    <t>TECHNOL INCV</t>
  </si>
  <si>
    <t>2012-2014 Program Expenditures</t>
  </si>
  <si>
    <t>3-Year Funding</t>
  </si>
  <si>
    <t>Category 1:  Reliability Programs</t>
  </si>
  <si>
    <t>Optional Bidding Mandatory Curtailment / 
   Scheduled Load Reduction (OBMC / SLRP)</t>
  </si>
  <si>
    <t>Category 2:  Price-Responsive Programs</t>
  </si>
  <si>
    <r>
      <t>Demand Bidding Program (DBP)</t>
    </r>
    <r>
      <rPr>
        <b/>
        <sz val="9"/>
        <rFont val="Arial"/>
        <family val="2"/>
      </rPr>
      <t/>
    </r>
  </si>
  <si>
    <t>Category 3:  DR Provider/Aggregator Managed Programs</t>
  </si>
  <si>
    <t>Category 4: Emerging &amp; Enabling Programs</t>
  </si>
  <si>
    <t>Auto DR</t>
  </si>
  <si>
    <t>Category 5:  Pilots</t>
  </si>
  <si>
    <t>T&amp;D DR</t>
  </si>
  <si>
    <t>Plug-in Hybrid EV/EV (incl. HAN-EV)</t>
  </si>
  <si>
    <t>DRMEC</t>
  </si>
  <si>
    <t>DR Research Studies</t>
  </si>
  <si>
    <t>Category 7:  Marketing, Education and Outreach</t>
  </si>
  <si>
    <t>Education and Training</t>
  </si>
  <si>
    <t>Category 8:  DR System Support Activities</t>
  </si>
  <si>
    <t>DR Enrollment &amp; Support</t>
  </si>
  <si>
    <t>DR Integration Policy &amp; Planning</t>
  </si>
  <si>
    <t>Category 10:  Special Projects</t>
  </si>
  <si>
    <t>Permanent Load Shifting</t>
  </si>
  <si>
    <r>
      <rPr>
        <vertAlign val="superscript"/>
        <sz val="9"/>
        <rFont val="Arial"/>
        <family val="2"/>
      </rPr>
      <t>(1)</t>
    </r>
    <r>
      <rPr>
        <sz val="9"/>
        <rFont val="Arial"/>
        <family val="2"/>
      </rPr>
      <t xml:space="preserve">  Authorized funding for 2012 only.</t>
    </r>
  </si>
  <si>
    <r>
      <t xml:space="preserve">Statewide Marketing </t>
    </r>
    <r>
      <rPr>
        <vertAlign val="superscript"/>
        <sz val="9"/>
        <rFont val="Arial"/>
        <family val="2"/>
      </rPr>
      <t>(1)</t>
    </r>
  </si>
  <si>
    <r>
      <t xml:space="preserve">DR Core Marketing and Outreach </t>
    </r>
    <r>
      <rPr>
        <vertAlign val="superscript"/>
        <sz val="9"/>
        <rFont val="Arial"/>
        <family val="2"/>
      </rPr>
      <t>(2)</t>
    </r>
  </si>
  <si>
    <t>Smart AC</t>
  </si>
  <si>
    <r>
      <t xml:space="preserve">    Optional Binding Mandatory Curtailment / 
        Scheduled Load Reduction Program 
        </t>
    </r>
    <r>
      <rPr>
        <sz val="8"/>
        <rFont val="Arial"/>
        <family val="2"/>
      </rPr>
      <t>(OBMC / SLRP)</t>
    </r>
    <r>
      <rPr>
        <vertAlign val="superscript"/>
        <sz val="11"/>
        <rFont val="Arial"/>
        <family val="2"/>
      </rPr>
      <t>1</t>
    </r>
  </si>
  <si>
    <r>
      <rPr>
        <vertAlign val="superscript"/>
        <sz val="9"/>
        <rFont val="Arial"/>
        <family val="2"/>
      </rPr>
      <t>(2)</t>
    </r>
    <r>
      <rPr>
        <sz val="9"/>
        <rFont val="Arial"/>
        <family val="2"/>
      </rPr>
      <t xml:space="preserve">  The expenditures listed are in support of PG&amp;E's DR programs for large commercial, industrial and agricultural customers, excluding the aggregator-managed programs. Disclosure complies with OP 24 of D.12-04-045. The 2012-14 approved budget for DR Core Marketing and Outreach includes funding for SmartAC marketing, education and outreach activities.</t>
    </r>
  </si>
  <si>
    <t>SmartAC - Commercial</t>
  </si>
  <si>
    <t>SmartAC - Residential</t>
  </si>
  <si>
    <t>PDP (200 kW or above)</t>
  </si>
  <si>
    <r>
      <t>SmartRate</t>
    </r>
    <r>
      <rPr>
        <vertAlign val="superscript"/>
        <sz val="11"/>
        <rFont val="Arial"/>
        <family val="2"/>
      </rPr>
      <t>TM</t>
    </r>
    <r>
      <rPr>
        <sz val="11"/>
        <rFont val="Arial"/>
        <family val="2"/>
      </rPr>
      <t xml:space="preserve"> - Residential</t>
    </r>
  </si>
  <si>
    <t xml:space="preserve">  Total Cost of Incentives</t>
  </si>
  <si>
    <t>InterAct / DR Forecasting Tool</t>
  </si>
  <si>
    <t>Notifications</t>
  </si>
  <si>
    <t>2012- 2014 Funding Cycle Customer Communication, Marketing, and Outreach</t>
  </si>
  <si>
    <t>2012-2014 Total Expenditures</t>
  </si>
  <si>
    <t>Authorized Budget (if Applicable)</t>
  </si>
  <si>
    <t>Carryover Expenditures to Date 2012 - 2014</t>
  </si>
  <si>
    <t>IOU Administrative Costs</t>
  </si>
  <si>
    <t>Statewide ME&amp;O contract</t>
  </si>
  <si>
    <t xml:space="preserve">I. TOTAL STATEWIDE MARKETING </t>
  </si>
  <si>
    <t>TOTAL AUTHORIZED UTILITY MARKETING BUDGET FOR 2012-2014</t>
  </si>
  <si>
    <t xml:space="preserve">PROGRAMS, RATES &amp; ACTIVITES WHICH DO NOT REQUIRE ITEMIZED ACCOUNTING </t>
  </si>
  <si>
    <t>Marketing My Account/Energy and Integrated Online Audit Tools</t>
  </si>
  <si>
    <t>Critical Peak Pricing &gt; 200 kW</t>
  </si>
  <si>
    <t>Real Time Pricing</t>
  </si>
  <si>
    <t>Circuit Savers</t>
  </si>
  <si>
    <t>Small Commercial Technology Deployment</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</si>
  <si>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</si>
  <si>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</si>
  <si>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</si>
  <si>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</si>
  <si>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</si>
  <si>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</si>
  <si>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</si>
  <si>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Peak Time Rebate (RYU/SPD)</t>
  </si>
  <si>
    <t>Labor</t>
  </si>
  <si>
    <t xml:space="preserve">Critical Peak Pricing &lt; 200kW </t>
  </si>
  <si>
    <t>II. TOTAL UTILITY MARKETING BY ACTIVITY</t>
  </si>
  <si>
    <t xml:space="preserve">III. UTILITY MARKETING BY ITEMIZED COST </t>
  </si>
  <si>
    <t xml:space="preserve">III. TOTAL UTILITY MARKETING BY ITEMIZED COST </t>
  </si>
  <si>
    <t>IV. UTILITY MARKETING BY CUSTOMER SEGMENT</t>
  </si>
  <si>
    <t>Small and Medium Commercial</t>
  </si>
  <si>
    <t>IV. TOTAL UTILITY MARKETING BY CUSTOMER SEGMENT</t>
  </si>
  <si>
    <t>Notes:</t>
  </si>
  <si>
    <t>Recovery of Capital Costs Authorized Prior to 2009</t>
  </si>
  <si>
    <t xml:space="preserve">Category 6:  Evaluation, Measurement and Verification </t>
  </si>
  <si>
    <t>* (3) The Total Authorized Budget for Utility Marketing includes the Integrated Demand Side Marketing budget for 2012 and the local ME&amp;O (DR Core Marketing &amp; Outreach and Education &amp;Training) budget for 2012-14.</t>
  </si>
  <si>
    <t xml:space="preserve">* (2) The 2012 Authorized Budget for Integrated Demand Side Marketing includes the budget for Integrated Marketing &amp; Outreach ($304,500) and Integrated Education &amp; Training ($61,000).  </t>
  </si>
  <si>
    <t xml:space="preserve">* (1) Utility Marketing includes all activities to market individual utility programs or rates, demand response concepts, and customer tools,  that were approved or directed by Decision 12-04-045,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such as Peak Choice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</si>
  <si>
    <t>II. UTILITY MARKETING BY ACTIVITY * (1)</t>
  </si>
  <si>
    <t xml:space="preserve">I. STATEWIDE MARKETING </t>
  </si>
  <si>
    <t>PeakChoice</t>
  </si>
  <si>
    <t xml:space="preserve"> PG&amp;E's ME&amp;O Actual Expenditures</t>
  </si>
  <si>
    <t>Trigger</t>
  </si>
  <si>
    <t>Month</t>
  </si>
  <si>
    <t>PDP (&lt;200 kW)</t>
  </si>
  <si>
    <t>IRR Phase 2</t>
  </si>
  <si>
    <r>
      <rPr>
        <vertAlign val="superscript"/>
        <sz val="9"/>
        <rFont val="Arial"/>
        <family val="2"/>
      </rPr>
      <t>(3)</t>
    </r>
    <r>
      <rPr>
        <sz val="9"/>
        <rFont val="Arial"/>
        <family val="2"/>
      </rPr>
      <t xml:space="preserve">  The budget for SmartAC marketing, education, and outreach costs are included in the 2012-14 approved budget for DR Core Marketing and Outreach; however, the expenses are separated to differentiate the ME&amp;O efforts targeting residential and small commercial customers.  SmartAC is now closed to non-residential customers.  The "percent funding" calculation shown on the DR Core Marketing and Outreach line includes SmartAC marketing expenditures.</t>
    </r>
  </si>
  <si>
    <r>
      <t xml:space="preserve">Integrated Demand Side Marketing </t>
    </r>
    <r>
      <rPr>
        <vertAlign val="superscript"/>
        <sz val="10"/>
        <rFont val="Calibri"/>
        <family val="2"/>
      </rPr>
      <t>(4)</t>
    </r>
  </si>
  <si>
    <t>Residential</t>
  </si>
  <si>
    <t>Programs Impacted</t>
  </si>
  <si>
    <t>Date</t>
  </si>
  <si>
    <t>Rationale for Fundshift</t>
  </si>
  <si>
    <t>FUND SHIFTING DOCUMENTATION PER DECISION 12-04-045 ORDERING PARAGRAPH 4</t>
  </si>
  <si>
    <t>OP 4:</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</si>
  <si>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</si>
  <si>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</si>
  <si>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</si>
  <si>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Pacific Gas and Electric Company, San Diego Gas &amp; Electric Company, and Southern California Edison Company:</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</si>
  <si>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</si>
  <si>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</si>
  <si>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</si>
  <si>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</si>
  <si>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r>
      <rPr>
        <vertAlign val="superscript"/>
        <sz val="9"/>
        <rFont val="Arial"/>
        <family val="2"/>
      </rPr>
      <t>(4)</t>
    </r>
    <r>
      <rPr>
        <sz val="9"/>
        <rFont val="Arial"/>
        <family val="2"/>
      </rPr>
      <t xml:space="preserve"> See the Fund Shift Log 2012-14 for explanations.</t>
    </r>
  </si>
  <si>
    <r>
      <t xml:space="preserve">Fundshift Adjustments </t>
    </r>
    <r>
      <rPr>
        <b/>
        <vertAlign val="superscript"/>
        <sz val="9"/>
        <rFont val="Arial"/>
        <family val="2"/>
      </rPr>
      <t>(4)</t>
    </r>
  </si>
  <si>
    <t>* (4)  See the Fund Shift Log 2012-14 for explanations.</t>
  </si>
  <si>
    <t>Year-to-Date 2012 Expenditures</t>
  </si>
  <si>
    <r>
      <t>Category 9:  Integrated Programs and Activities
  (Including Technical Assistance)</t>
    </r>
    <r>
      <rPr>
        <b/>
        <vertAlign val="superscript"/>
        <sz val="9"/>
        <rFont val="Arial"/>
        <family val="2"/>
      </rPr>
      <t xml:space="preserve"> </t>
    </r>
  </si>
  <si>
    <r>
      <t xml:space="preserve">PEAK </t>
    </r>
    <r>
      <rPr>
        <vertAlign val="superscript"/>
        <sz val="9"/>
        <rFont val="Arial"/>
        <family val="2"/>
      </rPr>
      <t>(1)</t>
    </r>
  </si>
  <si>
    <r>
      <t>Integrated Marketing &amp; Outreach</t>
    </r>
    <r>
      <rPr>
        <vertAlign val="superscript"/>
        <sz val="9"/>
        <rFont val="Arial"/>
        <family val="2"/>
      </rPr>
      <t xml:space="preserve"> (1)</t>
    </r>
  </si>
  <si>
    <r>
      <t>Integrated Education &amp; Training</t>
    </r>
    <r>
      <rPr>
        <vertAlign val="superscript"/>
        <sz val="9"/>
        <rFont val="Arial"/>
        <family val="2"/>
      </rPr>
      <t xml:space="preserve"> (1)</t>
    </r>
  </si>
  <si>
    <r>
      <t>Integrated Emerging Technology</t>
    </r>
    <r>
      <rPr>
        <vertAlign val="superscript"/>
        <sz val="9"/>
        <rFont val="Arial"/>
        <family val="2"/>
      </rPr>
      <t xml:space="preserve"> (1)</t>
    </r>
  </si>
  <si>
    <r>
      <t xml:space="preserve">Integrated Sales Training </t>
    </r>
    <r>
      <rPr>
        <vertAlign val="superscript"/>
        <sz val="9"/>
        <rFont val="Arial"/>
        <family val="2"/>
      </rPr>
      <t>(1)</t>
    </r>
  </si>
  <si>
    <r>
      <rPr>
        <vertAlign val="superscript"/>
        <sz val="9"/>
        <rFont val="Arial"/>
        <family val="2"/>
      </rPr>
      <t>(5)</t>
    </r>
    <r>
      <rPr>
        <sz val="9"/>
        <rFont val="Arial"/>
        <family val="2"/>
      </rPr>
      <t xml:space="preserve"> Additional funding for Technology Incentives and Integrated Energy Audits was approved in Energy Efficiency Decision 12-11-015 for 2013 and 2014.</t>
    </r>
  </si>
  <si>
    <r>
      <t xml:space="preserve">Technology Incentives - IDSM </t>
    </r>
    <r>
      <rPr>
        <vertAlign val="superscript"/>
        <sz val="9"/>
        <rFont val="Arial"/>
        <family val="2"/>
      </rPr>
      <t>(5)</t>
    </r>
  </si>
  <si>
    <r>
      <t>Integrated Energy Audits</t>
    </r>
    <r>
      <rPr>
        <vertAlign val="superscript"/>
        <sz val="9"/>
        <rFont val="Arial"/>
        <family val="2"/>
      </rPr>
      <t xml:space="preserve"> (5)</t>
    </r>
  </si>
  <si>
    <r>
      <t xml:space="preserve">Peak Choice </t>
    </r>
    <r>
      <rPr>
        <vertAlign val="superscript"/>
        <sz val="9"/>
        <rFont val="Arial"/>
        <family val="2"/>
      </rPr>
      <t>(1)</t>
    </r>
  </si>
  <si>
    <t>Year-to Date 2013 Expenditures</t>
  </si>
  <si>
    <r>
      <t>Aggregator Managed Portfolio (AMP)</t>
    </r>
    <r>
      <rPr>
        <vertAlign val="superscript"/>
        <sz val="10"/>
        <rFont val="Arial"/>
        <family val="2"/>
      </rPr>
      <t>1</t>
    </r>
  </si>
  <si>
    <t>Category 9:  Integrated Programs and Activities</t>
  </si>
  <si>
    <t>Integrated Energy Audits to Integrated Marketing &amp; Outreach</t>
  </si>
  <si>
    <t>The transferred funds support the expanded effort to increase adoption of energy management solutions, which integrate DR with other PG&amp;E programs.</t>
  </si>
  <si>
    <t xml:space="preserve"> 2012 Expenditures</t>
  </si>
  <si>
    <t>Program-to-Date Total Cost</t>
  </si>
  <si>
    <t xml:space="preserve"> 2012 Cost of Incentives</t>
  </si>
  <si>
    <t>Fund Shift Amount</t>
  </si>
  <si>
    <r>
      <t xml:space="preserve">SmartAC ME&amp;O </t>
    </r>
    <r>
      <rPr>
        <vertAlign val="superscript"/>
        <sz val="9"/>
        <rFont val="Arial"/>
        <family val="2"/>
      </rPr>
      <t>(3)</t>
    </r>
  </si>
  <si>
    <t>Eligible Accounts as of
Jan 1, 2013</t>
  </si>
  <si>
    <t xml:space="preserve">Bundled, DA and CCA non-residential customer service accounts that have at least an average monthly demand of 100 kW. </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</si>
  <si>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</si>
  <si>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r>
      <t xml:space="preserve">Bundled-service customers taking service under Schedules A-10, E-19 or E-20 &amp; minimum </t>
    </r>
    <r>
      <rPr>
        <i/>
        <u/>
        <sz val="10"/>
        <rFont val="Arial"/>
        <family val="2"/>
      </rPr>
      <t>average monthly demand of 100 kilowatts</t>
    </r>
    <r>
      <rPr>
        <sz val="10"/>
        <rFont val="Arial"/>
        <family val="2"/>
      </rPr>
      <t xml:space="preserve"> (kW).
Customers must commit to minimum 15% of baseline usage, with a minimum load reduction of 100 kW. </t>
    </r>
  </si>
  <si>
    <t>Small and medium business customers taking service under applicable rate schedules equipped with central or packaged DX air conditioning equipment.</t>
  </si>
  <si>
    <t>Residential customers taking service under applicable rate schedules equipped with central or packaged DX air conditioning equipment.</t>
  </si>
  <si>
    <t>Non-residential customers on commercial, industrial, partial standby, or agricultural rate schedules, except those who receive electric power from third parties (other than DA), billed via net metering or full standby services.</t>
  </si>
  <si>
    <t xml:space="preserve">Non-residential Customers 200 kW or above on a demand TOU rate schedule, not on rate schedule AG-R, AG-V or S. Eligible customers include PG&amp;E Bundled, Direct Access (DA; ESP), and Community Choice Aggregation Service. Non-residential Customers' accounts &lt; 200 kW may participate as aggregated group for service accounts with same Federal Taxpayer ID Number. </t>
  </si>
  <si>
    <t>Default beginning on: May 1, 2010 for bundled C&amp;I Customers &gt; 200kW Maximum Demand; February 1st, 2011 for large bundled Ag customers; November 2014 for bundled C&amp;I Customers with &lt; 200 kW Maximum Demand and 12 months on Interval Meter.</t>
  </si>
  <si>
    <t xml:space="preserve">A voluntary rate supplement to residential customers' otherwise applicable schedule. Available to Bundled-Service customers served on a single family residential electric rate schedule. </t>
  </si>
  <si>
    <t>Non-residential Customers 200 kW or above on a demand TOU rate schedule, not on rate schedule AG-R, AG-V or S. Eligible customers include PG&amp;E Bundled, Direct Access (DA; ESP), and Community Choice Aggregation Service. Non-residential Customers' accounts &lt; 200 kW may participate as aggregated group for service accounts with same Federal Taxpayer ID Number.</t>
  </si>
  <si>
    <t xml:space="preserve">The average ex ante load impacts per customer are based on the load impacts filing on April 2, 2013 (D.08-04-050). Estimated Average Ex Ante Load Impact kW/Customer = Average kW / Customer, under 1-in-2 weather conditions, of an event that would occur from 1 - 6 pm (or 2 - 6 pm for PDP) for April through October, and 4 - 9 pm for November through March, on the system peak day of the month. </t>
  </si>
  <si>
    <t>The average ex post load impacts per customer are based on the load impacts filing on April 2, 2013 (D.08-04-050). Estimated Average Ex Post Load Impact kW / Customer = Average kW / Customer service account over all actual event hours for the preceeding year when or if events occurred. Some programs may experience no events or few events while other programs may operate regularly depending on event triggers. For existing programs, the average ex post load impact per customer SAID remains constant across all months. The average load impact is "N/A" for programs having no prior events. Commercial SmartAC was not called in 2012; its average-customer impact reported here is from the April 2, 2012 filing.</t>
  </si>
  <si>
    <t>Agricultural</t>
  </si>
  <si>
    <t>Large Commercial and Industrial</t>
  </si>
  <si>
    <r>
      <t>Enabling Technologies (e.g., AutoDR, TI)</t>
    </r>
    <r>
      <rPr>
        <vertAlign val="superscript"/>
        <sz val="10"/>
        <rFont val="Calibri"/>
        <family val="2"/>
      </rPr>
      <t xml:space="preserve"> </t>
    </r>
  </si>
  <si>
    <r>
      <t>Demand Bidding Program</t>
    </r>
    <r>
      <rPr>
        <vertAlign val="superscript"/>
        <sz val="10"/>
        <rFont val="Calibri"/>
        <family val="2"/>
      </rPr>
      <t xml:space="preserve"> </t>
    </r>
  </si>
  <si>
    <t>Optional Bidding Mandatory Curtailment / 
Scheduled Load Reduction (OBMC / SLRP)</t>
  </si>
  <si>
    <r>
      <t xml:space="preserve">DR-HAN Integration (excl. HAN-EV) </t>
    </r>
    <r>
      <rPr>
        <vertAlign val="superscript"/>
        <sz val="7.65"/>
        <rFont val="Arial"/>
        <family val="2"/>
      </rPr>
      <t>(6)</t>
    </r>
  </si>
  <si>
    <r>
      <rPr>
        <vertAlign val="superscript"/>
        <sz val="9"/>
        <rFont val="Arial"/>
        <family val="2"/>
      </rPr>
      <t>(6)</t>
    </r>
    <r>
      <rPr>
        <sz val="9"/>
        <rFont val="Arial"/>
        <family val="2"/>
      </rPr>
      <t xml:space="preserve"> The CPUC authorized the HAN Integration Project in the amount of $11,941,000 ($3,846,000 expense and $8,095,000 capital) on April 8, 2013 per Advice Letter 4119-E/E-A.</t>
    </r>
  </si>
  <si>
    <t>MAY</t>
  </si>
  <si>
    <t>Day Ahead</t>
  </si>
  <si>
    <t>Day Of</t>
  </si>
  <si>
    <t>Test</t>
  </si>
  <si>
    <t># of Accounts</t>
  </si>
  <si>
    <t>Program Type</t>
  </si>
  <si>
    <t>Event Start Time (PDT)</t>
  </si>
  <si>
    <t>Event End Time (PDT)</t>
  </si>
  <si>
    <t>SmartRate</t>
  </si>
  <si>
    <t>Temperature</t>
  </si>
  <si>
    <t>JUNE</t>
  </si>
  <si>
    <r>
      <t>Total Incremental Cost</t>
    </r>
    <r>
      <rPr>
        <b/>
        <vertAlign val="superscript"/>
        <sz val="7.65"/>
        <rFont val="Arial"/>
        <family val="2"/>
      </rPr>
      <t xml:space="preserve"> (7)</t>
    </r>
  </si>
  <si>
    <r>
      <rPr>
        <vertAlign val="superscript"/>
        <sz val="9"/>
        <rFont val="Arial"/>
        <family val="2"/>
      </rPr>
      <t>(7)</t>
    </r>
    <r>
      <rPr>
        <sz val="9"/>
        <rFont val="Arial"/>
        <family val="2"/>
      </rPr>
      <t xml:space="preserve"> Total Incremental Cost excludes incentives.  Incentives are reported on Table I-5.</t>
    </r>
  </si>
  <si>
    <r>
      <t>1</t>
    </r>
    <r>
      <rPr>
        <sz val="9"/>
        <rFont val="Arial"/>
        <family val="2"/>
      </rPr>
      <t>Amounts reported are for incentives costs that are not recorded in the Demand Response Expenditures Balancing Account.  Incentives are recorded at the time of payment.</t>
    </r>
  </si>
  <si>
    <t>System</t>
  </si>
  <si>
    <t>Humboldt, North Coast, Sierra, and Sacramento SubLAPs</t>
  </si>
  <si>
    <t>Emergency</t>
  </si>
  <si>
    <t>East Bay SubLAP</t>
  </si>
  <si>
    <t>Programs for July 2013</t>
  </si>
  <si>
    <t xml:space="preserve">            Pacific Gas and Electric Company (“PG&amp;E”) hereby submits this report on Interruptible Load and Demand Response Programs for July 2013. This report is being served on the Energy Division Director and the service list for A.11-03-001. </t>
  </si>
  <si>
    <t>Heat Rate</t>
  </si>
  <si>
    <t>JULY</t>
  </si>
  <si>
    <t>Peak Day Pricing (PDP)</t>
  </si>
  <si>
    <t xml:space="preserve">NOTE: Beginning with the June ILP Report, Table I-4 on page 8, has been updated to identify the local zones dispatched for each event. </t>
  </si>
  <si>
    <t>System and All LCAs</t>
  </si>
  <si>
    <t>All LCAs</t>
  </si>
  <si>
    <t>System and All SubLAPs</t>
  </si>
  <si>
    <t>All SubLAPs</t>
  </si>
  <si>
    <t>Technical Assistance &amp; Technology Incentives (TA&amp;TI) Identified as of JULY 2013.</t>
  </si>
  <si>
    <t xml:space="preserve">Interruptible/Reliability Programs </t>
  </si>
  <si>
    <t>Price-Responsive Programs</t>
  </si>
  <si>
    <t>Program Name</t>
  </si>
  <si>
    <t>Los Padres SubLAP</t>
  </si>
  <si>
    <t>North Coast SubLAP</t>
  </si>
  <si>
    <t>Geysers SubLAP</t>
  </si>
  <si>
    <r>
      <rPr>
        <vertAlign val="superscript"/>
        <sz val="8"/>
        <rFont val="Arial Narrow"/>
        <family val="2"/>
      </rPr>
      <t xml:space="preserve">(1) </t>
    </r>
    <r>
      <rPr>
        <sz val="8"/>
        <rFont val="Arial Narrow"/>
        <family val="2"/>
      </rPr>
      <t>Identifies location of event (e.g., LCA or SubLAP) for locally-dispatchable programs.  Non-locally dispatchable programs are listed as System.</t>
    </r>
  </si>
  <si>
    <r>
      <rPr>
        <vertAlign val="superscript"/>
        <sz val="8"/>
        <rFont val="Arial Narrow"/>
        <family val="2"/>
      </rPr>
      <t xml:space="preserve">(2) </t>
    </r>
    <r>
      <rPr>
        <sz val="8"/>
        <rFont val="Arial Narrow"/>
        <family val="2"/>
      </rPr>
      <t xml:space="preserve">Load reduction amount is based on available meter data and may vary by month pending the collection of all data. </t>
    </r>
  </si>
  <si>
    <r>
      <t xml:space="preserve">Zones </t>
    </r>
    <r>
      <rPr>
        <vertAlign val="superscript"/>
        <sz val="8"/>
        <rFont val="Arial Narrow"/>
        <family val="2"/>
      </rPr>
      <t>(1)</t>
    </r>
  </si>
  <si>
    <t>Event No. (by Program Type)</t>
  </si>
  <si>
    <r>
      <t xml:space="preserve">Load Reduction MW (Max Hourly) </t>
    </r>
    <r>
      <rPr>
        <vertAlign val="superscript"/>
        <sz val="8"/>
        <rFont val="Arial Narrow"/>
        <family val="2"/>
      </rPr>
      <t>(2)</t>
    </r>
    <r>
      <rPr>
        <sz val="8"/>
        <rFont val="Arial Narrow"/>
        <family val="2"/>
      </rPr>
      <t xml:space="preserve"> </t>
    </r>
  </si>
  <si>
    <t>7 SubLAPs: Central Coast, East Bay (Bay Area), Fresno, Los Padres, South Bay (Bay Area), San Francisco (Bay Area), and Stockton</t>
  </si>
  <si>
    <t>System and 15 SubLAPs: (excludes San Joaquin)</t>
  </si>
  <si>
    <t>Humboldt, and North Coast SubLAPs</t>
  </si>
  <si>
    <r>
      <t>System</t>
    </r>
    <r>
      <rPr>
        <vertAlign val="superscript"/>
        <sz val="8"/>
        <color rgb="FF000000"/>
        <rFont val="Arial Narrow"/>
        <family val="2"/>
      </rPr>
      <t>3</t>
    </r>
  </si>
  <si>
    <r>
      <rPr>
        <vertAlign val="superscript"/>
        <sz val="8"/>
        <rFont val="Arial Narrow"/>
        <family val="2"/>
      </rPr>
      <t>(3)</t>
    </r>
    <r>
      <rPr>
        <sz val="8"/>
        <rFont val="Arial Narrow"/>
        <family val="2"/>
      </rPr>
      <t xml:space="preserve"> The system was divided into ten groups of residential customers; each group was dispatched for a maximum of two hours. PG&amp;E identified ~3,000 participants who may have been impacted by a programming error in their devices which, in combination with the head-end system, caused extended control of air conditioning units. Details of this incident will be reported in a response to a data request:  DRA-10 DRA-DR_PG&amp;E007 (2013).</t>
    </r>
  </si>
  <si>
    <t>Program Tolled Hours</t>
  </si>
  <si>
    <t>UTILITY NAME: Pacific Gas and Electric Company</t>
  </si>
  <si>
    <t>Monthly Program Enrollment and Estimated Load Impacts</t>
  </si>
  <si>
    <t>Programs</t>
  </si>
  <si>
    <t>Service Accounts</t>
  </si>
  <si>
    <r>
      <t>Ex Ante Estimated MW</t>
    </r>
    <r>
      <rPr>
        <b/>
        <sz val="12"/>
        <rFont val="Arial"/>
        <family val="2"/>
      </rPr>
      <t xml:space="preserve"> </t>
    </r>
    <r>
      <rPr>
        <b/>
        <vertAlign val="superscript"/>
        <sz val="12"/>
        <rFont val="Arial"/>
        <family val="2"/>
      </rPr>
      <t xml:space="preserve">1 </t>
    </r>
  </si>
  <si>
    <r>
      <t xml:space="preserve">Ex Post Estimated MW </t>
    </r>
    <r>
      <rPr>
        <b/>
        <vertAlign val="superscript"/>
        <sz val="12"/>
        <rFont val="Arial"/>
        <family val="2"/>
      </rPr>
      <t>2</t>
    </r>
  </si>
  <si>
    <t xml:space="preserve">  Sub-Total Interruptible</t>
  </si>
  <si>
    <t>Price Response</t>
  </si>
  <si>
    <r>
      <t>SmartRate</t>
    </r>
    <r>
      <rPr>
        <vertAlign val="superscript"/>
        <sz val="10"/>
        <rFont val="Arial"/>
        <family val="2"/>
      </rPr>
      <t>TM</t>
    </r>
    <r>
      <rPr>
        <sz val="10"/>
        <rFont val="Arial"/>
        <family val="2"/>
      </rPr>
      <t xml:space="preserve"> - Residential</t>
    </r>
  </si>
  <si>
    <t xml:space="preserve">  Sub-Total Price Response</t>
  </si>
  <si>
    <t>Total All Programs</t>
  </si>
  <si>
    <r>
      <t xml:space="preserve">Ex Ante Estimated MW </t>
    </r>
    <r>
      <rPr>
        <b/>
        <vertAlign val="superscript"/>
        <sz val="10"/>
        <rFont val="Arial"/>
        <family val="2"/>
      </rPr>
      <t xml:space="preserve">1 </t>
    </r>
  </si>
  <si>
    <r>
      <t xml:space="preserve">Ex Post Estimated MW </t>
    </r>
    <r>
      <rPr>
        <b/>
        <vertAlign val="superscript"/>
        <sz val="10"/>
        <rFont val="Arial"/>
        <family val="2"/>
      </rPr>
      <t>2</t>
    </r>
  </si>
  <si>
    <r>
      <t xml:space="preserve">1 </t>
    </r>
    <r>
      <rPr>
        <sz val="8"/>
        <rFont val="Calibri"/>
        <family val="2"/>
      </rPr>
      <t>Ex Ante Estimated MW = In compliance with Decision 08-04-050, the values presented herein are based on the April 2, 2013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1 - 6 pm on the system peak day of the month.</t>
    </r>
  </si>
  <si>
    <r>
      <t xml:space="preserve">2 </t>
    </r>
    <r>
      <rPr>
        <sz val="8"/>
        <rFont val="Calibri"/>
        <family val="2"/>
      </rPr>
      <t>Ex Post Estimated MW = In compliance with Decision 08-04-050, the values presented herein are based on the April 2, 2013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r>
  </si>
  <si>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1st Compliance Filing pursuant to Decision D.08-04-050 and reporting documents that may be supplied to other agencies e.g. CAISO, FERC, NERC, etc. MW estimates found in the Monthly ILP Report are not used by PG&amp;E for operational reporting, resource planning, and cost effectiveness analysis or in developing regulatory filings.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</si>
</sst>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0_);[Red]\(&quot;$&quot;#,##0\)"/>
    <numFmt numFmtId="8" formatCode="&quot;$&quot;#,##0.00_);[Red]\(&quot;$&quot;#,##0.00\)"/>
    <numFmt numFmtId="44" formatCode="_(&quot;$&quot;* #,##0.00_);_(&quot;$&quot;* \(#,##0.00\);_(&quot;$&quot;* &quot;-&quot;??_);_(@_)"/>
    <numFmt numFmtId="43" formatCode="_(* #,##0.00_);_(* \(#,##0.00\);_(* &quot;-&quot;??_);_(@_)"/>
    <numFmt numFmtId="164" formatCode="[$-409]mmmm\ d\,\ yyyy;@"/>
    <numFmt numFmtId="165" formatCode="#,##0.0_);[Red]\(#,##0.0\)"/>
    <numFmt numFmtId="166" formatCode="#,##0.0"/>
    <numFmt numFmtId="167" formatCode="0.0"/>
    <numFmt numFmtId="168" formatCode="0.0_);[Red]\(0.0\)"/>
    <numFmt numFmtId="169" formatCode="_(* #,##0_);_(* \(#,##0\);_(* &quot;-&quot;??_);_(@_)"/>
    <numFmt numFmtId="170" formatCode="_(* #,##0.0_);_(* \(#,##0.0\);_(* &quot;-&quot;??_);_(@_)"/>
    <numFmt numFmtId="171" formatCode="0_);[Red]\(0\)"/>
    <numFmt numFmtId="172" formatCode="0.0%"/>
    <numFmt numFmtId="173" formatCode="m/d/yyyy;@"/>
    <numFmt numFmtId="174" formatCode="&quot;$&quot;#,##0.0_);[Red]\(&quot;$&quot;#,##0.0\)"/>
    <numFmt numFmtId="175" formatCode="&quot;$&quot;#,##0"/>
    <numFmt numFmtId="176" formatCode="_(&quot;$&quot;* #,##0_);_(&quot;$&quot;* \(#,##0\);_(&quot;$&quot;* &quot;-&quot;??_);_(@_)"/>
    <numFmt numFmtId="177" formatCode="mm/dd/yy;@"/>
    <numFmt numFmtId="178" formatCode="[$-409]d\-mmm;@"/>
    <numFmt numFmtId="179" formatCode="[$-F400]h:mm:ss\ AM/PM"/>
    <numFmt numFmtId="180" formatCode="[$-409]h:mm\ AM/PM;@"/>
    <numFmt numFmtId="181" formatCode="[=0]\ 0;[&lt;0.95]\ 0.#;#,###"/>
  </numFmts>
  <fonts count="86" x14ac:knownFonts="1">
    <font>
      <sz val="10"/>
      <color theme="1"/>
      <name val="Arial"/>
      <family val="2"/>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11"/>
      <name val="Arial"/>
      <family val="2"/>
    </font>
    <font>
      <i/>
      <u/>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11"/>
      <name val="Arial"/>
      <family val="2"/>
    </font>
    <font>
      <vertAlign val="superscript"/>
      <sz val="9"/>
      <name val="Arial"/>
      <family val="2"/>
    </font>
    <font>
      <b/>
      <strike/>
      <sz val="9"/>
      <name val="Arial"/>
      <family val="2"/>
    </font>
    <font>
      <sz val="10"/>
      <color theme="1"/>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i/>
      <sz val="10"/>
      <name val="Calibri"/>
      <family val="2"/>
    </font>
    <font>
      <b/>
      <sz val="10"/>
      <color indexed="8"/>
      <name val="Calibri"/>
      <family val="2"/>
    </font>
    <font>
      <sz val="10"/>
      <color theme="0" tint="-0.499984740745262"/>
      <name val="Calibri"/>
      <family val="2"/>
    </font>
    <font>
      <i/>
      <sz val="11"/>
      <color rgb="FF1F497D"/>
      <name val="Calibri"/>
      <family val="2"/>
    </font>
    <font>
      <b/>
      <sz val="9"/>
      <color rgb="FFFF0000"/>
      <name val="Arial"/>
      <family val="2"/>
    </font>
    <font>
      <sz val="9"/>
      <color theme="0" tint="-0.499984740745262"/>
      <name val="Arial"/>
      <family val="2"/>
    </font>
    <font>
      <vertAlign val="superscript"/>
      <sz val="10"/>
      <name val="Calibri"/>
      <family val="2"/>
    </font>
    <font>
      <strike/>
      <sz val="10"/>
      <name val="Arial"/>
      <family val="2"/>
    </font>
    <font>
      <b/>
      <sz val="9"/>
      <color indexed="8"/>
      <name val="Arial"/>
      <family val="2"/>
    </font>
    <font>
      <sz val="9"/>
      <color rgb="FFFF0000"/>
      <name val="Arial"/>
      <family val="2"/>
    </font>
    <font>
      <sz val="9"/>
      <color rgb="FFFF0000"/>
      <name val="Calibri"/>
      <family val="2"/>
    </font>
    <font>
      <strike/>
      <sz val="10"/>
      <name val="Calibri"/>
      <family val="2"/>
    </font>
    <font>
      <sz val="10"/>
      <color rgb="FFC00000"/>
      <name val="Calibri"/>
      <family val="2"/>
    </font>
    <font>
      <sz val="11"/>
      <color theme="1"/>
      <name val="Calibri"/>
      <family val="2"/>
      <scheme val="minor"/>
    </font>
    <font>
      <sz val="8"/>
      <color theme="0" tint="-0.499984740745262"/>
      <name val="Arial"/>
      <family val="2"/>
    </font>
    <font>
      <sz val="14"/>
      <name val="Arial"/>
      <family val="2"/>
    </font>
    <font>
      <sz val="10"/>
      <color rgb="FFFF0000"/>
      <name val="Arial"/>
      <family val="2"/>
    </font>
    <font>
      <b/>
      <sz val="11"/>
      <name val="Calibri"/>
      <family val="2"/>
    </font>
    <font>
      <vertAlign val="superscript"/>
      <sz val="7.65"/>
      <name val="Arial"/>
      <family val="2"/>
    </font>
    <font>
      <b/>
      <sz val="9"/>
      <color indexed="81"/>
      <name val="Tahoma"/>
      <family val="2"/>
    </font>
    <font>
      <sz val="9"/>
      <color indexed="81"/>
      <name val="Tahoma"/>
      <family val="2"/>
    </font>
    <font>
      <b/>
      <vertAlign val="superscript"/>
      <sz val="7.65"/>
      <name val="Arial"/>
      <family val="2"/>
    </font>
    <font>
      <sz val="10"/>
      <color rgb="FFC00000"/>
      <name val="Cambria"/>
      <family val="1"/>
    </font>
    <font>
      <sz val="10"/>
      <name val="Cambria"/>
      <family val="1"/>
    </font>
    <font>
      <b/>
      <sz val="8"/>
      <color theme="0" tint="-0.499984740745262"/>
      <name val="Arial"/>
      <family val="2"/>
    </font>
    <font>
      <sz val="8"/>
      <name val="Arial Narrow"/>
      <family val="2"/>
    </font>
    <font>
      <sz val="8"/>
      <color theme="0" tint="-0.499984740745262"/>
      <name val="Arial Narrow"/>
      <family val="2"/>
    </font>
    <font>
      <sz val="8"/>
      <color indexed="12"/>
      <name val="Arial Narrow"/>
      <family val="2"/>
    </font>
    <font>
      <sz val="8"/>
      <color theme="1"/>
      <name val="Arial Narrow"/>
      <family val="2"/>
    </font>
    <font>
      <sz val="8"/>
      <color rgb="FF808080"/>
      <name val="Arial Narrow"/>
      <family val="2"/>
    </font>
    <font>
      <vertAlign val="superscript"/>
      <sz val="8"/>
      <name val="Arial Narrow"/>
      <family val="2"/>
    </font>
    <font>
      <sz val="8"/>
      <color rgb="FF000000"/>
      <name val="Arial Narrow"/>
      <family val="2"/>
    </font>
    <font>
      <vertAlign val="superscript"/>
      <sz val="8"/>
      <color rgb="FF000000"/>
      <name val="Arial Narrow"/>
      <family val="2"/>
    </font>
    <font>
      <b/>
      <sz val="12"/>
      <name val="Arial"/>
      <family val="2"/>
    </font>
    <font>
      <b/>
      <vertAlign val="superscript"/>
      <sz val="12"/>
      <name val="Arial"/>
      <family val="2"/>
    </font>
    <font>
      <b/>
      <sz val="10"/>
      <color rgb="FFFF0000"/>
      <name val="Arial"/>
      <family val="2"/>
    </font>
    <font>
      <sz val="11"/>
      <name val="Calibri"/>
      <family val="2"/>
    </font>
    <font>
      <sz val="10"/>
      <color rgb="FF000000"/>
      <name val="Arial"/>
      <family val="2"/>
    </font>
    <font>
      <b/>
      <vertAlign val="superscript"/>
      <sz val="10"/>
      <name val="Arial"/>
      <family val="2"/>
    </font>
    <font>
      <sz val="11"/>
      <color theme="1"/>
      <name val="Calibri"/>
      <family val="2"/>
    </font>
    <font>
      <vertAlign val="superscript"/>
      <sz val="8"/>
      <name val="Calibri"/>
      <family val="2"/>
    </font>
    <font>
      <sz val="8"/>
      <name val="Calibri"/>
      <family val="2"/>
    </font>
    <font>
      <sz val="10"/>
      <color rgb="FFC00000"/>
      <name val="Arial"/>
      <family val="2"/>
    </font>
    <font>
      <sz val="10"/>
      <color theme="0" tint="-0.499984740745262"/>
      <name val="Arial"/>
      <family val="2"/>
    </font>
  </fonts>
  <fills count="54">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22"/>
      </patternFill>
    </fill>
    <fill>
      <patternFill patternType="solid">
        <f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41"/>
      </patternFill>
    </fill>
    <fill>
      <patternFill patternType="solid">
        <fgColor indexed="10"/>
        <bgColor indexed="64"/>
      </patternFill>
    </fill>
    <fill>
      <patternFill patternType="solid">
        <fgColor indexed="22"/>
        <bgColor indexed="40"/>
      </patternFill>
    </fill>
    <fill>
      <patternFill patternType="solid">
        <fgColor indexed="30"/>
        <bgColor indexed="40"/>
      </patternFill>
    </fill>
    <fill>
      <patternFill patternType="solid">
        <fgColor rgb="FFFF99CC"/>
        <bgColor indexed="64"/>
      </patternFill>
    </fill>
    <fill>
      <patternFill patternType="solid">
        <fgColor indexed="8"/>
        <bgColor indexed="64"/>
      </patternFill>
    </fill>
    <fill>
      <patternFill patternType="solid">
        <fgColor theme="2" tint="-9.9978637043366805E-2"/>
        <bgColor indexed="64"/>
      </patternFill>
    </fill>
    <fill>
      <patternFill patternType="mediumGray"/>
    </fill>
    <fill>
      <patternFill patternType="solid">
        <fgColor indexed="23"/>
        <bgColor indexed="64"/>
      </patternFill>
    </fill>
    <fill>
      <patternFill patternType="solid">
        <fgColor theme="0" tint="-0.499984740745262"/>
        <bgColor indexed="64"/>
      </patternFill>
    </fill>
    <fill>
      <patternFill patternType="mediumGray">
        <bgColor rgb="FFFFFFCC"/>
      </patternFill>
    </fill>
    <fill>
      <patternFill patternType="solid">
        <fgColor rgb="FF00B0F0"/>
        <bgColor indexed="64"/>
      </patternFill>
    </fill>
    <fill>
      <patternFill patternType="solid">
        <fgColor theme="0" tint="-0.14999847407452621"/>
        <bgColor indexed="64"/>
      </patternFill>
    </fill>
  </fills>
  <borders count="68">
    <border>
      <left/>
      <right/>
      <top/>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64"/>
      </left>
      <right style="thin">
        <color indexed="64"/>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s>
  <cellStyleXfs count="143">
    <xf numFmtId="0" fontId="0" fillId="0" borderId="0"/>
    <xf numFmtId="43" fontId="18"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1" fillId="0" borderId="0"/>
    <xf numFmtId="0" fontId="18" fillId="0" borderId="0"/>
    <xf numFmtId="0" fontId="18" fillId="5" borderId="44" applyNumberFormat="0" applyFont="0" applyAlignment="0" applyProtection="0"/>
    <xf numFmtId="0" fontId="18" fillId="5" borderId="44" applyNumberFormat="0" applyFont="0" applyAlignment="0" applyProtection="0"/>
    <xf numFmtId="0" fontId="18" fillId="5" borderId="44" applyNumberFormat="0" applyFont="0" applyAlignment="0" applyProtection="0"/>
    <xf numFmtId="0" fontId="18" fillId="5" borderId="44" applyNumberFormat="0" applyFont="0" applyAlignment="0" applyProtection="0"/>
    <xf numFmtId="0" fontId="18" fillId="5" borderId="44" applyNumberFormat="0" applyFont="0" applyAlignment="0" applyProtection="0"/>
    <xf numFmtId="4" fontId="19" fillId="18" borderId="6" applyNumberFormat="0" applyProtection="0">
      <alignment horizontal="right" vertical="center" wrapText="1"/>
    </xf>
    <xf numFmtId="4" fontId="20" fillId="19" borderId="45" applyNumberFormat="0" applyProtection="0">
      <alignment vertical="center"/>
    </xf>
    <xf numFmtId="4" fontId="21" fillId="20" borderId="46">
      <alignment vertical="center"/>
    </xf>
    <xf numFmtId="4" fontId="22" fillId="20" borderId="46">
      <alignment vertical="center"/>
    </xf>
    <xf numFmtId="4" fontId="21" fillId="21" borderId="46">
      <alignment vertical="center"/>
    </xf>
    <xf numFmtId="4" fontId="22" fillId="21" borderId="46">
      <alignment vertical="center"/>
    </xf>
    <xf numFmtId="4" fontId="19" fillId="18" borderId="6" applyNumberFormat="0" applyProtection="0">
      <alignment horizontal="left" vertical="center" indent="1"/>
    </xf>
    <xf numFmtId="0" fontId="2" fillId="19" borderId="45" applyNumberFormat="0" applyProtection="0">
      <alignment horizontal="left" vertical="top" indent="1"/>
    </xf>
    <xf numFmtId="4" fontId="12" fillId="22" borderId="6" applyNumberFormat="0" applyProtection="0">
      <alignment horizontal="left" vertical="center"/>
    </xf>
    <xf numFmtId="4" fontId="14" fillId="23" borderId="6" applyNumberFormat="0">
      <alignment horizontal="right" vertical="center"/>
    </xf>
    <xf numFmtId="4" fontId="1" fillId="24" borderId="45" applyNumberFormat="0" applyProtection="0">
      <alignment horizontal="right" vertical="center"/>
    </xf>
    <xf numFmtId="4" fontId="1" fillId="25" borderId="45" applyNumberFormat="0" applyProtection="0">
      <alignment horizontal="right" vertical="center"/>
    </xf>
    <xf numFmtId="4" fontId="1" fillId="26" borderId="45" applyNumberFormat="0" applyProtection="0">
      <alignment horizontal="right" vertical="center"/>
    </xf>
    <xf numFmtId="4" fontId="1" fillId="27" borderId="45" applyNumberFormat="0" applyProtection="0">
      <alignment horizontal="right" vertical="center"/>
    </xf>
    <xf numFmtId="4" fontId="1" fillId="28" borderId="45" applyNumberFormat="0" applyProtection="0">
      <alignment horizontal="right" vertical="center"/>
    </xf>
    <xf numFmtId="4" fontId="1" fillId="29" borderId="45" applyNumberFormat="0" applyProtection="0">
      <alignment horizontal="right" vertical="center"/>
    </xf>
    <xf numFmtId="4" fontId="1" fillId="30" borderId="45" applyNumberFormat="0" applyProtection="0">
      <alignment horizontal="right" vertical="center"/>
    </xf>
    <xf numFmtId="4" fontId="1" fillId="31" borderId="45" applyNumberFormat="0" applyProtection="0">
      <alignment horizontal="right" vertical="center"/>
    </xf>
    <xf numFmtId="4" fontId="1" fillId="32" borderId="45" applyNumberFormat="0" applyProtection="0">
      <alignment horizontal="right" vertical="center"/>
    </xf>
    <xf numFmtId="4" fontId="2" fillId="33" borderId="6" applyNumberFormat="0" applyProtection="0">
      <alignment horizontal="left" vertical="center" indent="1"/>
    </xf>
    <xf numFmtId="4" fontId="1" fillId="34" borderId="6" applyNumberFormat="0" applyProtection="0">
      <alignment horizontal="left" vertical="center" indent="1"/>
    </xf>
    <xf numFmtId="4" fontId="23" fillId="35" borderId="0" applyNumberFormat="0" applyProtection="0">
      <alignment horizontal="left" vertical="center" indent="1"/>
    </xf>
    <xf numFmtId="4" fontId="1" fillId="36" borderId="45" applyNumberFormat="0" applyProtection="0">
      <alignment horizontal="right" vertical="center"/>
    </xf>
    <xf numFmtId="4" fontId="24" fillId="37" borderId="47">
      <alignment horizontal="left" vertical="center" indent="1"/>
    </xf>
    <xf numFmtId="4" fontId="11" fillId="0" borderId="0" applyNumberFormat="0" applyProtection="0">
      <alignment horizontal="left" vertical="center" indent="1"/>
    </xf>
    <xf numFmtId="4" fontId="12" fillId="0" borderId="0" applyNumberFormat="0" applyProtection="0">
      <alignment horizontal="left" vertical="center" indent="1"/>
    </xf>
    <xf numFmtId="0" fontId="11" fillId="0" borderId="6" applyNumberFormat="0" applyProtection="0">
      <alignment horizontal="left" vertical="center" indent="2"/>
    </xf>
    <xf numFmtId="0" fontId="5" fillId="35" borderId="45" applyNumberFormat="0" applyProtection="0">
      <alignment horizontal="left" vertical="top" indent="1"/>
    </xf>
    <xf numFmtId="0" fontId="11" fillId="0" borderId="6" applyNumberFormat="0" applyProtection="0">
      <alignment horizontal="left" vertical="center" indent="2"/>
    </xf>
    <xf numFmtId="0" fontId="5" fillId="38" borderId="45" applyNumberFormat="0" applyProtection="0">
      <alignment horizontal="left" vertical="top" indent="1"/>
    </xf>
    <xf numFmtId="0" fontId="11" fillId="0" borderId="6" applyNumberFormat="0" applyProtection="0">
      <alignment horizontal="left" vertical="center" indent="2"/>
    </xf>
    <xf numFmtId="0" fontId="5" fillId="39" borderId="45" applyNumberFormat="0" applyProtection="0">
      <alignment horizontal="left" vertical="top" indent="1"/>
    </xf>
    <xf numFmtId="0" fontId="11" fillId="0" borderId="6" applyNumberFormat="0" applyProtection="0">
      <alignment horizontal="left" vertical="center" indent="2"/>
    </xf>
    <xf numFmtId="0" fontId="5" fillId="3" borderId="45" applyNumberFormat="0" applyProtection="0">
      <alignment horizontal="left" vertical="top" indent="1"/>
    </xf>
    <xf numFmtId="4" fontId="1" fillId="40" borderId="45" applyNumberFormat="0" applyProtection="0">
      <alignment vertical="center"/>
    </xf>
    <xf numFmtId="4" fontId="25" fillId="40" borderId="45" applyNumberFormat="0" applyProtection="0">
      <alignment vertical="center"/>
    </xf>
    <xf numFmtId="4" fontId="26" fillId="20" borderId="47">
      <alignment vertical="center"/>
    </xf>
    <xf numFmtId="4" fontId="27" fillId="20" borderId="47">
      <alignment vertical="center"/>
    </xf>
    <xf numFmtId="4" fontId="26" fillId="21" borderId="47">
      <alignment vertical="center"/>
    </xf>
    <xf numFmtId="4" fontId="27" fillId="21" borderId="47">
      <alignment vertical="center"/>
    </xf>
    <xf numFmtId="4" fontId="28" fillId="0" borderId="0" applyNumberFormat="0" applyProtection="0">
      <alignment horizontal="left" vertical="center" indent="1"/>
    </xf>
    <xf numFmtId="0" fontId="1" fillId="40" borderId="45" applyNumberFormat="0" applyProtection="0">
      <alignment horizontal="left" vertical="top" indent="1"/>
    </xf>
    <xf numFmtId="0" fontId="14" fillId="23" borderId="6" applyNumberFormat="0">
      <alignment horizontal="left" vertical="center"/>
    </xf>
    <xf numFmtId="4" fontId="9" fillId="0" borderId="6" applyNumberFormat="0" applyProtection="0">
      <alignment horizontal="left" vertical="center" indent="1"/>
    </xf>
    <xf numFmtId="4" fontId="28" fillId="0" borderId="0" applyNumberFormat="0" applyProtection="0">
      <alignment horizontal="right" vertical="center" wrapText="1"/>
    </xf>
    <xf numFmtId="4" fontId="10" fillId="0" borderId="6" applyNumberFormat="0" applyProtection="0">
      <alignment horizontal="right" vertical="center" wrapText="1"/>
    </xf>
    <xf numFmtId="4" fontId="25" fillId="41" borderId="45" applyNumberFormat="0" applyProtection="0">
      <alignment horizontal="right" vertical="center"/>
    </xf>
    <xf numFmtId="4" fontId="29" fillId="20" borderId="47">
      <alignment vertical="center"/>
    </xf>
    <xf numFmtId="4" fontId="30" fillId="20" borderId="47">
      <alignment vertical="center"/>
    </xf>
    <xf numFmtId="4" fontId="29" fillId="21" borderId="47">
      <alignment vertical="center"/>
    </xf>
    <xf numFmtId="4" fontId="30" fillId="42" borderId="47">
      <alignment vertical="center"/>
    </xf>
    <xf numFmtId="4" fontId="10" fillId="0" borderId="6" applyNumberFormat="0" applyProtection="0">
      <alignment horizontal="left" vertical="center" indent="1"/>
    </xf>
    <xf numFmtId="0" fontId="12" fillId="43" borderId="6" applyNumberFormat="0" applyProtection="0">
      <alignment horizontal="center" vertical="center" wrapText="1"/>
    </xf>
    <xf numFmtId="0" fontId="12" fillId="44" borderId="6" applyNumberFormat="0" applyProtection="0">
      <alignment horizontal="center" vertical="top" wrapText="1"/>
    </xf>
    <xf numFmtId="4" fontId="31" fillId="37" borderId="48">
      <alignment vertical="center"/>
    </xf>
    <xf numFmtId="4" fontId="32" fillId="37" borderId="48">
      <alignment vertical="center"/>
    </xf>
    <xf numFmtId="4" fontId="21" fillId="20" borderId="48">
      <alignment vertical="center"/>
    </xf>
    <xf numFmtId="4" fontId="22" fillId="20" borderId="48">
      <alignment vertical="center"/>
    </xf>
    <xf numFmtId="4" fontId="21" fillId="21" borderId="47">
      <alignment vertical="center"/>
    </xf>
    <xf numFmtId="4" fontId="22" fillId="21" borderId="47">
      <alignment vertical="center"/>
    </xf>
    <xf numFmtId="4" fontId="33" fillId="40" borderId="48">
      <alignment horizontal="left" vertical="center" indent="1"/>
    </xf>
    <xf numFmtId="4" fontId="3" fillId="0" borderId="0" applyNumberFormat="0" applyProtection="0">
      <alignment vertical="center"/>
    </xf>
    <xf numFmtId="4" fontId="34" fillId="41" borderId="45" applyNumberFormat="0" applyProtection="0">
      <alignment horizontal="right" vertical="center"/>
    </xf>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 fillId="0" borderId="0"/>
    <xf numFmtId="0" fontId="55" fillId="0" borderId="0"/>
    <xf numFmtId="44" fontId="55" fillId="0" borderId="0" applyFont="0" applyFill="0" applyBorder="0" applyAlignment="0" applyProtection="0"/>
    <xf numFmtId="179" fontId="5" fillId="0" borderId="0"/>
    <xf numFmtId="179" fontId="5" fillId="0" borderId="0"/>
    <xf numFmtId="179" fontId="5" fillId="0" borderId="0"/>
  </cellStyleXfs>
  <cellXfs count="713">
    <xf numFmtId="0" fontId="0" fillId="0" borderId="0" xfId="0"/>
    <xf numFmtId="0" fontId="3" fillId="0" borderId="0" xfId="0" applyFont="1" applyFill="1" applyBorder="1" applyAlignment="1">
      <alignment horizontal="right"/>
    </xf>
    <xf numFmtId="0" fontId="6" fillId="0" borderId="3" xfId="0" applyFont="1" applyFill="1" applyBorder="1"/>
    <xf numFmtId="0" fontId="6" fillId="0" borderId="9" xfId="0" applyFont="1" applyFill="1" applyBorder="1"/>
    <xf numFmtId="2" fontId="7" fillId="2" borderId="6" xfId="0" applyNumberFormat="1" applyFont="1" applyFill="1" applyBorder="1" applyAlignment="1">
      <alignment horizontal="right" vertical="top"/>
    </xf>
    <xf numFmtId="3" fontId="7" fillId="3" borderId="6" xfId="0" applyNumberFormat="1" applyFont="1" applyFill="1" applyBorder="1" applyAlignment="1">
      <alignment horizontal="right" vertical="top" wrapText="1"/>
    </xf>
    <xf numFmtId="0" fontId="5" fillId="0" borderId="20" xfId="0" applyFont="1" applyFill="1" applyBorder="1" applyProtection="1"/>
    <xf numFmtId="0" fontId="11" fillId="0" borderId="6" xfId="0" applyFont="1" applyFill="1" applyBorder="1" applyProtection="1"/>
    <xf numFmtId="166" fontId="11" fillId="0" borderId="6" xfId="0" applyNumberFormat="1" applyFont="1" applyFill="1" applyBorder="1"/>
    <xf numFmtId="166" fontId="11" fillId="0" borderId="6" xfId="1" applyNumberFormat="1" applyFont="1" applyFill="1" applyBorder="1" applyAlignment="1">
      <alignment horizontal="right"/>
    </xf>
    <xf numFmtId="166" fontId="12" fillId="0" borderId="15" xfId="0" applyNumberFormat="1" applyFont="1" applyFill="1" applyBorder="1" applyAlignment="1">
      <alignment horizontal="center"/>
    </xf>
    <xf numFmtId="166" fontId="12" fillId="0" borderId="6" xfId="0" applyNumberFormat="1" applyFont="1" applyFill="1" applyBorder="1" applyAlignment="1"/>
    <xf numFmtId="167" fontId="11" fillId="0" borderId="6" xfId="0" applyNumberFormat="1" applyFont="1" applyFill="1" applyBorder="1" applyAlignment="1">
      <alignment horizontal="right" wrapText="1"/>
    </xf>
    <xf numFmtId="166" fontId="12" fillId="0" borderId="6" xfId="1" applyNumberFormat="1" applyFont="1" applyFill="1" applyBorder="1" applyAlignment="1">
      <alignment horizontal="right" wrapText="1"/>
    </xf>
    <xf numFmtId="167" fontId="12" fillId="0" borderId="6" xfId="0" applyNumberFormat="1" applyFont="1" applyFill="1" applyBorder="1" applyAlignment="1">
      <alignment horizontal="center" wrapText="1"/>
    </xf>
    <xf numFmtId="167" fontId="12" fillId="0" borderId="6" xfId="0" applyNumberFormat="1" applyFont="1" applyFill="1" applyBorder="1" applyAlignment="1">
      <alignment horizontal="right" wrapText="1"/>
    </xf>
    <xf numFmtId="166" fontId="12" fillId="0" borderId="6" xfId="0" applyNumberFormat="1" applyFont="1" applyFill="1" applyBorder="1"/>
    <xf numFmtId="167" fontId="11" fillId="0" borderId="6" xfId="0" applyNumberFormat="1" applyFont="1" applyFill="1" applyBorder="1"/>
    <xf numFmtId="166" fontId="12" fillId="0" borderId="15" xfId="0" applyNumberFormat="1" applyFont="1" applyFill="1" applyBorder="1"/>
    <xf numFmtId="166" fontId="11" fillId="0" borderId="6" xfId="0" applyNumberFormat="1" applyFont="1" applyFill="1" applyBorder="1" applyAlignment="1"/>
    <xf numFmtId="166" fontId="12" fillId="0" borderId="6" xfId="0" applyNumberFormat="1" applyFont="1" applyFill="1" applyBorder="1" applyAlignment="1">
      <alignment horizontal="center" wrapText="1"/>
    </xf>
    <xf numFmtId="166" fontId="12" fillId="0" borderId="6" xfId="0" applyNumberFormat="1" applyFont="1" applyFill="1" applyBorder="1" applyAlignment="1">
      <alignment horizontal="center"/>
    </xf>
    <xf numFmtId="166" fontId="11" fillId="0" borderId="6" xfId="0" applyNumberFormat="1" applyFont="1" applyFill="1" applyBorder="1" applyAlignment="1">
      <alignment horizontal="right" wrapText="1"/>
    </xf>
    <xf numFmtId="166" fontId="11" fillId="0" borderId="6" xfId="0" applyNumberFormat="1" applyFont="1" applyFill="1" applyBorder="1" applyAlignment="1">
      <alignment horizontal="right"/>
    </xf>
    <xf numFmtId="166" fontId="11" fillId="0" borderId="1" xfId="0" applyNumberFormat="1" applyFont="1" applyFill="1" applyBorder="1"/>
    <xf numFmtId="166" fontId="11" fillId="0" borderId="1" xfId="0" applyNumberFormat="1" applyFont="1" applyFill="1" applyBorder="1" applyAlignment="1"/>
    <xf numFmtId="166" fontId="12" fillId="0" borderId="1" xfId="0" applyNumberFormat="1" applyFont="1" applyFill="1" applyBorder="1"/>
    <xf numFmtId="166" fontId="11" fillId="0" borderId="14" xfId="1" applyNumberFormat="1" applyFont="1" applyFill="1" applyBorder="1" applyAlignment="1">
      <alignment horizontal="right"/>
    </xf>
    <xf numFmtId="166" fontId="11" fillId="0" borderId="14" xfId="0" applyNumberFormat="1" applyFont="1" applyFill="1" applyBorder="1"/>
    <xf numFmtId="166" fontId="11" fillId="0" borderId="6" xfId="0" quotePrefix="1" applyNumberFormat="1" applyFont="1" applyFill="1" applyBorder="1" applyAlignment="1">
      <alignment horizontal="center"/>
    </xf>
    <xf numFmtId="166" fontId="12" fillId="0" borderId="6" xfId="1" applyNumberFormat="1" applyFont="1" applyFill="1" applyBorder="1" applyAlignment="1">
      <alignment horizontal="right"/>
    </xf>
    <xf numFmtId="166" fontId="12" fillId="0" borderId="15" xfId="0" applyNumberFormat="1" applyFont="1" applyFill="1" applyBorder="1" applyAlignment="1">
      <alignment horizontal="right"/>
    </xf>
    <xf numFmtId="0" fontId="11" fillId="0" borderId="0" xfId="0" applyFont="1" applyFill="1"/>
    <xf numFmtId="0" fontId="12"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xf numFmtId="0" fontId="12" fillId="0" borderId="9" xfId="0" applyFont="1" applyFill="1" applyBorder="1"/>
    <xf numFmtId="0" fontId="11" fillId="0" borderId="2" xfId="0" applyFont="1" applyFill="1" applyBorder="1"/>
    <xf numFmtId="0" fontId="11" fillId="0" borderId="19" xfId="0" applyFont="1" applyFill="1" applyBorder="1"/>
    <xf numFmtId="0" fontId="11" fillId="0" borderId="4" xfId="0" applyFont="1" applyFill="1" applyBorder="1"/>
    <xf numFmtId="0" fontId="12" fillId="0" borderId="24" xfId="0" applyFont="1" applyFill="1" applyBorder="1"/>
    <xf numFmtId="0" fontId="11" fillId="0" borderId="1" xfId="0" applyFont="1" applyFill="1" applyBorder="1"/>
    <xf numFmtId="0" fontId="11" fillId="0" borderId="17" xfId="0" applyFont="1" applyFill="1" applyBorder="1"/>
    <xf numFmtId="0" fontId="11" fillId="0" borderId="25" xfId="0" applyFont="1" applyFill="1" applyBorder="1"/>
    <xf numFmtId="0" fontId="12" fillId="0" borderId="26" xfId="0" applyFont="1" applyFill="1" applyBorder="1" applyAlignment="1">
      <alignment horizontal="center"/>
    </xf>
    <xf numFmtId="0" fontId="12" fillId="0" borderId="27" xfId="0" applyFont="1" applyFill="1" applyBorder="1" applyAlignment="1">
      <alignment horizontal="center"/>
    </xf>
    <xf numFmtId="0" fontId="12" fillId="0" borderId="28" xfId="0" applyFont="1" applyFill="1" applyBorder="1" applyAlignment="1">
      <alignment horizontal="center" wrapText="1"/>
    </xf>
    <xf numFmtId="0" fontId="12" fillId="0" borderId="29" xfId="0" applyFont="1" applyFill="1" applyBorder="1" applyAlignment="1">
      <alignment horizontal="center" wrapText="1"/>
    </xf>
    <xf numFmtId="0" fontId="12" fillId="0" borderId="24" xfId="0" applyFont="1" applyFill="1" applyBorder="1" applyAlignment="1">
      <alignment wrapText="1"/>
    </xf>
    <xf numFmtId="6" fontId="11" fillId="0" borderId="0" xfId="0" applyNumberFormat="1" applyFont="1" applyFill="1" applyBorder="1"/>
    <xf numFmtId="6" fontId="11" fillId="0" borderId="17" xfId="0" applyNumberFormat="1" applyFont="1" applyFill="1" applyBorder="1"/>
    <xf numFmtId="6" fontId="12" fillId="0" borderId="19" xfId="0" applyNumberFormat="1" applyFont="1" applyFill="1" applyBorder="1" applyAlignment="1">
      <alignment horizontal="center" wrapText="1"/>
    </xf>
    <xf numFmtId="6" fontId="12" fillId="0" borderId="20" xfId="0" applyNumberFormat="1" applyFont="1" applyFill="1" applyBorder="1" applyAlignment="1">
      <alignment horizontal="center" wrapText="1"/>
    </xf>
    <xf numFmtId="6" fontId="11" fillId="0" borderId="20" xfId="0" applyNumberFormat="1" applyFont="1" applyFill="1" applyBorder="1"/>
    <xf numFmtId="0" fontId="11" fillId="0" borderId="30" xfId="0" applyFont="1" applyFill="1" applyBorder="1"/>
    <xf numFmtId="0" fontId="11" fillId="0" borderId="24" xfId="0" applyFont="1" applyFill="1" applyBorder="1" applyAlignment="1">
      <alignment horizontal="left" indent="1"/>
    </xf>
    <xf numFmtId="6" fontId="11" fillId="0" borderId="19" xfId="0" applyNumberFormat="1" applyFont="1" applyFill="1" applyBorder="1"/>
    <xf numFmtId="6" fontId="11" fillId="0" borderId="20" xfId="0" applyNumberFormat="1" applyFont="1" applyFill="1" applyBorder="1" applyAlignment="1">
      <alignment horizontal="right"/>
    </xf>
    <xf numFmtId="172" fontId="11" fillId="0" borderId="30" xfId="0" applyNumberFormat="1" applyFont="1" applyFill="1" applyBorder="1" applyAlignment="1">
      <alignment horizontal="right"/>
    </xf>
    <xf numFmtId="0" fontId="11" fillId="0" borderId="24" xfId="0" applyFont="1" applyFill="1" applyBorder="1" applyAlignment="1">
      <alignment horizontal="left" wrapText="1" indent="1"/>
    </xf>
    <xf numFmtId="6" fontId="11" fillId="0" borderId="0" xfId="0" applyNumberFormat="1" applyFont="1" applyFill="1" applyBorder="1" applyAlignment="1"/>
    <xf numFmtId="6" fontId="11" fillId="0" borderId="20" xfId="0" applyNumberFormat="1" applyFont="1" applyFill="1" applyBorder="1" applyAlignment="1"/>
    <xf numFmtId="6" fontId="11" fillId="0" borderId="20" xfId="0" applyNumberFormat="1" applyFont="1" applyFill="1" applyBorder="1" applyAlignment="1">
      <alignment horizontal="right" vertical="top"/>
    </xf>
    <xf numFmtId="0" fontId="12" fillId="0" borderId="11" xfId="0" applyFont="1" applyFill="1" applyBorder="1"/>
    <xf numFmtId="6" fontId="11" fillId="0" borderId="14" xfId="0" applyNumberFormat="1" applyFont="1" applyFill="1" applyBorder="1"/>
    <xf numFmtId="6" fontId="11" fillId="0" borderId="8" xfId="0" applyNumberFormat="1" applyFont="1" applyFill="1" applyBorder="1"/>
    <xf numFmtId="172" fontId="11" fillId="0" borderId="31" xfId="0" applyNumberFormat="1" applyFont="1" applyFill="1" applyBorder="1" applyAlignment="1">
      <alignment horizontal="right"/>
    </xf>
    <xf numFmtId="0" fontId="11" fillId="0" borderId="24" xfId="0" applyFont="1" applyFill="1" applyBorder="1"/>
    <xf numFmtId="6" fontId="11" fillId="0" borderId="13" xfId="0" applyNumberFormat="1" applyFont="1" applyFill="1" applyBorder="1"/>
    <xf numFmtId="0" fontId="11" fillId="0" borderId="7" xfId="0" applyFont="1" applyFill="1" applyBorder="1"/>
    <xf numFmtId="172" fontId="11" fillId="0" borderId="4" xfId="0" applyNumberFormat="1" applyFont="1" applyFill="1" applyBorder="1" applyAlignment="1">
      <alignment horizontal="right"/>
    </xf>
    <xf numFmtId="172" fontId="11" fillId="0" borderId="10" xfId="0" applyNumberFormat="1" applyFont="1" applyFill="1" applyBorder="1" applyAlignment="1">
      <alignment horizontal="right"/>
    </xf>
    <xf numFmtId="6" fontId="11" fillId="0" borderId="6" xfId="0" applyNumberFormat="1" applyFont="1" applyFill="1" applyBorder="1"/>
    <xf numFmtId="6" fontId="11" fillId="0" borderId="30" xfId="0" applyNumberFormat="1" applyFont="1" applyFill="1" applyBorder="1"/>
    <xf numFmtId="6" fontId="11" fillId="0" borderId="16" xfId="0" applyNumberFormat="1" applyFont="1" applyFill="1" applyBorder="1"/>
    <xf numFmtId="6" fontId="11" fillId="0" borderId="20" xfId="0" applyNumberFormat="1" applyFont="1" applyFill="1" applyBorder="1" applyAlignment="1">
      <alignment horizontal="right" vertical="center"/>
    </xf>
    <xf numFmtId="6" fontId="11" fillId="0" borderId="0" xfId="0" applyNumberFormat="1" applyFont="1" applyFill="1" applyBorder="1" applyAlignment="1">
      <alignment horizontal="right" vertical="center"/>
    </xf>
    <xf numFmtId="0" fontId="11" fillId="0" borderId="24" xfId="0" applyFont="1" applyFill="1" applyBorder="1" applyAlignment="1">
      <alignment wrapText="1"/>
    </xf>
    <xf numFmtId="6" fontId="11" fillId="0" borderId="2" xfId="0" applyNumberFormat="1" applyFont="1" applyFill="1" applyBorder="1"/>
    <xf numFmtId="6" fontId="11" fillId="0" borderId="23" xfId="0" applyNumberFormat="1" applyFont="1" applyFill="1" applyBorder="1"/>
    <xf numFmtId="172" fontId="11" fillId="0" borderId="32" xfId="0" applyNumberFormat="1" applyFont="1" applyFill="1" applyBorder="1" applyAlignment="1">
      <alignment horizontal="right"/>
    </xf>
    <xf numFmtId="6" fontId="11" fillId="0" borderId="7" xfId="0" applyNumberFormat="1" applyFont="1" applyFill="1" applyBorder="1" applyAlignment="1">
      <alignment horizontal="right"/>
    </xf>
    <xf numFmtId="6" fontId="11" fillId="0" borderId="0" xfId="0" applyNumberFormat="1" applyFont="1" applyFill="1" applyBorder="1" applyAlignment="1">
      <alignment horizontal="right"/>
    </xf>
    <xf numFmtId="6" fontId="11" fillId="0" borderId="20" xfId="0" applyNumberFormat="1" applyFont="1" applyFill="1" applyBorder="1" applyAlignment="1">
      <alignment vertical="top"/>
    </xf>
    <xf numFmtId="172" fontId="11" fillId="0" borderId="30" xfId="0" applyNumberFormat="1" applyFont="1" applyFill="1" applyBorder="1" applyAlignment="1">
      <alignment vertical="top"/>
    </xf>
    <xf numFmtId="172" fontId="11" fillId="0" borderId="30" xfId="0" applyNumberFormat="1" applyFont="1" applyFill="1" applyBorder="1"/>
    <xf numFmtId="172" fontId="11" fillId="0" borderId="10" xfId="0" applyNumberFormat="1" applyFont="1" applyFill="1" applyBorder="1" applyAlignment="1">
      <alignment vertical="top"/>
    </xf>
    <xf numFmtId="172" fontId="11" fillId="0" borderId="10" xfId="0" applyNumberFormat="1" applyFont="1" applyFill="1" applyBorder="1"/>
    <xf numFmtId="6" fontId="11" fillId="0" borderId="30" xfId="0" applyNumberFormat="1" applyFont="1" applyFill="1" applyBorder="1" applyAlignment="1">
      <alignment horizontal="right"/>
    </xf>
    <xf numFmtId="172" fontId="11" fillId="0" borderId="12" xfId="0" applyNumberFormat="1" applyFont="1" applyFill="1" applyBorder="1"/>
    <xf numFmtId="8" fontId="5" fillId="0" borderId="0" xfId="0" applyNumberFormat="1" applyFont="1" applyFill="1"/>
    <xf numFmtId="0" fontId="12" fillId="0" borderId="5" xfId="0" applyFont="1" applyFill="1" applyBorder="1"/>
    <xf numFmtId="0" fontId="11" fillId="0" borderId="11" xfId="0" applyFont="1" applyFill="1" applyBorder="1" applyAlignment="1">
      <alignment horizontal="left" indent="1"/>
    </xf>
    <xf numFmtId="0" fontId="12" fillId="0" borderId="33" xfId="0" applyFont="1" applyFill="1" applyBorder="1" applyAlignment="1">
      <alignment wrapText="1"/>
    </xf>
    <xf numFmtId="6" fontId="11" fillId="0" borderId="35" xfId="0" applyNumberFormat="1" applyFont="1" applyFill="1" applyBorder="1"/>
    <xf numFmtId="0" fontId="12" fillId="0" borderId="37" xfId="0" applyFont="1" applyFill="1" applyBorder="1" applyAlignment="1">
      <alignment wrapText="1"/>
    </xf>
    <xf numFmtId="0" fontId="12" fillId="0" borderId="0" xfId="0" applyFont="1" applyFill="1" applyBorder="1" applyAlignment="1">
      <alignment wrapText="1"/>
    </xf>
    <xf numFmtId="171" fontId="5" fillId="0" borderId="0" xfId="0" applyNumberFormat="1" applyFont="1" applyFill="1" applyBorder="1"/>
    <xf numFmtId="0" fontId="13" fillId="0" borderId="0" xfId="0" applyFont="1" applyFill="1"/>
    <xf numFmtId="0" fontId="9" fillId="0" borderId="0" xfId="0" applyFont="1" applyFill="1" applyBorder="1" applyAlignment="1">
      <alignment horizontal="left"/>
    </xf>
    <xf numFmtId="0" fontId="9" fillId="0" borderId="0" xfId="0" applyFont="1" applyFill="1" applyBorder="1"/>
    <xf numFmtId="0" fontId="6" fillId="0" borderId="26" xfId="0" applyFont="1" applyFill="1" applyBorder="1"/>
    <xf numFmtId="0" fontId="6" fillId="0" borderId="2" xfId="0" applyFont="1" applyFill="1" applyBorder="1" applyAlignment="1">
      <alignment horizontal="center"/>
    </xf>
    <xf numFmtId="0" fontId="6" fillId="0" borderId="32" xfId="0" applyFont="1" applyFill="1" applyBorder="1" applyAlignment="1">
      <alignment horizontal="center" wrapText="1"/>
    </xf>
    <xf numFmtId="6" fontId="5" fillId="0" borderId="0" xfId="0" applyNumberFormat="1" applyFont="1" applyFill="1" applyBorder="1"/>
    <xf numFmtId="0" fontId="5" fillId="0" borderId="0" xfId="0" applyFont="1" applyFill="1"/>
    <xf numFmtId="3" fontId="5" fillId="0" borderId="0" xfId="0" applyNumberFormat="1" applyFont="1" applyFill="1"/>
    <xf numFmtId="6" fontId="5" fillId="0" borderId="0" xfId="0" applyNumberFormat="1" applyFont="1" applyFill="1" applyBorder="1" applyAlignment="1">
      <alignment vertical="top"/>
    </xf>
    <xf numFmtId="0" fontId="16" fillId="0" borderId="0" xfId="0" applyFont="1" applyFill="1" applyBorder="1" applyAlignment="1">
      <alignment horizontal="left"/>
    </xf>
    <xf numFmtId="171" fontId="5" fillId="0" borderId="0" xfId="0" applyNumberFormat="1" applyFont="1" applyFill="1"/>
    <xf numFmtId="6" fontId="11" fillId="0" borderId="15" xfId="0" applyNumberFormat="1" applyFont="1" applyFill="1" applyBorder="1"/>
    <xf numFmtId="171" fontId="5" fillId="0" borderId="37" xfId="0" applyNumberFormat="1" applyFont="1" applyFill="1" applyBorder="1"/>
    <xf numFmtId="0" fontId="12" fillId="0" borderId="24" xfId="0" applyFont="1" applyFill="1" applyBorder="1" applyAlignment="1">
      <alignment horizontal="left" vertical="top" wrapText="1"/>
    </xf>
    <xf numFmtId="0" fontId="5" fillId="0" borderId="0" xfId="0" applyFont="1" applyFill="1" applyBorder="1"/>
    <xf numFmtId="0" fontId="5" fillId="0" borderId="27" xfId="0" applyFont="1" applyFill="1" applyBorder="1"/>
    <xf numFmtId="0" fontId="5" fillId="0" borderId="40" xfId="0" applyFont="1" applyFill="1" applyBorder="1"/>
    <xf numFmtId="0" fontId="5" fillId="0" borderId="2" xfId="0" applyFont="1" applyFill="1" applyBorder="1"/>
    <xf numFmtId="0" fontId="5" fillId="0" borderId="32" xfId="0" applyFont="1" applyFill="1" applyBorder="1"/>
    <xf numFmtId="174" fontId="5" fillId="0" borderId="0" xfId="0" applyNumberFormat="1" applyFont="1" applyFill="1"/>
    <xf numFmtId="6" fontId="5" fillId="0" borderId="0" xfId="0" applyNumberFormat="1" applyFont="1" applyFill="1"/>
    <xf numFmtId="6" fontId="5" fillId="0" borderId="14" xfId="0" applyNumberFormat="1" applyFont="1" applyFill="1" applyBorder="1" applyAlignment="1">
      <alignment horizontal="right"/>
    </xf>
    <xf numFmtId="174" fontId="5" fillId="0" borderId="0" xfId="0" applyNumberFormat="1" applyFont="1" applyFill="1" applyBorder="1"/>
    <xf numFmtId="174" fontId="5" fillId="0" borderId="4" xfId="0" applyNumberFormat="1" applyFont="1" applyFill="1" applyBorder="1"/>
    <xf numFmtId="174" fontId="5" fillId="0" borderId="41" xfId="0" applyNumberFormat="1" applyFont="1" applyFill="1" applyBorder="1"/>
    <xf numFmtId="174" fontId="5" fillId="0" borderId="42" xfId="0" applyNumberFormat="1" applyFont="1" applyFill="1" applyBorder="1"/>
    <xf numFmtId="6" fontId="5" fillId="0" borderId="35" xfId="0" applyNumberFormat="1" applyFont="1" applyFill="1" applyBorder="1"/>
    <xf numFmtId="6" fontId="5" fillId="0" borderId="35" xfId="0" applyNumberFormat="1" applyFont="1" applyFill="1" applyBorder="1" applyAlignment="1">
      <alignment horizontal="right"/>
    </xf>
    <xf numFmtId="6" fontId="5" fillId="0" borderId="39" xfId="0" applyNumberFormat="1" applyFont="1" applyFill="1" applyBorder="1"/>
    <xf numFmtId="171" fontId="5" fillId="0" borderId="0" xfId="0" applyNumberFormat="1" applyFont="1" applyFill="1" applyBorder="1" applyAlignment="1">
      <alignment vertical="center"/>
    </xf>
    <xf numFmtId="171" fontId="5" fillId="0" borderId="23" xfId="0" applyNumberFormat="1" applyFont="1" applyFill="1" applyBorder="1"/>
    <xf numFmtId="171" fontId="5" fillId="0" borderId="13" xfId="0" applyNumberFormat="1" applyFont="1" applyFill="1" applyBorder="1"/>
    <xf numFmtId="0" fontId="12" fillId="0" borderId="0" xfId="0" applyFont="1" applyFill="1"/>
    <xf numFmtId="0" fontId="12" fillId="0" borderId="6" xfId="0" applyFont="1" applyFill="1" applyBorder="1" applyAlignment="1">
      <alignment horizontal="center" wrapText="1"/>
    </xf>
    <xf numFmtId="167" fontId="11" fillId="0" borderId="6" xfId="1" applyNumberFormat="1" applyFont="1" applyFill="1" applyBorder="1" applyAlignment="1">
      <alignment horizontal="right"/>
    </xf>
    <xf numFmtId="0" fontId="11" fillId="0" borderId="6" xfId="0" applyFont="1" applyFill="1" applyBorder="1"/>
    <xf numFmtId="166" fontId="11" fillId="0" borderId="6" xfId="1" applyNumberFormat="1" applyFont="1" applyFill="1" applyBorder="1" applyAlignment="1">
      <alignment horizontal="right" wrapText="1"/>
    </xf>
    <xf numFmtId="0" fontId="12" fillId="0" borderId="6" xfId="0" applyFont="1" applyFill="1" applyBorder="1"/>
    <xf numFmtId="167" fontId="12" fillId="0" borderId="15" xfId="0" applyNumberFormat="1" applyFont="1" applyFill="1" applyBorder="1"/>
    <xf numFmtId="0" fontId="12" fillId="0" borderId="15" xfId="0" applyFont="1" applyFill="1" applyBorder="1"/>
    <xf numFmtId="38" fontId="11" fillId="0" borderId="6" xfId="0" applyNumberFormat="1" applyFont="1" applyFill="1" applyBorder="1"/>
    <xf numFmtId="165" fontId="12" fillId="0" borderId="6" xfId="0" applyNumberFormat="1" applyFont="1" applyFill="1" applyBorder="1" applyAlignment="1"/>
    <xf numFmtId="0" fontId="12" fillId="0" borderId="15" xfId="0" applyFont="1" applyFill="1" applyBorder="1" applyAlignment="1">
      <alignment horizontal="center"/>
    </xf>
    <xf numFmtId="167" fontId="11" fillId="0" borderId="15" xfId="0" applyNumberFormat="1" applyFont="1" applyFill="1" applyBorder="1" applyAlignment="1">
      <alignment horizontal="right"/>
    </xf>
    <xf numFmtId="167" fontId="12" fillId="0" borderId="6" xfId="0" applyNumberFormat="1" applyFont="1" applyFill="1" applyBorder="1"/>
    <xf numFmtId="0" fontId="12" fillId="0" borderId="18" xfId="0" applyFont="1" applyFill="1" applyBorder="1"/>
    <xf numFmtId="0" fontId="12" fillId="0" borderId="1" xfId="0" applyFont="1" applyFill="1" applyBorder="1"/>
    <xf numFmtId="38" fontId="11" fillId="0" borderId="1" xfId="0" applyNumberFormat="1" applyFont="1" applyFill="1" applyBorder="1"/>
    <xf numFmtId="165" fontId="12" fillId="0" borderId="1" xfId="0" applyNumberFormat="1" applyFont="1" applyFill="1" applyBorder="1" applyAlignment="1"/>
    <xf numFmtId="166" fontId="12" fillId="0" borderId="17" xfId="0" applyNumberFormat="1" applyFont="1" applyFill="1" applyBorder="1"/>
    <xf numFmtId="0" fontId="11" fillId="0" borderId="15" xfId="0" applyFont="1" applyFill="1" applyBorder="1"/>
    <xf numFmtId="169" fontId="11" fillId="0" borderId="14" xfId="1" applyNumberFormat="1" applyFont="1" applyFill="1" applyBorder="1" applyAlignment="1">
      <alignment horizontal="right"/>
    </xf>
    <xf numFmtId="170" fontId="12" fillId="0" borderId="14" xfId="1" applyNumberFormat="1" applyFont="1" applyFill="1" applyBorder="1" applyAlignment="1">
      <alignment horizontal="right"/>
    </xf>
    <xf numFmtId="0" fontId="11" fillId="0" borderId="14" xfId="0" applyFont="1" applyFill="1" applyBorder="1"/>
    <xf numFmtId="166" fontId="11" fillId="0" borderId="8" xfId="0" applyNumberFormat="1" applyFont="1" applyFill="1" applyBorder="1"/>
    <xf numFmtId="0" fontId="11" fillId="0" borderId="6" xfId="0" applyFont="1" applyFill="1" applyBorder="1" applyAlignment="1">
      <alignment wrapText="1" shrinkToFit="1"/>
    </xf>
    <xf numFmtId="167" fontId="11" fillId="0" borderId="6" xfId="0" quotePrefix="1" applyNumberFormat="1" applyFont="1" applyFill="1" applyBorder="1" applyAlignment="1">
      <alignment horizontal="center"/>
    </xf>
    <xf numFmtId="167" fontId="12" fillId="0" borderId="6" xfId="1" applyNumberFormat="1" applyFont="1" applyFill="1" applyBorder="1" applyAlignment="1">
      <alignment horizontal="right"/>
    </xf>
    <xf numFmtId="169" fontId="11" fillId="0" borderId="6" xfId="1" applyNumberFormat="1" applyFont="1" applyFill="1" applyBorder="1" applyAlignment="1">
      <alignment horizontal="right"/>
    </xf>
    <xf numFmtId="170" fontId="12" fillId="0" borderId="6" xfId="1" applyNumberFormat="1" applyFont="1" applyFill="1" applyBorder="1" applyAlignment="1">
      <alignment horizontal="right"/>
    </xf>
    <xf numFmtId="167" fontId="12" fillId="0" borderId="15" xfId="0" applyNumberFormat="1" applyFont="1" applyFill="1" applyBorder="1" applyAlignment="1">
      <alignment horizontal="right"/>
    </xf>
    <xf numFmtId="0" fontId="12" fillId="0" borderId="0" xfId="0" applyFont="1" applyFill="1" applyBorder="1"/>
    <xf numFmtId="38" fontId="11" fillId="0" borderId="0" xfId="0" applyNumberFormat="1" applyFont="1" applyFill="1" applyBorder="1" applyAlignment="1"/>
    <xf numFmtId="165" fontId="11" fillId="0" borderId="0" xfId="0" applyNumberFormat="1" applyFont="1" applyFill="1" applyBorder="1" applyAlignment="1"/>
    <xf numFmtId="166" fontId="12" fillId="0" borderId="1" xfId="0" applyNumberFormat="1" applyFont="1" applyFill="1" applyBorder="1" applyAlignment="1"/>
    <xf numFmtId="166" fontId="11" fillId="0" borderId="15" xfId="0" applyNumberFormat="1" applyFont="1" applyFill="1" applyBorder="1"/>
    <xf numFmtId="166" fontId="12" fillId="0" borderId="14" xfId="1" applyNumberFormat="1" applyFont="1" applyFill="1" applyBorder="1" applyAlignment="1">
      <alignment horizontal="right"/>
    </xf>
    <xf numFmtId="166" fontId="11" fillId="0" borderId="6" xfId="0" quotePrefix="1" applyNumberFormat="1" applyFont="1" applyFill="1" applyBorder="1" applyAlignment="1">
      <alignment horizontal="right"/>
    </xf>
    <xf numFmtId="166" fontId="12" fillId="0" borderId="6" xfId="0" applyNumberFormat="1" applyFont="1" applyFill="1" applyBorder="1" applyAlignment="1">
      <alignment horizontal="right"/>
    </xf>
    <xf numFmtId="0" fontId="17" fillId="0" borderId="0" xfId="0" applyFont="1" applyFill="1"/>
    <xf numFmtId="0" fontId="11" fillId="0" borderId="0" xfId="0" applyFont="1" applyFill="1" applyAlignment="1">
      <alignment horizontal="left" indent="1"/>
    </xf>
    <xf numFmtId="175" fontId="5" fillId="0" borderId="0" xfId="0" applyNumberFormat="1" applyFont="1" applyFill="1"/>
    <xf numFmtId="0" fontId="12" fillId="0" borderId="24" xfId="0" applyFont="1" applyFill="1" applyBorder="1" applyAlignment="1"/>
    <xf numFmtId="6" fontId="11" fillId="0" borderId="34" xfId="0" applyNumberFormat="1" applyFont="1" applyFill="1" applyBorder="1"/>
    <xf numFmtId="172" fontId="11" fillId="0" borderId="7" xfId="0" applyNumberFormat="1" applyFont="1" applyFill="1" applyBorder="1" applyAlignment="1">
      <alignment horizontal="center"/>
    </xf>
    <xf numFmtId="172" fontId="11" fillId="0" borderId="43" xfId="0" applyNumberFormat="1" applyFont="1" applyFill="1" applyBorder="1"/>
    <xf numFmtId="0" fontId="11" fillId="0" borderId="0" xfId="122" quotePrefix="1" applyNumberFormat="1" applyFont="1" applyFill="1" applyBorder="1" applyProtection="1">
      <alignment horizontal="left" vertical="center" indent="1"/>
      <protection locked="0"/>
    </xf>
    <xf numFmtId="6" fontId="5" fillId="0" borderId="0" xfId="0" applyNumberFormat="1" applyFont="1" applyFill="1" applyBorder="1" applyAlignment="1"/>
    <xf numFmtId="167" fontId="11" fillId="0" borderId="0" xfId="0" applyNumberFormat="1" applyFont="1" applyFill="1"/>
    <xf numFmtId="0" fontId="0" fillId="0" borderId="6" xfId="0" applyFill="1" applyBorder="1" applyAlignment="1">
      <alignment vertical="top" wrapText="1"/>
    </xf>
    <xf numFmtId="0" fontId="6" fillId="0" borderId="18" xfId="0" applyFont="1" applyFill="1" applyBorder="1"/>
    <xf numFmtId="0" fontId="5" fillId="0" borderId="1" xfId="0" applyFont="1" applyFill="1" applyBorder="1"/>
    <xf numFmtId="0" fontId="5" fillId="0" borderId="17" xfId="0" applyFont="1" applyFill="1" applyBorder="1"/>
    <xf numFmtId="0" fontId="6" fillId="0" borderId="16" xfId="0" applyFont="1" applyFill="1" applyBorder="1"/>
    <xf numFmtId="0" fontId="5" fillId="0" borderId="19" xfId="0" applyFont="1" applyFill="1" applyBorder="1"/>
    <xf numFmtId="0" fontId="5" fillId="0" borderId="16" xfId="0" applyFont="1" applyFill="1" applyBorder="1"/>
    <xf numFmtId="0" fontId="6" fillId="0" borderId="23" xfId="0" applyFont="1" applyFill="1" applyBorder="1"/>
    <xf numFmtId="0" fontId="7" fillId="0" borderId="6" xfId="0" applyFont="1" applyFill="1" applyBorder="1" applyAlignment="1">
      <alignment vertical="top"/>
    </xf>
    <xf numFmtId="0" fontId="0" fillId="0" borderId="13" xfId="0" applyFill="1" applyBorder="1"/>
    <xf numFmtId="0" fontId="6" fillId="0" borderId="23" xfId="0" applyFont="1" applyFill="1" applyBorder="1" applyAlignment="1">
      <alignment horizontal="center"/>
    </xf>
    <xf numFmtId="0" fontId="7" fillId="4" borderId="6" xfId="0" applyFont="1" applyFill="1" applyBorder="1" applyAlignment="1">
      <alignment vertical="top"/>
    </xf>
    <xf numFmtId="2" fontId="7" fillId="2" borderId="6" xfId="0" applyNumberFormat="1" applyFont="1" applyFill="1" applyBorder="1" applyAlignment="1">
      <alignment vertical="top"/>
    </xf>
    <xf numFmtId="167" fontId="7" fillId="2" borderId="6" xfId="0" applyNumberFormat="1" applyFont="1" applyFill="1" applyBorder="1" applyAlignment="1">
      <alignment horizontal="right" vertical="top"/>
    </xf>
    <xf numFmtId="0" fontId="5" fillId="0" borderId="6" xfId="0" applyFont="1" applyFill="1" applyBorder="1" applyAlignment="1">
      <alignment vertical="top" wrapText="1"/>
    </xf>
    <xf numFmtId="0" fontId="39" fillId="23" borderId="14" xfId="3" applyFont="1" applyFill="1" applyBorder="1" applyAlignment="1"/>
    <xf numFmtId="0" fontId="39" fillId="23" borderId="8" xfId="3" applyFont="1" applyFill="1" applyBorder="1" applyAlignment="1"/>
    <xf numFmtId="0" fontId="41" fillId="0" borderId="1" xfId="3" applyFont="1" applyFill="1" applyBorder="1" applyAlignment="1">
      <alignment horizontal="center" vertical="center"/>
    </xf>
    <xf numFmtId="0" fontId="41" fillId="0" borderId="0" xfId="3" applyFont="1" applyFill="1"/>
    <xf numFmtId="0" fontId="40" fillId="0" borderId="2" xfId="3" applyFont="1" applyFill="1" applyBorder="1" applyAlignment="1">
      <alignment horizontal="center"/>
    </xf>
    <xf numFmtId="0" fontId="40" fillId="0" borderId="22" xfId="3" applyFont="1" applyFill="1" applyBorder="1" applyAlignment="1">
      <alignment horizontal="center"/>
    </xf>
    <xf numFmtId="0" fontId="40" fillId="0" borderId="2" xfId="3" applyFont="1" applyFill="1" applyBorder="1" applyAlignment="1">
      <alignment horizontal="center" vertical="center" wrapText="1"/>
    </xf>
    <xf numFmtId="6" fontId="41" fillId="0" borderId="14" xfId="3" applyNumberFormat="1" applyFont="1" applyFill="1" applyBorder="1"/>
    <xf numFmtId="0" fontId="40" fillId="0" borderId="14" xfId="3" applyFont="1" applyFill="1" applyBorder="1" applyAlignment="1">
      <alignment horizontal="center" wrapText="1"/>
    </xf>
    <xf numFmtId="0" fontId="41" fillId="0" borderId="0" xfId="3" applyFont="1" applyFill="1" applyBorder="1"/>
    <xf numFmtId="6" fontId="41" fillId="0" borderId="0" xfId="3" applyNumberFormat="1" applyFont="1" applyFill="1" applyBorder="1"/>
    <xf numFmtId="0" fontId="39" fillId="23" borderId="15" xfId="3" applyFont="1" applyFill="1" applyBorder="1"/>
    <xf numFmtId="0" fontId="41" fillId="0" borderId="0" xfId="3" applyFont="1" applyBorder="1"/>
    <xf numFmtId="0" fontId="41" fillId="46" borderId="0" xfId="3" applyFont="1" applyFill="1" applyBorder="1"/>
    <xf numFmtId="6" fontId="41" fillId="46" borderId="0" xfId="3" applyNumberFormat="1" applyFont="1" applyFill="1" applyBorder="1"/>
    <xf numFmtId="0" fontId="41" fillId="0" borderId="2" xfId="3" applyFont="1" applyBorder="1"/>
    <xf numFmtId="6" fontId="41" fillId="0" borderId="2" xfId="3" applyNumberFormat="1" applyFont="1" applyFill="1" applyBorder="1"/>
    <xf numFmtId="0" fontId="40" fillId="0" borderId="16" xfId="3" applyFont="1" applyFill="1" applyBorder="1"/>
    <xf numFmtId="6" fontId="41" fillId="48" borderId="0" xfId="3" applyNumberFormat="1" applyFont="1" applyFill="1" applyBorder="1"/>
    <xf numFmtId="0" fontId="41" fillId="49" borderId="14" xfId="3" applyFont="1" applyFill="1" applyBorder="1"/>
    <xf numFmtId="0" fontId="41" fillId="0" borderId="0" xfId="3" applyFont="1"/>
    <xf numFmtId="0" fontId="41" fillId="0" borderId="1" xfId="3" applyFont="1" applyFill="1" applyBorder="1"/>
    <xf numFmtId="0" fontId="43" fillId="0" borderId="0" xfId="3" applyFont="1" applyFill="1" applyBorder="1"/>
    <xf numFmtId="6" fontId="40" fillId="0" borderId="0" xfId="3" applyNumberFormat="1" applyFont="1" applyFill="1" applyBorder="1"/>
    <xf numFmtId="0" fontId="41" fillId="0" borderId="0" xfId="3" quotePrefix="1" applyFont="1" applyFill="1" applyBorder="1" applyAlignment="1">
      <alignment vertical="top"/>
    </xf>
    <xf numFmtId="176" fontId="41" fillId="0" borderId="0" xfId="135" applyNumberFormat="1" applyFont="1" applyFill="1" applyBorder="1"/>
    <xf numFmtId="176" fontId="41" fillId="0" borderId="0" xfId="135" applyNumberFormat="1" applyFont="1" applyBorder="1"/>
    <xf numFmtId="176" fontId="41" fillId="0" borderId="0" xfId="3" applyNumberFormat="1" applyFont="1" applyBorder="1"/>
    <xf numFmtId="6" fontId="41" fillId="0" borderId="22" xfId="3" applyNumberFormat="1" applyFont="1" applyFill="1" applyBorder="1"/>
    <xf numFmtId="6" fontId="42" fillId="0" borderId="0" xfId="3" applyNumberFormat="1" applyFont="1" applyFill="1" applyBorder="1"/>
    <xf numFmtId="176" fontId="41" fillId="50" borderId="14" xfId="3" applyNumberFormat="1" applyFont="1" applyFill="1" applyBorder="1"/>
    <xf numFmtId="176" fontId="41" fillId="0" borderId="0" xfId="3" applyNumberFormat="1" applyFont="1" applyFill="1" applyBorder="1"/>
    <xf numFmtId="176" fontId="41" fillId="23" borderId="14" xfId="3" applyNumberFormat="1" applyFont="1" applyFill="1" applyBorder="1"/>
    <xf numFmtId="0" fontId="41" fillId="23" borderId="0" xfId="3" applyFont="1" applyFill="1" applyBorder="1"/>
    <xf numFmtId="0" fontId="39" fillId="0" borderId="15" xfId="3" applyFont="1" applyFill="1" applyBorder="1" applyAlignment="1">
      <alignment wrapText="1"/>
    </xf>
    <xf numFmtId="0" fontId="40" fillId="0" borderId="8" xfId="3" applyFont="1" applyFill="1" applyBorder="1" applyAlignment="1">
      <alignment horizontal="center" wrapText="1"/>
    </xf>
    <xf numFmtId="0" fontId="41" fillId="0" borderId="16" xfId="3" applyFont="1" applyFill="1" applyBorder="1" applyAlignment="1">
      <alignment horizontal="left" indent="2"/>
    </xf>
    <xf numFmtId="44" fontId="41" fillId="0" borderId="0" xfId="135" applyFont="1" applyFill="1" applyBorder="1"/>
    <xf numFmtId="6" fontId="41" fillId="0" borderId="19" xfId="3" applyNumberFormat="1" applyFont="1" applyFill="1" applyBorder="1"/>
    <xf numFmtId="0" fontId="41" fillId="0" borderId="16" xfId="3" applyFont="1" applyBorder="1"/>
    <xf numFmtId="0" fontId="39" fillId="0" borderId="16" xfId="3" applyFont="1" applyBorder="1"/>
    <xf numFmtId="0" fontId="41" fillId="0" borderId="16" xfId="3" applyFont="1" applyBorder="1" applyAlignment="1">
      <alignment horizontal="left" indent="2"/>
    </xf>
    <xf numFmtId="6" fontId="41" fillId="46" borderId="19" xfId="3" applyNumberFormat="1" applyFont="1" applyFill="1" applyBorder="1"/>
    <xf numFmtId="0" fontId="40" fillId="0" borderId="16" xfId="3" applyFont="1" applyBorder="1"/>
    <xf numFmtId="0" fontId="40" fillId="0" borderId="21" xfId="3" applyFont="1" applyFill="1" applyBorder="1" applyAlignment="1">
      <alignment wrapText="1"/>
    </xf>
    <xf numFmtId="0" fontId="41" fillId="0" borderId="16" xfId="3" applyFont="1" applyFill="1" applyBorder="1" applyAlignment="1">
      <alignment horizontal="left" wrapText="1" indent="2"/>
    </xf>
    <xf numFmtId="0" fontId="40" fillId="0" borderId="16" xfId="3" applyFont="1" applyFill="1" applyBorder="1" applyAlignment="1">
      <alignment wrapText="1"/>
    </xf>
    <xf numFmtId="6" fontId="41" fillId="48" borderId="19" xfId="3" applyNumberFormat="1" applyFont="1" applyFill="1" applyBorder="1" applyAlignment="1">
      <alignment vertical="center"/>
    </xf>
    <xf numFmtId="6" fontId="41" fillId="48" borderId="19" xfId="3" applyNumberFormat="1" applyFont="1" applyFill="1" applyBorder="1"/>
    <xf numFmtId="0" fontId="39" fillId="49" borderId="15" xfId="3" applyFont="1" applyFill="1" applyBorder="1"/>
    <xf numFmtId="0" fontId="41" fillId="0" borderId="16" xfId="3" applyFont="1" applyFill="1" applyBorder="1"/>
    <xf numFmtId="0" fontId="39" fillId="0" borderId="21" xfId="3" applyFont="1" applyFill="1" applyBorder="1"/>
    <xf numFmtId="0" fontId="41" fillId="0" borderId="19" xfId="3" applyFont="1" applyBorder="1"/>
    <xf numFmtId="0" fontId="41" fillId="23" borderId="8" xfId="3" applyFont="1" applyFill="1" applyBorder="1"/>
    <xf numFmtId="0" fontId="40" fillId="0" borderId="18" xfId="3" applyFont="1" applyFill="1" applyBorder="1"/>
    <xf numFmtId="0" fontId="41" fillId="0" borderId="17" xfId="3" applyFont="1" applyFill="1" applyBorder="1"/>
    <xf numFmtId="0" fontId="12" fillId="0" borderId="6" xfId="0" applyFont="1" applyFill="1" applyBorder="1" applyAlignment="1">
      <alignment horizontal="center"/>
    </xf>
    <xf numFmtId="0" fontId="41" fillId="0" borderId="0" xfId="3" quotePrefix="1" applyFont="1" applyBorder="1"/>
    <xf numFmtId="176" fontId="41" fillId="0" borderId="2" xfId="3" applyNumberFormat="1" applyFont="1" applyFill="1" applyBorder="1"/>
    <xf numFmtId="0" fontId="9" fillId="0" borderId="0" xfId="0" applyFont="1" applyFill="1" applyBorder="1" applyAlignment="1">
      <alignment horizontal="center"/>
    </xf>
    <xf numFmtId="6" fontId="41" fillId="47" borderId="0" xfId="3" applyNumberFormat="1" applyFont="1" applyFill="1" applyBorder="1" applyAlignment="1">
      <alignment horizontal="center"/>
    </xf>
    <xf numFmtId="176" fontId="44" fillId="0" borderId="0" xfId="135" applyNumberFormat="1" applyFont="1" applyFill="1" applyBorder="1"/>
    <xf numFmtId="176" fontId="44" fillId="0" borderId="0" xfId="3" applyNumberFormat="1" applyFont="1" applyFill="1" applyBorder="1"/>
    <xf numFmtId="176" fontId="44" fillId="0" borderId="0" xfId="135" applyNumberFormat="1" applyFont="1" applyBorder="1"/>
    <xf numFmtId="176" fontId="44" fillId="0" borderId="0" xfId="3" applyNumberFormat="1" applyFont="1" applyBorder="1"/>
    <xf numFmtId="0" fontId="45" fillId="0" borderId="0" xfId="0" applyFont="1" applyAlignment="1">
      <alignment horizontal="left" vertical="center" indent="4"/>
    </xf>
    <xf numFmtId="176" fontId="40" fillId="23" borderId="14" xfId="3" applyNumberFormat="1" applyFont="1" applyFill="1" applyBorder="1"/>
    <xf numFmtId="176" fontId="41" fillId="0" borderId="6" xfId="3" applyNumberFormat="1" applyFont="1" applyFill="1" applyBorder="1"/>
    <xf numFmtId="176" fontId="40" fillId="49" borderId="8" xfId="3" applyNumberFormat="1" applyFont="1" applyFill="1" applyBorder="1"/>
    <xf numFmtId="176" fontId="40" fillId="23" borderId="8" xfId="3" applyNumberFormat="1" applyFont="1" applyFill="1" applyBorder="1"/>
    <xf numFmtId="0" fontId="46" fillId="0" borderId="0" xfId="0" applyFont="1" applyFill="1" applyBorder="1"/>
    <xf numFmtId="167" fontId="11" fillId="0" borderId="6" xfId="0" applyNumberFormat="1" applyFont="1" applyFill="1" applyBorder="1" applyAlignment="1">
      <alignment wrapText="1"/>
    </xf>
    <xf numFmtId="0" fontId="40" fillId="0" borderId="13" xfId="3" applyFont="1" applyFill="1" applyBorder="1" applyAlignment="1"/>
    <xf numFmtId="167" fontId="47" fillId="0" borderId="6" xfId="0" applyNumberFormat="1" applyFont="1" applyFill="1" applyBorder="1" applyAlignment="1">
      <alignment horizontal="right" wrapText="1"/>
    </xf>
    <xf numFmtId="166" fontId="47" fillId="0" borderId="6" xfId="0" applyNumberFormat="1" applyFont="1" applyFill="1" applyBorder="1" applyAlignment="1">
      <alignment horizontal="right" wrapText="1"/>
    </xf>
    <xf numFmtId="175" fontId="5" fillId="0" borderId="0" xfId="0" applyNumberFormat="1" applyFont="1" applyFill="1" applyBorder="1"/>
    <xf numFmtId="6" fontId="41" fillId="47" borderId="0" xfId="3" applyNumberFormat="1" applyFont="1" applyFill="1" applyBorder="1" applyAlignment="1">
      <alignment horizontal="center"/>
    </xf>
    <xf numFmtId="0" fontId="41" fillId="0" borderId="2" xfId="3" applyFont="1" applyFill="1" applyBorder="1"/>
    <xf numFmtId="6" fontId="5" fillId="0" borderId="0" xfId="0" applyNumberFormat="1" applyFont="1"/>
    <xf numFmtId="0" fontId="2" fillId="0" borderId="0" xfId="137" applyFont="1"/>
    <xf numFmtId="0" fontId="1" fillId="0" borderId="0" xfId="137"/>
    <xf numFmtId="0" fontId="1" fillId="0" borderId="0" xfId="137" applyFill="1"/>
    <xf numFmtId="0" fontId="50" fillId="0" borderId="0" xfId="137" applyFont="1" applyAlignment="1">
      <alignment wrapText="1"/>
    </xf>
    <xf numFmtId="0" fontId="10" fillId="0" borderId="0" xfId="137" applyFont="1" applyAlignment="1">
      <alignment wrapText="1"/>
    </xf>
    <xf numFmtId="0" fontId="10" fillId="0" borderId="9" xfId="137" applyFont="1" applyBorder="1" applyAlignment="1">
      <alignment vertical="top" wrapText="1"/>
    </xf>
    <xf numFmtId="0" fontId="10" fillId="0" borderId="9" xfId="137" applyFont="1" applyFill="1" applyBorder="1" applyAlignment="1">
      <alignment vertical="top" wrapText="1"/>
    </xf>
    <xf numFmtId="0" fontId="10" fillId="0" borderId="0" xfId="137" applyFont="1"/>
    <xf numFmtId="0" fontId="50" fillId="0" borderId="0" xfId="137" applyFont="1"/>
    <xf numFmtId="0" fontId="10" fillId="0" borderId="23" xfId="137" applyFont="1" applyBorder="1" applyAlignment="1">
      <alignment vertical="top"/>
    </xf>
    <xf numFmtId="14" fontId="10" fillId="0" borderId="23" xfId="137" applyNumberFormat="1" applyFont="1" applyBorder="1" applyAlignment="1">
      <alignment vertical="top"/>
    </xf>
    <xf numFmtId="0" fontId="11" fillId="0" borderId="12" xfId="0" applyNumberFormat="1" applyFont="1" applyBorder="1" applyAlignment="1">
      <alignment horizontal="left" vertical="top" wrapText="1"/>
    </xf>
    <xf numFmtId="0" fontId="10" fillId="0" borderId="6" xfId="137" applyFont="1" applyBorder="1" applyAlignment="1">
      <alignment vertical="top" wrapText="1"/>
    </xf>
    <xf numFmtId="14" fontId="10" fillId="0" borderId="6" xfId="137" applyNumberFormat="1" applyFont="1" applyBorder="1" applyAlignment="1">
      <alignment vertical="top"/>
    </xf>
    <xf numFmtId="14" fontId="10" fillId="0" borderId="23" xfId="137" applyNumberFormat="1" applyFont="1" applyFill="1" applyBorder="1" applyAlignment="1">
      <alignment vertical="top"/>
    </xf>
    <xf numFmtId="0" fontId="11" fillId="0" borderId="12" xfId="0" applyNumberFormat="1" applyFont="1" applyFill="1" applyBorder="1" applyAlignment="1">
      <alignment horizontal="left" vertical="top" wrapText="1"/>
    </xf>
    <xf numFmtId="0" fontId="10" fillId="0" borderId="23" xfId="137" applyFont="1" applyFill="1" applyBorder="1" applyAlignment="1">
      <alignment vertical="top" wrapText="1"/>
    </xf>
    <xf numFmtId="0" fontId="10" fillId="0" borderId="6" xfId="137" applyFont="1" applyFill="1" applyBorder="1"/>
    <xf numFmtId="0" fontId="10" fillId="0" borderId="12" xfId="137" applyFont="1" applyFill="1" applyBorder="1"/>
    <xf numFmtId="0" fontId="50" fillId="0" borderId="0" xfId="137" applyFont="1" applyAlignment="1">
      <alignment wrapText="1"/>
    </xf>
    <xf numFmtId="166" fontId="12" fillId="0" borderId="6" xfId="0" applyNumberFormat="1" applyFont="1" applyFill="1" applyBorder="1" applyAlignment="1">
      <alignment horizontal="right" wrapText="1"/>
    </xf>
    <xf numFmtId="167" fontId="11" fillId="0" borderId="15" xfId="0" applyNumberFormat="1" applyFont="1" applyFill="1" applyBorder="1"/>
    <xf numFmtId="0" fontId="11" fillId="0" borderId="38" xfId="0" applyNumberFormat="1" applyFont="1" applyFill="1" applyBorder="1" applyAlignment="1">
      <alignment horizontal="left" wrapText="1"/>
    </xf>
    <xf numFmtId="0" fontId="11" fillId="0" borderId="9" xfId="137" applyFont="1" applyFill="1" applyBorder="1" applyAlignment="1">
      <alignment vertical="top" wrapText="1"/>
    </xf>
    <xf numFmtId="0" fontId="11" fillId="0" borderId="23" xfId="137" applyFont="1" applyFill="1" applyBorder="1" applyAlignment="1">
      <alignment vertical="top" wrapText="1"/>
    </xf>
    <xf numFmtId="14" fontId="11" fillId="0" borderId="23" xfId="137" applyNumberFormat="1" applyFont="1" applyFill="1" applyBorder="1" applyAlignment="1">
      <alignment vertical="top"/>
    </xf>
    <xf numFmtId="0" fontId="49" fillId="0" borderId="0" xfId="0" applyFont="1" applyFill="1" applyBorder="1"/>
    <xf numFmtId="6" fontId="41" fillId="51" borderId="0" xfId="3" applyNumberFormat="1" applyFont="1" applyFill="1" applyBorder="1"/>
    <xf numFmtId="6" fontId="54" fillId="0" borderId="14" xfId="3" applyNumberFormat="1" applyFont="1" applyFill="1" applyBorder="1"/>
    <xf numFmtId="171" fontId="12" fillId="0" borderId="28" xfId="0" applyNumberFormat="1" applyFont="1" applyFill="1" applyBorder="1" applyAlignment="1">
      <alignment horizontal="center" wrapText="1"/>
    </xf>
    <xf numFmtId="0" fontId="40" fillId="0" borderId="21" xfId="3" applyFont="1" applyFill="1" applyBorder="1" applyAlignment="1"/>
    <xf numFmtId="176" fontId="41" fillId="0" borderId="21" xfId="3" applyNumberFormat="1" applyFont="1" applyFill="1" applyBorder="1"/>
    <xf numFmtId="0" fontId="39" fillId="0" borderId="6" xfId="3" applyFont="1" applyFill="1" applyBorder="1" applyAlignment="1">
      <alignment wrapText="1"/>
    </xf>
    <xf numFmtId="176" fontId="41" fillId="0" borderId="20" xfId="135" applyNumberFormat="1" applyFont="1" applyFill="1" applyBorder="1"/>
    <xf numFmtId="0" fontId="39" fillId="23" borderId="6" xfId="3" applyFont="1" applyFill="1" applyBorder="1"/>
    <xf numFmtId="0" fontId="41" fillId="46" borderId="20" xfId="3" applyFont="1" applyFill="1" applyBorder="1"/>
    <xf numFmtId="0" fontId="40" fillId="0" borderId="23" xfId="3" applyFont="1" applyFill="1" applyBorder="1" applyAlignment="1">
      <alignment wrapText="1"/>
    </xf>
    <xf numFmtId="0" fontId="40" fillId="0" borderId="20" xfId="3" applyFont="1" applyFill="1" applyBorder="1"/>
    <xf numFmtId="176" fontId="41" fillId="0" borderId="23" xfId="3" applyNumberFormat="1" applyFont="1" applyFill="1" applyBorder="1"/>
    <xf numFmtId="176" fontId="44" fillId="0" borderId="20" xfId="135" applyNumberFormat="1" applyFont="1" applyFill="1" applyBorder="1"/>
    <xf numFmtId="0" fontId="40" fillId="0" borderId="20" xfId="3" applyFont="1" applyFill="1" applyBorder="1" applyAlignment="1">
      <alignment wrapText="1"/>
    </xf>
    <xf numFmtId="0" fontId="41" fillId="0" borderId="20" xfId="3" applyFont="1" applyFill="1" applyBorder="1" applyAlignment="1">
      <alignment horizontal="left" indent="2"/>
    </xf>
    <xf numFmtId="176" fontId="41" fillId="50" borderId="6" xfId="3" applyNumberFormat="1" applyFont="1" applyFill="1" applyBorder="1"/>
    <xf numFmtId="0" fontId="41" fillId="0" borderId="20" xfId="3" applyFont="1" applyFill="1" applyBorder="1"/>
    <xf numFmtId="0" fontId="39" fillId="0" borderId="23" xfId="3" applyFont="1" applyFill="1" applyBorder="1"/>
    <xf numFmtId="176" fontId="41" fillId="23" borderId="6" xfId="3" applyNumberFormat="1" applyFont="1" applyFill="1" applyBorder="1"/>
    <xf numFmtId="0" fontId="40" fillId="0" borderId="13" xfId="3" applyFont="1" applyFill="1" applyBorder="1"/>
    <xf numFmtId="6" fontId="54" fillId="0" borderId="23" xfId="3" applyNumberFormat="1" applyFont="1" applyFill="1" applyBorder="1"/>
    <xf numFmtId="6" fontId="54" fillId="0" borderId="2" xfId="3" applyNumberFormat="1" applyFont="1" applyFill="1" applyBorder="1"/>
    <xf numFmtId="6" fontId="54" fillId="0" borderId="13" xfId="3" applyNumberFormat="1" applyFont="1" applyFill="1" applyBorder="1"/>
    <xf numFmtId="6" fontId="54" fillId="0" borderId="1" xfId="3" applyNumberFormat="1" applyFont="1" applyFill="1" applyBorder="1"/>
    <xf numFmtId="176" fontId="41" fillId="0" borderId="22" xfId="3" applyNumberFormat="1" applyFont="1" applyFill="1" applyBorder="1"/>
    <xf numFmtId="3" fontId="41" fillId="0" borderId="1" xfId="3" applyNumberFormat="1" applyFont="1" applyFill="1" applyBorder="1"/>
    <xf numFmtId="3" fontId="41" fillId="0" borderId="2" xfId="3" applyNumberFormat="1" applyFont="1" applyFill="1" applyBorder="1"/>
    <xf numFmtId="3" fontId="41" fillId="0" borderId="0" xfId="3" applyNumberFormat="1" applyFont="1" applyFill="1" applyBorder="1"/>
    <xf numFmtId="3" fontId="40" fillId="23" borderId="14" xfId="3" applyNumberFormat="1" applyFont="1" applyFill="1" applyBorder="1"/>
    <xf numFmtId="3" fontId="41" fillId="46" borderId="0" xfId="3" applyNumberFormat="1" applyFont="1" applyFill="1" applyBorder="1"/>
    <xf numFmtId="3" fontId="41" fillId="47" borderId="0" xfId="3" applyNumberFormat="1" applyFont="1" applyFill="1" applyBorder="1" applyAlignment="1">
      <alignment horizontal="center"/>
    </xf>
    <xf numFmtId="3" fontId="40" fillId="0" borderId="0" xfId="3" applyNumberFormat="1" applyFont="1" applyFill="1" applyBorder="1"/>
    <xf numFmtId="0" fontId="12" fillId="0" borderId="6" xfId="0" applyFont="1" applyFill="1" applyBorder="1" applyAlignment="1">
      <alignment horizontal="center"/>
    </xf>
    <xf numFmtId="6" fontId="41" fillId="47" borderId="0" xfId="3" applyNumberFormat="1" applyFont="1" applyFill="1" applyBorder="1" applyAlignment="1">
      <alignment horizontal="center"/>
    </xf>
    <xf numFmtId="167" fontId="11" fillId="0" borderId="6" xfId="0" quotePrefix="1" applyNumberFormat="1" applyFont="1" applyFill="1" applyBorder="1" applyAlignment="1">
      <alignment horizontal="right"/>
    </xf>
    <xf numFmtId="167" fontId="12" fillId="0" borderId="6" xfId="1" applyNumberFormat="1" applyFont="1" applyFill="1" applyBorder="1" applyAlignment="1">
      <alignment horizontal="right" wrapText="1"/>
    </xf>
    <xf numFmtId="167" fontId="12" fillId="0" borderId="6" xfId="0" quotePrefix="1" applyNumberFormat="1" applyFont="1" applyFill="1" applyBorder="1" applyAlignment="1">
      <alignment horizontal="right"/>
    </xf>
    <xf numFmtId="0" fontId="53" fillId="0" borderId="0" xfId="3" applyFont="1" applyFill="1"/>
    <xf numFmtId="43" fontId="11" fillId="0" borderId="0" xfId="1" applyFont="1" applyFill="1" applyBorder="1"/>
    <xf numFmtId="43" fontId="11" fillId="0" borderId="20" xfId="1" applyFont="1" applyFill="1" applyBorder="1"/>
    <xf numFmtId="43" fontId="11" fillId="0" borderId="23" xfId="1" applyFont="1" applyFill="1" applyBorder="1"/>
    <xf numFmtId="0" fontId="6" fillId="0" borderId="27" xfId="0" applyFont="1" applyFill="1" applyBorder="1"/>
    <xf numFmtId="0" fontId="6" fillId="0" borderId="0" xfId="0" applyFont="1" applyFill="1" applyBorder="1"/>
    <xf numFmtId="0" fontId="6" fillId="0" borderId="51" xfId="0" applyFont="1" applyFill="1" applyBorder="1" applyAlignment="1">
      <alignment horizontal="center"/>
    </xf>
    <xf numFmtId="0" fontId="5" fillId="0" borderId="3" xfId="0" applyFont="1" applyFill="1" applyBorder="1" applyAlignment="1">
      <alignment horizontal="left" indent="1"/>
    </xf>
    <xf numFmtId="0" fontId="5" fillId="0" borderId="3" xfId="0" applyFont="1" applyFill="1" applyBorder="1"/>
    <xf numFmtId="0" fontId="11" fillId="0" borderId="3" xfId="0" applyFont="1" applyFill="1" applyBorder="1" applyAlignment="1">
      <alignment wrapText="1"/>
    </xf>
    <xf numFmtId="0" fontId="11" fillId="0" borderId="3" xfId="0" applyFont="1" applyFill="1" applyBorder="1" applyAlignment="1">
      <alignment horizontal="left" wrapText="1" indent="1"/>
    </xf>
    <xf numFmtId="0" fontId="11" fillId="0" borderId="51" xfId="0" applyFont="1" applyFill="1" applyBorder="1" applyAlignment="1">
      <alignment horizontal="left" wrapText="1" indent="1"/>
    </xf>
    <xf numFmtId="0" fontId="6" fillId="0" borderId="52" xfId="0" applyFont="1" applyFill="1" applyBorder="1"/>
    <xf numFmtId="0" fontId="6" fillId="0" borderId="53" xfId="0" applyFont="1" applyFill="1" applyBorder="1"/>
    <xf numFmtId="0" fontId="6" fillId="0" borderId="38" xfId="0" applyFont="1" applyFill="1" applyBorder="1"/>
    <xf numFmtId="171" fontId="12" fillId="0" borderId="6" xfId="0" applyNumberFormat="1" applyFont="1" applyFill="1" applyBorder="1" applyAlignment="1">
      <alignment horizontal="center" wrapText="1"/>
    </xf>
    <xf numFmtId="0" fontId="6" fillId="0" borderId="20" xfId="0" applyFont="1" applyFill="1" applyBorder="1"/>
    <xf numFmtId="6" fontId="5" fillId="0" borderId="20" xfId="0" applyNumberFormat="1" applyFont="1" applyFill="1" applyBorder="1"/>
    <xf numFmtId="6" fontId="5" fillId="0" borderId="23" xfId="0" applyNumberFormat="1" applyFont="1" applyFill="1" applyBorder="1" applyAlignment="1">
      <alignment horizontal="right"/>
    </xf>
    <xf numFmtId="6" fontId="5" fillId="0" borderId="6" xfId="0" applyNumberFormat="1" applyFont="1" applyFill="1" applyBorder="1" applyAlignment="1">
      <alignment horizontal="right"/>
    </xf>
    <xf numFmtId="0" fontId="5" fillId="0" borderId="20" xfId="0" applyFont="1" applyFill="1" applyBorder="1"/>
    <xf numFmtId="0" fontId="6" fillId="0" borderId="37" xfId="0" applyFont="1" applyFill="1" applyBorder="1"/>
    <xf numFmtId="6" fontId="5" fillId="0" borderId="6" xfId="0" applyNumberFormat="1" applyFont="1" applyFill="1" applyBorder="1"/>
    <xf numFmtId="6" fontId="5" fillId="0" borderId="49" xfId="0" applyNumberFormat="1" applyFont="1" applyFill="1" applyBorder="1"/>
    <xf numFmtId="0" fontId="5" fillId="0" borderId="25" xfId="0" applyFont="1" applyFill="1" applyBorder="1"/>
    <xf numFmtId="6" fontId="5" fillId="0" borderId="4" xfId="0" applyNumberFormat="1" applyFont="1" applyFill="1" applyBorder="1"/>
    <xf numFmtId="6" fontId="5" fillId="0" borderId="31" xfId="0" applyNumberFormat="1" applyFont="1" applyFill="1" applyBorder="1"/>
    <xf numFmtId="0" fontId="6" fillId="0" borderId="6" xfId="0" applyFont="1" applyFill="1" applyBorder="1" applyAlignment="1">
      <alignment horizontal="center" wrapText="1"/>
    </xf>
    <xf numFmtId="0" fontId="5" fillId="0" borderId="13" xfId="0" applyFont="1" applyFill="1" applyBorder="1"/>
    <xf numFmtId="174" fontId="5" fillId="0" borderId="13" xfId="0" applyNumberFormat="1" applyFont="1" applyFill="1" applyBorder="1"/>
    <xf numFmtId="174" fontId="5" fillId="0" borderId="37" xfId="0" applyNumberFormat="1" applyFont="1" applyFill="1" applyBorder="1"/>
    <xf numFmtId="174" fontId="5" fillId="0" borderId="20" xfId="0" applyNumberFormat="1" applyFont="1" applyFill="1" applyBorder="1"/>
    <xf numFmtId="6" fontId="5" fillId="0" borderId="49" xfId="0" applyNumberFormat="1" applyFont="1" applyFill="1" applyBorder="1" applyAlignment="1">
      <alignment horizontal="right"/>
    </xf>
    <xf numFmtId="0" fontId="50" fillId="0" borderId="38" xfId="137" applyFont="1" applyBorder="1" applyAlignment="1">
      <alignment horizontal="center" vertical="center" wrapText="1"/>
    </xf>
    <xf numFmtId="0" fontId="50" fillId="0" borderId="36" xfId="137" applyFont="1" applyBorder="1" applyAlignment="1">
      <alignment horizontal="center" vertical="center"/>
    </xf>
    <xf numFmtId="0" fontId="50" fillId="0" borderId="49" xfId="137" applyFont="1" applyBorder="1" applyAlignment="1">
      <alignment horizontal="center" vertical="center"/>
    </xf>
    <xf numFmtId="0" fontId="50" fillId="0" borderId="43" xfId="137" applyFont="1" applyBorder="1" applyAlignment="1">
      <alignment horizontal="center" vertical="center"/>
    </xf>
    <xf numFmtId="0" fontId="2" fillId="0" borderId="0" xfId="137" applyFont="1" applyAlignment="1">
      <alignment horizontal="center" vertical="center"/>
    </xf>
    <xf numFmtId="0" fontId="57" fillId="0" borderId="0" xfId="137" applyFont="1" applyFill="1"/>
    <xf numFmtId="176" fontId="57" fillId="0" borderId="0" xfId="135" applyNumberFormat="1" applyFont="1" applyFill="1" applyBorder="1"/>
    <xf numFmtId="6" fontId="57" fillId="0" borderId="0" xfId="0" applyNumberFormat="1" applyFont="1" applyFill="1" applyBorder="1" applyAlignment="1">
      <alignment horizontal="right"/>
    </xf>
    <xf numFmtId="6" fontId="57" fillId="0" borderId="0" xfId="0" applyNumberFormat="1" applyFont="1" applyFill="1" applyBorder="1"/>
    <xf numFmtId="0" fontId="57" fillId="0" borderId="0" xfId="0" applyFont="1" applyFill="1" applyBorder="1"/>
    <xf numFmtId="0" fontId="5" fillId="0" borderId="0" xfId="137" applyFont="1"/>
    <xf numFmtId="166" fontId="9" fillId="0" borderId="50" xfId="138" applyNumberFormat="1" applyFont="1" applyFill="1" applyBorder="1" applyAlignment="1" applyProtection="1">
      <alignment vertical="center"/>
    </xf>
    <xf numFmtId="3" fontId="0" fillId="0" borderId="0" xfId="0" applyNumberFormat="1" applyFont="1" applyFill="1"/>
    <xf numFmtId="43" fontId="11" fillId="0" borderId="0" xfId="1" applyFont="1" applyFill="1" applyBorder="1" applyAlignment="1">
      <alignment horizontal="right"/>
    </xf>
    <xf numFmtId="0" fontId="5" fillId="0" borderId="0" xfId="0" applyFont="1" applyFill="1" applyAlignment="1">
      <alignment wrapText="1"/>
    </xf>
    <xf numFmtId="0" fontId="6" fillId="0" borderId="6" xfId="0" applyFont="1" applyFill="1" applyBorder="1" applyAlignment="1">
      <alignment horizontal="center"/>
    </xf>
    <xf numFmtId="0" fontId="0" fillId="0" borderId="0" xfId="0" applyFill="1" applyAlignment="1">
      <alignment wrapText="1"/>
    </xf>
    <xf numFmtId="176" fontId="41" fillId="0" borderId="0" xfId="135" applyNumberFormat="1" applyFont="1" applyFill="1"/>
    <xf numFmtId="0" fontId="0" fillId="0" borderId="0" xfId="0" applyFill="1"/>
    <xf numFmtId="0" fontId="7" fillId="0" borderId="6" xfId="0" applyFont="1" applyFill="1" applyBorder="1" applyAlignment="1">
      <alignment vertical="top" wrapText="1"/>
    </xf>
    <xf numFmtId="2" fontId="7" fillId="45" borderId="6" xfId="0" applyNumberFormat="1" applyFont="1" applyFill="1" applyBorder="1" applyAlignment="1">
      <alignment horizontal="right" vertical="top" wrapText="1"/>
    </xf>
    <xf numFmtId="0" fontId="0" fillId="52" borderId="0" xfId="0" applyFill="1" applyAlignment="1">
      <alignment wrapText="1"/>
    </xf>
    <xf numFmtId="2" fontId="7" fillId="2" borderId="6" xfId="0" applyNumberFormat="1" applyFont="1" applyFill="1" applyBorder="1" applyAlignment="1">
      <alignment horizontal="right" vertical="top" wrapText="1"/>
    </xf>
    <xf numFmtId="0" fontId="5" fillId="0" borderId="17" xfId="0" applyFont="1" applyFill="1" applyBorder="1" applyAlignment="1">
      <alignment wrapText="1"/>
    </xf>
    <xf numFmtId="0" fontId="5" fillId="0" borderId="19" xfId="0" applyFont="1" applyFill="1" applyBorder="1" applyAlignment="1">
      <alignment wrapText="1"/>
    </xf>
    <xf numFmtId="0" fontId="0" fillId="0" borderId="13" xfId="0" applyFill="1" applyBorder="1" applyAlignment="1">
      <alignment wrapText="1"/>
    </xf>
    <xf numFmtId="0" fontId="6" fillId="0" borderId="23" xfId="0" applyFont="1" applyFill="1" applyBorder="1" applyAlignment="1">
      <alignment horizontal="center" wrapText="1"/>
    </xf>
    <xf numFmtId="166" fontId="57" fillId="0" borderId="6" xfId="0" applyNumberFormat="1" applyFont="1" applyFill="1" applyBorder="1"/>
    <xf numFmtId="171" fontId="5" fillId="0" borderId="35" xfId="0" applyNumberFormat="1" applyFont="1" applyFill="1" applyBorder="1"/>
    <xf numFmtId="3" fontId="0" fillId="0" borderId="0" xfId="0" applyNumberFormat="1" applyFont="1"/>
    <xf numFmtId="0" fontId="58" fillId="0" borderId="2" xfId="0" applyFont="1" applyFill="1" applyBorder="1"/>
    <xf numFmtId="0" fontId="10" fillId="0" borderId="8" xfId="137" applyFont="1" applyFill="1" applyBorder="1"/>
    <xf numFmtId="0" fontId="10" fillId="0" borderId="24" xfId="137" applyFont="1" applyFill="1" applyBorder="1" applyAlignment="1">
      <alignment vertical="top" wrapText="1"/>
    </xf>
    <xf numFmtId="0" fontId="50" fillId="0" borderId="54" xfId="137" applyFont="1" applyFill="1" applyBorder="1" applyAlignment="1">
      <alignment wrapText="1"/>
    </xf>
    <xf numFmtId="0" fontId="59" fillId="0" borderId="34" xfId="0" applyFont="1" applyFill="1" applyBorder="1" applyAlignment="1">
      <alignment vertical="center"/>
    </xf>
    <xf numFmtId="0" fontId="5" fillId="0" borderId="0" xfId="0" applyFont="1" applyFill="1" applyAlignment="1">
      <alignment vertical="center"/>
    </xf>
    <xf numFmtId="0" fontId="12" fillId="0" borderId="6" xfId="0" applyFont="1" applyFill="1" applyBorder="1" applyAlignment="1">
      <alignment horizontal="center"/>
    </xf>
    <xf numFmtId="8" fontId="10" fillId="0" borderId="23" xfId="137" applyNumberFormat="1" applyFont="1" applyFill="1" applyBorder="1" applyAlignment="1">
      <alignment vertical="top"/>
    </xf>
    <xf numFmtId="6" fontId="11" fillId="0" borderId="23" xfId="137" applyNumberFormat="1" applyFont="1" applyFill="1" applyBorder="1" applyAlignment="1">
      <alignment vertical="top"/>
    </xf>
    <xf numFmtId="8" fontId="10" fillId="0" borderId="20" xfId="137" applyNumberFormat="1" applyFont="1" applyFill="1" applyBorder="1" applyAlignment="1">
      <alignment vertical="top"/>
    </xf>
    <xf numFmtId="6" fontId="50" fillId="0" borderId="43" xfId="137" applyNumberFormat="1" applyFont="1" applyFill="1" applyBorder="1"/>
    <xf numFmtId="177" fontId="5" fillId="0" borderId="0" xfId="0" applyNumberFormat="1" applyFont="1" applyFill="1" applyBorder="1" applyAlignment="1"/>
    <xf numFmtId="164" fontId="38" fillId="0" borderId="0" xfId="0" applyNumberFormat="1" applyFont="1" applyFill="1" applyBorder="1" applyAlignment="1">
      <alignment horizontal="right" vertical="top"/>
    </xf>
    <xf numFmtId="166" fontId="11" fillId="0" borderId="15" xfId="0" applyNumberFormat="1" applyFont="1" applyFill="1" applyBorder="1" applyAlignment="1">
      <alignment horizontal="right"/>
    </xf>
    <xf numFmtId="1" fontId="9" fillId="0" borderId="0" xfId="0" applyNumberFormat="1" applyFont="1" applyFill="1" applyBorder="1" applyAlignment="1">
      <alignment horizontal="center"/>
    </xf>
    <xf numFmtId="43" fontId="11" fillId="0" borderId="19" xfId="1" applyFont="1" applyFill="1" applyBorder="1"/>
    <xf numFmtId="0" fontId="11" fillId="0" borderId="0" xfId="0" applyFont="1" applyFill="1" applyBorder="1" applyAlignment="1">
      <alignment horizontal="left"/>
    </xf>
    <xf numFmtId="0" fontId="64" fillId="0" borderId="0" xfId="0" applyFont="1" applyAlignment="1"/>
    <xf numFmtId="0" fontId="65" fillId="0" borderId="0" xfId="0" applyFont="1" applyFill="1" applyAlignment="1"/>
    <xf numFmtId="0" fontId="38" fillId="0" borderId="0" xfId="0" applyFont="1" applyAlignment="1">
      <alignment vertical="center"/>
    </xf>
    <xf numFmtId="0" fontId="56" fillId="0" borderId="0" xfId="0" applyFont="1" applyFill="1" applyBorder="1" applyAlignment="1">
      <alignment horizontal="center"/>
    </xf>
    <xf numFmtId="3" fontId="9" fillId="0" borderId="0" xfId="0" applyNumberFormat="1" applyFont="1" applyFill="1" applyBorder="1" applyAlignment="1">
      <alignment horizontal="center" wrapText="1"/>
    </xf>
    <xf numFmtId="0" fontId="9" fillId="53" borderId="6" xfId="0" applyFont="1" applyFill="1" applyBorder="1" applyAlignment="1">
      <alignment horizontal="left" vertical="top"/>
    </xf>
    <xf numFmtId="0" fontId="11" fillId="0" borderId="0" xfId="0" applyFont="1" applyFill="1" applyBorder="1" applyAlignment="1">
      <alignment horizontal="left" wrapText="1"/>
    </xf>
    <xf numFmtId="177" fontId="14" fillId="53" borderId="6" xfId="0" applyNumberFormat="1" applyFont="1" applyFill="1" applyBorder="1" applyAlignment="1">
      <alignment vertical="top" wrapText="1"/>
    </xf>
    <xf numFmtId="173" fontId="14" fillId="53" borderId="6" xfId="0" applyNumberFormat="1" applyFont="1" applyFill="1" applyBorder="1" applyAlignment="1">
      <alignment horizontal="center" vertical="top" wrapText="1"/>
    </xf>
    <xf numFmtId="0" fontId="14" fillId="53" borderId="6" xfId="0" applyFont="1" applyFill="1" applyBorder="1" applyAlignment="1">
      <alignment horizontal="left" vertical="top"/>
    </xf>
    <xf numFmtId="3" fontId="14" fillId="53" borderId="6" xfId="0" applyNumberFormat="1" applyFont="1" applyFill="1" applyBorder="1" applyAlignment="1">
      <alignment horizontal="center" vertical="top" wrapText="1"/>
    </xf>
    <xf numFmtId="173" fontId="66" fillId="53" borderId="6" xfId="0" applyNumberFormat="1" applyFont="1" applyFill="1" applyBorder="1" applyAlignment="1">
      <alignment horizontal="left" vertical="top" wrapText="1"/>
    </xf>
    <xf numFmtId="0" fontId="14" fillId="53" borderId="6" xfId="0" applyFont="1" applyFill="1" applyBorder="1" applyAlignment="1">
      <alignment horizontal="left" vertical="top" wrapText="1"/>
    </xf>
    <xf numFmtId="0" fontId="9" fillId="53" borderId="0" xfId="0" applyFont="1" applyFill="1" applyBorder="1" applyAlignment="1">
      <alignment horizontal="left" vertical="top"/>
    </xf>
    <xf numFmtId="1" fontId="14" fillId="53" borderId="6" xfId="0" applyNumberFormat="1" applyFont="1" applyFill="1" applyBorder="1" applyAlignment="1">
      <alignment horizontal="center" vertical="top" wrapText="1"/>
    </xf>
    <xf numFmtId="167" fontId="14" fillId="53" borderId="6" xfId="0" applyNumberFormat="1" applyFont="1" applyFill="1" applyBorder="1" applyAlignment="1">
      <alignment horizontal="center" vertical="top" wrapText="1"/>
    </xf>
    <xf numFmtId="167" fontId="9" fillId="0" borderId="0" xfId="0" applyNumberFormat="1" applyFont="1" applyFill="1" applyBorder="1" applyAlignment="1">
      <alignment horizontal="center"/>
    </xf>
    <xf numFmtId="0" fontId="68" fillId="0" borderId="6" xfId="0" applyFont="1" applyFill="1" applyBorder="1" applyAlignment="1">
      <alignment horizontal="left" vertical="top"/>
    </xf>
    <xf numFmtId="0" fontId="67" fillId="0" borderId="6" xfId="0" applyFont="1" applyFill="1" applyBorder="1" applyAlignment="1">
      <alignment horizontal="left" vertical="top" wrapText="1"/>
    </xf>
    <xf numFmtId="177" fontId="68" fillId="0" borderId="6" xfId="0" applyNumberFormat="1" applyFont="1" applyFill="1" applyBorder="1" applyAlignment="1">
      <alignment vertical="top"/>
    </xf>
    <xf numFmtId="0" fontId="68" fillId="0" borderId="6" xfId="0" applyFont="1" applyFill="1" applyBorder="1" applyAlignment="1">
      <alignment horizontal="center" vertical="top"/>
    </xf>
    <xf numFmtId="3" fontId="68" fillId="0" borderId="6" xfId="0" applyNumberFormat="1" applyFont="1" applyFill="1" applyBorder="1" applyAlignment="1">
      <alignment horizontal="center" vertical="top" wrapText="1"/>
    </xf>
    <xf numFmtId="1" fontId="67" fillId="0" borderId="6" xfId="0" applyNumberFormat="1" applyFont="1" applyFill="1" applyBorder="1" applyAlignment="1">
      <alignment horizontal="center" vertical="top"/>
    </xf>
    <xf numFmtId="167" fontId="67" fillId="0" borderId="6" xfId="0" applyNumberFormat="1" applyFont="1" applyFill="1" applyBorder="1" applyAlignment="1">
      <alignment horizontal="center" vertical="top"/>
    </xf>
    <xf numFmtId="0" fontId="67" fillId="0" borderId="0" xfId="0" applyFont="1" applyFill="1" applyBorder="1" applyAlignment="1">
      <alignment horizontal="left" vertical="top"/>
    </xf>
    <xf numFmtId="0" fontId="67" fillId="0" borderId="6" xfId="0" applyFont="1" applyFill="1" applyBorder="1" applyAlignment="1">
      <alignment horizontal="left" vertical="top"/>
    </xf>
    <xf numFmtId="178" fontId="67" fillId="0" borderId="6" xfId="0" applyNumberFormat="1" applyFont="1" applyFill="1" applyBorder="1" applyAlignment="1">
      <alignment vertical="top"/>
    </xf>
    <xf numFmtId="0" fontId="67" fillId="0" borderId="6" xfId="0" applyFont="1" applyFill="1" applyBorder="1" applyAlignment="1">
      <alignment horizontal="center" vertical="top"/>
    </xf>
    <xf numFmtId="3" fontId="67" fillId="0" borderId="6" xfId="134" quotePrefix="1" applyNumberFormat="1" applyFont="1" applyFill="1" applyBorder="1" applyAlignment="1">
      <alignment horizontal="center" vertical="top" wrapText="1"/>
    </xf>
    <xf numFmtId="180" fontId="67" fillId="0" borderId="6" xfId="0" applyNumberFormat="1" applyFont="1" applyFill="1" applyBorder="1" applyAlignment="1">
      <alignment horizontal="left" vertical="top" wrapText="1"/>
    </xf>
    <xf numFmtId="168" fontId="67" fillId="0" borderId="0" xfId="0" applyNumberFormat="1" applyFont="1" applyFill="1" applyBorder="1" applyAlignment="1">
      <alignment horizontal="left" vertical="top"/>
    </xf>
    <xf numFmtId="9" fontId="69" fillId="0" borderId="0" xfId="136" applyFont="1" applyBorder="1" applyAlignment="1">
      <alignment horizontal="left" vertical="top"/>
    </xf>
    <xf numFmtId="170" fontId="69" fillId="0" borderId="0" xfId="134" applyNumberFormat="1" applyFont="1" applyBorder="1" applyAlignment="1">
      <alignment horizontal="left" vertical="top"/>
    </xf>
    <xf numFmtId="170" fontId="67" fillId="0" borderId="0" xfId="134" applyNumberFormat="1" applyFont="1" applyBorder="1" applyAlignment="1">
      <alignment horizontal="left" vertical="top"/>
    </xf>
    <xf numFmtId="0" fontId="70" fillId="0" borderId="0" xfId="0" applyFont="1" applyBorder="1" applyAlignment="1">
      <alignment horizontal="left" vertical="top"/>
    </xf>
    <xf numFmtId="0" fontId="67" fillId="37" borderId="6" xfId="0" applyFont="1" applyFill="1" applyBorder="1" applyAlignment="1">
      <alignment horizontal="left" vertical="top"/>
    </xf>
    <xf numFmtId="0" fontId="67" fillId="0" borderId="6" xfId="0" applyFont="1" applyFill="1" applyBorder="1" applyAlignment="1" applyProtection="1">
      <alignment horizontal="left" vertical="top"/>
    </xf>
    <xf numFmtId="180" fontId="67" fillId="0" borderId="6" xfId="0" applyNumberFormat="1" applyFont="1" applyFill="1" applyBorder="1" applyAlignment="1" applyProtection="1">
      <alignment horizontal="left" vertical="top"/>
    </xf>
    <xf numFmtId="168" fontId="70" fillId="0" borderId="6" xfId="0" applyNumberFormat="1" applyFont="1" applyBorder="1" applyAlignment="1">
      <alignment horizontal="center" vertical="top"/>
    </xf>
    <xf numFmtId="180" fontId="67" fillId="0" borderId="6" xfId="0" applyNumberFormat="1" applyFont="1" applyFill="1" applyBorder="1" applyAlignment="1">
      <alignment horizontal="left" vertical="top"/>
    </xf>
    <xf numFmtId="168" fontId="67" fillId="0" borderId="6" xfId="0" applyNumberFormat="1" applyFont="1" applyBorder="1" applyAlignment="1">
      <alignment horizontal="center" vertical="top"/>
    </xf>
    <xf numFmtId="0" fontId="68" fillId="0" borderId="0" xfId="0" applyFont="1" applyFill="1" applyBorder="1" applyAlignment="1">
      <alignment horizontal="left" vertical="top"/>
    </xf>
    <xf numFmtId="0" fontId="67" fillId="53" borderId="6" xfId="0" applyFont="1" applyFill="1" applyBorder="1" applyAlignment="1">
      <alignment horizontal="left" vertical="top"/>
    </xf>
    <xf numFmtId="0" fontId="68" fillId="53" borderId="6" xfId="0" applyFont="1" applyFill="1" applyBorder="1" applyAlignment="1">
      <alignment horizontal="left" vertical="top"/>
    </xf>
    <xf numFmtId="0" fontId="67" fillId="53" borderId="6" xfId="0" applyFont="1" applyFill="1" applyBorder="1" applyAlignment="1">
      <alignment horizontal="left" vertical="top" wrapText="1"/>
    </xf>
    <xf numFmtId="178" fontId="67" fillId="53" borderId="6" xfId="0" applyNumberFormat="1" applyFont="1" applyFill="1" applyBorder="1" applyAlignment="1">
      <alignment vertical="top"/>
    </xf>
    <xf numFmtId="0" fontId="67" fillId="53" borderId="6" xfId="0" applyFont="1" applyFill="1" applyBorder="1" applyAlignment="1">
      <alignment horizontal="center" vertical="top"/>
    </xf>
    <xf numFmtId="0" fontId="67" fillId="53" borderId="6" xfId="0" applyFont="1" applyFill="1" applyBorder="1" applyAlignment="1" applyProtection="1">
      <alignment horizontal="left" vertical="top"/>
    </xf>
    <xf numFmtId="180" fontId="67" fillId="53" borderId="6" xfId="0" applyNumberFormat="1" applyFont="1" applyFill="1" applyBorder="1" applyAlignment="1" applyProtection="1">
      <alignment horizontal="left" vertical="top"/>
    </xf>
    <xf numFmtId="1" fontId="67" fillId="53" borderId="6" xfId="0" applyNumberFormat="1" applyFont="1" applyFill="1" applyBorder="1" applyAlignment="1">
      <alignment horizontal="center" vertical="top"/>
    </xf>
    <xf numFmtId="168" fontId="70" fillId="53" borderId="6" xfId="0" applyNumberFormat="1" applyFont="1" applyFill="1" applyBorder="1" applyAlignment="1">
      <alignment horizontal="center" vertical="top"/>
    </xf>
    <xf numFmtId="0" fontId="67" fillId="53" borderId="0" xfId="0" applyFont="1" applyFill="1" applyBorder="1" applyAlignment="1">
      <alignment horizontal="left" vertical="top"/>
    </xf>
    <xf numFmtId="3" fontId="67" fillId="0" borderId="6" xfId="134" applyNumberFormat="1" applyFont="1" applyFill="1" applyBorder="1" applyAlignment="1">
      <alignment horizontal="center" vertical="top" wrapText="1"/>
    </xf>
    <xf numFmtId="3" fontId="67" fillId="0" borderId="6" xfId="134" applyNumberFormat="1" applyFont="1" applyFill="1" applyBorder="1" applyAlignment="1">
      <alignment horizontal="center" vertical="top"/>
    </xf>
    <xf numFmtId="3" fontId="67" fillId="0" borderId="6" xfId="134" quotePrefix="1" applyNumberFormat="1" applyFont="1" applyFill="1" applyBorder="1" applyAlignment="1">
      <alignment horizontal="center" vertical="top"/>
    </xf>
    <xf numFmtId="0" fontId="67" fillId="37" borderId="6" xfId="0" applyFont="1" applyFill="1" applyBorder="1" applyAlignment="1">
      <alignment horizontal="left" vertical="top" wrapText="1"/>
    </xf>
    <xf numFmtId="0" fontId="67" fillId="0" borderId="0" xfId="0" applyFont="1" applyFill="1" applyBorder="1" applyAlignment="1">
      <alignment horizontal="center" vertical="top"/>
    </xf>
    <xf numFmtId="167" fontId="11" fillId="0" borderId="6" xfId="0" applyNumberFormat="1" applyFont="1" applyFill="1" applyBorder="1" applyAlignment="1">
      <alignment horizontal="right"/>
    </xf>
    <xf numFmtId="165" fontId="11" fillId="0" borderId="6" xfId="0" applyNumberFormat="1" applyFont="1" applyFill="1" applyBorder="1" applyAlignment="1"/>
    <xf numFmtId="0" fontId="71" fillId="0" borderId="6" xfId="0" applyFont="1" applyBorder="1" applyAlignment="1">
      <alignment vertical="center"/>
    </xf>
    <xf numFmtId="0" fontId="70" fillId="0" borderId="6" xfId="0" applyFont="1" applyBorder="1" applyAlignment="1">
      <alignment vertical="center"/>
    </xf>
    <xf numFmtId="0" fontId="70" fillId="0" borderId="6" xfId="0" applyFont="1" applyBorder="1" applyAlignment="1">
      <alignment vertical="center" wrapText="1"/>
    </xf>
    <xf numFmtId="16" fontId="70" fillId="0" borderId="6" xfId="0" applyNumberFormat="1" applyFont="1" applyBorder="1" applyAlignment="1">
      <alignment horizontal="right" vertical="center"/>
    </xf>
    <xf numFmtId="0" fontId="70" fillId="0" borderId="6" xfId="0" applyFont="1" applyBorder="1" applyAlignment="1">
      <alignment horizontal="center" vertical="center"/>
    </xf>
    <xf numFmtId="3" fontId="70" fillId="0" borderId="6" xfId="0" applyNumberFormat="1" applyFont="1" applyBorder="1" applyAlignment="1">
      <alignment horizontal="center" vertical="center" wrapText="1"/>
    </xf>
    <xf numFmtId="18" fontId="70" fillId="0" borderId="6" xfId="0" applyNumberFormat="1" applyFont="1" applyBorder="1" applyAlignment="1">
      <alignment horizontal="left" vertical="center" wrapText="1"/>
    </xf>
    <xf numFmtId="3" fontId="67" fillId="0" borderId="6" xfId="134" applyNumberFormat="1" applyFont="1" applyFill="1" applyBorder="1" applyAlignment="1" applyProtection="1">
      <alignment horizontal="center" vertical="top"/>
    </xf>
    <xf numFmtId="3" fontId="67" fillId="53" borderId="6" xfId="134" applyNumberFormat="1" applyFont="1" applyFill="1" applyBorder="1" applyAlignment="1">
      <alignment horizontal="center" vertical="top"/>
    </xf>
    <xf numFmtId="0" fontId="67" fillId="0" borderId="0" xfId="0" applyFont="1" applyFill="1" applyBorder="1" applyAlignment="1">
      <alignment horizontal="center"/>
    </xf>
    <xf numFmtId="0" fontId="67" fillId="0" borderId="0" xfId="0" applyFont="1" applyFill="1" applyBorder="1" applyAlignment="1">
      <alignment horizontal="left"/>
    </xf>
    <xf numFmtId="3" fontId="67" fillId="0" borderId="0" xfId="0" applyNumberFormat="1" applyFont="1" applyFill="1" applyBorder="1" applyAlignment="1">
      <alignment horizontal="center" wrapText="1"/>
    </xf>
    <xf numFmtId="1" fontId="67" fillId="0" borderId="0" xfId="0" applyNumberFormat="1" applyFont="1" applyFill="1" applyBorder="1" applyAlignment="1">
      <alignment horizontal="center"/>
    </xf>
    <xf numFmtId="167" fontId="67" fillId="0" borderId="0" xfId="0" applyNumberFormat="1" applyFont="1" applyFill="1" applyBorder="1" applyAlignment="1">
      <alignment horizontal="center"/>
    </xf>
    <xf numFmtId="0" fontId="68" fillId="0" borderId="0" xfId="0" applyFont="1" applyFill="1" applyBorder="1" applyAlignment="1">
      <alignment horizontal="center"/>
    </xf>
    <xf numFmtId="0" fontId="67" fillId="0" borderId="0" xfId="0" quotePrefix="1" applyFont="1" applyFill="1" applyBorder="1" applyAlignment="1">
      <alignment horizontal="left"/>
    </xf>
    <xf numFmtId="0" fontId="68" fillId="0" borderId="0" xfId="0" applyFont="1" applyFill="1" applyBorder="1" applyAlignment="1">
      <alignment wrapText="1"/>
    </xf>
    <xf numFmtId="0" fontId="67" fillId="0" borderId="0" xfId="0" applyFont="1" applyFill="1" applyBorder="1" applyAlignment="1">
      <alignment horizontal="left" wrapText="1"/>
    </xf>
    <xf numFmtId="177" fontId="67" fillId="0" borderId="0" xfId="0" applyNumberFormat="1" applyFont="1" applyFill="1" applyBorder="1" applyAlignment="1"/>
    <xf numFmtId="0" fontId="9" fillId="0" borderId="0" xfId="0" applyFont="1" applyFill="1" applyBorder="1" applyAlignment="1">
      <alignment wrapText="1"/>
    </xf>
    <xf numFmtId="0" fontId="67" fillId="0" borderId="6" xfId="0" applyFont="1" applyFill="1" applyBorder="1" applyAlignment="1">
      <alignment horizontal="center" vertical="center"/>
    </xf>
    <xf numFmtId="173" fontId="68" fillId="0" borderId="6" xfId="0" applyNumberFormat="1" applyFont="1" applyFill="1" applyBorder="1" applyAlignment="1">
      <alignment horizontal="center" vertical="center" wrapText="1"/>
    </xf>
    <xf numFmtId="0" fontId="67" fillId="0" borderId="6" xfId="0" applyFont="1" applyFill="1" applyBorder="1" applyAlignment="1">
      <alignment horizontal="center" vertical="center" wrapText="1"/>
    </xf>
    <xf numFmtId="177" fontId="67" fillId="0" borderId="6" xfId="0" applyNumberFormat="1" applyFont="1" applyFill="1" applyBorder="1" applyAlignment="1">
      <alignment vertical="center" wrapText="1"/>
    </xf>
    <xf numFmtId="173" fontId="67" fillId="0" borderId="6" xfId="0" applyNumberFormat="1" applyFont="1" applyFill="1" applyBorder="1" applyAlignment="1">
      <alignment horizontal="center" vertical="center" wrapText="1"/>
    </xf>
    <xf numFmtId="0" fontId="67" fillId="0" borderId="6" xfId="0" applyFont="1" applyFill="1" applyBorder="1" applyAlignment="1">
      <alignment horizontal="left" vertical="center"/>
    </xf>
    <xf numFmtId="3" fontId="67" fillId="0" borderId="6" xfId="0" applyNumberFormat="1" applyFont="1" applyFill="1" applyBorder="1" applyAlignment="1">
      <alignment horizontal="center" vertical="center" wrapText="1"/>
    </xf>
    <xf numFmtId="0" fontId="67" fillId="0" borderId="6" xfId="0" applyFont="1" applyFill="1" applyBorder="1" applyAlignment="1">
      <alignment horizontal="left" vertical="center" wrapText="1"/>
    </xf>
    <xf numFmtId="1" fontId="67" fillId="0" borderId="6" xfId="0" applyNumberFormat="1" applyFont="1" applyFill="1" applyBorder="1" applyAlignment="1">
      <alignment horizontal="center" vertical="center" wrapText="1"/>
    </xf>
    <xf numFmtId="167" fontId="67" fillId="0" borderId="6" xfId="0" applyNumberFormat="1" applyFont="1" applyFill="1" applyBorder="1" applyAlignment="1">
      <alignment horizontal="center" vertical="center" wrapText="1"/>
    </xf>
    <xf numFmtId="0" fontId="5" fillId="0" borderId="0" xfId="0" applyFont="1" applyFill="1" applyProtection="1"/>
    <xf numFmtId="3" fontId="5" fillId="0" borderId="0" xfId="0" applyNumberFormat="1" applyFont="1" applyFill="1" applyAlignment="1" applyProtection="1"/>
    <xf numFmtId="0" fontId="5" fillId="0" borderId="0" xfId="0" applyFont="1" applyFill="1" applyAlignment="1" applyProtection="1"/>
    <xf numFmtId="0" fontId="5" fillId="0" borderId="0" xfId="0" applyFont="1" applyFill="1" applyAlignment="1" applyProtection="1">
      <alignment horizontal="right"/>
    </xf>
    <xf numFmtId="0" fontId="5" fillId="0" borderId="6" xfId="0" applyFont="1" applyFill="1" applyBorder="1" applyAlignment="1" applyProtection="1">
      <alignment horizontal="center"/>
    </xf>
    <xf numFmtId="0" fontId="6" fillId="0" borderId="13" xfId="0" applyFont="1" applyFill="1" applyBorder="1" applyAlignment="1" applyProtection="1"/>
    <xf numFmtId="0" fontId="6" fillId="0" borderId="6" xfId="0" applyFont="1" applyFill="1" applyBorder="1" applyAlignment="1" applyProtection="1">
      <alignment horizontal="center"/>
    </xf>
    <xf numFmtId="3" fontId="6" fillId="0" borderId="14" xfId="0" applyNumberFormat="1"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8"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15" xfId="0" applyFont="1" applyFill="1" applyBorder="1" applyAlignment="1" applyProtection="1">
      <alignment horizontal="center" wrapText="1"/>
    </xf>
    <xf numFmtId="0" fontId="5" fillId="0" borderId="0" xfId="0" applyFont="1" applyFill="1" applyAlignment="1" applyProtection="1">
      <alignment horizontal="center"/>
    </xf>
    <xf numFmtId="0" fontId="6" fillId="0" borderId="6" xfId="0" applyFont="1" applyFill="1" applyBorder="1" applyAlignment="1" applyProtection="1">
      <alignment horizontal="left"/>
    </xf>
    <xf numFmtId="3" fontId="6" fillId="0" borderId="15" xfId="0" applyNumberFormat="1" applyFont="1" applyFill="1" applyBorder="1" applyAlignment="1" applyProtection="1">
      <alignment wrapText="1"/>
    </xf>
    <xf numFmtId="0" fontId="6" fillId="0" borderId="14" xfId="0" applyFont="1" applyFill="1" applyBorder="1" applyAlignment="1" applyProtection="1">
      <alignment wrapText="1"/>
    </xf>
    <xf numFmtId="0" fontId="6" fillId="0" borderId="8" xfId="0" applyFont="1" applyFill="1" applyBorder="1" applyAlignment="1" applyProtection="1"/>
    <xf numFmtId="0" fontId="6" fillId="0" borderId="14" xfId="0" applyFont="1" applyFill="1" applyBorder="1" applyAlignment="1" applyProtection="1"/>
    <xf numFmtId="0" fontId="6" fillId="0" borderId="15" xfId="0" applyFont="1" applyFill="1" applyBorder="1" applyAlignment="1" applyProtection="1">
      <alignment wrapText="1"/>
    </xf>
    <xf numFmtId="0" fontId="6" fillId="0" borderId="8" xfId="0" applyFont="1" applyFill="1" applyBorder="1" applyAlignment="1" applyProtection="1">
      <alignment wrapText="1"/>
    </xf>
    <xf numFmtId="0" fontId="6" fillId="0" borderId="15" xfId="0" applyFont="1" applyFill="1" applyBorder="1" applyAlignment="1" applyProtection="1">
      <alignment horizontal="right" wrapText="1"/>
    </xf>
    <xf numFmtId="0" fontId="6" fillId="0" borderId="8" xfId="0" applyFont="1" applyFill="1" applyBorder="1" applyAlignment="1" applyProtection="1">
      <alignment horizontal="center"/>
    </xf>
    <xf numFmtId="0" fontId="6" fillId="0" borderId="14" xfId="0" applyFont="1" applyFill="1" applyBorder="1" applyAlignment="1" applyProtection="1">
      <alignment horizontal="right" wrapText="1"/>
    </xf>
    <xf numFmtId="0" fontId="6" fillId="0" borderId="8" xfId="0" applyFont="1" applyFill="1" applyBorder="1" applyAlignment="1" applyProtection="1">
      <alignment horizontal="right"/>
    </xf>
    <xf numFmtId="0" fontId="6" fillId="0" borderId="6" xfId="0" applyFont="1" applyFill="1" applyBorder="1" applyAlignment="1" applyProtection="1">
      <alignment horizontal="right"/>
    </xf>
    <xf numFmtId="3" fontId="5" fillId="0" borderId="0" xfId="0" applyNumberFormat="1" applyFont="1" applyFill="1" applyBorder="1" applyAlignment="1" applyProtection="1"/>
    <xf numFmtId="181" fontId="5" fillId="0" borderId="0" xfId="0" applyNumberFormat="1" applyFont="1" applyFill="1" applyBorder="1" applyAlignment="1" applyProtection="1"/>
    <xf numFmtId="181" fontId="5" fillId="0" borderId="19" xfId="0" applyNumberFormat="1" applyFont="1" applyFill="1" applyBorder="1" applyAlignment="1" applyProtection="1"/>
    <xf numFmtId="3" fontId="5" fillId="0" borderId="1" xfId="0" applyNumberFormat="1" applyFont="1" applyFill="1" applyBorder="1" applyAlignment="1" applyProtection="1"/>
    <xf numFmtId="3" fontId="5" fillId="0" borderId="1" xfId="0" applyNumberFormat="1" applyFont="1" applyFill="1" applyBorder="1" applyAlignment="1" applyProtection="1">
      <alignment horizontal="right"/>
    </xf>
    <xf numFmtId="181" fontId="5" fillId="0" borderId="1" xfId="0" applyNumberFormat="1" applyFont="1" applyFill="1" applyBorder="1" applyAlignment="1" applyProtection="1">
      <alignment horizontal="right"/>
    </xf>
    <xf numFmtId="181" fontId="5" fillId="0" borderId="17" xfId="0" applyNumberFormat="1" applyFont="1" applyFill="1" applyBorder="1" applyAlignment="1" applyProtection="1">
      <alignment horizontal="right"/>
    </xf>
    <xf numFmtId="3" fontId="7" fillId="0" borderId="20" xfId="0" applyNumberFormat="1" applyFont="1" applyFill="1" applyBorder="1" applyAlignment="1">
      <alignment horizontal="right" vertical="top" wrapText="1"/>
    </xf>
    <xf numFmtId="3" fontId="5" fillId="0" borderId="0" xfId="0" applyNumberFormat="1" applyFont="1" applyFill="1" applyBorder="1" applyAlignment="1" applyProtection="1">
      <alignment horizontal="right"/>
    </xf>
    <xf numFmtId="181" fontId="5" fillId="0" borderId="0" xfId="0" applyNumberFormat="1" applyFont="1" applyFill="1" applyBorder="1" applyAlignment="1" applyProtection="1">
      <alignment horizontal="right"/>
    </xf>
    <xf numFmtId="181" fontId="5" fillId="0" borderId="19" xfId="0" applyNumberFormat="1" applyFont="1" applyFill="1" applyBorder="1" applyAlignment="1" applyProtection="1">
      <alignment horizontal="right"/>
    </xf>
    <xf numFmtId="0" fontId="5" fillId="0" borderId="23" xfId="0" applyFont="1" applyFill="1" applyBorder="1" applyProtection="1"/>
    <xf numFmtId="3" fontId="5" fillId="0" borderId="2" xfId="0" applyNumberFormat="1" applyFont="1" applyFill="1" applyBorder="1" applyAlignment="1" applyProtection="1"/>
    <xf numFmtId="181" fontId="5" fillId="0" borderId="2" xfId="0" applyNumberFormat="1" applyFont="1" applyFill="1" applyBorder="1" applyAlignment="1" applyProtection="1"/>
    <xf numFmtId="181" fontId="5" fillId="0" borderId="22" xfId="0" applyNumberFormat="1" applyFont="1" applyFill="1" applyBorder="1" applyAlignment="1" applyProtection="1"/>
    <xf numFmtId="3" fontId="5" fillId="0" borderId="2" xfId="0" applyNumberFormat="1" applyFont="1" applyFill="1" applyBorder="1" applyAlignment="1">
      <alignment vertical="center"/>
    </xf>
    <xf numFmtId="3" fontId="5" fillId="0" borderId="21" xfId="0" applyNumberFormat="1" applyFont="1" applyFill="1" applyBorder="1" applyAlignment="1" applyProtection="1"/>
    <xf numFmtId="3" fontId="5" fillId="0" borderId="2" xfId="0" applyNumberFormat="1" applyFont="1" applyFill="1" applyBorder="1" applyAlignment="1" applyProtection="1">
      <alignment horizontal="right"/>
    </xf>
    <xf numFmtId="181" fontId="5" fillId="0" borderId="2" xfId="0" applyNumberFormat="1" applyFont="1" applyFill="1" applyBorder="1" applyAlignment="1" applyProtection="1">
      <alignment horizontal="right"/>
    </xf>
    <xf numFmtId="181" fontId="5" fillId="0" borderId="22" xfId="0" applyNumberFormat="1" applyFont="1" applyFill="1" applyBorder="1" applyAlignment="1" applyProtection="1">
      <alignment horizontal="right"/>
    </xf>
    <xf numFmtId="3" fontId="7" fillId="0" borderId="23" xfId="0" applyNumberFormat="1" applyFont="1" applyFill="1" applyBorder="1" applyAlignment="1">
      <alignment horizontal="right" vertical="top" wrapText="1"/>
    </xf>
    <xf numFmtId="0" fontId="6" fillId="0" borderId="55" xfId="0" applyFont="1" applyFill="1" applyBorder="1" applyProtection="1"/>
    <xf numFmtId="3" fontId="5" fillId="0" borderId="56" xfId="0" applyNumberFormat="1" applyFont="1" applyFill="1" applyBorder="1" applyAlignment="1" applyProtection="1"/>
    <xf numFmtId="181" fontId="5" fillId="0" borderId="56" xfId="0" applyNumberFormat="1" applyFont="1" applyFill="1" applyBorder="1" applyAlignment="1" applyProtection="1"/>
    <xf numFmtId="181" fontId="5" fillId="0" borderId="57" xfId="0" applyNumberFormat="1" applyFont="1" applyFill="1" applyBorder="1" applyAlignment="1" applyProtection="1"/>
    <xf numFmtId="181" fontId="5" fillId="0" borderId="58" xfId="0" applyNumberFormat="1" applyFont="1" applyFill="1" applyBorder="1" applyAlignment="1" applyProtection="1"/>
    <xf numFmtId="3" fontId="5" fillId="0" borderId="56" xfId="0" applyNumberFormat="1" applyFont="1" applyFill="1" applyBorder="1" applyAlignment="1" applyProtection="1">
      <alignment horizontal="right"/>
    </xf>
    <xf numFmtId="181" fontId="5" fillId="0" borderId="56" xfId="0" applyNumberFormat="1" applyFont="1" applyFill="1" applyBorder="1" applyAlignment="1" applyProtection="1">
      <alignment horizontal="right"/>
    </xf>
    <xf numFmtId="181" fontId="5" fillId="0" borderId="57" xfId="0" applyNumberFormat="1" applyFont="1" applyFill="1" applyBorder="1" applyAlignment="1" applyProtection="1">
      <alignment horizontal="right"/>
    </xf>
    <xf numFmtId="181" fontId="5" fillId="0" borderId="58" xfId="0" applyNumberFormat="1" applyFont="1" applyFill="1" applyBorder="1" applyAlignment="1" applyProtection="1">
      <alignment horizontal="right"/>
    </xf>
    <xf numFmtId="165" fontId="5" fillId="0" borderId="55" xfId="0" applyNumberFormat="1" applyFont="1" applyFill="1" applyBorder="1" applyAlignment="1" applyProtection="1">
      <alignment horizontal="center"/>
    </xf>
    <xf numFmtId="3" fontId="6" fillId="0" borderId="59" xfId="0" applyNumberFormat="1" applyFont="1" applyFill="1" applyBorder="1" applyAlignment="1" applyProtection="1">
      <alignment wrapText="1"/>
    </xf>
    <xf numFmtId="181" fontId="6" fillId="0" borderId="60" xfId="0" applyNumberFormat="1" applyFont="1" applyFill="1" applyBorder="1" applyAlignment="1" applyProtection="1">
      <alignment wrapText="1"/>
    </xf>
    <xf numFmtId="181" fontId="6" fillId="0" borderId="61" xfId="0" applyNumberFormat="1" applyFont="1" applyFill="1" applyBorder="1" applyAlignment="1" applyProtection="1"/>
    <xf numFmtId="3" fontId="6" fillId="0" borderId="60" xfId="0" applyNumberFormat="1" applyFont="1" applyFill="1" applyBorder="1" applyAlignment="1" applyProtection="1">
      <alignment wrapText="1"/>
    </xf>
    <xf numFmtId="3" fontId="6" fillId="0" borderId="2" xfId="0" applyNumberFormat="1" applyFont="1" applyFill="1" applyBorder="1" applyAlignment="1" applyProtection="1">
      <alignment wrapText="1"/>
    </xf>
    <xf numFmtId="181" fontId="6" fillId="0" borderId="1" xfId="0" applyNumberFormat="1" applyFont="1" applyFill="1" applyBorder="1" applyAlignment="1" applyProtection="1">
      <alignment wrapText="1"/>
    </xf>
    <xf numFmtId="3" fontId="77" fillId="0" borderId="60" xfId="0" applyNumberFormat="1" applyFont="1" applyFill="1" applyBorder="1" applyAlignment="1" applyProtection="1">
      <alignment horizontal="right" wrapText="1"/>
    </xf>
    <xf numFmtId="181" fontId="77" fillId="0" borderId="61" xfId="0" applyNumberFormat="1" applyFont="1" applyFill="1" applyBorder="1" applyAlignment="1" applyProtection="1">
      <alignment horizontal="center"/>
    </xf>
    <xf numFmtId="3" fontId="6" fillId="0" borderId="60" xfId="0" applyNumberFormat="1" applyFont="1" applyFill="1" applyBorder="1" applyAlignment="1" applyProtection="1">
      <alignment horizontal="right" wrapText="1"/>
    </xf>
    <xf numFmtId="181" fontId="6" fillId="0" borderId="1" xfId="0" applyNumberFormat="1" applyFont="1" applyFill="1" applyBorder="1" applyAlignment="1" applyProtection="1">
      <alignment horizontal="right" wrapText="1"/>
    </xf>
    <xf numFmtId="181" fontId="6" fillId="0" borderId="62" xfId="0" applyNumberFormat="1" applyFont="1" applyFill="1" applyBorder="1" applyAlignment="1" applyProtection="1">
      <alignment horizontal="right"/>
    </xf>
    <xf numFmtId="3" fontId="6" fillId="0" borderId="1" xfId="0" applyNumberFormat="1" applyFont="1" applyFill="1" applyBorder="1" applyAlignment="1" applyProtection="1">
      <alignment wrapText="1"/>
    </xf>
    <xf numFmtId="181" fontId="6" fillId="0" borderId="63" xfId="0" applyNumberFormat="1" applyFont="1" applyFill="1" applyBorder="1" applyAlignment="1" applyProtection="1">
      <alignment horizontal="right"/>
    </xf>
    <xf numFmtId="0" fontId="6" fillId="0" borderId="61" xfId="0" applyFont="1" applyFill="1" applyBorder="1" applyAlignment="1" applyProtection="1">
      <alignment horizontal="center"/>
    </xf>
    <xf numFmtId="165" fontId="5" fillId="0" borderId="0" xfId="0" applyNumberFormat="1" applyFont="1" applyFill="1" applyBorder="1" applyProtection="1"/>
    <xf numFmtId="0" fontId="5" fillId="0" borderId="13" xfId="0" applyFont="1" applyFill="1" applyBorder="1" applyProtection="1"/>
    <xf numFmtId="3" fontId="5" fillId="0" borderId="16" xfId="0" applyNumberFormat="1" applyFont="1" applyFill="1" applyBorder="1" applyAlignment="1" applyProtection="1"/>
    <xf numFmtId="181" fontId="5" fillId="0" borderId="17" xfId="0" applyNumberFormat="1" applyFont="1" applyFill="1" applyBorder="1" applyAlignment="1" applyProtection="1"/>
    <xf numFmtId="3" fontId="78" fillId="0" borderId="0" xfId="0" applyNumberFormat="1" applyFont="1" applyFill="1"/>
    <xf numFmtId="181" fontId="5" fillId="0" borderId="1" xfId="0" applyNumberFormat="1" applyFont="1" applyFill="1" applyBorder="1" applyAlignment="1" applyProtection="1"/>
    <xf numFmtId="1" fontId="5" fillId="0" borderId="17" xfId="0" applyNumberFormat="1" applyFont="1" applyFill="1" applyBorder="1" applyAlignment="1" applyProtection="1">
      <alignment horizontal="right"/>
    </xf>
    <xf numFmtId="3" fontId="5" fillId="0" borderId="18" xfId="0" applyNumberFormat="1" applyFont="1" applyFill="1" applyBorder="1" applyAlignment="1" applyProtection="1"/>
    <xf numFmtId="3" fontId="7" fillId="0" borderId="19" xfId="0" applyNumberFormat="1" applyFont="1" applyFill="1" applyBorder="1" applyAlignment="1">
      <alignment horizontal="right" vertical="top" wrapText="1"/>
    </xf>
    <xf numFmtId="1" fontId="5" fillId="0" borderId="19" xfId="0" applyNumberFormat="1" applyFont="1" applyFill="1" applyBorder="1" applyAlignment="1" applyProtection="1">
      <alignment horizontal="right"/>
    </xf>
    <xf numFmtId="1" fontId="5" fillId="0" borderId="0" xfId="0" applyNumberFormat="1" applyFont="1"/>
    <xf numFmtId="1" fontId="78" fillId="0" borderId="0" xfId="0" applyNumberFormat="1" applyFont="1" applyFill="1"/>
    <xf numFmtId="1" fontId="79" fillId="0" borderId="0" xfId="0" applyNumberFormat="1" applyFont="1"/>
    <xf numFmtId="1" fontId="5" fillId="0" borderId="22" xfId="0" applyNumberFormat="1" applyFont="1" applyFill="1" applyBorder="1" applyAlignment="1" applyProtection="1">
      <alignment horizontal="right"/>
    </xf>
    <xf numFmtId="0" fontId="6" fillId="0" borderId="64" xfId="0" applyFont="1" applyFill="1" applyBorder="1" applyProtection="1"/>
    <xf numFmtId="181" fontId="5" fillId="0" borderId="65" xfId="0" applyNumberFormat="1" applyFont="1" applyFill="1" applyBorder="1" applyAlignment="1" applyProtection="1"/>
    <xf numFmtId="3" fontId="5" fillId="0" borderId="66" xfId="0" applyNumberFormat="1" applyFont="1" applyFill="1" applyBorder="1" applyAlignment="1" applyProtection="1"/>
    <xf numFmtId="181" fontId="5" fillId="0" borderId="65" xfId="0" applyNumberFormat="1" applyFont="1" applyFill="1" applyBorder="1" applyAlignment="1" applyProtection="1">
      <alignment horizontal="right"/>
    </xf>
    <xf numFmtId="0" fontId="6" fillId="0" borderId="16" xfId="0" applyFont="1" applyFill="1" applyBorder="1" applyProtection="1"/>
    <xf numFmtId="166" fontId="5" fillId="0" borderId="0" xfId="0" applyNumberFormat="1" applyFont="1" applyFill="1" applyBorder="1" applyAlignment="1" applyProtection="1"/>
    <xf numFmtId="168" fontId="5" fillId="0" borderId="0" xfId="0" applyNumberFormat="1" applyFont="1" applyFill="1" applyBorder="1" applyAlignment="1" applyProtection="1"/>
    <xf numFmtId="165" fontId="5" fillId="0" borderId="0" xfId="0" applyNumberFormat="1" applyFont="1" applyFill="1" applyBorder="1" applyAlignment="1" applyProtection="1"/>
    <xf numFmtId="166" fontId="5" fillId="0" borderId="0" xfId="0" applyNumberFormat="1" applyFont="1" applyFill="1" applyBorder="1" applyAlignment="1" applyProtection="1">
      <alignment horizontal="center"/>
    </xf>
    <xf numFmtId="165" fontId="5" fillId="0" borderId="0" xfId="0" applyNumberFormat="1" applyFont="1" applyFill="1" applyBorder="1" applyAlignment="1" applyProtection="1">
      <alignment horizontal="center"/>
    </xf>
    <xf numFmtId="166" fontId="5" fillId="0" borderId="0" xfId="0" applyNumberFormat="1" applyFont="1" applyFill="1" applyBorder="1" applyAlignment="1" applyProtection="1">
      <alignment horizontal="right"/>
    </xf>
    <xf numFmtId="165" fontId="5" fillId="0" borderId="0" xfId="0" applyNumberFormat="1" applyFont="1" applyFill="1" applyBorder="1" applyAlignment="1" applyProtection="1">
      <alignment horizontal="right"/>
    </xf>
    <xf numFmtId="165" fontId="5" fillId="0" borderId="19" xfId="0" applyNumberFormat="1" applyFont="1" applyFill="1" applyBorder="1" applyAlignment="1" applyProtection="1">
      <alignment horizontal="center"/>
    </xf>
    <xf numFmtId="0" fontId="5" fillId="0" borderId="16" xfId="0" applyFont="1" applyFill="1" applyBorder="1" applyProtection="1"/>
    <xf numFmtId="0" fontId="5" fillId="0" borderId="0" xfId="0" applyFont="1" applyFill="1" applyBorder="1" applyAlignment="1" applyProtection="1"/>
    <xf numFmtId="0" fontId="5" fillId="0" borderId="0" xfId="0" applyFont="1" applyFill="1" applyBorder="1" applyAlignment="1" applyProtection="1">
      <alignment horizontal="right"/>
    </xf>
    <xf numFmtId="0" fontId="5" fillId="0" borderId="0" xfId="0" applyFont="1" applyFill="1" applyBorder="1" applyProtection="1"/>
    <xf numFmtId="0" fontId="5" fillId="0" borderId="22" xfId="0" applyFont="1" applyFill="1" applyBorder="1" applyProtection="1"/>
    <xf numFmtId="0" fontId="5" fillId="0" borderId="19" xfId="0" applyFont="1" applyFill="1" applyBorder="1" applyProtection="1"/>
    <xf numFmtId="0" fontId="6" fillId="0" borderId="19" xfId="0" applyFont="1" applyFill="1" applyBorder="1" applyAlignment="1" applyProtection="1"/>
    <xf numFmtId="0" fontId="6" fillId="0" borderId="0" xfId="0" applyFont="1" applyFill="1" applyBorder="1" applyAlignment="1" applyProtection="1"/>
    <xf numFmtId="0" fontId="6" fillId="0" borderId="6" xfId="0" applyFont="1" applyFill="1" applyBorder="1" applyAlignment="1" applyProtection="1">
      <alignment wrapText="1"/>
    </xf>
    <xf numFmtId="0" fontId="6" fillId="0" borderId="6" xfId="0" applyFont="1" applyFill="1" applyBorder="1" applyAlignment="1" applyProtection="1">
      <alignment horizontal="right" wrapText="1"/>
    </xf>
    <xf numFmtId="0" fontId="6" fillId="0" borderId="8" xfId="0" applyFont="1" applyFill="1" applyBorder="1" applyAlignment="1" applyProtection="1">
      <alignment horizontal="right" wrapText="1"/>
    </xf>
    <xf numFmtId="0" fontId="6" fillId="0" borderId="2" xfId="0" applyFont="1" applyFill="1" applyBorder="1" applyAlignment="1" applyProtection="1">
      <alignment wrapText="1"/>
    </xf>
    <xf numFmtId="38" fontId="5" fillId="0" borderId="18" xfId="0" applyNumberFormat="1" applyFont="1" applyFill="1" applyBorder="1" applyAlignment="1" applyProtection="1">
      <alignment horizontal="right"/>
    </xf>
    <xf numFmtId="181" fontId="5" fillId="0" borderId="1" xfId="0" applyNumberFormat="1" applyFont="1" applyFill="1" applyBorder="1" applyAlignment="1" applyProtection="1">
      <alignment horizontal="center"/>
    </xf>
    <xf numFmtId="181" fontId="5" fillId="0" borderId="17" xfId="0" applyNumberFormat="1" applyFont="1" applyFill="1" applyBorder="1" applyAlignment="1" applyProtection="1">
      <alignment horizontal="center"/>
    </xf>
    <xf numFmtId="38" fontId="5" fillId="0" borderId="18" xfId="0" applyNumberFormat="1" applyFont="1" applyFill="1" applyBorder="1" applyAlignment="1" applyProtection="1"/>
    <xf numFmtId="38" fontId="5" fillId="0" borderId="16" xfId="0" applyNumberFormat="1" applyFont="1" applyFill="1" applyBorder="1" applyAlignment="1" applyProtection="1">
      <alignment horizontal="right"/>
    </xf>
    <xf numFmtId="181" fontId="5" fillId="0" borderId="0" xfId="0" applyNumberFormat="1" applyFont="1" applyFill="1" applyBorder="1" applyAlignment="1" applyProtection="1">
      <alignment horizontal="center"/>
    </xf>
    <xf numFmtId="181" fontId="5" fillId="0" borderId="19" xfId="0" applyNumberFormat="1" applyFont="1" applyFill="1" applyBorder="1" applyAlignment="1" applyProtection="1">
      <alignment horizontal="center"/>
    </xf>
    <xf numFmtId="38" fontId="5" fillId="0" borderId="16" xfId="0" applyNumberFormat="1" applyFont="1" applyFill="1" applyBorder="1" applyAlignment="1" applyProtection="1"/>
    <xf numFmtId="181" fontId="5" fillId="0" borderId="21" xfId="0" applyNumberFormat="1" applyFont="1" applyFill="1" applyBorder="1" applyAlignment="1" applyProtection="1"/>
    <xf numFmtId="38" fontId="5" fillId="0" borderId="21" xfId="0" applyNumberFormat="1" applyFont="1" applyFill="1" applyBorder="1" applyAlignment="1" applyProtection="1">
      <alignment horizontal="right"/>
    </xf>
    <xf numFmtId="181" fontId="5" fillId="0" borderId="2" xfId="0" applyNumberFormat="1" applyFont="1" applyFill="1" applyBorder="1" applyAlignment="1" applyProtection="1">
      <alignment horizontal="center"/>
    </xf>
    <xf numFmtId="181" fontId="5" fillId="0" borderId="22" xfId="0" applyNumberFormat="1" applyFont="1" applyFill="1" applyBorder="1" applyAlignment="1" applyProtection="1">
      <alignment horizontal="center"/>
    </xf>
    <xf numFmtId="38" fontId="5" fillId="0" borderId="21" xfId="0" applyNumberFormat="1" applyFont="1" applyFill="1" applyBorder="1" applyAlignment="1" applyProtection="1"/>
    <xf numFmtId="181" fontId="5" fillId="0" borderId="56" xfId="0" applyNumberFormat="1" applyFont="1" applyFill="1" applyBorder="1" applyAlignment="1" applyProtection="1">
      <alignment horizontal="center"/>
    </xf>
    <xf numFmtId="181" fontId="5" fillId="0" borderId="57" xfId="0" applyNumberFormat="1" applyFont="1" applyFill="1" applyBorder="1" applyAlignment="1" applyProtection="1">
      <alignment horizontal="center"/>
    </xf>
    <xf numFmtId="181" fontId="6" fillId="0" borderId="62" xfId="0" applyNumberFormat="1" applyFont="1" applyFill="1" applyBorder="1" applyAlignment="1" applyProtection="1"/>
    <xf numFmtId="3" fontId="6" fillId="0" borderId="1" xfId="0" applyNumberFormat="1" applyFont="1" applyFill="1" applyBorder="1" applyAlignment="1" applyProtection="1">
      <alignment horizontal="right" wrapText="1"/>
    </xf>
    <xf numFmtId="181" fontId="6" fillId="0" borderId="1" xfId="0" applyNumberFormat="1" applyFont="1" applyFill="1" applyBorder="1" applyAlignment="1" applyProtection="1">
      <alignment horizontal="center" wrapText="1"/>
    </xf>
    <xf numFmtId="181" fontId="6" fillId="0" borderId="62" xfId="0" applyNumberFormat="1" applyFont="1" applyFill="1" applyBorder="1" applyAlignment="1" applyProtection="1">
      <alignment horizontal="center"/>
    </xf>
    <xf numFmtId="3" fontId="5" fillId="0" borderId="1" xfId="0" applyNumberFormat="1" applyFont="1" applyFill="1" applyBorder="1" applyAlignment="1" applyProtection="1">
      <alignment wrapText="1"/>
    </xf>
    <xf numFmtId="0" fontId="18" fillId="0" borderId="0" xfId="0" applyFont="1" applyBorder="1" applyAlignment="1">
      <alignment horizontal="right" vertical="center" wrapText="1"/>
    </xf>
    <xf numFmtId="0" fontId="0" fillId="0" borderId="0" xfId="0" applyFont="1" applyBorder="1" applyAlignment="1">
      <alignment horizontal="right" vertical="center" wrapText="1"/>
    </xf>
    <xf numFmtId="1" fontId="5" fillId="0" borderId="1" xfId="0" applyNumberFormat="1" applyFont="1" applyFill="1" applyBorder="1" applyAlignment="1" applyProtection="1"/>
    <xf numFmtId="3" fontId="5" fillId="0" borderId="18" xfId="0" applyNumberFormat="1" applyFont="1" applyFill="1" applyBorder="1" applyAlignment="1" applyProtection="1">
      <alignment horizontal="right"/>
    </xf>
    <xf numFmtId="0" fontId="0" fillId="0" borderId="0" xfId="0" applyFont="1" applyAlignment="1">
      <alignment horizontal="right" vertical="center" wrapText="1"/>
    </xf>
    <xf numFmtId="1" fontId="5" fillId="0" borderId="0" xfId="0" applyNumberFormat="1" applyFont="1" applyFill="1" applyAlignment="1">
      <alignment horizontal="right"/>
    </xf>
    <xf numFmtId="3" fontId="5" fillId="0" borderId="16" xfId="0" applyNumberFormat="1" applyFont="1" applyFill="1" applyBorder="1" applyAlignment="1" applyProtection="1">
      <alignment horizontal="right"/>
    </xf>
    <xf numFmtId="0" fontId="81" fillId="0" borderId="0" xfId="0" applyFont="1" applyAlignment="1">
      <alignment horizontal="right" vertical="center" wrapText="1"/>
    </xf>
    <xf numFmtId="0" fontId="79" fillId="0" borderId="0" xfId="0" applyFont="1" applyAlignment="1">
      <alignment horizontal="right" vertical="center" wrapText="1"/>
    </xf>
    <xf numFmtId="1" fontId="5" fillId="0" borderId="0" xfId="0" applyNumberFormat="1" applyFont="1" applyFill="1" applyBorder="1"/>
    <xf numFmtId="1" fontId="5" fillId="0" borderId="0" xfId="0" applyNumberFormat="1" applyFont="1" applyFill="1" applyBorder="1" applyAlignment="1" applyProtection="1"/>
    <xf numFmtId="1" fontId="5" fillId="0" borderId="2" xfId="0" applyNumberFormat="1" applyFont="1" applyFill="1" applyBorder="1" applyAlignment="1" applyProtection="1"/>
    <xf numFmtId="3" fontId="5" fillId="0" borderId="21" xfId="0" applyNumberFormat="1" applyFont="1" applyFill="1" applyBorder="1" applyAlignment="1" applyProtection="1">
      <alignment horizontal="right"/>
    </xf>
    <xf numFmtId="1" fontId="5" fillId="0" borderId="56" xfId="0" applyNumberFormat="1" applyFont="1" applyFill="1" applyBorder="1" applyAlignment="1" applyProtection="1"/>
    <xf numFmtId="181" fontId="5" fillId="0" borderId="58" xfId="0" applyNumberFormat="1" applyFont="1" applyFill="1" applyBorder="1" applyAlignment="1" applyProtection="1">
      <alignment horizontal="center"/>
    </xf>
    <xf numFmtId="3" fontId="5" fillId="0" borderId="67" xfId="0" applyNumberFormat="1" applyFont="1" applyFill="1" applyBorder="1" applyAlignment="1" applyProtection="1"/>
    <xf numFmtId="0" fontId="6" fillId="0" borderId="23" xfId="0" applyFont="1" applyFill="1" applyBorder="1" applyProtection="1"/>
    <xf numFmtId="181" fontId="5" fillId="0" borderId="61" xfId="0" applyNumberFormat="1" applyFont="1" applyFill="1" applyBorder="1" applyAlignment="1" applyProtection="1"/>
    <xf numFmtId="181" fontId="5" fillId="0" borderId="61" xfId="0" applyNumberFormat="1" applyFont="1" applyFill="1" applyBorder="1" applyAlignment="1" applyProtection="1">
      <alignment horizontal="center"/>
    </xf>
    <xf numFmtId="181" fontId="5" fillId="0" borderId="61" xfId="0" applyNumberFormat="1" applyFont="1" applyFill="1" applyBorder="1" applyAlignment="1" applyProtection="1">
      <alignment horizontal="right"/>
    </xf>
    <xf numFmtId="165" fontId="5" fillId="0" borderId="23" xfId="0" applyNumberFormat="1" applyFont="1" applyFill="1" applyBorder="1" applyAlignment="1" applyProtection="1">
      <alignment horizontal="center"/>
    </xf>
    <xf numFmtId="0" fontId="83" fillId="0" borderId="0" xfId="0" applyFont="1" applyFill="1" applyBorder="1" applyAlignment="1" applyProtection="1">
      <alignment vertical="top" wrapText="1"/>
    </xf>
    <xf numFmtId="0" fontId="83" fillId="0" borderId="0" xfId="0" applyFont="1" applyFill="1" applyBorder="1" applyAlignment="1" applyProtection="1">
      <alignment vertical="top"/>
    </xf>
    <xf numFmtId="0" fontId="84" fillId="0" borderId="0" xfId="0" applyFont="1"/>
    <xf numFmtId="0" fontId="85" fillId="0" borderId="0" xfId="0" applyFont="1" applyFill="1" applyProtection="1"/>
    <xf numFmtId="181" fontId="77" fillId="0" borderId="60" xfId="0" applyNumberFormat="1" applyFont="1" applyFill="1" applyBorder="1" applyAlignment="1" applyProtection="1">
      <alignment horizontal="center" wrapText="1"/>
    </xf>
    <xf numFmtId="0" fontId="71" fillId="0" borderId="6" xfId="0" applyFont="1" applyFill="1" applyBorder="1" applyAlignment="1">
      <alignment vertical="center"/>
    </xf>
    <xf numFmtId="0" fontId="73" fillId="0" borderId="6" xfId="0" applyFont="1" applyFill="1" applyBorder="1" applyAlignment="1">
      <alignment vertical="center"/>
    </xf>
    <xf numFmtId="0" fontId="73" fillId="0" borderId="6" xfId="0" applyFont="1" applyFill="1" applyBorder="1" applyAlignment="1">
      <alignment vertical="center" wrapText="1"/>
    </xf>
    <xf numFmtId="16" fontId="73" fillId="0" borderId="6" xfId="0" applyNumberFormat="1" applyFont="1" applyFill="1" applyBorder="1" applyAlignment="1">
      <alignment horizontal="right" vertical="center"/>
    </xf>
    <xf numFmtId="3" fontId="73" fillId="0" borderId="6" xfId="0" applyNumberFormat="1" applyFont="1" applyFill="1" applyBorder="1" applyAlignment="1">
      <alignment horizontal="center" vertical="center" wrapText="1"/>
    </xf>
    <xf numFmtId="18" fontId="73" fillId="0" borderId="6" xfId="0" applyNumberFormat="1" applyFont="1" applyFill="1" applyBorder="1" applyAlignment="1">
      <alignment vertical="center" wrapText="1"/>
    </xf>
    <xf numFmtId="0" fontId="73" fillId="0" borderId="6" xfId="0" applyFont="1" applyFill="1" applyBorder="1" applyAlignment="1">
      <alignment horizontal="center" vertical="center"/>
    </xf>
    <xf numFmtId="0" fontId="70" fillId="0" borderId="6" xfId="0" applyFont="1" applyFill="1" applyBorder="1" applyAlignment="1">
      <alignment horizontal="center" vertical="center"/>
    </xf>
    <xf numFmtId="0" fontId="7" fillId="0" borderId="0" xfId="0" applyFont="1" applyFill="1" applyAlignment="1">
      <alignment horizontal="left" vertical="top" wrapText="1"/>
    </xf>
    <xf numFmtId="0" fontId="5" fillId="0" borderId="0" xfId="0" applyFont="1" applyFill="1" applyAlignment="1">
      <alignment wrapText="1"/>
    </xf>
    <xf numFmtId="0" fontId="35" fillId="0" borderId="0" xfId="2" applyFont="1" applyFill="1" applyBorder="1" applyAlignment="1" applyProtection="1">
      <alignment wrapText="1"/>
    </xf>
    <xf numFmtId="0" fontId="3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3" fontId="7" fillId="0" borderId="19" xfId="0" applyNumberFormat="1" applyFont="1" applyFill="1" applyBorder="1" applyAlignment="1">
      <alignment horizontal="right" vertical="top" wrapText="1"/>
    </xf>
    <xf numFmtId="0" fontId="82" fillId="0" borderId="0" xfId="0" applyNumberFormat="1" applyFont="1" applyFill="1" applyBorder="1" applyAlignment="1" applyProtection="1">
      <alignment vertical="top" wrapText="1" shrinkToFit="1"/>
    </xf>
    <xf numFmtId="0" fontId="83" fillId="0" borderId="0" xfId="0" applyFont="1" applyFill="1" applyBorder="1" applyAlignment="1" applyProtection="1">
      <alignment shrinkToFit="1"/>
    </xf>
    <xf numFmtId="0" fontId="83" fillId="0" borderId="0" xfId="0" applyNumberFormat="1" applyFont="1" applyFill="1" applyBorder="1" applyAlignment="1" applyProtection="1">
      <alignment vertical="top" wrapText="1" shrinkToFit="1"/>
    </xf>
    <xf numFmtId="0" fontId="6" fillId="0" borderId="15" xfId="0" applyFont="1" applyFill="1" applyBorder="1" applyAlignment="1" applyProtection="1">
      <alignment horizontal="center"/>
    </xf>
    <xf numFmtId="0" fontId="6" fillId="0" borderId="14" xfId="0" applyFont="1" applyFill="1" applyBorder="1" applyAlignment="1" applyProtection="1">
      <alignment horizontal="center"/>
    </xf>
    <xf numFmtId="0" fontId="6" fillId="0" borderId="8" xfId="0" applyFont="1" applyFill="1" applyBorder="1" applyAlignment="1" applyProtection="1">
      <alignment horizontal="center"/>
    </xf>
    <xf numFmtId="0" fontId="6" fillId="0" borderId="6" xfId="0" applyFont="1" applyFill="1" applyBorder="1" applyAlignment="1">
      <alignment horizontal="center"/>
    </xf>
    <xf numFmtId="0" fontId="6" fillId="0" borderId="13" xfId="0" applyFont="1" applyFill="1" applyBorder="1" applyAlignment="1">
      <alignment horizontal="center" vertical="center" wrapText="1"/>
    </xf>
    <xf numFmtId="0" fontId="6" fillId="0" borderId="23" xfId="0" applyFont="1" applyFill="1" applyBorder="1" applyAlignment="1">
      <alignment horizontal="center" vertical="center" wrapText="1"/>
    </xf>
    <xf numFmtId="3" fontId="7" fillId="3" borderId="13" xfId="0" applyNumberFormat="1" applyFont="1" applyFill="1" applyBorder="1" applyAlignment="1">
      <alignment horizontal="right" vertical="top" wrapText="1"/>
    </xf>
    <xf numFmtId="3" fontId="7" fillId="3" borderId="23" xfId="0" applyNumberFormat="1" applyFont="1" applyFill="1" applyBorder="1" applyAlignment="1">
      <alignment horizontal="right" vertical="top" wrapText="1"/>
    </xf>
    <xf numFmtId="0" fontId="5" fillId="0" borderId="13" xfId="0" applyFont="1" applyFill="1" applyBorder="1" applyAlignment="1">
      <alignment horizontal="left" vertical="top" wrapText="1"/>
    </xf>
    <xf numFmtId="0" fontId="5" fillId="0" borderId="23" xfId="0" applyFont="1" applyFill="1" applyBorder="1" applyAlignment="1">
      <alignment horizontal="left" vertical="top" wrapText="1"/>
    </xf>
    <xf numFmtId="0" fontId="6" fillId="0" borderId="0" xfId="0" applyNumberFormat="1" applyFont="1" applyFill="1" applyBorder="1" applyAlignment="1">
      <alignment vertical="top" wrapText="1"/>
    </xf>
    <xf numFmtId="0" fontId="6" fillId="0" borderId="0" xfId="0" applyFont="1" applyFill="1" applyBorder="1" applyAlignment="1">
      <alignment vertical="top" wrapText="1"/>
    </xf>
    <xf numFmtId="0" fontId="5" fillId="0" borderId="0" xfId="0" applyFont="1" applyFill="1" applyBorder="1" applyAlignment="1">
      <alignment vertical="top" wrapText="1"/>
    </xf>
    <xf numFmtId="0" fontId="12" fillId="0" borderId="6" xfId="0" applyFont="1" applyFill="1" applyBorder="1" applyAlignment="1">
      <alignment horizontal="center"/>
    </xf>
    <xf numFmtId="0" fontId="11" fillId="0" borderId="0" xfId="0" quotePrefix="1" applyFont="1" applyFill="1" applyAlignment="1">
      <alignment wrapText="1"/>
    </xf>
    <xf numFmtId="0" fontId="11" fillId="0" borderId="0" xfId="0" applyFont="1" applyFill="1" applyAlignment="1">
      <alignment wrapText="1"/>
    </xf>
    <xf numFmtId="0" fontId="13" fillId="0" borderId="0" xfId="0" applyFont="1" applyFill="1" applyAlignment="1">
      <alignment wrapText="1"/>
    </xf>
    <xf numFmtId="0" fontId="67" fillId="0" borderId="0" xfId="0" quotePrefix="1" applyFont="1" applyFill="1" applyBorder="1" applyAlignment="1">
      <alignment horizontal="left" wrapText="1"/>
    </xf>
    <xf numFmtId="0" fontId="70" fillId="0" borderId="0" xfId="0" applyFont="1" applyFill="1" applyBorder="1" applyAlignment="1">
      <alignment wrapText="1"/>
    </xf>
    <xf numFmtId="6" fontId="41" fillId="47" borderId="0" xfId="3" applyNumberFormat="1" applyFont="1" applyFill="1" applyBorder="1" applyAlignment="1">
      <alignment horizontal="center"/>
    </xf>
    <xf numFmtId="6" fontId="41" fillId="47" borderId="19" xfId="3" applyNumberFormat="1" applyFont="1" applyFill="1" applyBorder="1" applyAlignment="1">
      <alignment horizontal="center"/>
    </xf>
    <xf numFmtId="0" fontId="41" fillId="0" borderId="0" xfId="3" applyFont="1" applyFill="1" applyBorder="1" applyAlignment="1">
      <alignment horizontal="left" vertical="top" wrapText="1"/>
    </xf>
    <xf numFmtId="0" fontId="0" fillId="0" borderId="0" xfId="0" applyAlignment="1">
      <alignment wrapText="1"/>
    </xf>
    <xf numFmtId="0" fontId="40" fillId="0" borderId="18" xfId="3" applyFont="1" applyFill="1" applyBorder="1" applyAlignment="1">
      <alignment horizontal="center" vertical="center" wrapText="1"/>
    </xf>
    <xf numFmtId="0" fontId="40" fillId="0" borderId="21" xfId="3" applyFont="1" applyFill="1" applyBorder="1" applyAlignment="1">
      <alignment horizontal="center" vertical="center" wrapText="1"/>
    </xf>
    <xf numFmtId="0" fontId="40" fillId="0" borderId="13" xfId="3" applyFont="1" applyFill="1" applyBorder="1" applyAlignment="1">
      <alignment horizontal="center" vertical="center" wrapText="1"/>
    </xf>
    <xf numFmtId="0" fontId="40" fillId="0" borderId="23" xfId="3" applyFont="1" applyFill="1" applyBorder="1" applyAlignment="1">
      <alignment horizontal="center" vertical="center" wrapText="1"/>
    </xf>
    <xf numFmtId="176" fontId="41" fillId="0" borderId="13" xfId="3" applyNumberFormat="1" applyFont="1" applyFill="1" applyBorder="1" applyAlignment="1">
      <alignment horizontal="center" vertical="center"/>
    </xf>
    <xf numFmtId="176" fontId="41" fillId="0" borderId="20" xfId="3" applyNumberFormat="1" applyFont="1" applyFill="1" applyBorder="1" applyAlignment="1">
      <alignment horizontal="center" vertical="center"/>
    </xf>
    <xf numFmtId="176" fontId="41" fillId="0" borderId="23" xfId="3" applyNumberFormat="1" applyFont="1" applyFill="1" applyBorder="1" applyAlignment="1">
      <alignment horizontal="center" vertical="center"/>
    </xf>
    <xf numFmtId="0" fontId="52" fillId="0" borderId="0" xfId="0" applyFont="1" applyFill="1" applyAlignment="1">
      <alignment horizontal="left" vertical="top" wrapText="1"/>
    </xf>
    <xf numFmtId="0" fontId="0" fillId="0" borderId="0" xfId="0" applyFill="1" applyAlignment="1">
      <alignment wrapText="1"/>
    </xf>
    <xf numFmtId="0" fontId="52" fillId="0" borderId="0" xfId="0" applyFont="1" applyFill="1" applyAlignment="1">
      <alignment vertical="top" wrapText="1"/>
    </xf>
    <xf numFmtId="0" fontId="50" fillId="0" borderId="0" xfId="137" applyFont="1" applyAlignment="1">
      <alignment wrapText="1"/>
    </xf>
    <xf numFmtId="0" fontId="51" fillId="0" borderId="0" xfId="137" applyFont="1" applyFill="1" applyAlignment="1">
      <alignment wrapText="1"/>
    </xf>
    <xf numFmtId="0" fontId="52" fillId="0" borderId="0" xfId="0" applyFont="1" applyFill="1" applyAlignment="1">
      <alignment vertical="center" wrapText="1"/>
    </xf>
  </cellXfs>
  <cellStyles count="143">
    <cellStyle name="20% - Accent1 2" xfId="4"/>
    <cellStyle name="20% - Accent1 3" xfId="5"/>
    <cellStyle name="20% - Accent1 4" xfId="6"/>
    <cellStyle name="20% - Accent1 5" xfId="7"/>
    <cellStyle name="20% - Accent1 6" xfId="8"/>
    <cellStyle name="20% - Accent2 2" xfId="9"/>
    <cellStyle name="20% - Accent2 3" xfId="10"/>
    <cellStyle name="20% - Accent2 4" xfId="11"/>
    <cellStyle name="20% - Accent2 5" xfId="12"/>
    <cellStyle name="20% - Accent2 6" xfId="13"/>
    <cellStyle name="20% - Accent3 2" xfId="14"/>
    <cellStyle name="20% - Accent3 3" xfId="15"/>
    <cellStyle name="20% - Accent3 4" xfId="16"/>
    <cellStyle name="20% - Accent3 5" xfId="17"/>
    <cellStyle name="20% - Accent3 6" xfId="18"/>
    <cellStyle name="20% - Accent4 2" xfId="19"/>
    <cellStyle name="20% - Accent4 3" xfId="20"/>
    <cellStyle name="20% - Accent4 4" xfId="21"/>
    <cellStyle name="20% - Accent4 5" xfId="22"/>
    <cellStyle name="20% - Accent4 6" xfId="23"/>
    <cellStyle name="20% - Accent5 2" xfId="24"/>
    <cellStyle name="20% - Accent5 3" xfId="25"/>
    <cellStyle name="20% - Accent5 4" xfId="26"/>
    <cellStyle name="20% - Accent5 5" xfId="27"/>
    <cellStyle name="20% - Accent5 6" xfId="28"/>
    <cellStyle name="20% - Accent6 2" xfId="29"/>
    <cellStyle name="20% - Accent6 3" xfId="30"/>
    <cellStyle name="20% - Accent6 4" xfId="31"/>
    <cellStyle name="20% - Accent6 5" xfId="32"/>
    <cellStyle name="20% - Accent6 6" xfId="33"/>
    <cellStyle name="40% - Accent1 2" xfId="34"/>
    <cellStyle name="40% - Accent1 3" xfId="35"/>
    <cellStyle name="40% - Accent1 4" xfId="36"/>
    <cellStyle name="40% - Accent1 5" xfId="37"/>
    <cellStyle name="40% - Accent1 6" xfId="38"/>
    <cellStyle name="40% - Accent2 2" xfId="39"/>
    <cellStyle name="40% - Accent2 3" xfId="40"/>
    <cellStyle name="40% - Accent2 4" xfId="41"/>
    <cellStyle name="40% - Accent2 5" xfId="42"/>
    <cellStyle name="40% - Accent2 6" xfId="43"/>
    <cellStyle name="40% - Accent3 2" xfId="44"/>
    <cellStyle name="40% - Accent3 3" xfId="45"/>
    <cellStyle name="40% - Accent3 4" xfId="46"/>
    <cellStyle name="40% - Accent3 5" xfId="47"/>
    <cellStyle name="40% - Accent3 6" xfId="48"/>
    <cellStyle name="40% - Accent4 2" xfId="49"/>
    <cellStyle name="40% - Accent4 3" xfId="50"/>
    <cellStyle name="40% - Accent4 4" xfId="51"/>
    <cellStyle name="40% - Accent4 5" xfId="52"/>
    <cellStyle name="40% - Accent4 6" xfId="53"/>
    <cellStyle name="40% - Accent5 2" xfId="54"/>
    <cellStyle name="40% - Accent5 3" xfId="55"/>
    <cellStyle name="40% - Accent5 4" xfId="56"/>
    <cellStyle name="40% - Accent5 5" xfId="57"/>
    <cellStyle name="40% - Accent5 6" xfId="58"/>
    <cellStyle name="40% - Accent6 2" xfId="59"/>
    <cellStyle name="40% - Accent6 3" xfId="60"/>
    <cellStyle name="40% - Accent6 4" xfId="61"/>
    <cellStyle name="40% - Accent6 5" xfId="62"/>
    <cellStyle name="40% - Accent6 6" xfId="63"/>
    <cellStyle name="Comma" xfId="1" builtinId="3"/>
    <cellStyle name="Comma 2" xfId="134"/>
    <cellStyle name="Currency 2" xfId="135"/>
    <cellStyle name="Currency 3" xfId="139"/>
    <cellStyle name="Hyperlink" xfId="2" builtinId="8"/>
    <cellStyle name="Normal" xfId="0" builtinId="0"/>
    <cellStyle name="Normal 2" xfId="3"/>
    <cellStyle name="Normal 2 2" xfId="64"/>
    <cellStyle name="Normal 2 3" xfId="142"/>
    <cellStyle name="Normal 3" xfId="65"/>
    <cellStyle name="Normal 3 2" xfId="141"/>
    <cellStyle name="Normal 4" xfId="138"/>
    <cellStyle name="Normal 5" xfId="140"/>
    <cellStyle name="Normal_Funding Shift Table Sample" xfId="137"/>
    <cellStyle name="Note 2" xfId="66"/>
    <cellStyle name="Note 3" xfId="67"/>
    <cellStyle name="Note 4" xfId="68"/>
    <cellStyle name="Note 5" xfId="69"/>
    <cellStyle name="Note 6" xfId="70"/>
    <cellStyle name="Percent 2" xfId="136"/>
    <cellStyle name="SAPBEXaggData" xfId="71"/>
    <cellStyle name="SAPBEXaggDataEmph" xfId="72"/>
    <cellStyle name="SAPBEXaggExc1" xfId="73"/>
    <cellStyle name="SAPBEXaggExc1Emph" xfId="74"/>
    <cellStyle name="SAPBEXaggExc2" xfId="75"/>
    <cellStyle name="SAPBEXaggExc2Emph" xfId="76"/>
    <cellStyle name="SAPBEXaggItem" xfId="77"/>
    <cellStyle name="SAPBEXaggItemX" xfId="78"/>
    <cellStyle name="SAPBEXchaText" xfId="79"/>
    <cellStyle name="SAPBEXColoum_Header_SA" xfId="80"/>
    <cellStyle name="SAPBEXexcBad7" xfId="81"/>
    <cellStyle name="SAPBEXexcBad8" xfId="82"/>
    <cellStyle name="SAPBEXexcBad9" xfId="83"/>
    <cellStyle name="SAPBEXexcCritical4" xfId="84"/>
    <cellStyle name="SAPBEXexcCritical5" xfId="85"/>
    <cellStyle name="SAPBEXexcCritical6" xfId="86"/>
    <cellStyle name="SAPBEXexcGood1" xfId="87"/>
    <cellStyle name="SAPBEXexcGood2" xfId="88"/>
    <cellStyle name="SAPBEXexcGood3" xfId="89"/>
    <cellStyle name="SAPBEXfilterDrill" xfId="90"/>
    <cellStyle name="SAPBEXfilterItem" xfId="91"/>
    <cellStyle name="SAPBEXfilterText" xfId="92"/>
    <cellStyle name="SAPBEXformats" xfId="93"/>
    <cellStyle name="SAPBEXheaderData" xfId="94"/>
    <cellStyle name="SAPBEXheaderItem" xfId="95"/>
    <cellStyle name="SAPBEXheaderText" xfId="96"/>
    <cellStyle name="SAPBEXHLevel0" xfId="97"/>
    <cellStyle name="SAPBEXHLevel0X" xfId="98"/>
    <cellStyle name="SAPBEXHLevel1" xfId="99"/>
    <cellStyle name="SAPBEXHLevel1X" xfId="100"/>
    <cellStyle name="SAPBEXHLevel2" xfId="101"/>
    <cellStyle name="SAPBEXHLevel2X" xfId="102"/>
    <cellStyle name="SAPBEXHLevel3" xfId="103"/>
    <cellStyle name="SAPBEXHLevel3X" xfId="104"/>
    <cellStyle name="SAPBEXresData" xfId="105"/>
    <cellStyle name="SAPBEXresDataEmph" xfId="106"/>
    <cellStyle name="SAPBEXresExc1" xfId="107"/>
    <cellStyle name="SAPBEXresExc1Emph" xfId="108"/>
    <cellStyle name="SAPBEXresExc2" xfId="109"/>
    <cellStyle name="SAPBEXresExc2Emph" xfId="110"/>
    <cellStyle name="SAPBEXresItem" xfId="111"/>
    <cellStyle name="SAPBEXresItemX" xfId="112"/>
    <cellStyle name="SAPBEXRow_Headings_SA" xfId="113"/>
    <cellStyle name="SAPBEXRowResults_SA" xfId="114"/>
    <cellStyle name="SAPBEXstdData" xfId="115"/>
    <cellStyle name="SAPBEXstdData 2" xfId="116"/>
    <cellStyle name="SAPBEXstdDataEmph" xfId="117"/>
    <cellStyle name="SAPBEXstdExc1" xfId="118"/>
    <cellStyle name="SAPBEXstdExc1Emph" xfId="119"/>
    <cellStyle name="SAPBEXstdExc2" xfId="120"/>
    <cellStyle name="SAPBEXstdExc2Emph" xfId="121"/>
    <cellStyle name="SAPBEXstdItem" xfId="122"/>
    <cellStyle name="SAPBEXstdItemX" xfId="123"/>
    <cellStyle name="SAPBEXstdItemX 2" xfId="124"/>
    <cellStyle name="SAPBEXsubData" xfId="125"/>
    <cellStyle name="SAPBEXsubDataEmph" xfId="126"/>
    <cellStyle name="SAPBEXsubExc1" xfId="127"/>
    <cellStyle name="SAPBEXsubExc1Emph" xfId="128"/>
    <cellStyle name="SAPBEXsubExc2" xfId="129"/>
    <cellStyle name="SAPBEXsubExc2Emph" xfId="130"/>
    <cellStyle name="SAPBEXsubItem" xfId="131"/>
    <cellStyle name="SAPBEXtitle" xfId="132"/>
    <cellStyle name="SAPBEXundefined" xfId="13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0</xdr:rowOff>
    </xdr:from>
    <xdr:to>
      <xdr:col>3</xdr:col>
      <xdr:colOff>314325</xdr:colOff>
      <xdr:row>40</xdr:row>
      <xdr:rowOff>76200</xdr:rowOff>
    </xdr:to>
    <xdr:pic>
      <xdr:nvPicPr>
        <xdr:cNvPr id="2" name="Picture 2" descr="pgenotag222_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24575"/>
          <a:ext cx="21431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WINDOWS/Temporary%20Internet%20Files/Content.Outlook/2OJJSW81/DR%20and%20SmartAC%20Feburary%20YTD%20Actua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orary%20Internet%20Files\Content.Outlook\2OJJSW81\DR%20and%20SmartAC%20Feburary%20YTD%20Actu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ge.com/mybusiness/energysavingsrebates/demandresponse/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abSelected="1" view="pageLayout" topLeftCell="E17" zoomScaleNormal="100" workbookViewId="0">
      <selection activeCell="K21" sqref="K21"/>
    </sheetView>
  </sheetViews>
  <sheetFormatPr defaultColWidth="9.453125" defaultRowHeight="12.5" x14ac:dyDescent="0.25"/>
  <cols>
    <col min="1" max="10" width="9.453125" style="105"/>
    <col min="11" max="11" width="28.453125" style="105" customWidth="1"/>
    <col min="12" max="16384" width="9.453125" style="105"/>
  </cols>
  <sheetData>
    <row r="1" spans="1:11" ht="12.75" x14ac:dyDescent="0.2">
      <c r="A1" s="180"/>
      <c r="B1" s="180"/>
      <c r="C1" s="180"/>
      <c r="D1" s="180"/>
      <c r="E1" s="180"/>
      <c r="F1" s="180"/>
      <c r="G1" s="180"/>
      <c r="H1" s="180"/>
      <c r="I1" s="180"/>
      <c r="J1" s="180"/>
      <c r="K1" s="180"/>
    </row>
    <row r="2" spans="1:11" ht="12.75" x14ac:dyDescent="0.2">
      <c r="A2" s="113"/>
      <c r="B2" s="113"/>
      <c r="C2" s="113"/>
      <c r="D2" s="113"/>
      <c r="E2" s="113"/>
      <c r="F2" s="113"/>
      <c r="G2" s="113"/>
      <c r="H2" s="113"/>
      <c r="I2" s="113"/>
      <c r="J2" s="113"/>
      <c r="K2" s="113"/>
    </row>
    <row r="3" spans="1:11" ht="12.75" x14ac:dyDescent="0.2">
      <c r="A3" s="113"/>
      <c r="B3" s="113"/>
      <c r="C3" s="113"/>
      <c r="D3" s="113"/>
      <c r="E3" s="113"/>
      <c r="F3" s="113"/>
      <c r="G3" s="113"/>
      <c r="H3" s="113"/>
      <c r="I3" s="113"/>
      <c r="J3" s="113"/>
      <c r="K3" s="113"/>
    </row>
    <row r="4" spans="1:11" ht="12.75" x14ac:dyDescent="0.2">
      <c r="A4" s="113"/>
      <c r="B4" s="113"/>
      <c r="C4" s="113"/>
      <c r="D4" s="113"/>
      <c r="E4" s="113"/>
      <c r="F4" s="113"/>
      <c r="G4" s="113"/>
      <c r="H4" s="113"/>
      <c r="I4" s="113"/>
      <c r="J4" s="113"/>
      <c r="K4" s="113"/>
    </row>
    <row r="5" spans="1:11" ht="12.75" x14ac:dyDescent="0.2">
      <c r="A5" s="113"/>
      <c r="B5" s="113"/>
      <c r="C5" s="113"/>
      <c r="D5" s="113"/>
      <c r="E5" s="113"/>
      <c r="F5" s="113"/>
      <c r="G5" s="113"/>
      <c r="H5" s="113"/>
      <c r="I5" s="113"/>
      <c r="J5" s="113"/>
      <c r="K5" s="113"/>
    </row>
    <row r="6" spans="1:11" ht="12.75" x14ac:dyDescent="0.2">
      <c r="A6" s="113"/>
      <c r="B6" s="113"/>
      <c r="C6" s="113"/>
      <c r="D6" s="113"/>
      <c r="E6" s="113"/>
      <c r="F6" s="113"/>
      <c r="G6" s="113"/>
      <c r="H6" s="113"/>
      <c r="I6" s="113"/>
      <c r="J6" s="113"/>
      <c r="K6" s="113"/>
    </row>
    <row r="7" spans="1:11" ht="12.75" x14ac:dyDescent="0.2">
      <c r="A7" s="113"/>
      <c r="B7" s="113"/>
      <c r="C7" s="113"/>
      <c r="D7" s="113"/>
      <c r="E7" s="113"/>
      <c r="F7" s="113"/>
      <c r="G7" s="113"/>
      <c r="H7" s="113"/>
      <c r="I7" s="113"/>
      <c r="J7" s="113"/>
      <c r="K7" s="113"/>
    </row>
    <row r="8" spans="1:11" ht="12.75" x14ac:dyDescent="0.2">
      <c r="A8" s="113"/>
      <c r="B8" s="113"/>
      <c r="C8" s="113"/>
      <c r="D8" s="113"/>
      <c r="E8" s="113"/>
      <c r="F8" s="113"/>
      <c r="G8" s="113"/>
      <c r="H8" s="113"/>
      <c r="I8" s="113"/>
      <c r="J8" s="113"/>
      <c r="K8" s="113"/>
    </row>
    <row r="9" spans="1:11" ht="12.75" x14ac:dyDescent="0.2">
      <c r="A9" s="113"/>
      <c r="B9" s="113"/>
      <c r="C9" s="113"/>
      <c r="D9" s="113"/>
      <c r="E9" s="113"/>
      <c r="F9" s="113"/>
      <c r="G9" s="113"/>
      <c r="H9" s="113"/>
      <c r="I9" s="113"/>
      <c r="J9" s="113"/>
      <c r="K9" s="113"/>
    </row>
    <row r="10" spans="1:11" ht="12.75" x14ac:dyDescent="0.2">
      <c r="A10" s="113"/>
      <c r="B10" s="113"/>
      <c r="C10" s="113"/>
      <c r="D10" s="113"/>
      <c r="E10" s="113"/>
      <c r="F10" s="113"/>
      <c r="G10" s="113"/>
      <c r="H10" s="113"/>
      <c r="I10" s="113"/>
      <c r="J10" s="113"/>
      <c r="K10" s="113"/>
    </row>
    <row r="11" spans="1:11" ht="12.75" x14ac:dyDescent="0.2">
      <c r="A11" s="113"/>
      <c r="B11" s="113"/>
      <c r="C11" s="113"/>
      <c r="D11" s="113"/>
      <c r="E11" s="113"/>
      <c r="F11" s="113"/>
      <c r="G11" s="113"/>
      <c r="H11" s="113"/>
      <c r="I11" s="113"/>
      <c r="J11" s="113"/>
      <c r="K11" s="113"/>
    </row>
    <row r="12" spans="1:11" ht="12.75" x14ac:dyDescent="0.2">
      <c r="A12" s="113"/>
      <c r="B12" s="113"/>
      <c r="C12" s="113"/>
      <c r="D12" s="113"/>
      <c r="E12" s="113"/>
      <c r="F12" s="113"/>
      <c r="G12" s="113"/>
      <c r="H12" s="113"/>
      <c r="I12" s="113"/>
      <c r="J12" s="113"/>
      <c r="K12" s="113"/>
    </row>
    <row r="13" spans="1:11" ht="12.75" x14ac:dyDescent="0.2">
      <c r="A13" s="113"/>
      <c r="B13" s="113"/>
      <c r="C13" s="113"/>
      <c r="D13" s="113"/>
      <c r="E13" s="113"/>
      <c r="F13" s="113"/>
      <c r="G13" s="113"/>
      <c r="H13" s="113"/>
      <c r="I13" s="113"/>
      <c r="J13" s="113"/>
      <c r="K13" s="113"/>
    </row>
    <row r="14" spans="1:11" ht="12.75" x14ac:dyDescent="0.2">
      <c r="A14" s="113"/>
      <c r="B14" s="113"/>
      <c r="C14" s="113"/>
      <c r="D14" s="113"/>
      <c r="E14" s="113"/>
      <c r="F14" s="113"/>
      <c r="G14" s="113"/>
      <c r="H14" s="113"/>
      <c r="I14" s="113"/>
      <c r="J14" s="113"/>
      <c r="K14" s="113"/>
    </row>
    <row r="15" spans="1:11" ht="12.75" x14ac:dyDescent="0.2">
      <c r="A15" s="113"/>
      <c r="B15" s="113"/>
      <c r="C15" s="113"/>
      <c r="D15" s="113"/>
      <c r="E15" s="113"/>
      <c r="F15" s="113"/>
      <c r="G15" s="113"/>
      <c r="H15" s="113"/>
      <c r="I15" s="113"/>
      <c r="J15" s="113"/>
      <c r="K15" s="113"/>
    </row>
    <row r="16" spans="1:11" ht="12.75" x14ac:dyDescent="0.2">
      <c r="A16" s="113"/>
      <c r="B16" s="113"/>
      <c r="C16" s="113"/>
      <c r="D16" s="113"/>
      <c r="E16" s="113"/>
      <c r="F16" s="113"/>
      <c r="G16" s="113"/>
      <c r="H16" s="113"/>
      <c r="I16" s="113"/>
      <c r="J16" s="113"/>
      <c r="K16" s="113"/>
    </row>
    <row r="17" spans="1:11" ht="12.75" x14ac:dyDescent="0.2">
      <c r="A17" s="113"/>
      <c r="B17" s="113"/>
      <c r="C17" s="113"/>
      <c r="D17" s="113"/>
      <c r="E17" s="113"/>
      <c r="F17" s="113"/>
      <c r="G17" s="113"/>
      <c r="H17" s="113"/>
      <c r="I17" s="113"/>
      <c r="J17" s="113"/>
      <c r="K17" s="113"/>
    </row>
    <row r="18" spans="1:11" ht="12.75" x14ac:dyDescent="0.2">
      <c r="A18" s="113"/>
      <c r="B18" s="113"/>
      <c r="C18" s="113"/>
      <c r="D18" s="113"/>
      <c r="E18" s="113"/>
      <c r="F18" s="113"/>
      <c r="G18" s="113"/>
      <c r="H18" s="113"/>
      <c r="I18" s="113"/>
      <c r="J18" s="113"/>
      <c r="K18" s="113"/>
    </row>
    <row r="19" spans="1:11" ht="12.75" x14ac:dyDescent="0.2">
      <c r="A19" s="113"/>
      <c r="B19" s="113"/>
      <c r="C19" s="113"/>
      <c r="D19" s="113"/>
      <c r="E19" s="113"/>
      <c r="F19" s="113"/>
      <c r="G19" s="113"/>
      <c r="H19" s="113"/>
      <c r="I19" s="113"/>
      <c r="J19" s="113"/>
      <c r="K19" s="113"/>
    </row>
    <row r="20" spans="1:11" ht="18" x14ac:dyDescent="0.25">
      <c r="A20" s="113"/>
      <c r="B20" s="113"/>
      <c r="C20" s="113"/>
      <c r="D20" s="113"/>
      <c r="E20" s="113"/>
      <c r="F20" s="113"/>
      <c r="G20" s="113"/>
      <c r="H20" s="113"/>
      <c r="I20" s="113"/>
      <c r="J20" s="113"/>
      <c r="K20" s="1" t="s">
        <v>0</v>
      </c>
    </row>
    <row r="21" spans="1:11" ht="18" x14ac:dyDescent="0.25">
      <c r="A21" s="113"/>
      <c r="B21" s="113"/>
      <c r="C21" s="113"/>
      <c r="D21" s="113"/>
      <c r="E21" s="113"/>
      <c r="F21" s="113"/>
      <c r="G21" s="113"/>
      <c r="H21" s="113"/>
      <c r="I21" s="113"/>
      <c r="J21" s="113"/>
      <c r="K21" s="1" t="s">
        <v>256</v>
      </c>
    </row>
    <row r="22" spans="1:11" ht="12.75" x14ac:dyDescent="0.2">
      <c r="A22" s="113"/>
      <c r="B22" s="113"/>
      <c r="C22" s="113"/>
      <c r="D22" s="113"/>
      <c r="E22" s="113"/>
      <c r="F22" s="113"/>
      <c r="G22" s="113"/>
      <c r="H22" s="113"/>
      <c r="I22" s="113"/>
      <c r="J22" s="113"/>
      <c r="K22" s="113"/>
    </row>
    <row r="23" spans="1:11" ht="12.75" x14ac:dyDescent="0.2">
      <c r="A23" s="113"/>
      <c r="B23" s="113"/>
      <c r="C23" s="113"/>
      <c r="D23" s="113"/>
      <c r="E23" s="113"/>
      <c r="F23" s="113"/>
      <c r="G23" s="113"/>
      <c r="H23" s="113"/>
      <c r="I23" s="113"/>
      <c r="J23" s="113"/>
      <c r="K23" s="113"/>
    </row>
    <row r="24" spans="1:11" ht="12.75" x14ac:dyDescent="0.2">
      <c r="A24" s="113"/>
      <c r="B24" s="113"/>
      <c r="C24" s="113"/>
      <c r="D24" s="113"/>
      <c r="E24" s="113"/>
      <c r="F24" s="113"/>
      <c r="G24" s="113"/>
      <c r="H24" s="113"/>
      <c r="I24" s="113"/>
      <c r="J24" s="113"/>
      <c r="K24" s="113"/>
    </row>
    <row r="25" spans="1:11" ht="12.75" x14ac:dyDescent="0.2">
      <c r="A25" s="113"/>
      <c r="B25" s="113"/>
      <c r="C25" s="113"/>
      <c r="D25" s="113"/>
      <c r="E25" s="113"/>
      <c r="F25" s="113"/>
      <c r="G25" s="113"/>
      <c r="H25" s="113"/>
      <c r="I25" s="113"/>
      <c r="J25" s="113"/>
      <c r="K25" s="113"/>
    </row>
    <row r="26" spans="1:11" ht="12.75" x14ac:dyDescent="0.2">
      <c r="A26" s="113"/>
      <c r="B26" s="113"/>
      <c r="C26" s="113"/>
      <c r="D26" s="113"/>
      <c r="E26" s="113"/>
      <c r="F26" s="113"/>
      <c r="G26" s="113"/>
      <c r="H26" s="113"/>
      <c r="I26" s="113"/>
      <c r="J26" s="113"/>
      <c r="K26" s="113"/>
    </row>
    <row r="27" spans="1:11" ht="12.75" x14ac:dyDescent="0.2">
      <c r="A27" s="113"/>
      <c r="B27" s="113"/>
      <c r="C27" s="113"/>
      <c r="D27" s="113"/>
      <c r="E27" s="113"/>
      <c r="F27" s="113"/>
      <c r="G27" s="113"/>
      <c r="H27" s="113"/>
      <c r="I27" s="113"/>
      <c r="J27" s="113"/>
      <c r="K27" s="113"/>
    </row>
    <row r="28" spans="1:11" ht="12.75" x14ac:dyDescent="0.2">
      <c r="A28" s="113"/>
      <c r="B28" s="113"/>
      <c r="C28" s="113"/>
      <c r="D28" s="113"/>
      <c r="E28" s="113"/>
      <c r="F28" s="113"/>
      <c r="G28" s="113"/>
      <c r="H28" s="113"/>
      <c r="I28" s="113"/>
      <c r="J28" s="113"/>
      <c r="K28" s="113"/>
    </row>
    <row r="29" spans="1:11" ht="12.75" x14ac:dyDescent="0.2">
      <c r="A29" s="113"/>
      <c r="B29" s="113"/>
      <c r="C29" s="113"/>
      <c r="D29" s="113"/>
      <c r="E29" s="113"/>
      <c r="F29" s="113"/>
      <c r="G29" s="113"/>
      <c r="H29" s="113"/>
      <c r="I29" s="113"/>
      <c r="J29" s="113"/>
      <c r="K29" s="113"/>
    </row>
    <row r="30" spans="1:11" ht="12.75" x14ac:dyDescent="0.2">
      <c r="A30" s="113"/>
      <c r="B30" s="113"/>
      <c r="C30" s="113"/>
      <c r="D30" s="113"/>
      <c r="E30" s="113"/>
      <c r="F30" s="113"/>
      <c r="G30" s="113"/>
      <c r="H30" s="113"/>
      <c r="I30" s="113"/>
      <c r="J30" s="113"/>
      <c r="K30" s="113"/>
    </row>
    <row r="31" spans="1:11" ht="12.75" x14ac:dyDescent="0.2">
      <c r="A31" s="113"/>
      <c r="B31" s="113"/>
      <c r="C31" s="113"/>
      <c r="D31" s="113"/>
      <c r="E31" s="113"/>
      <c r="F31" s="113"/>
      <c r="G31" s="113"/>
      <c r="H31" s="113"/>
      <c r="I31" s="113"/>
      <c r="J31" s="113"/>
      <c r="K31" s="113"/>
    </row>
    <row r="32" spans="1:11" ht="12.75" x14ac:dyDescent="0.2">
      <c r="A32" s="113"/>
      <c r="B32" s="113"/>
      <c r="C32" s="113"/>
      <c r="D32" s="113"/>
      <c r="E32" s="113"/>
      <c r="F32" s="113"/>
      <c r="G32" s="113"/>
      <c r="H32" s="113"/>
      <c r="I32" s="113"/>
      <c r="J32" s="113"/>
      <c r="K32" s="113"/>
    </row>
    <row r="33" spans="1:11" ht="12.75" x14ac:dyDescent="0.2">
      <c r="A33" s="113"/>
      <c r="B33" s="113"/>
      <c r="C33" s="113"/>
      <c r="D33" s="113"/>
      <c r="E33" s="113"/>
      <c r="F33" s="113"/>
      <c r="G33" s="113"/>
      <c r="H33" s="113"/>
      <c r="I33" s="113"/>
      <c r="J33" s="113"/>
      <c r="K33" s="113"/>
    </row>
    <row r="34" spans="1:11" ht="12.75" x14ac:dyDescent="0.2">
      <c r="A34" s="113"/>
      <c r="B34" s="113"/>
      <c r="C34" s="113"/>
      <c r="D34" s="113"/>
      <c r="E34" s="113"/>
      <c r="F34" s="113"/>
      <c r="G34" s="113"/>
      <c r="H34" s="113"/>
      <c r="I34" s="113"/>
      <c r="J34" s="113"/>
      <c r="K34" s="113"/>
    </row>
    <row r="35" spans="1:11" ht="12.75" x14ac:dyDescent="0.2">
      <c r="A35" s="113"/>
      <c r="B35" s="113"/>
      <c r="C35" s="113"/>
      <c r="D35" s="113"/>
      <c r="E35" s="113"/>
      <c r="F35" s="113"/>
      <c r="G35" s="113"/>
      <c r="H35" s="113"/>
      <c r="I35" s="113"/>
      <c r="J35" s="113"/>
      <c r="K35" s="113"/>
    </row>
    <row r="36" spans="1:11" ht="12.75" x14ac:dyDescent="0.2">
      <c r="A36" s="113"/>
      <c r="B36" s="113"/>
      <c r="C36" s="113"/>
      <c r="D36" s="113"/>
      <c r="E36" s="113"/>
      <c r="F36" s="113"/>
      <c r="G36" s="113"/>
      <c r="H36" s="113"/>
      <c r="I36" s="113"/>
      <c r="J36" s="113"/>
      <c r="K36" s="113"/>
    </row>
    <row r="37" spans="1:11" ht="12.75" x14ac:dyDescent="0.2">
      <c r="A37" s="113"/>
      <c r="B37" s="113"/>
      <c r="C37" s="113"/>
      <c r="D37" s="113"/>
      <c r="E37" s="113"/>
      <c r="F37" s="113"/>
      <c r="G37" s="113"/>
      <c r="H37" s="113"/>
      <c r="I37" s="113"/>
      <c r="J37" s="113"/>
      <c r="K37" s="113"/>
    </row>
    <row r="38" spans="1:11" ht="12.75" x14ac:dyDescent="0.2">
      <c r="A38" s="113"/>
      <c r="B38" s="113"/>
      <c r="C38" s="113"/>
      <c r="D38" s="113"/>
      <c r="E38" s="113"/>
      <c r="F38" s="113"/>
      <c r="G38" s="113"/>
      <c r="H38" s="113"/>
      <c r="I38" s="113"/>
      <c r="J38" s="113"/>
      <c r="K38" s="113"/>
    </row>
    <row r="39" spans="1:11" x14ac:dyDescent="0.25">
      <c r="A39" s="113"/>
      <c r="B39" s="113"/>
      <c r="C39" s="113"/>
      <c r="D39" s="113"/>
      <c r="E39" s="113"/>
      <c r="F39" s="113"/>
      <c r="G39" s="113"/>
      <c r="H39" s="113"/>
      <c r="I39" s="113"/>
      <c r="J39" s="113"/>
      <c r="K39" s="113"/>
    </row>
    <row r="40" spans="1:11" ht="15.5" x14ac:dyDescent="0.25">
      <c r="A40" s="113"/>
      <c r="B40" s="113"/>
      <c r="C40" s="113"/>
      <c r="D40" s="113"/>
      <c r="E40" s="113"/>
      <c r="F40" s="113"/>
      <c r="G40" s="113"/>
      <c r="H40" s="113"/>
      <c r="I40" s="113"/>
      <c r="J40" s="113"/>
      <c r="K40" s="411">
        <v>41507</v>
      </c>
    </row>
    <row r="41" spans="1:11" x14ac:dyDescent="0.25">
      <c r="A41" s="116"/>
      <c r="B41" s="116"/>
      <c r="C41" s="116"/>
      <c r="D41" s="116"/>
      <c r="E41" s="116"/>
      <c r="F41" s="116"/>
      <c r="G41" s="116"/>
      <c r="H41" s="116"/>
      <c r="I41" s="116"/>
      <c r="J41" s="116"/>
      <c r="K41" s="399"/>
    </row>
  </sheetData>
  <sheetProtection password="C511" sheet="1" objects="1" scenarios="1"/>
  <printOptions horizontalCentered="1"/>
  <pageMargins left="0" right="0" top="0.93" bottom="0.25" header="0.13" footer="0.1"/>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zoomScale="85" zoomScaleNormal="85" workbookViewId="0">
      <selection activeCell="A3" sqref="A3"/>
    </sheetView>
  </sheetViews>
  <sheetFormatPr defaultColWidth="9.453125" defaultRowHeight="12.5" x14ac:dyDescent="0.25"/>
  <cols>
    <col min="1" max="10" width="9.453125" style="105"/>
    <col min="11" max="11" width="33.54296875" style="105" customWidth="1"/>
    <col min="12" max="16384" width="9.453125" style="105"/>
  </cols>
  <sheetData>
    <row r="1" spans="1:11" ht="12.75" x14ac:dyDescent="0.2">
      <c r="A1" s="180"/>
      <c r="B1" s="180"/>
      <c r="C1" s="180"/>
      <c r="D1" s="180"/>
      <c r="E1" s="180"/>
      <c r="F1" s="180"/>
      <c r="G1" s="180"/>
      <c r="H1" s="180"/>
      <c r="I1" s="180"/>
      <c r="J1" s="180"/>
      <c r="K1" s="180"/>
    </row>
    <row r="2" spans="1:11" ht="12.75" x14ac:dyDescent="0.2">
      <c r="A2" s="113"/>
      <c r="B2" s="113"/>
      <c r="C2" s="113"/>
      <c r="D2" s="113"/>
      <c r="E2" s="113"/>
      <c r="F2" s="113"/>
      <c r="G2" s="113"/>
      <c r="H2" s="113"/>
      <c r="I2" s="113"/>
      <c r="J2" s="113"/>
      <c r="K2" s="113"/>
    </row>
    <row r="3" spans="1:11" ht="12.75" x14ac:dyDescent="0.2">
      <c r="A3" s="113"/>
      <c r="B3" s="113"/>
      <c r="C3" s="113"/>
      <c r="D3" s="113"/>
      <c r="E3" s="113"/>
      <c r="F3" s="113"/>
      <c r="G3" s="113"/>
      <c r="H3" s="113"/>
      <c r="I3" s="113"/>
      <c r="J3" s="113"/>
      <c r="K3" s="113"/>
    </row>
    <row r="4" spans="1:11" s="404" customFormat="1" ht="51" customHeight="1" x14ac:dyDescent="0.25">
      <c r="A4" s="671" t="s">
        <v>257</v>
      </c>
      <c r="B4" s="672"/>
      <c r="C4" s="672"/>
      <c r="D4" s="672"/>
      <c r="E4" s="672"/>
      <c r="F4" s="672"/>
      <c r="G4" s="672"/>
      <c r="H4" s="672"/>
      <c r="I4" s="672"/>
      <c r="J4" s="672"/>
      <c r="K4" s="672"/>
    </row>
    <row r="5" spans="1:11" ht="14.25" x14ac:dyDescent="0.2">
      <c r="A5" s="670" t="s">
        <v>2</v>
      </c>
      <c r="B5" s="670"/>
      <c r="C5" s="670"/>
      <c r="D5" s="670"/>
      <c r="E5" s="670"/>
      <c r="F5" s="670"/>
      <c r="G5" s="670"/>
      <c r="H5" s="670"/>
      <c r="I5" s="670"/>
      <c r="J5" s="670"/>
      <c r="K5" s="670"/>
    </row>
    <row r="6" spans="1:11" ht="12.75" x14ac:dyDescent="0.2">
      <c r="A6" s="113"/>
      <c r="B6" s="113"/>
      <c r="C6" s="113"/>
      <c r="D6" s="113"/>
      <c r="E6" s="113"/>
      <c r="F6" s="113"/>
      <c r="G6" s="113"/>
      <c r="H6" s="113"/>
      <c r="I6" s="113"/>
      <c r="J6" s="113"/>
      <c r="K6" s="113"/>
    </row>
    <row r="7" spans="1:11" s="417" customFormat="1" ht="28.5" customHeight="1" x14ac:dyDescent="0.2">
      <c r="A7" s="418" t="s">
        <v>261</v>
      </c>
      <c r="B7" s="416"/>
      <c r="C7" s="416"/>
      <c r="D7" s="416"/>
      <c r="E7" s="416"/>
      <c r="F7" s="416"/>
      <c r="G7" s="416"/>
      <c r="H7" s="416"/>
      <c r="I7" s="416"/>
      <c r="J7" s="416"/>
      <c r="K7" s="416"/>
    </row>
    <row r="8" spans="1:11" ht="12.75" x14ac:dyDescent="0.2">
      <c r="A8" s="113"/>
      <c r="B8" s="113"/>
      <c r="C8" s="113"/>
      <c r="D8" s="113"/>
      <c r="E8" s="113"/>
      <c r="F8" s="113"/>
      <c r="G8" s="113"/>
      <c r="H8" s="113"/>
      <c r="I8" s="113"/>
      <c r="J8" s="113"/>
      <c r="K8" s="113"/>
    </row>
    <row r="9" spans="1:11" ht="12.75" x14ac:dyDescent="0.2">
      <c r="A9" s="668" t="s">
        <v>1</v>
      </c>
      <c r="B9" s="669"/>
      <c r="C9" s="669"/>
      <c r="D9" s="669"/>
      <c r="E9" s="669"/>
      <c r="F9" s="669"/>
      <c r="G9" s="669"/>
      <c r="H9" s="669"/>
      <c r="I9" s="669"/>
      <c r="J9" s="669"/>
      <c r="K9" s="669"/>
    </row>
    <row r="10" spans="1:11" ht="12.75" x14ac:dyDescent="0.2">
      <c r="A10" s="113"/>
      <c r="B10" s="113"/>
      <c r="C10" s="113"/>
      <c r="D10" s="113"/>
      <c r="E10" s="113"/>
      <c r="F10" s="113"/>
      <c r="G10" s="113"/>
      <c r="H10" s="113"/>
      <c r="I10" s="113"/>
      <c r="J10" s="113"/>
      <c r="K10" s="113"/>
    </row>
    <row r="12" spans="1:11" ht="15" x14ac:dyDescent="0.2">
      <c r="A12" s="258" t="s">
        <v>1</v>
      </c>
      <c r="B12" s="113"/>
      <c r="C12" s="113"/>
      <c r="D12" s="113"/>
      <c r="E12" s="113"/>
      <c r="F12" s="113"/>
      <c r="G12" s="113"/>
      <c r="H12" s="113"/>
      <c r="I12" s="113"/>
      <c r="J12" s="113"/>
      <c r="K12" s="113"/>
    </row>
    <row r="14" spans="1:11" ht="12.75" x14ac:dyDescent="0.2">
      <c r="A14" s="113"/>
      <c r="B14" s="113"/>
      <c r="C14" s="113"/>
      <c r="D14" s="113"/>
      <c r="E14" s="113"/>
      <c r="F14" s="113"/>
      <c r="G14" s="113"/>
      <c r="H14" s="113"/>
      <c r="I14" s="113"/>
      <c r="J14" s="113"/>
      <c r="K14" s="113"/>
    </row>
    <row r="15" spans="1:11" ht="12.75" x14ac:dyDescent="0.2">
      <c r="A15" s="113"/>
      <c r="B15" s="113"/>
      <c r="C15" s="113"/>
      <c r="D15" s="113"/>
      <c r="E15" s="113"/>
      <c r="F15" s="113"/>
      <c r="G15" s="113"/>
      <c r="H15" s="113"/>
      <c r="I15" s="113"/>
      <c r="J15" s="113"/>
      <c r="K15" s="113"/>
    </row>
    <row r="16" spans="1:11" ht="12.75" x14ac:dyDescent="0.2">
      <c r="A16" s="113"/>
      <c r="B16" s="113"/>
      <c r="C16" s="113"/>
      <c r="D16" s="113"/>
      <c r="E16" s="113"/>
      <c r="F16" s="113"/>
      <c r="G16" s="113"/>
      <c r="H16" s="113"/>
      <c r="I16" s="113"/>
      <c r="J16" s="113"/>
      <c r="K16" s="113"/>
    </row>
    <row r="17" spans="1:11" ht="12.75" x14ac:dyDescent="0.2">
      <c r="A17" s="113"/>
      <c r="B17" s="113"/>
      <c r="C17" s="113"/>
      <c r="D17" s="113"/>
      <c r="E17" s="113"/>
      <c r="F17" s="113"/>
      <c r="G17" s="113"/>
      <c r="H17" s="113"/>
      <c r="I17" s="113"/>
      <c r="J17" s="113"/>
      <c r="K17" s="113"/>
    </row>
    <row r="18" spans="1:11" ht="18" x14ac:dyDescent="0.25">
      <c r="A18" s="113"/>
      <c r="B18" s="113"/>
      <c r="C18" s="113"/>
      <c r="D18" s="113"/>
      <c r="E18" s="113"/>
      <c r="F18" s="113"/>
      <c r="G18" s="113"/>
      <c r="H18" s="113"/>
      <c r="I18" s="113"/>
      <c r="J18" s="113"/>
      <c r="K18" s="378"/>
    </row>
    <row r="19" spans="1:11" ht="12.75" x14ac:dyDescent="0.2">
      <c r="A19" s="113"/>
      <c r="B19" s="113"/>
      <c r="C19" s="113"/>
      <c r="D19" s="113"/>
      <c r="E19" s="113"/>
      <c r="F19" s="113"/>
      <c r="G19" s="113"/>
      <c r="H19" s="113"/>
      <c r="I19" s="113"/>
      <c r="J19" s="113"/>
      <c r="K19" s="113"/>
    </row>
    <row r="20" spans="1:11" ht="12.75" x14ac:dyDescent="0.2">
      <c r="A20" s="113"/>
      <c r="B20" s="113"/>
      <c r="C20" s="113"/>
      <c r="D20" s="113"/>
      <c r="E20" s="113"/>
      <c r="F20" s="113"/>
      <c r="G20" s="113"/>
      <c r="H20" s="113"/>
      <c r="I20" s="113"/>
      <c r="J20" s="113"/>
      <c r="K20" s="113"/>
    </row>
    <row r="21" spans="1:11" ht="12.75" x14ac:dyDescent="0.2">
      <c r="A21" s="113"/>
      <c r="B21" s="113"/>
      <c r="C21" s="113"/>
      <c r="D21" s="113"/>
      <c r="E21" s="113"/>
      <c r="F21" s="113"/>
      <c r="G21" s="113"/>
      <c r="H21" s="113"/>
      <c r="I21" s="113"/>
      <c r="J21" s="113"/>
      <c r="K21" s="113"/>
    </row>
    <row r="22" spans="1:11" ht="12.75" x14ac:dyDescent="0.2">
      <c r="A22" s="113"/>
      <c r="B22" s="113"/>
      <c r="C22" s="113"/>
      <c r="D22" s="113"/>
      <c r="E22" s="113"/>
      <c r="F22" s="113"/>
      <c r="G22" s="113"/>
      <c r="H22" s="113"/>
      <c r="I22" s="113"/>
      <c r="J22" s="113"/>
      <c r="K22" s="113"/>
    </row>
    <row r="23" spans="1:11" x14ac:dyDescent="0.25">
      <c r="A23" s="116"/>
      <c r="B23" s="116"/>
      <c r="C23" s="116"/>
      <c r="D23" s="116"/>
      <c r="E23" s="116"/>
      <c r="F23" s="116"/>
      <c r="G23" s="116"/>
      <c r="H23" s="116"/>
      <c r="I23" s="116"/>
      <c r="J23" s="116"/>
      <c r="K23" s="116"/>
    </row>
  </sheetData>
  <sheetProtection password="C511" sheet="1" objects="1" scenarios="1"/>
  <mergeCells count="3">
    <mergeCell ref="A9:K9"/>
    <mergeCell ref="A5:K5"/>
    <mergeCell ref="A4:K4"/>
  </mergeCells>
  <hyperlinks>
    <hyperlink ref="A5:K5" r:id="rId1" display="http://www.pge.com/mybusiness/energysavingsrebates/demandresponse/cs/ "/>
  </hyperlinks>
  <printOptions horizontalCentered="1"/>
  <pageMargins left="0" right="0" top="0.93" bottom="0.25" header="0.13" footer="0.1"/>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9"/>
  <sheetViews>
    <sheetView view="pageLayout" topLeftCell="A17" zoomScale="70" zoomScaleNormal="85" zoomScalePageLayoutView="70" workbookViewId="0">
      <selection activeCell="B31" sqref="B31:D31"/>
    </sheetView>
  </sheetViews>
  <sheetFormatPr defaultColWidth="9.453125" defaultRowHeight="12.5" x14ac:dyDescent="0.25"/>
  <cols>
    <col min="1" max="1" width="32.54296875" style="505" customWidth="1"/>
    <col min="2" max="2" width="10.453125" style="506" customWidth="1"/>
    <col min="3" max="3" width="10.453125" style="507" customWidth="1"/>
    <col min="4" max="4" width="10.54296875" style="507" customWidth="1"/>
    <col min="5" max="6" width="10.453125" style="507" customWidth="1"/>
    <col min="7" max="7" width="10.54296875" style="507" customWidth="1"/>
    <col min="8" max="9" width="10.453125" style="507" customWidth="1"/>
    <col min="10" max="10" width="10.54296875" style="507" customWidth="1"/>
    <col min="11" max="11" width="10.453125" style="508" customWidth="1"/>
    <col min="12" max="12" width="10.453125" style="505" customWidth="1"/>
    <col min="13" max="13" width="10.54296875" style="505" customWidth="1"/>
    <col min="14" max="14" width="10" style="508" customWidth="1"/>
    <col min="15" max="15" width="10.453125" style="508" customWidth="1"/>
    <col min="16" max="16" width="10.54296875" style="508" customWidth="1"/>
    <col min="17" max="17" width="9.54296875" style="507" customWidth="1"/>
    <col min="18" max="19" width="10.453125" style="508" customWidth="1"/>
    <col min="20" max="20" width="14.453125" style="505" customWidth="1"/>
    <col min="21" max="21" width="9.54296875" style="505" customWidth="1"/>
    <col min="22" max="22" width="11.453125" style="505" customWidth="1"/>
    <col min="23" max="23" width="11" style="505" customWidth="1"/>
    <col min="24" max="25" width="9.54296875" style="505" customWidth="1"/>
    <col min="26" max="26" width="12.54296875" style="505" customWidth="1"/>
    <col min="27" max="27" width="8.54296875" style="505" bestFit="1" customWidth="1"/>
    <col min="28" max="28" width="10.54296875" style="505" customWidth="1"/>
    <col min="29" max="29" width="9.54296875" style="505" bestFit="1" customWidth="1"/>
    <col min="30" max="30" width="11.453125" style="505" customWidth="1"/>
    <col min="31" max="31" width="9.54296875" style="505" bestFit="1" customWidth="1"/>
    <col min="32" max="32" width="10.54296875" style="505" customWidth="1"/>
    <col min="33" max="33" width="12.453125" style="505" bestFit="1" customWidth="1"/>
    <col min="34" max="34" width="12.453125" style="505" customWidth="1"/>
    <col min="35" max="35" width="9.54296875" style="505" bestFit="1" customWidth="1"/>
    <col min="36" max="36" width="11.453125" style="505" customWidth="1"/>
    <col min="37" max="37" width="11.54296875" style="505" bestFit="1" customWidth="1"/>
    <col min="38" max="38" width="11.54296875" style="505" customWidth="1"/>
    <col min="39" max="16384" width="9.453125" style="505"/>
  </cols>
  <sheetData>
    <row r="1" spans="1:31" ht="11.25" customHeight="1" x14ac:dyDescent="0.25">
      <c r="A1" s="505" t="s">
        <v>284</v>
      </c>
    </row>
    <row r="2" spans="1:31" ht="2.25" customHeight="1" x14ac:dyDescent="0.25"/>
    <row r="3" spans="1:31" x14ac:dyDescent="0.25">
      <c r="A3" s="505" t="s">
        <v>285</v>
      </c>
    </row>
    <row r="4" spans="1:31" ht="14.15" customHeight="1" x14ac:dyDescent="0.25"/>
    <row r="5" spans="1:31" hidden="1" x14ac:dyDescent="0.25">
      <c r="C5" s="507">
        <v>2</v>
      </c>
      <c r="D5" s="507">
        <f>C5</f>
        <v>2</v>
      </c>
      <c r="F5" s="507">
        <f>C5+1</f>
        <v>3</v>
      </c>
      <c r="G5" s="507">
        <f>F5</f>
        <v>3</v>
      </c>
      <c r="I5" s="507">
        <f>F5+1</f>
        <v>4</v>
      </c>
      <c r="J5" s="507">
        <f>I5</f>
        <v>4</v>
      </c>
      <c r="L5" s="505">
        <f>I5+1</f>
        <v>5</v>
      </c>
      <c r="M5" s="505">
        <f>L5</f>
        <v>5</v>
      </c>
      <c r="O5" s="508">
        <f>L5+1</f>
        <v>6</v>
      </c>
      <c r="P5" s="508">
        <f>O5</f>
        <v>6</v>
      </c>
      <c r="R5" s="508">
        <f>O5+1</f>
        <v>7</v>
      </c>
      <c r="S5" s="508">
        <f>R5</f>
        <v>7</v>
      </c>
    </row>
    <row r="7" spans="1:31" ht="11.25" customHeight="1" x14ac:dyDescent="0.3">
      <c r="A7" s="509"/>
      <c r="B7" s="677" t="s">
        <v>6</v>
      </c>
      <c r="C7" s="678"/>
      <c r="D7" s="679"/>
      <c r="E7" s="677" t="s">
        <v>7</v>
      </c>
      <c r="F7" s="678"/>
      <c r="G7" s="679"/>
      <c r="H7" s="677" t="s">
        <v>8</v>
      </c>
      <c r="I7" s="678"/>
      <c r="J7" s="679"/>
      <c r="K7" s="677" t="s">
        <v>9</v>
      </c>
      <c r="L7" s="678"/>
      <c r="M7" s="679"/>
      <c r="N7" s="677" t="s">
        <v>10</v>
      </c>
      <c r="O7" s="678"/>
      <c r="P7" s="679"/>
      <c r="Q7" s="677" t="s">
        <v>11</v>
      </c>
      <c r="R7" s="678"/>
      <c r="S7" s="679"/>
      <c r="T7" s="510"/>
    </row>
    <row r="8" spans="1:31" s="517" customFormat="1" ht="50.15" customHeight="1" x14ac:dyDescent="0.35">
      <c r="A8" s="511" t="s">
        <v>286</v>
      </c>
      <c r="B8" s="512" t="s">
        <v>287</v>
      </c>
      <c r="C8" s="513" t="s">
        <v>288</v>
      </c>
      <c r="D8" s="514" t="s">
        <v>289</v>
      </c>
      <c r="E8" s="515" t="s">
        <v>287</v>
      </c>
      <c r="F8" s="513" t="s">
        <v>288</v>
      </c>
      <c r="G8" s="514" t="s">
        <v>289</v>
      </c>
      <c r="H8" s="516" t="s">
        <v>287</v>
      </c>
      <c r="I8" s="513" t="s">
        <v>288</v>
      </c>
      <c r="J8" s="514" t="s">
        <v>289</v>
      </c>
      <c r="K8" s="516" t="s">
        <v>287</v>
      </c>
      <c r="L8" s="513" t="s">
        <v>288</v>
      </c>
      <c r="M8" s="514" t="s">
        <v>289</v>
      </c>
      <c r="N8" s="516" t="s">
        <v>287</v>
      </c>
      <c r="O8" s="513" t="s">
        <v>288</v>
      </c>
      <c r="P8" s="514" t="s">
        <v>289</v>
      </c>
      <c r="Q8" s="516" t="s">
        <v>287</v>
      </c>
      <c r="R8" s="513" t="s">
        <v>288</v>
      </c>
      <c r="S8" s="514" t="s">
        <v>289</v>
      </c>
      <c r="T8" s="514" t="s">
        <v>218</v>
      </c>
    </row>
    <row r="9" spans="1:31" ht="12.75" customHeight="1" x14ac:dyDescent="0.3">
      <c r="A9" s="518" t="s">
        <v>34</v>
      </c>
      <c r="B9" s="519"/>
      <c r="C9" s="520"/>
      <c r="D9" s="521"/>
      <c r="E9" s="520"/>
      <c r="F9" s="520"/>
      <c r="G9" s="522"/>
      <c r="H9" s="523"/>
      <c r="I9" s="520"/>
      <c r="J9" s="524"/>
      <c r="K9" s="525"/>
      <c r="L9" s="515"/>
      <c r="M9" s="526"/>
      <c r="N9" s="525"/>
      <c r="O9" s="527"/>
      <c r="P9" s="528"/>
      <c r="Q9" s="523"/>
      <c r="R9" s="527"/>
      <c r="S9" s="528"/>
      <c r="T9" s="529"/>
    </row>
    <row r="10" spans="1:31" ht="12" customHeight="1" x14ac:dyDescent="0.25">
      <c r="A10" s="6" t="s">
        <v>19</v>
      </c>
      <c r="B10" s="530">
        <v>267</v>
      </c>
      <c r="C10" s="531">
        <f>IF(B10="","",IF(VLOOKUP($A10,  'Ex Ante LI &amp; Eligibility Stats'!$A$6:$N$18,C$5,FALSE)="N/A",0,VLOOKUP($A10, 'Ex Ante LI &amp; Eligibility Stats'!$A$6:$N$18,C$5,FALSE)*B10/1000))</f>
        <v>197.69213999999999</v>
      </c>
      <c r="D10" s="532">
        <f>IF(B10="","",IF(VLOOKUP($A10, 'Ex Post LI &amp; Eligibility Stats'!$A$6:$N$18,D$5,FALSE)="N/A",0,VLOOKUP($A10,'Ex Post LI &amp; Eligibility Stats'!$A$6:$N$18,D$5,FALSE)*B10/1000))</f>
        <v>234.16434000000001</v>
      </c>
      <c r="E10" s="533">
        <v>257</v>
      </c>
      <c r="F10" s="531">
        <f>IF(E10="","",IF(VLOOKUP($A10,  'Ex Ante LI &amp; Eligibility Stats'!$A$6:$N$18,F$5,FALSE)="N/A",0,VLOOKUP($A10, 'Ex Ante LI &amp; Eligibility Stats'!$A$6:$N$18,F$5,FALSE)*E10/1000))</f>
        <v>195.34313</v>
      </c>
      <c r="G10" s="532">
        <f>IF(E10="","",IF(VLOOKUP($A10, 'Ex Post LI &amp; Eligibility Stats'!$A$6:$N$18,G$5,FALSE)="N/A",0,VLOOKUP($A10,'Ex Post LI &amp; Eligibility Stats'!$A$6:$N$18,G$5,FALSE)*E10/1000))</f>
        <v>225.39413999999999</v>
      </c>
      <c r="H10" s="533">
        <v>259</v>
      </c>
      <c r="I10" s="531">
        <f>IF(H10="","",IF(VLOOKUP($A10,  'Ex Ante LI &amp; Eligibility Stats'!$A$6:$N$18,I$5,FALSE)="N/A",0,VLOOKUP($A10, 'Ex Ante LI &amp; Eligibility Stats'!$A$6:$N$18,I$5,FALSE)*H10/1000))</f>
        <v>193.87703999999997</v>
      </c>
      <c r="J10" s="532">
        <f>IF(H10="","",IF(VLOOKUP($A10, 'Ex Post LI &amp; Eligibility Stats'!$A$6:$N$18,J$5,FALSE)="N/A",0,VLOOKUP($A10,'Ex Post LI &amp; Eligibility Stats'!$A$6:$N$18,J$5,FALSE)*H10/1000))</f>
        <v>227.14818</v>
      </c>
      <c r="K10" s="534">
        <v>268</v>
      </c>
      <c r="L10" s="535">
        <f>IF(K10="","",IF(VLOOKUP($A10,  'Ex Ante LI &amp; Eligibility Stats'!$A$6:$N$18,L$5,FALSE)="N/A",0,VLOOKUP($A10, 'Ex Ante LI &amp; Eligibility Stats'!$A$6:$N$18,L$5,FALSE)*K10/1000))</f>
        <v>230.97044</v>
      </c>
      <c r="M10" s="532">
        <f>IF(K10="","",IF(VLOOKUP($A10, 'Ex Post LI &amp; Eligibility Stats'!$A$6:$N$18,M$5,FALSE)="N/A",0,VLOOKUP($A10,'Ex Post LI &amp; Eligibility Stats'!$A$6:$N$18,M$5,FALSE)*K10/1000))</f>
        <v>235.04136</v>
      </c>
      <c r="N10" s="534">
        <v>267</v>
      </c>
      <c r="O10" s="535">
        <f>IF(N10="","",IF(VLOOKUP($A10,  'Ex Ante LI &amp; Eligibility Stats'!$A$6:$N$18,O$5,FALSE)="N/A",0,VLOOKUP($A10, 'Ex Ante LI &amp; Eligibility Stats'!$A$6:$N$18,O$5,FALSE)*N10/1000))</f>
        <v>224.85938999999999</v>
      </c>
      <c r="P10" s="536">
        <f>IF(N10="","",IF(VLOOKUP($A10, 'Ex Post LI &amp; Eligibility Stats'!$A$6:$N$18,P$5,FALSE)="N/A",0,VLOOKUP($A10,'Ex Post LI &amp; Eligibility Stats'!$A$6:$N$18,P$5,FALSE)*N10/1000))</f>
        <v>234.16434000000001</v>
      </c>
      <c r="Q10" s="530">
        <v>272</v>
      </c>
      <c r="R10" s="535">
        <f>IF(Q10="","",IF(VLOOKUP($A10,  'Ex Ante LI &amp; Eligibility Stats'!$A$6:$N$18,R$5,FALSE)="N/A",0,VLOOKUP($A10, 'Ex Ante LI &amp; Eligibility Stats'!$A$6:$N$18,R$5,FALSE)*Q10/1000))</f>
        <v>243.70383999999999</v>
      </c>
      <c r="S10" s="536">
        <f>IF(Q10="","",IF(VLOOKUP($A10, 'Ex Post LI &amp; Eligibility Stats'!$A$6:$N$18,S$5,FALSE)="N/A",0,VLOOKUP($A10,'Ex Post LI &amp; Eligibility Stats'!$A$6:$N$18,S$5,FALSE)*Q10/1000))</f>
        <v>238.54944</v>
      </c>
      <c r="T10" s="537">
        <v>10424</v>
      </c>
    </row>
    <row r="11" spans="1:31" ht="12" customHeight="1" x14ac:dyDescent="0.25">
      <c r="A11" s="6" t="s">
        <v>20</v>
      </c>
      <c r="B11" s="530">
        <v>25</v>
      </c>
      <c r="C11" s="531">
        <f>IF(B11="","",IF(VLOOKUP($A11,  'Ex Ante LI &amp; Eligibility Stats'!$A$6:$N$18,C$5,FALSE)="N/A",0,VLOOKUP($A11, 'Ex Ante LI &amp; Eligibility Stats'!$A$6:$N$18,C$5,FALSE)*B11/1000))</f>
        <v>0</v>
      </c>
      <c r="D11" s="532">
        <f>IF(B11="","",IF(VLOOKUP($A11, 'Ex Post LI &amp; Eligibility Stats'!$A$6:$N$18,D$5,FALSE)="N/A",0,VLOOKUP($A11,'Ex Post LI &amp; Eligibility Stats'!$A$6:$N$18,D$5,FALSE)*B11/1000))</f>
        <v>0</v>
      </c>
      <c r="E11" s="530">
        <v>25</v>
      </c>
      <c r="F11" s="531">
        <f>IF(E11="","",IF(VLOOKUP($A11,  'Ex Ante LI &amp; Eligibility Stats'!$A$6:$N$18,F$5,FALSE)="N/A",0,VLOOKUP($A11, 'Ex Ante LI &amp; Eligibility Stats'!$A$6:$N$18,F$5,FALSE)*E11/1000))</f>
        <v>0</v>
      </c>
      <c r="G11" s="532">
        <f>IF(E11="","",IF(VLOOKUP($A11, 'Ex Post LI &amp; Eligibility Stats'!$A$6:$N$18,G$5,FALSE)="N/A",0,VLOOKUP($A11,'Ex Post LI &amp; Eligibility Stats'!$A$6:$N$18,G$5,FALSE)*E11/1000))</f>
        <v>0</v>
      </c>
      <c r="H11" s="530">
        <v>25</v>
      </c>
      <c r="I11" s="531">
        <f>IF(H11="","",IF(VLOOKUP($A11,  'Ex Ante LI &amp; Eligibility Stats'!$A$6:$N$18,I$5,FALSE)="N/A",0,VLOOKUP($A11, 'Ex Ante LI &amp; Eligibility Stats'!$A$6:$N$18,I$5,FALSE)*H11/1000))</f>
        <v>0</v>
      </c>
      <c r="J11" s="532">
        <f>IF(H11="","",IF(VLOOKUP($A11, 'Ex Post LI &amp; Eligibility Stats'!$A$6:$N$18,J$5,FALSE)="N/A",0,VLOOKUP($A11,'Ex Post LI &amp; Eligibility Stats'!$A$6:$N$18,J$5,FALSE)*H11/1000))</f>
        <v>0</v>
      </c>
      <c r="K11" s="538">
        <v>25</v>
      </c>
      <c r="L11" s="539">
        <f>IF(K11="","",IF(VLOOKUP($A11,  'Ex Ante LI &amp; Eligibility Stats'!$A$6:$N$18,L$5,FALSE)="N/A",0,VLOOKUP($A11, 'Ex Ante LI &amp; Eligibility Stats'!$A$6:$N$18,L$5,FALSE)*K11/1000))</f>
        <v>0</v>
      </c>
      <c r="M11" s="540">
        <f>IF(K11="","",IF(VLOOKUP($A11, 'Ex Post LI &amp; Eligibility Stats'!$A$6:$N$18,M$5,FALSE)="N/A",0,VLOOKUP($A11,'Ex Post LI &amp; Eligibility Stats'!$A$6:$N$18,M$5,FALSE)*K11/1000))</f>
        <v>0</v>
      </c>
      <c r="N11" s="538">
        <v>25</v>
      </c>
      <c r="O11" s="539">
        <f>IF(N11="","",IF(VLOOKUP($A11,  'Ex Ante LI &amp; Eligibility Stats'!$A$6:$N$18,O$5,FALSE)="N/A",0,VLOOKUP($A11, 'Ex Ante LI &amp; Eligibility Stats'!$A$6:$N$18,O$5,FALSE)*N11/1000))</f>
        <v>0</v>
      </c>
      <c r="P11" s="540">
        <f>IF(N11="","",IF(VLOOKUP($A11, 'Ex Post LI &amp; Eligibility Stats'!$A$6:$N$18,P$5,FALSE)="N/A",0,VLOOKUP($A11,'Ex Post LI &amp; Eligibility Stats'!$A$6:$N$18,P$5,FALSE)*N11/1000))</f>
        <v>0</v>
      </c>
      <c r="Q11" s="530">
        <v>25</v>
      </c>
      <c r="R11" s="539">
        <f>IF(Q11="","",IF(VLOOKUP($A11,  'Ex Ante LI &amp; Eligibility Stats'!$A$6:$N$18,R$5,FALSE)="N/A",0,VLOOKUP($A11, 'Ex Ante LI &amp; Eligibility Stats'!$A$6:$N$18,R$5,FALSE)*Q11/1000))</f>
        <v>0</v>
      </c>
      <c r="S11" s="540">
        <f>IF(Q11="","",IF(VLOOKUP($A11, 'Ex Post LI &amp; Eligibility Stats'!$A$6:$N$18,S$5,FALSE)="N/A",0,VLOOKUP($A11,'Ex Post LI &amp; Eligibility Stats'!$A$6:$N$18,S$5,FALSE)*Q11/1000))</f>
        <v>0</v>
      </c>
      <c r="T11" s="537" t="s">
        <v>21</v>
      </c>
    </row>
    <row r="12" spans="1:31" ht="12" customHeight="1" x14ac:dyDescent="0.25">
      <c r="A12" s="6" t="s">
        <v>22</v>
      </c>
      <c r="B12" s="530">
        <v>0</v>
      </c>
      <c r="C12" s="531">
        <f>IF(B12="","",IF(VLOOKUP($A12,  'Ex Ante LI &amp; Eligibility Stats'!$A$6:$N$18,C$5,FALSE)="N/A",0,VLOOKUP($A12, 'Ex Ante LI &amp; Eligibility Stats'!$A$6:$N$18,C$5,FALSE)*B12/1000))</f>
        <v>0</v>
      </c>
      <c r="D12" s="532">
        <f>IF(B12="","",IF(VLOOKUP($A12, 'Ex Post LI &amp; Eligibility Stats'!$A$6:$N$18,D$5,FALSE)="N/A",0,VLOOKUP($A12,'Ex Post LI &amp; Eligibility Stats'!$A$6:$N$18,D$5,FALSE)*B12/1000))</f>
        <v>0</v>
      </c>
      <c r="E12" s="530">
        <v>0</v>
      </c>
      <c r="F12" s="531">
        <f>IF(E12="","",IF(VLOOKUP($A12,  'Ex Ante LI &amp; Eligibility Stats'!$A$6:$N$18,F$5,FALSE)="N/A",0,VLOOKUP($A12, 'Ex Ante LI &amp; Eligibility Stats'!$A$6:$N$18,F$5,FALSE)*E12/1000))</f>
        <v>0</v>
      </c>
      <c r="G12" s="532">
        <f>IF(E12="","",IF(VLOOKUP($A12, 'Ex Post LI &amp; Eligibility Stats'!$A$6:$N$18,G$5,FALSE)="N/A",0,VLOOKUP($A12,'Ex Post LI &amp; Eligibility Stats'!$A$6:$N$18,G$5,FALSE)*E12/1000))</f>
        <v>0</v>
      </c>
      <c r="H12" s="530">
        <v>0</v>
      </c>
      <c r="I12" s="531">
        <f>IF(H12="","",IF(VLOOKUP($A12,  'Ex Ante LI &amp; Eligibility Stats'!$A$6:$N$18,I$5,FALSE)="N/A",0,VLOOKUP($A12, 'Ex Ante LI &amp; Eligibility Stats'!$A$6:$N$18,I$5,FALSE)*H12/1000))</f>
        <v>0</v>
      </c>
      <c r="J12" s="532">
        <f>IF(H12="","",IF(VLOOKUP($A12, 'Ex Post LI &amp; Eligibility Stats'!$A$6:$N$18,J$5,FALSE)="N/A",0,VLOOKUP($A12,'Ex Post LI &amp; Eligibility Stats'!$A$6:$N$18,J$5,FALSE)*H12/1000))</f>
        <v>0</v>
      </c>
      <c r="K12" s="538">
        <v>0</v>
      </c>
      <c r="L12" s="539">
        <f>IF(K12="","",IF(VLOOKUP($A12,  'Ex Ante LI &amp; Eligibility Stats'!$A$6:$N$18,L$5,FALSE)="N/A",0,VLOOKUP($A12, 'Ex Ante LI &amp; Eligibility Stats'!$A$6:$N$18,L$5,FALSE)*K12/1000))</f>
        <v>0</v>
      </c>
      <c r="M12" s="540">
        <f>IF(K12="","",IF(VLOOKUP($A12, 'Ex Post LI &amp; Eligibility Stats'!$A$6:$N$18,M$5,FALSE)="N/A",0,VLOOKUP($A12,'Ex Post LI &amp; Eligibility Stats'!$A$6:$N$18,M$5,FALSE)*K12/1000))</f>
        <v>0</v>
      </c>
      <c r="N12" s="538">
        <v>0</v>
      </c>
      <c r="O12" s="539">
        <f>IF(N12="","",IF(VLOOKUP($A12,  'Ex Ante LI &amp; Eligibility Stats'!$A$6:$N$18,O$5,FALSE)="N/A",0,VLOOKUP($A12, 'Ex Ante LI &amp; Eligibility Stats'!$A$6:$N$18,O$5,FALSE)*N12/1000))</f>
        <v>0</v>
      </c>
      <c r="P12" s="540">
        <f>IF(N12="","",IF(VLOOKUP($A12, 'Ex Post LI &amp; Eligibility Stats'!$A$6:$N$18,P$5,FALSE)="N/A",0,VLOOKUP($A12,'Ex Post LI &amp; Eligibility Stats'!$A$6:$N$18,P$5,FALSE)*N12/1000))</f>
        <v>0</v>
      </c>
      <c r="Q12" s="530">
        <v>0</v>
      </c>
      <c r="R12" s="539">
        <f>IF(Q12="","",IF(VLOOKUP($A12,  'Ex Ante LI &amp; Eligibility Stats'!$A$6:$N$18,R$5,FALSE)="N/A",0,VLOOKUP($A12, 'Ex Ante LI &amp; Eligibility Stats'!$A$6:$N$18,R$5,FALSE)*Q12/1000))</f>
        <v>0</v>
      </c>
      <c r="S12" s="540">
        <f>IF(Q12="","",IF(VLOOKUP($A12, 'Ex Post LI &amp; Eligibility Stats'!$A$6:$N$18,S$5,FALSE)="N/A",0,VLOOKUP($A12,'Ex Post LI &amp; Eligibility Stats'!$A$6:$N$18,S$5,FALSE)*Q12/1000))</f>
        <v>0</v>
      </c>
      <c r="T12" s="537" t="s">
        <v>21</v>
      </c>
    </row>
    <row r="13" spans="1:31" ht="12" customHeight="1" x14ac:dyDescent="0.25">
      <c r="A13" s="6" t="s">
        <v>127</v>
      </c>
      <c r="B13" s="530">
        <v>5855</v>
      </c>
      <c r="C13" s="531">
        <f>IF(B13="","",IF(VLOOKUP($A13,  'Ex Ante LI &amp; Eligibility Stats'!$A$6:$N$18,C$5,FALSE)="N/A",0,VLOOKUP($A13, 'Ex Ante LI &amp; Eligibility Stats'!$A$6:$N$18,C$5,FALSE)*B13/1000))</f>
        <v>0</v>
      </c>
      <c r="D13" s="532">
        <f>IF(B13="","",IF(VLOOKUP($A13, 'Ex Post LI &amp; Eligibility Stats'!$A$6:$N$18,D$5,FALSE)="N/A",0,VLOOKUP($A13,'Ex Post LI &amp; Eligibility Stats'!$A$6:$N$18,D$5,FALSE)*B13/1000))</f>
        <v>1.6979499999999998</v>
      </c>
      <c r="E13" s="106">
        <v>5839</v>
      </c>
      <c r="F13" s="531">
        <f>IF(E13="","",IF(VLOOKUP($A13,  'Ex Ante LI &amp; Eligibility Stats'!$A$6:$N$18,F$5,FALSE)="N/A",0,VLOOKUP($A13, 'Ex Ante LI &amp; Eligibility Stats'!$A$6:$N$18,F$5,FALSE)*E13/1000))</f>
        <v>0</v>
      </c>
      <c r="G13" s="532">
        <f>IF(E13="","",IF(VLOOKUP($A13, 'Ex Post LI &amp; Eligibility Stats'!$A$6:$N$18,G$5,FALSE)="N/A",0,VLOOKUP($A13,'Ex Post LI &amp; Eligibility Stats'!$A$6:$N$18,G$5,FALSE)*E13/1000))</f>
        <v>1.6933099999999999</v>
      </c>
      <c r="H13" s="106">
        <v>5830</v>
      </c>
      <c r="I13" s="531">
        <f>IF(H13="","",IF(VLOOKUP($A13,  'Ex Ante LI &amp; Eligibility Stats'!$A$6:$N$18,I$5,FALSE)="N/A",0,VLOOKUP($A13, 'Ex Ante LI &amp; Eligibility Stats'!$A$6:$N$18,I$5,FALSE)*H13/1000))</f>
        <v>0</v>
      </c>
      <c r="J13" s="532">
        <f>IF(H13="","",IF(VLOOKUP($A13, 'Ex Post LI &amp; Eligibility Stats'!$A$6:$N$18,J$5,FALSE)="N/A",0,VLOOKUP($A13,'Ex Post LI &amp; Eligibility Stats'!$A$6:$N$18,J$5,FALSE)*H13/1000))</f>
        <v>1.6906999999999999</v>
      </c>
      <c r="K13" s="538">
        <v>5815</v>
      </c>
      <c r="L13" s="539">
        <f>IF(K13="","",IF(VLOOKUP($A13,  'Ex Ante LI &amp; Eligibility Stats'!$A$6:$N$18,L$5,FALSE)="N/A",0,VLOOKUP($A13, 'Ex Ante LI &amp; Eligibility Stats'!$A$6:$N$18,L$5,FALSE)*K13/1000))</f>
        <v>0</v>
      </c>
      <c r="M13" s="540">
        <f>IF(K13="","",IF(VLOOKUP($A13, 'Ex Post LI &amp; Eligibility Stats'!$A$6:$N$18,M$5,FALSE)="N/A",0,VLOOKUP($A13,'Ex Post LI &amp; Eligibility Stats'!$A$6:$N$18,M$5,FALSE)*K13/1000))</f>
        <v>1.68635</v>
      </c>
      <c r="N13" s="538">
        <v>5799</v>
      </c>
      <c r="O13" s="539">
        <f>IF(N13="","",IF(VLOOKUP($A13,  'Ex Ante LI &amp; Eligibility Stats'!$A$6:$N$18,O$5,FALSE)="N/A",0,VLOOKUP($A13, 'Ex Ante LI &amp; Eligibility Stats'!$A$6:$N$18,O$5,FALSE)*N13/1000))</f>
        <v>2.1572279999999999</v>
      </c>
      <c r="P13" s="540">
        <f>IF(N13="","",IF(VLOOKUP($A13, 'Ex Post LI &amp; Eligibility Stats'!$A$6:$N$18,P$5,FALSE)="N/A",0,VLOOKUP($A13,'Ex Post LI &amp; Eligibility Stats'!$A$6:$N$18,P$5,FALSE)*N13/1000))</f>
        <v>1.6817099999999998</v>
      </c>
      <c r="Q13" s="530">
        <v>5789</v>
      </c>
      <c r="R13" s="539">
        <f>IF(Q13="","",IF(VLOOKUP($A13,  'Ex Ante LI &amp; Eligibility Stats'!$A$6:$N$18,R$5,FALSE)="N/A",0,VLOOKUP($A13, 'Ex Ante LI &amp; Eligibility Stats'!$A$6:$N$18,R$5,FALSE)*Q13/1000))</f>
        <v>2.6976740000000001</v>
      </c>
      <c r="S13" s="540">
        <f>IF(Q13="","",IF(VLOOKUP($A13, 'Ex Post LI &amp; Eligibility Stats'!$A$6:$N$18,S$5,FALSE)="N/A",0,VLOOKUP($A13,'Ex Post LI &amp; Eligibility Stats'!$A$6:$N$18,S$5,FALSE)*Q13/1000))</f>
        <v>1.6788099999999999</v>
      </c>
      <c r="T13" s="537" t="s">
        <v>21</v>
      </c>
    </row>
    <row r="14" spans="1:31" ht="12" customHeight="1" x14ac:dyDescent="0.25">
      <c r="A14" s="541" t="s">
        <v>128</v>
      </c>
      <c r="B14" s="542">
        <v>155202</v>
      </c>
      <c r="C14" s="543">
        <f>IF(B14="","",IF(VLOOKUP($A14,  'Ex Ante LI &amp; Eligibility Stats'!$A$6:$N$18,C$5,FALSE)="N/A",0,VLOOKUP($A14, 'Ex Ante LI &amp; Eligibility Stats'!$A$6:$N$18,C$5,FALSE)*B14/1000))</f>
        <v>0</v>
      </c>
      <c r="D14" s="544">
        <f>IF(B14="","",IF(VLOOKUP($A14, 'Ex Post LI &amp; Eligibility Stats'!$A$6:$N$18,D$5,FALSE)="N/A",0,VLOOKUP($A14,'Ex Post LI &amp; Eligibility Stats'!$A$6:$N$18,D$5,FALSE)*B14/1000))</f>
        <v>88.465140000000005</v>
      </c>
      <c r="E14" s="545">
        <v>155140</v>
      </c>
      <c r="F14" s="543">
        <f>IF(E14="","",IF(VLOOKUP($A14,  'Ex Ante LI &amp; Eligibility Stats'!$A$6:$N$18,F$5,FALSE)="N/A",0,VLOOKUP($A14, 'Ex Ante LI &amp; Eligibility Stats'!$A$6:$N$18,F$5,FALSE)*E14/1000))</f>
        <v>0</v>
      </c>
      <c r="G14" s="544">
        <f>IF(E14="","",IF(VLOOKUP($A14, 'Ex Post LI &amp; Eligibility Stats'!$A$6:$N$18,G$5,FALSE)="N/A",0,VLOOKUP($A14,'Ex Post LI &amp; Eligibility Stats'!$A$6:$N$18,G$5,FALSE)*E14/1000))</f>
        <v>88.429799999999986</v>
      </c>
      <c r="H14" s="546">
        <v>154437</v>
      </c>
      <c r="I14" s="543">
        <f>IF(H14="","",IF(VLOOKUP($A14,  'Ex Ante LI &amp; Eligibility Stats'!$A$6:$N$18,I$5,FALSE)="N/A",0,VLOOKUP($A14, 'Ex Ante LI &amp; Eligibility Stats'!$A$6:$N$18,I$5,FALSE)*H14/1000))</f>
        <v>0</v>
      </c>
      <c r="J14" s="532">
        <f>IF(H14="","",IF(VLOOKUP($A14, 'Ex Post LI &amp; Eligibility Stats'!$A$6:$N$18,J$5,FALSE)="N/A",0,VLOOKUP($A14,'Ex Post LI &amp; Eligibility Stats'!$A$6:$N$18,J$5,FALSE)*H14/1000))</f>
        <v>88.029089999999997</v>
      </c>
      <c r="K14" s="547">
        <v>153689</v>
      </c>
      <c r="L14" s="548">
        <f>IF(K14="","",IF(VLOOKUP($A14,  'Ex Ante LI &amp; Eligibility Stats'!$A$6:$N$18,L$5,FALSE)="N/A",0,VLOOKUP($A14, 'Ex Ante LI &amp; Eligibility Stats'!$A$6:$N$18,L$5,FALSE)*K14/1000))</f>
        <v>0</v>
      </c>
      <c r="M14" s="549">
        <f>IF(K14="","",IF(VLOOKUP($A14, 'Ex Post LI &amp; Eligibility Stats'!$A$6:$N$18,M$5,FALSE)="N/A",0,VLOOKUP($A14,'Ex Post LI &amp; Eligibility Stats'!$A$6:$N$18,M$5,FALSE)*K14/1000))</f>
        <v>87.602729999999994</v>
      </c>
      <c r="N14" s="547">
        <v>153500</v>
      </c>
      <c r="O14" s="548">
        <f>IF(N14="","",IF(VLOOKUP($A14,  'Ex Ante LI &amp; Eligibility Stats'!$A$6:$N$18,O$5,FALSE)="N/A",0,VLOOKUP($A14, 'Ex Ante LI &amp; Eligibility Stats'!$A$6:$N$18,O$5,FALSE)*N14/1000))</f>
        <v>58.176499999999997</v>
      </c>
      <c r="P14" s="549">
        <f>IF(N14="","",IF(VLOOKUP($A14, 'Ex Post LI &amp; Eligibility Stats'!$A$6:$N$18,P$5,FALSE)="N/A",0,VLOOKUP($A14,'Ex Post LI &amp; Eligibility Stats'!$A$6:$N$18,P$5,FALSE)*N14/1000))</f>
        <v>87.49499999999999</v>
      </c>
      <c r="Q14" s="547">
        <v>153371</v>
      </c>
      <c r="R14" s="548">
        <f>IF(Q14="","",IF(VLOOKUP($A14,  'Ex Ante LI &amp; Eligibility Stats'!$A$6:$N$18,R$5,FALSE)="N/A",0,VLOOKUP($A14, 'Ex Ante LI &amp; Eligibility Stats'!$A$6:$N$18,R$5,FALSE)*Q14/1000))</f>
        <v>69.016949999999994</v>
      </c>
      <c r="S14" s="549">
        <f>IF(Q14="","",IF(VLOOKUP($A14, 'Ex Post LI &amp; Eligibility Stats'!$A$6:$N$18,S$5,FALSE)="N/A",0,VLOOKUP($A14,'Ex Post LI &amp; Eligibility Stats'!$A$6:$N$18,S$5,FALSE)*Q14/1000))</f>
        <v>87.421469999999985</v>
      </c>
      <c r="T14" s="550" t="s">
        <v>21</v>
      </c>
    </row>
    <row r="15" spans="1:31" ht="12" customHeight="1" thickBot="1" x14ac:dyDescent="0.35">
      <c r="A15" s="551" t="s">
        <v>290</v>
      </c>
      <c r="B15" s="552">
        <f>SUM(B10:B14)</f>
        <v>161349</v>
      </c>
      <c r="C15" s="553">
        <f t="shared" ref="C15:P15" si="0">SUM(C10:C14)</f>
        <v>197.69213999999999</v>
      </c>
      <c r="D15" s="554">
        <f t="shared" si="0"/>
        <v>324.32742999999999</v>
      </c>
      <c r="E15" s="552">
        <f>SUM(E10:E14)</f>
        <v>161261</v>
      </c>
      <c r="F15" s="553">
        <f t="shared" si="0"/>
        <v>195.34313</v>
      </c>
      <c r="G15" s="555">
        <f t="shared" si="0"/>
        <v>315.51724999999999</v>
      </c>
      <c r="H15" s="552">
        <f>SUM(H10:H14)</f>
        <v>160551</v>
      </c>
      <c r="I15" s="553">
        <f t="shared" si="0"/>
        <v>193.87703999999997</v>
      </c>
      <c r="J15" s="555">
        <f t="shared" si="0"/>
        <v>316.86797000000001</v>
      </c>
      <c r="K15" s="556">
        <f>SUM(K10:K14)</f>
        <v>159797</v>
      </c>
      <c r="L15" s="557">
        <f t="shared" si="0"/>
        <v>230.97044</v>
      </c>
      <c r="M15" s="558">
        <f t="shared" si="0"/>
        <v>324.33044000000001</v>
      </c>
      <c r="N15" s="556">
        <f>SUM(N10:N14)</f>
        <v>159591</v>
      </c>
      <c r="O15" s="557">
        <f t="shared" si="0"/>
        <v>285.19311799999997</v>
      </c>
      <c r="P15" s="558">
        <f t="shared" si="0"/>
        <v>323.34105</v>
      </c>
      <c r="Q15" s="552">
        <f>SUM(Q10:Q14)</f>
        <v>159457</v>
      </c>
      <c r="R15" s="557">
        <f t="shared" ref="R15:S15" si="1">SUM(R10:R14)</f>
        <v>315.41846399999997</v>
      </c>
      <c r="S15" s="559">
        <f t="shared" si="1"/>
        <v>327.64972</v>
      </c>
      <c r="T15" s="560"/>
    </row>
    <row r="16" spans="1:31" ht="12" customHeight="1" thickTop="1" x14ac:dyDescent="0.3">
      <c r="A16" s="518" t="s">
        <v>291</v>
      </c>
      <c r="B16" s="561"/>
      <c r="C16" s="562"/>
      <c r="D16" s="563"/>
      <c r="E16" s="564"/>
      <c r="F16" s="562"/>
      <c r="G16" s="563"/>
      <c r="H16" s="565"/>
      <c r="I16" s="562"/>
      <c r="J16" s="563"/>
      <c r="K16" s="567"/>
      <c r="L16" s="659"/>
      <c r="M16" s="568"/>
      <c r="N16" s="569"/>
      <c r="O16" s="570"/>
      <c r="P16" s="571"/>
      <c r="Q16" s="572"/>
      <c r="R16" s="570"/>
      <c r="S16" s="573"/>
      <c r="T16" s="574"/>
      <c r="U16" s="575"/>
      <c r="V16" s="575"/>
      <c r="W16" s="575"/>
      <c r="X16" s="575"/>
      <c r="Y16" s="575"/>
      <c r="Z16" s="575"/>
      <c r="AA16" s="575"/>
      <c r="AB16" s="575"/>
      <c r="AC16" s="575"/>
      <c r="AD16" s="575"/>
      <c r="AE16" s="575"/>
    </row>
    <row r="17" spans="1:31" ht="12" customHeight="1" x14ac:dyDescent="0.35">
      <c r="A17" s="576" t="s">
        <v>25</v>
      </c>
      <c r="B17" s="577">
        <v>384</v>
      </c>
      <c r="C17" s="531">
        <v>0</v>
      </c>
      <c r="D17" s="532">
        <f>IF(B17="","",IF(VLOOKUP($A17, 'Ex Post LI &amp; Eligibility Stats'!$A$6:$N$18,D$5,FALSE)="N/A",0,VLOOKUP($A17,'Ex Post LI &amp; Eligibility Stats'!$A$6:$N$18,D$5,FALSE)*B17/1000))</f>
        <v>82.329599999999999</v>
      </c>
      <c r="E17" s="530">
        <v>319</v>
      </c>
      <c r="F17" s="531">
        <v>0</v>
      </c>
      <c r="G17" s="578">
        <f>IF(E17="","",IF(VLOOKUP($A17, 'Ex Post LI &amp; Eligibility Stats'!$A$6:$N$18,G$5,FALSE)="N/A",0,VLOOKUP($A17,'Ex Post LI &amp; Eligibility Stats'!$A$6:$N$18,G$5,FALSE)*E17/1000))</f>
        <v>68.393600000000006</v>
      </c>
      <c r="H17" s="579">
        <v>317</v>
      </c>
      <c r="I17" s="531">
        <v>0</v>
      </c>
      <c r="J17" s="532">
        <f>IF(H17="","",IF(VLOOKUP($A17, 'Ex Post LI &amp; Eligibility Stats'!$A$6:$N$18,J$5,FALSE)="N/A",0,VLOOKUP($A17,'Ex Post LI &amp; Eligibility Stats'!$A$6:$N$18,J$5,FALSE)*H17/1000))</f>
        <v>67.964799999999997</v>
      </c>
      <c r="K17" s="538">
        <v>316</v>
      </c>
      <c r="L17" s="531">
        <v>0</v>
      </c>
      <c r="M17" s="540">
        <f>IF(K17="","",IF(VLOOKUP($A17, 'Ex Post LI &amp; Eligibility Stats'!$A$6:$N$18,M$5,FALSE)="N/A",0,VLOOKUP($A17,'Ex Post LI &amp; Eligibility Stats'!$A$6:$N$18,M$5,FALSE)*K17/1000))</f>
        <v>67.750400000000013</v>
      </c>
      <c r="N17" s="534">
        <f>SUM(316)</f>
        <v>316</v>
      </c>
      <c r="O17" s="535">
        <f>SUM(72.25)</f>
        <v>72.25</v>
      </c>
      <c r="P17" s="581">
        <f>IF(N17="","",IF(VLOOKUP($A17, 'Ex Post LI &amp; Eligibility Stats'!$A$6:$N$18,P$5,FALSE)="N/A",0,VLOOKUP($A17,'Ex Post LI &amp; Eligibility Stats'!$A$6:$N$18,P$5,FALSE)*N17/1000))</f>
        <v>67.750400000000013</v>
      </c>
      <c r="Q17" s="582">
        <f>SUM(400)</f>
        <v>400</v>
      </c>
      <c r="R17" s="535">
        <f>SUM(72.25)</f>
        <v>72.25</v>
      </c>
      <c r="S17" s="581">
        <f>IF(Q17="","",IF(VLOOKUP($A17, 'Ex Post LI &amp; Eligibility Stats'!$A$6:$N$18,S$5,FALSE)="N/A",0,VLOOKUP($A17,'Ex Post LI &amp; Eligibility Stats'!$A$6:$N$18,S$5,FALSE)*Q17/1000))</f>
        <v>85.76</v>
      </c>
      <c r="T17" s="583">
        <v>592761</v>
      </c>
      <c r="U17" s="575"/>
      <c r="V17" s="575"/>
      <c r="W17" s="575"/>
      <c r="X17" s="575"/>
      <c r="Y17" s="575"/>
      <c r="Z17" s="575"/>
      <c r="AA17" s="575"/>
      <c r="AB17" s="575"/>
      <c r="AC17" s="575"/>
      <c r="AD17" s="575"/>
      <c r="AE17" s="575"/>
    </row>
    <row r="18" spans="1:31" ht="12" customHeight="1" x14ac:dyDescent="0.35">
      <c r="A18" s="6" t="s">
        <v>26</v>
      </c>
      <c r="B18" s="577">
        <v>1585</v>
      </c>
      <c r="C18" s="531">
        <v>0</v>
      </c>
      <c r="D18" s="532">
        <f>IF(B18="","",IF(VLOOKUP($A18, 'Ex Post LI &amp; Eligibility Stats'!$A$6:$N$18,D$5,FALSE)="N/A",0,VLOOKUP($A18,'Ex Post LI &amp; Eligibility Stats'!$A$6:$N$18,D$5,FALSE)*B18/1000))</f>
        <v>181.00700000000001</v>
      </c>
      <c r="E18" s="530">
        <v>1638</v>
      </c>
      <c r="F18" s="531">
        <v>0</v>
      </c>
      <c r="G18" s="532">
        <f>IF(E18="","",IF(VLOOKUP($A18, 'Ex Post LI &amp; Eligibility Stats'!$A$6:$N$18,G$5,FALSE)="N/A",0,VLOOKUP($A18,'Ex Post LI &amp; Eligibility Stats'!$A$6:$N$18,G$5,FALSE)*E18/1000))</f>
        <v>187.05960000000002</v>
      </c>
      <c r="H18" s="579">
        <v>1616</v>
      </c>
      <c r="I18" s="531">
        <v>0</v>
      </c>
      <c r="J18" s="532">
        <f>IF(H18="","",IF(VLOOKUP($A18, 'Ex Post LI &amp; Eligibility Stats'!$A$6:$N$18,J$5,FALSE)="N/A",0,VLOOKUP($A18,'Ex Post LI &amp; Eligibility Stats'!$A$6:$N$18,J$5,FALSE)*H18/1000))</f>
        <v>184.5472</v>
      </c>
      <c r="K18" s="538">
        <v>1615</v>
      </c>
      <c r="L18" s="531">
        <v>0</v>
      </c>
      <c r="M18" s="540">
        <f>IF(K18="","",IF(VLOOKUP($A18, 'Ex Post LI &amp; Eligibility Stats'!$A$6:$N$18,M$5,FALSE)="N/A",0,VLOOKUP($A18,'Ex Post LI &amp; Eligibility Stats'!$A$6:$N$18,M$5,FALSE)*K18/1000))</f>
        <v>184.43299999999999</v>
      </c>
      <c r="N18" s="538">
        <f>SUM(708+515)</f>
        <v>1223</v>
      </c>
      <c r="O18" s="539">
        <f>SUM(147.275)</f>
        <v>147.27500000000001</v>
      </c>
      <c r="P18" s="584">
        <f>IF(N18="","",IF(VLOOKUP($A18, 'Ex Post LI &amp; Eligibility Stats'!$A$6:$N$18,P$5,FALSE)="N/A",0,VLOOKUP($A18,'Ex Post LI &amp; Eligibility Stats'!$A$6:$N$18,P$5,FALSE)*N18/1000))</f>
        <v>139.66660000000002</v>
      </c>
      <c r="Q18" s="579">
        <f>SUM(681+647)</f>
        <v>1328</v>
      </c>
      <c r="R18" s="585">
        <f>SUM(147.275)</f>
        <v>147.27500000000001</v>
      </c>
      <c r="S18" s="584">
        <f>IF(Q18="","",IF(VLOOKUP($A18, 'Ex Post LI &amp; Eligibility Stats'!$A$6:$N$18,S$5,FALSE)="N/A",0,VLOOKUP($A18,'Ex Post LI &amp; Eligibility Stats'!$A$6:$N$18,S$5,FALSE)*Q18/1000))</f>
        <v>151.6576</v>
      </c>
      <c r="T18" s="583">
        <v>592761</v>
      </c>
      <c r="U18" s="575"/>
      <c r="V18" s="575"/>
      <c r="W18" s="575"/>
      <c r="X18" s="575"/>
      <c r="Y18" s="575"/>
      <c r="Z18" s="575"/>
      <c r="AA18" s="575"/>
      <c r="AB18" s="575"/>
      <c r="AC18" s="575"/>
      <c r="AD18" s="575"/>
      <c r="AE18" s="575"/>
    </row>
    <row r="19" spans="1:31" ht="12" customHeight="1" x14ac:dyDescent="0.35">
      <c r="A19" s="6" t="s">
        <v>27</v>
      </c>
      <c r="B19" s="577">
        <v>0</v>
      </c>
      <c r="C19" s="531">
        <v>0</v>
      </c>
      <c r="D19" s="532">
        <f>IF(B19="","",IF(VLOOKUP($A19, 'Ex Post LI &amp; Eligibility Stats'!$A$6:$N$18,D$5,FALSE)="N/A",0,VLOOKUP($A19,'Ex Post LI &amp; Eligibility Stats'!$A$6:$N$18,D$5,FALSE)*B19/1000))</f>
        <v>0</v>
      </c>
      <c r="E19" s="530">
        <v>0</v>
      </c>
      <c r="F19" s="531">
        <v>0</v>
      </c>
      <c r="G19" s="532">
        <f>IF(E19="","",IF(VLOOKUP($A19, 'Ex Post LI &amp; Eligibility Stats'!$A$6:$N$18,G$5,FALSE)="N/A",0,VLOOKUP($A19,'Ex Post LI &amp; Eligibility Stats'!$A$6:$N$18,G$5,FALSE)*E19/1000))</f>
        <v>0</v>
      </c>
      <c r="H19" s="530">
        <v>0</v>
      </c>
      <c r="I19" s="531">
        <v>0</v>
      </c>
      <c r="J19" s="532">
        <f>IF(H19="","",IF(VLOOKUP($A19, 'Ex Post LI &amp; Eligibility Stats'!$A$6:$N$18,J$5,FALSE)="N/A",0,VLOOKUP($A19,'Ex Post LI &amp; Eligibility Stats'!$A$6:$N$18,J$5,FALSE)*H19/1000))</f>
        <v>0</v>
      </c>
      <c r="K19" s="538">
        <v>0</v>
      </c>
      <c r="L19" s="531">
        <v>0</v>
      </c>
      <c r="M19" s="540">
        <f>IF(K19="","",IF(VLOOKUP($A19, 'Ex Post LI &amp; Eligibility Stats'!$A$6:$N$18,M$5,FALSE)="N/A",0,VLOOKUP($A19,'Ex Post LI &amp; Eligibility Stats'!$A$6:$N$18,M$5,FALSE)*K19/1000))</f>
        <v>0</v>
      </c>
      <c r="N19" s="538">
        <v>49</v>
      </c>
      <c r="O19" s="585">
        <f>SUM(5.364)</f>
        <v>5.3639999999999999</v>
      </c>
      <c r="P19" s="540">
        <f>IF(N19="","",IF(VLOOKUP($A19, 'Ex Post LI &amp; Eligibility Stats'!$A$6:$N$18,P$5,FALSE)="N/A",0,VLOOKUP($A19,'Ex Post LI &amp; Eligibility Stats'!$A$6:$N$18,P$5,FALSE)*N19/1000))</f>
        <v>5.9535</v>
      </c>
      <c r="Q19" s="586">
        <f>SUM(24)</f>
        <v>24</v>
      </c>
      <c r="R19" s="587">
        <f>SUM(8.733)</f>
        <v>8.7330000000000005</v>
      </c>
      <c r="S19" s="584">
        <f>IF(Q19="","",IF(VLOOKUP($A19, 'Ex Post LI &amp; Eligibility Stats'!$A$6:$N$18,S$5,FALSE)="N/A",0,VLOOKUP($A19,'Ex Post LI &amp; Eligibility Stats'!$A$6:$N$18,S$5,FALSE)*Q19/1000))</f>
        <v>2.9159999999999999</v>
      </c>
      <c r="T19" s="583">
        <v>592761</v>
      </c>
      <c r="U19" s="575"/>
      <c r="V19" s="575"/>
      <c r="W19" s="575"/>
      <c r="X19" s="575"/>
      <c r="Y19" s="575"/>
      <c r="Z19" s="575"/>
      <c r="AA19" s="575"/>
      <c r="AB19" s="575"/>
      <c r="AC19" s="575"/>
      <c r="AD19" s="575"/>
      <c r="AE19" s="575"/>
    </row>
    <row r="20" spans="1:31" ht="12" customHeight="1" x14ac:dyDescent="0.35">
      <c r="A20" s="6" t="s">
        <v>28</v>
      </c>
      <c r="B20" s="577">
        <v>0</v>
      </c>
      <c r="C20" s="531">
        <v>0</v>
      </c>
      <c r="D20" s="532">
        <f>IF(B20="","",IF(VLOOKUP($A20, 'Ex Post LI &amp; Eligibility Stats'!$A$6:$N$18,D$5,FALSE)="N/A",0,VLOOKUP($A20,'Ex Post LI &amp; Eligibility Stats'!$A$6:$N$18,D$5,FALSE)*B20/1000))</f>
        <v>0</v>
      </c>
      <c r="E20" s="530">
        <v>0</v>
      </c>
      <c r="F20" s="531">
        <v>0</v>
      </c>
      <c r="G20" s="532">
        <f>IF(E20="","",IF(VLOOKUP($A20, 'Ex Post LI &amp; Eligibility Stats'!$A$6:$N$18,G$5,FALSE)="N/A",0,VLOOKUP($A20,'Ex Post LI &amp; Eligibility Stats'!$A$6:$N$18,G$5,FALSE)*E20/1000))</f>
        <v>0</v>
      </c>
      <c r="H20" s="530">
        <v>0</v>
      </c>
      <c r="I20" s="531">
        <v>0</v>
      </c>
      <c r="J20" s="532">
        <f>IF(H20="","",IF(VLOOKUP($A20, 'Ex Post LI &amp; Eligibility Stats'!$A$6:$N$18,J$5,FALSE)="N/A",0,VLOOKUP($A20,'Ex Post LI &amp; Eligibility Stats'!$A$6:$N$18,J$5,FALSE)*H20/1000))</f>
        <v>0</v>
      </c>
      <c r="K20" s="538">
        <v>0</v>
      </c>
      <c r="L20" s="531">
        <v>0</v>
      </c>
      <c r="M20" s="540">
        <f>IF(K20="","",IF(VLOOKUP($A20, 'Ex Post LI &amp; Eligibility Stats'!$A$6:$N$18,M$5,FALSE)="N/A",0,VLOOKUP($A20,'Ex Post LI &amp; Eligibility Stats'!$A$6:$N$18,M$5,FALSE)*K20/1000))</f>
        <v>0</v>
      </c>
      <c r="N20" s="538">
        <f>SUM(257+92)</f>
        <v>349</v>
      </c>
      <c r="O20" s="539">
        <f>SUM(10.938)</f>
        <v>10.938000000000001</v>
      </c>
      <c r="P20" s="540">
        <f>IF(N20="","",IF(VLOOKUP($A20, 'Ex Post LI &amp; Eligibility Stats'!$A$6:$N$18,P$5,FALSE)="N/A",0,VLOOKUP($A20,'Ex Post LI &amp; Eligibility Stats'!$A$6:$N$18,P$5,FALSE)*N20/1000))</f>
        <v>21.917200000000001</v>
      </c>
      <c r="Q20" s="586">
        <f>SUM(372+92)</f>
        <v>464</v>
      </c>
      <c r="R20" s="587">
        <f>SUM(15.048)</f>
        <v>15.048</v>
      </c>
      <c r="S20" s="584">
        <f>IF(Q20="","",IF(VLOOKUP($A20, 'Ex Post LI &amp; Eligibility Stats'!$A$6:$N$18,S$5,FALSE)="N/A",0,VLOOKUP($A20,'Ex Post LI &amp; Eligibility Stats'!$A$6:$N$18,S$5,FALSE)*Q20/1000))</f>
        <v>29.139199999999995</v>
      </c>
      <c r="T20" s="583">
        <v>592761</v>
      </c>
      <c r="U20" s="575"/>
      <c r="V20" s="575"/>
      <c r="W20" s="575"/>
      <c r="X20" s="575"/>
      <c r="Y20" s="575"/>
      <c r="Z20" s="575"/>
      <c r="AA20" s="575"/>
      <c r="AB20" s="575"/>
      <c r="AC20" s="575"/>
      <c r="AD20" s="575"/>
      <c r="AE20" s="575"/>
    </row>
    <row r="21" spans="1:31" ht="12" customHeight="1" x14ac:dyDescent="0.25">
      <c r="A21" s="6" t="s">
        <v>29</v>
      </c>
      <c r="B21" s="577">
        <v>994</v>
      </c>
      <c r="C21" s="531">
        <f>IF(B21="","",IF(VLOOKUP($A21,  'Ex Ante LI &amp; Eligibility Stats'!$A$6:$N$18,C$5,FALSE)="N/A",0,VLOOKUP($A21, 'Ex Ante LI &amp; Eligibility Stats'!$A$6:$N$18,C$5,FALSE)*B21/1000))</f>
        <v>39.551259999999999</v>
      </c>
      <c r="D21" s="532">
        <f>IF(B21="","",IF(VLOOKUP($A21, 'Ex Post LI &amp; Eligibility Stats'!$A$6:$N$18,D$5,FALSE)="N/A",0,VLOOKUP($A21,'Ex Post LI &amp; Eligibility Stats'!$A$6:$N$18,D$5,FALSE)*B21/1000))</f>
        <v>37.652720000000002</v>
      </c>
      <c r="E21" s="530">
        <v>995</v>
      </c>
      <c r="F21" s="531">
        <f>IF(E21="","",IF(VLOOKUP($A21,  'Ex Ante LI &amp; Eligibility Stats'!$A$6:$N$18,F$5,FALSE)="N/A",0,VLOOKUP($A21, 'Ex Ante LI &amp; Eligibility Stats'!$A$6:$N$18,F$5,FALSE)*E21/1000))</f>
        <v>40.297499999999999</v>
      </c>
      <c r="G21" s="532">
        <f>IF(E21="","",IF(VLOOKUP($A21, 'Ex Post LI &amp; Eligibility Stats'!$A$6:$N$18,G$5,FALSE)="N/A",0,VLOOKUP($A21,'Ex Post LI &amp; Eligibility Stats'!$A$6:$N$18,G$5,FALSE)*E21/1000))</f>
        <v>37.690600000000003</v>
      </c>
      <c r="H21" s="530">
        <v>995</v>
      </c>
      <c r="I21" s="531">
        <f>IF(H21="","",IF(VLOOKUP($A21,  'Ex Ante LI &amp; Eligibility Stats'!$A$6:$N$18,I$5,FALSE)="N/A",0,VLOOKUP($A21, 'Ex Ante LI &amp; Eligibility Stats'!$A$6:$N$18,I$5,FALSE)*H21/1000))</f>
        <v>38.317449999999994</v>
      </c>
      <c r="J21" s="532">
        <f>IF(H21="","",IF(VLOOKUP($A21, 'Ex Post LI &amp; Eligibility Stats'!$A$6:$N$18,J$5,FALSE)="N/A",0,VLOOKUP($A21,'Ex Post LI &amp; Eligibility Stats'!$A$6:$N$18,J$5,FALSE)*H21/1000))</f>
        <v>37.690600000000003</v>
      </c>
      <c r="K21" s="538">
        <v>992</v>
      </c>
      <c r="L21" s="539">
        <f>IF(K21="","",IF(VLOOKUP($A21,  'Ex Ante LI &amp; Eligibility Stats'!$A$6:$N$18,L$5,FALSE)="N/A",0,VLOOKUP($A21, 'Ex Ante LI &amp; Eligibility Stats'!$A$6:$N$18,L$5,FALSE)*K21/1000))</f>
        <v>43.042879999999997</v>
      </c>
      <c r="M21" s="540">
        <f>IF(K21="","",IF(VLOOKUP($A21, 'Ex Post LI &amp; Eligibility Stats'!$A$6:$N$18,M$5,FALSE)="N/A",0,VLOOKUP($A21,'Ex Post LI &amp; Eligibility Stats'!$A$6:$N$18,M$5,FALSE)*K21/1000))</f>
        <v>37.57696</v>
      </c>
      <c r="N21" s="538">
        <v>995</v>
      </c>
      <c r="O21" s="539">
        <f>IF(N21="","",IF(VLOOKUP($A21,  'Ex Ante LI &amp; Eligibility Stats'!$A$6:$N$18,O$5,FALSE)="N/A",0,VLOOKUP($A21, 'Ex Ante LI &amp; Eligibility Stats'!$A$6:$N$18,O$5,FALSE)*N21/1000))</f>
        <v>49.0535</v>
      </c>
      <c r="P21" s="540">
        <f>IF(N21="","",IF(VLOOKUP($A21, 'Ex Post LI &amp; Eligibility Stats'!$A$6:$N$18,P$5,FALSE)="N/A",0,VLOOKUP($A21,'Ex Post LI &amp; Eligibility Stats'!$A$6:$N$18,P$5,FALSE)*N21/1000))</f>
        <v>37.690600000000003</v>
      </c>
      <c r="Q21" s="577">
        <v>975</v>
      </c>
      <c r="R21" s="539">
        <f>IF(Q21="","",IF(VLOOKUP($A21,  'Ex Ante LI &amp; Eligibility Stats'!$A$6:$N$18,R$5,FALSE)="N/A",0,VLOOKUP($A21, 'Ex Ante LI &amp; Eligibility Stats'!$A$6:$N$18,R$5,FALSE)*Q21/1000))</f>
        <v>48.984000000000002</v>
      </c>
      <c r="S21" s="584">
        <f>IF(Q21="","",IF(VLOOKUP($A21, 'Ex Post LI &amp; Eligibility Stats'!$A$6:$N$18,S$5,FALSE)="N/A",0,VLOOKUP($A21,'Ex Post LI &amp; Eligibility Stats'!$A$6:$N$18,S$5,FALSE)*Q21/1000))</f>
        <v>36.933</v>
      </c>
      <c r="T21" s="583">
        <v>10424</v>
      </c>
      <c r="U21" s="575"/>
      <c r="V21" s="575"/>
      <c r="W21" s="575"/>
      <c r="X21" s="575"/>
      <c r="Y21" s="575"/>
      <c r="Z21" s="575"/>
      <c r="AA21" s="575"/>
      <c r="AB21" s="575"/>
      <c r="AC21" s="575"/>
      <c r="AD21" s="575"/>
      <c r="AE21" s="575"/>
    </row>
    <row r="22" spans="1:31" ht="12" customHeight="1" x14ac:dyDescent="0.25">
      <c r="A22" s="6" t="s">
        <v>129</v>
      </c>
      <c r="B22" s="106">
        <v>1737</v>
      </c>
      <c r="C22" s="531">
        <f>IF(B22="","",IF(VLOOKUP($A22,  'Ex Ante LI &amp; Eligibility Stats'!$A$6:$N$18,C$5,FALSE)="N/A",0,VLOOKUP($A22, 'Ex Ante LI &amp; Eligibility Stats'!$A$6:$N$18,C$5,FALSE)*B22/1000))</f>
        <v>46.621079999999999</v>
      </c>
      <c r="D22" s="532">
        <f>IF(B22="","",IF(VLOOKUP($A22, 'Ex Post LI &amp; Eligibility Stats'!$A$6:$N$18,D$5,FALSE)="N/A",0,VLOOKUP($A22,'Ex Post LI &amp; Eligibility Stats'!$A$6:$N$18,D$5,FALSE)*B22/1000))</f>
        <v>32.221350000000001</v>
      </c>
      <c r="E22" s="106">
        <v>1720</v>
      </c>
      <c r="F22" s="531">
        <f>IF(E22="","",IF(VLOOKUP($A22,  'Ex Ante LI &amp; Eligibility Stats'!$A$6:$N$18,F$5,FALSE)="N/A",0,VLOOKUP($A22, 'Ex Ante LI &amp; Eligibility Stats'!$A$6:$N$18,F$5,FALSE)*E22/1000))</f>
        <v>46.1648</v>
      </c>
      <c r="G22" s="532">
        <f>IF(E22="","",IF(VLOOKUP($A22, 'Ex Post LI &amp; Eligibility Stats'!$A$6:$N$18,G$5,FALSE)="N/A",0,VLOOKUP($A22,'Ex Post LI &amp; Eligibility Stats'!$A$6:$N$18,G$5,FALSE)*E22/1000))</f>
        <v>31.905999999999999</v>
      </c>
      <c r="H22" s="530">
        <v>1716</v>
      </c>
      <c r="I22" s="531">
        <f>IF(H22="","",IF(VLOOKUP($A22,  'Ex Ante LI &amp; Eligibility Stats'!$A$6:$N$18,I$5,FALSE)="N/A",0,VLOOKUP($A22, 'Ex Ante LI &amp; Eligibility Stats'!$A$6:$N$18,I$5,FALSE)*H22/1000))</f>
        <v>46.05744</v>
      </c>
      <c r="J22" s="532">
        <f>IF(H22="","",IF(VLOOKUP($A22, 'Ex Post LI &amp; Eligibility Stats'!$A$6:$N$18,J$5,FALSE)="N/A",0,VLOOKUP($A22,'Ex Post LI &amp; Eligibility Stats'!$A$6:$N$18,J$5,FALSE)*H22/1000))</f>
        <v>31.831800000000001</v>
      </c>
      <c r="K22" s="106">
        <v>1737</v>
      </c>
      <c r="L22" s="539">
        <f>IF(K22="","",IF(VLOOKUP($A22,  'Ex Ante LI &amp; Eligibility Stats'!$A$6:$N$18,L$5,FALSE)="N/A",0,VLOOKUP($A22, 'Ex Ante LI &amp; Eligibility Stats'!$A$6:$N$18,L$5,FALSE)*K22/1000))</f>
        <v>46.968479999999992</v>
      </c>
      <c r="M22" s="540">
        <f>IF(K22="","",IF(VLOOKUP($A22, 'Ex Post LI &amp; Eligibility Stats'!$A$6:$N$18,M$5,FALSE)="N/A",0,VLOOKUP($A22,'Ex Post LI &amp; Eligibility Stats'!$A$6:$N$18,M$5,FALSE)*K22/1000))</f>
        <v>32.221350000000001</v>
      </c>
      <c r="N22" s="106">
        <v>1721</v>
      </c>
      <c r="O22" s="539">
        <f>IF(N22="","",IF(VLOOKUP($A22,  'Ex Ante LI &amp; Eligibility Stats'!$A$6:$N$18,O$5,FALSE)="N/A",0,VLOOKUP($A22, 'Ex Ante LI &amp; Eligibility Stats'!$A$6:$N$18,O$5,FALSE)*N22/1000))</f>
        <v>46.019539999999999</v>
      </c>
      <c r="P22" s="540">
        <f>IF(N22="","",IF(VLOOKUP($A22, 'Ex Post LI &amp; Eligibility Stats'!$A$6:$N$18,P$5,FALSE)="N/A",0,VLOOKUP($A22,'Ex Post LI &amp; Eligibility Stats'!$A$6:$N$18,P$5,FALSE)*N22/1000))</f>
        <v>31.924550000000004</v>
      </c>
      <c r="Q22" s="106">
        <v>1739</v>
      </c>
      <c r="R22" s="539">
        <f>IF(Q22="","",IF(VLOOKUP($A22,  'Ex Ante LI &amp; Eligibility Stats'!$A$6:$N$18,R$5,FALSE)="N/A",0,VLOOKUP($A22, 'Ex Ante LI &amp; Eligibility Stats'!$A$6:$N$18,R$5,FALSE)*Q22/1000))</f>
        <v>43.71846</v>
      </c>
      <c r="S22" s="584">
        <f>IF(Q22="","",IF(VLOOKUP($A22, 'Ex Post LI &amp; Eligibility Stats'!$A$6:$N$18,S$5,FALSE)="N/A",0,VLOOKUP($A22,'Ex Post LI &amp; Eligibility Stats'!$A$6:$N$18,S$5,FALSE)*Q22/1000))</f>
        <v>32.258450000000003</v>
      </c>
      <c r="T22" s="673">
        <v>387153</v>
      </c>
      <c r="U22" s="575"/>
      <c r="V22" s="575"/>
      <c r="W22" s="575"/>
      <c r="X22" s="575"/>
      <c r="Y22" s="575"/>
      <c r="Z22" s="575"/>
      <c r="AA22" s="575"/>
      <c r="AB22" s="575"/>
      <c r="AC22" s="575"/>
      <c r="AD22" s="575"/>
      <c r="AE22" s="575"/>
    </row>
    <row r="23" spans="1:31" ht="12" customHeight="1" x14ac:dyDescent="0.25">
      <c r="A23" s="6" t="s">
        <v>176</v>
      </c>
      <c r="B23" s="106">
        <v>4390</v>
      </c>
      <c r="C23" s="531">
        <f>IF(B23="","",IF(VLOOKUP($A23,  'Ex Ante LI &amp; Eligibility Stats'!$A$6:$N$18,C$5,FALSE)="N/A",0,VLOOKUP($A23, 'Ex Ante LI &amp; Eligibility Stats'!$A$6:$N$18,C$5,FALSE)*B23/1000))</f>
        <v>20.062300000000004</v>
      </c>
      <c r="D23" s="532">
        <f>IF(B23="","",IF(VLOOKUP($A23, 'Ex Post LI &amp; Eligibility Stats'!$A$6:$N$18,D$5,FALSE)="N/A",0,VLOOKUP($A23,'Ex Post LI &amp; Eligibility Stats'!$A$6:$N$18,D$5,FALSE)*B23/1000))</f>
        <v>1.5803999999999998</v>
      </c>
      <c r="E23" s="106">
        <v>4415</v>
      </c>
      <c r="F23" s="531">
        <f>IF(E23="","",IF(VLOOKUP($A23,  'Ex Ante LI &amp; Eligibility Stats'!$A$6:$N$18,F$5,FALSE)="N/A",0,VLOOKUP($A23, 'Ex Ante LI &amp; Eligibility Stats'!$A$6:$N$18,F$5,FALSE)*E23/1000))</f>
        <v>20.176550000000002</v>
      </c>
      <c r="G23" s="532">
        <f>IF(E23="","",IF(VLOOKUP($A23, 'Ex Post LI &amp; Eligibility Stats'!$A$6:$N$18,G$5,FALSE)="N/A",0,VLOOKUP($A23,'Ex Post LI &amp; Eligibility Stats'!$A$6:$N$18,G$5,FALSE)*E23/1000))</f>
        <v>1.5893999999999999</v>
      </c>
      <c r="H23" s="530">
        <v>4438</v>
      </c>
      <c r="I23" s="531">
        <f>IF(H23="","",IF(VLOOKUP($A23,  'Ex Ante LI &amp; Eligibility Stats'!$A$6:$N$18,I$5,FALSE)="N/A",0,VLOOKUP($A23, 'Ex Ante LI &amp; Eligibility Stats'!$A$6:$N$18,I$5,FALSE)*H23/1000))</f>
        <v>20.281659999999999</v>
      </c>
      <c r="J23" s="532">
        <f>IF(H23="","",IF(VLOOKUP($A23, 'Ex Post LI &amp; Eligibility Stats'!$A$6:$N$18,J$5,FALSE)="N/A",0,VLOOKUP($A23,'Ex Post LI &amp; Eligibility Stats'!$A$6:$N$18,J$5,FALSE)*H23/1000))</f>
        <v>1.5976799999999998</v>
      </c>
      <c r="K23" s="106">
        <v>4469</v>
      </c>
      <c r="L23" s="539">
        <f>IF(K23="","",IF(VLOOKUP($A23,  'Ex Ante LI &amp; Eligibility Stats'!$A$6:$N$18,L$5,FALSE)="N/A",0,VLOOKUP($A23, 'Ex Ante LI &amp; Eligibility Stats'!$A$6:$N$18,L$5,FALSE)*K23/1000))</f>
        <v>20.110499999999998</v>
      </c>
      <c r="M23" s="540">
        <f>IF(K23="","",IF(VLOOKUP($A23, 'Ex Post LI &amp; Eligibility Stats'!$A$6:$N$18,M$5,FALSE)="N/A",0,VLOOKUP($A23,'Ex Post LI &amp; Eligibility Stats'!$A$6:$N$18,M$5,FALSE)*K23/1000))</f>
        <v>1.6088399999999998</v>
      </c>
      <c r="N23" s="106">
        <v>4510</v>
      </c>
      <c r="O23" s="539">
        <f>IF(N23="","",IF(VLOOKUP($A23,  'Ex Ante LI &amp; Eligibility Stats'!$A$6:$N$18,O$5,FALSE)="N/A",0,VLOOKUP($A23, 'Ex Ante LI &amp; Eligibility Stats'!$A$6:$N$18,O$5,FALSE)*N23/1000))</f>
        <v>22.008800000000001</v>
      </c>
      <c r="P23" s="540">
        <f>IF(N23="","",IF(VLOOKUP($A23, 'Ex Post LI &amp; Eligibility Stats'!$A$6:$N$18,P$5,FALSE)="N/A",0,VLOOKUP($A23,'Ex Post LI &amp; Eligibility Stats'!$A$6:$N$18,P$5,FALSE)*N23/1000))</f>
        <v>1.6235999999999999</v>
      </c>
      <c r="Q23" s="106">
        <v>4578</v>
      </c>
      <c r="R23" s="539">
        <f>IF(Q23="","",IF(VLOOKUP($A23,  'Ex Ante LI &amp; Eligibility Stats'!$A$6:$N$18,R$5,FALSE)="N/A",0,VLOOKUP($A23, 'Ex Ante LI &amp; Eligibility Stats'!$A$6:$N$18,R$5,FALSE)*Q23/1000))</f>
        <v>17.44218</v>
      </c>
      <c r="S23" s="584">
        <f>IF(Q23="","",IF(VLOOKUP($A23, 'Ex Post LI &amp; Eligibility Stats'!$A$6:$N$18,S$5,FALSE)="N/A",0,VLOOKUP($A23,'Ex Post LI &amp; Eligibility Stats'!$A$6:$N$18,S$5,FALSE)*Q23/1000))</f>
        <v>1.64808</v>
      </c>
      <c r="T23" s="673"/>
      <c r="U23" s="575"/>
      <c r="V23" s="575"/>
      <c r="W23" s="575"/>
      <c r="X23" s="575"/>
      <c r="Y23" s="575"/>
      <c r="Z23" s="575"/>
      <c r="AA23" s="575"/>
      <c r="AB23" s="575"/>
      <c r="AC23" s="575"/>
      <c r="AD23" s="575"/>
      <c r="AE23" s="575"/>
    </row>
    <row r="24" spans="1:31" ht="12" customHeight="1" x14ac:dyDescent="0.25">
      <c r="A24" s="541" t="s">
        <v>292</v>
      </c>
      <c r="B24" s="546">
        <v>79153</v>
      </c>
      <c r="C24" s="543">
        <f>IF(B24="","",IF(VLOOKUP($A24,  'Ex Ante LI &amp; Eligibility Stats'!$A$6:$N$18,C$5,FALSE)="N/A",0,VLOOKUP($A24, 'Ex Ante LI &amp; Eligibility Stats'!$A$6:$N$18,C$5,FALSE)*B24/1000))</f>
        <v>0</v>
      </c>
      <c r="D24" s="544">
        <f>IF(B24="","",IF(VLOOKUP($A24, 'Ex Post LI &amp; Eligibility Stats'!$A$6:$N$18,D$5,FALSE)="N/A",0,VLOOKUP($A24,'Ex Post LI &amp; Eligibility Stats'!$A$6:$N$18,D$5,FALSE)*B24/1000))</f>
        <v>22.162840000000003</v>
      </c>
      <c r="E24" s="542">
        <v>79247</v>
      </c>
      <c r="F24" s="543">
        <f>IF(E24="","",IF(VLOOKUP($A24,  'Ex Ante LI &amp; Eligibility Stats'!$A$6:$N$18,F$5,FALSE)="N/A",0,VLOOKUP($A24, 'Ex Ante LI &amp; Eligibility Stats'!$A$6:$N$18,F$5,FALSE)*E24/1000))</f>
        <v>0</v>
      </c>
      <c r="G24" s="544">
        <f>IF(E24="","",IF(VLOOKUP($A24, 'Ex Post LI &amp; Eligibility Stats'!$A$6:$N$18,G$5,FALSE)="N/A",0,VLOOKUP($A24,'Ex Post LI &amp; Eligibility Stats'!$A$6:$N$18,G$5,FALSE)*E24/1000))</f>
        <v>22.189160000000005</v>
      </c>
      <c r="H24" s="546">
        <v>79501</v>
      </c>
      <c r="I24" s="543">
        <f>IF(H24="","",IF(VLOOKUP($A24,  'Ex Ante LI &amp; Eligibility Stats'!$A$6:$N$18,I$5,FALSE)="N/A",0,VLOOKUP($A24, 'Ex Ante LI &amp; Eligibility Stats'!$A$6:$N$18,I$5,FALSE)*H24/1000))</f>
        <v>0</v>
      </c>
      <c r="J24" s="544">
        <f>IF(H24="","",IF(VLOOKUP($A24, 'Ex Post LI &amp; Eligibility Stats'!$A$6:$N$18,J$5,FALSE)="N/A",0,VLOOKUP($A24,'Ex Post LI &amp; Eligibility Stats'!$A$6:$N$18,J$5,FALSE)*H24/1000))</f>
        <v>22.260280000000002</v>
      </c>
      <c r="K24" s="547">
        <v>80211</v>
      </c>
      <c r="L24" s="548">
        <f>IF(K24="","",IF(VLOOKUP($A24,  'Ex Ante LI &amp; Eligibility Stats'!$A$6:$N$18,L$5,FALSE)="N/A",0,VLOOKUP($A24, 'Ex Ante LI &amp; Eligibility Stats'!$A$6:$N$18,L$5,FALSE)*K24/1000))</f>
        <v>0</v>
      </c>
      <c r="M24" s="549">
        <f>IF(K24="","",IF(VLOOKUP($A24, 'Ex Post LI &amp; Eligibility Stats'!$A$6:$N$18,M$5,FALSE)="N/A",0,VLOOKUP($A24,'Ex Post LI &amp; Eligibility Stats'!$A$6:$N$18,M$5,FALSE)*K24/1000))</f>
        <v>22.45908</v>
      </c>
      <c r="N24" s="547">
        <v>95726</v>
      </c>
      <c r="O24" s="548">
        <f>IF(N24="","",IF(VLOOKUP($A24,  'Ex Ante LI &amp; Eligibility Stats'!$A$6:$N$18,O$5,FALSE)="N/A",0,VLOOKUP($A24, 'Ex Ante LI &amp; Eligibility Stats'!$A$6:$N$18,O$5,FALSE)*N24/1000))</f>
        <v>15.31616</v>
      </c>
      <c r="P24" s="549">
        <f>IF(N24="","",IF(VLOOKUP($A24, 'Ex Post LI &amp; Eligibility Stats'!$A$6:$N$18,P$5,FALSE)="N/A",0,VLOOKUP($A24,'Ex Post LI &amp; Eligibility Stats'!$A$6:$N$18,P$5,FALSE)*N24/1000))</f>
        <v>26.803280000000001</v>
      </c>
      <c r="Q24" s="546">
        <v>113503</v>
      </c>
      <c r="R24" s="548">
        <f>IF(Q24="","",IF(VLOOKUP($A24,  'Ex Ante LI &amp; Eligibility Stats'!$A$6:$N$18,R$5,FALSE)="N/A",0,VLOOKUP($A24, 'Ex Ante LI &amp; Eligibility Stats'!$A$6:$N$18,R$5,FALSE)*Q24/1000))</f>
        <v>24.970659999999999</v>
      </c>
      <c r="S24" s="588">
        <f>IF(Q24="","",IF(VLOOKUP($A24, 'Ex Post LI &amp; Eligibility Stats'!$A$6:$N$18,S$5,FALSE)="N/A",0,VLOOKUP($A24,'Ex Post LI &amp; Eligibility Stats'!$A$6:$N$18,S$5,FALSE)*Q24/1000))</f>
        <v>31.780840000000005</v>
      </c>
      <c r="T24" s="550" t="s">
        <v>21</v>
      </c>
    </row>
    <row r="25" spans="1:31" ht="12" customHeight="1" thickBot="1" x14ac:dyDescent="0.35">
      <c r="A25" s="589" t="s">
        <v>293</v>
      </c>
      <c r="B25" s="552">
        <f t="shared" ref="B25:S25" si="2">SUM(B17:B24)</f>
        <v>88243</v>
      </c>
      <c r="C25" s="553">
        <f t="shared" si="2"/>
        <v>106.23464</v>
      </c>
      <c r="D25" s="554">
        <f t="shared" si="2"/>
        <v>356.95390999999995</v>
      </c>
      <c r="E25" s="552">
        <f t="shared" si="2"/>
        <v>88334</v>
      </c>
      <c r="F25" s="553">
        <f t="shared" si="2"/>
        <v>106.63885000000001</v>
      </c>
      <c r="G25" s="554">
        <f t="shared" si="2"/>
        <v>348.82836000000009</v>
      </c>
      <c r="H25" s="552">
        <f t="shared" si="2"/>
        <v>88583</v>
      </c>
      <c r="I25" s="553">
        <f t="shared" si="2"/>
        <v>104.65655</v>
      </c>
      <c r="J25" s="554">
        <f t="shared" si="2"/>
        <v>345.89236000000005</v>
      </c>
      <c r="K25" s="556">
        <f t="shared" si="2"/>
        <v>89340</v>
      </c>
      <c r="L25" s="557">
        <f t="shared" si="2"/>
        <v>110.12186</v>
      </c>
      <c r="M25" s="559">
        <f t="shared" si="2"/>
        <v>346.04962999999998</v>
      </c>
      <c r="N25" s="556">
        <f t="shared" si="2"/>
        <v>104889</v>
      </c>
      <c r="O25" s="557">
        <f t="shared" si="2"/>
        <v>368.22500000000002</v>
      </c>
      <c r="P25" s="559">
        <f t="shared" si="2"/>
        <v>333.32973000000004</v>
      </c>
      <c r="Q25" s="552">
        <f t="shared" si="2"/>
        <v>123011</v>
      </c>
      <c r="R25" s="557">
        <f>SUM(R17:R24)</f>
        <v>378.42130000000003</v>
      </c>
      <c r="S25" s="559">
        <f t="shared" si="2"/>
        <v>372.09316999999999</v>
      </c>
      <c r="T25" s="558"/>
      <c r="U25" s="575"/>
      <c r="V25" s="575"/>
      <c r="W25" s="575"/>
      <c r="X25" s="575"/>
      <c r="Y25" s="575"/>
      <c r="Z25" s="575"/>
      <c r="AA25" s="575"/>
      <c r="AB25" s="575"/>
      <c r="AC25" s="575"/>
      <c r="AD25" s="575"/>
      <c r="AE25" s="575"/>
    </row>
    <row r="26" spans="1:31" ht="14" thickTop="1" thickBot="1" x14ac:dyDescent="0.35">
      <c r="A26" s="551" t="s">
        <v>294</v>
      </c>
      <c r="B26" s="552">
        <f>SUM(B15+B25)</f>
        <v>249592</v>
      </c>
      <c r="C26" s="553">
        <f>+C15+C25</f>
        <v>303.92678000000001</v>
      </c>
      <c r="D26" s="590">
        <f>+D15+D25</f>
        <v>681.28134</v>
      </c>
      <c r="E26" s="552">
        <f>SUM(E15+E25)</f>
        <v>249595</v>
      </c>
      <c r="F26" s="553">
        <f>+F15+F25</f>
        <v>301.98198000000002</v>
      </c>
      <c r="G26" s="590">
        <f>+G15+G25</f>
        <v>664.34561000000008</v>
      </c>
      <c r="H26" s="591">
        <f>SUM(H15+H25)</f>
        <v>249134</v>
      </c>
      <c r="I26" s="553">
        <f>+I15+I25</f>
        <v>298.53358999999995</v>
      </c>
      <c r="J26" s="590">
        <f>+J15+J25</f>
        <v>662.76033000000007</v>
      </c>
      <c r="K26" s="556">
        <f>SUM(K15+K25)</f>
        <v>249137</v>
      </c>
      <c r="L26" s="557">
        <f>+L15+L25</f>
        <v>341.09230000000002</v>
      </c>
      <c r="M26" s="592">
        <f>+M15+M25</f>
        <v>670.38006999999993</v>
      </c>
      <c r="N26" s="556">
        <f>SUM(N15+N25)</f>
        <v>264480</v>
      </c>
      <c r="O26" s="557">
        <f>+O15+O25</f>
        <v>653.41811800000005</v>
      </c>
      <c r="P26" s="592">
        <f>+P15+P25</f>
        <v>656.67078000000004</v>
      </c>
      <c r="Q26" s="552">
        <f>SUM(Q15+Q25)</f>
        <v>282468</v>
      </c>
      <c r="R26" s="557">
        <f>+R15+R25</f>
        <v>693.83976400000006</v>
      </c>
      <c r="S26" s="592">
        <f>+S15+S25</f>
        <v>699.74288999999999</v>
      </c>
      <c r="T26" s="558"/>
      <c r="U26" s="575"/>
      <c r="V26" s="575"/>
      <c r="W26" s="575"/>
      <c r="X26" s="575"/>
      <c r="Y26" s="575"/>
      <c r="Z26" s="575"/>
      <c r="AA26" s="575"/>
      <c r="AB26" s="575"/>
      <c r="AC26" s="575"/>
      <c r="AD26" s="575"/>
      <c r="AE26" s="575"/>
    </row>
    <row r="27" spans="1:31" ht="3" customHeight="1" thickTop="1" x14ac:dyDescent="0.3">
      <c r="A27" s="593"/>
      <c r="B27" s="530"/>
      <c r="C27" s="594"/>
      <c r="D27" s="595"/>
      <c r="E27" s="530"/>
      <c r="F27" s="594"/>
      <c r="G27" s="596"/>
      <c r="H27" s="530"/>
      <c r="I27" s="594"/>
      <c r="J27" s="596"/>
      <c r="K27" s="538"/>
      <c r="L27" s="597"/>
      <c r="M27" s="598"/>
      <c r="N27" s="538"/>
      <c r="O27" s="599"/>
      <c r="P27" s="600"/>
      <c r="Q27" s="530"/>
      <c r="R27" s="599"/>
      <c r="S27" s="600"/>
      <c r="T27" s="601"/>
      <c r="U27" s="575"/>
      <c r="V27" s="575"/>
      <c r="W27" s="575"/>
      <c r="X27" s="575"/>
      <c r="Y27" s="575"/>
      <c r="Z27" s="575"/>
      <c r="AA27" s="575"/>
      <c r="AB27" s="575"/>
      <c r="AC27" s="575"/>
      <c r="AD27" s="575"/>
      <c r="AE27" s="575"/>
    </row>
    <row r="28" spans="1:31" ht="5.15" customHeight="1" x14ac:dyDescent="0.3">
      <c r="A28" s="593"/>
      <c r="B28" s="530"/>
      <c r="C28" s="594"/>
      <c r="D28" s="595"/>
      <c r="E28" s="530"/>
      <c r="F28" s="594"/>
      <c r="G28" s="596"/>
      <c r="H28" s="530"/>
      <c r="I28" s="594"/>
      <c r="J28" s="596"/>
      <c r="K28" s="538"/>
      <c r="L28" s="597"/>
      <c r="M28" s="598"/>
      <c r="N28" s="538"/>
      <c r="O28" s="599"/>
      <c r="P28" s="600"/>
      <c r="Q28" s="530"/>
      <c r="R28" s="599"/>
      <c r="S28" s="600"/>
      <c r="T28" s="601"/>
      <c r="U28" s="575"/>
      <c r="V28" s="575"/>
      <c r="W28" s="575"/>
      <c r="X28" s="575"/>
      <c r="Y28" s="575"/>
      <c r="Z28" s="575"/>
      <c r="AA28" s="575"/>
      <c r="AB28" s="575"/>
      <c r="AC28" s="575"/>
      <c r="AD28" s="575"/>
      <c r="AE28" s="575"/>
    </row>
    <row r="29" spans="1:31" ht="5.15" customHeight="1" x14ac:dyDescent="0.25">
      <c r="A29" s="602"/>
      <c r="B29" s="530"/>
      <c r="C29" s="603"/>
      <c r="D29" s="603"/>
      <c r="E29" s="603"/>
      <c r="F29" s="603"/>
      <c r="G29" s="603"/>
      <c r="H29" s="603"/>
      <c r="I29" s="603"/>
      <c r="J29" s="603"/>
      <c r="K29" s="604"/>
      <c r="L29" s="605"/>
      <c r="M29" s="605"/>
      <c r="N29" s="604"/>
      <c r="O29" s="604"/>
      <c r="P29" s="604"/>
      <c r="Q29" s="603"/>
      <c r="R29" s="604"/>
      <c r="S29" s="604"/>
      <c r="T29" s="606"/>
    </row>
    <row r="30" spans="1:31" hidden="1" x14ac:dyDescent="0.25">
      <c r="A30" s="602"/>
      <c r="B30" s="530"/>
      <c r="C30" s="603">
        <f>C5+6</f>
        <v>8</v>
      </c>
      <c r="D30" s="603">
        <f>D5+6</f>
        <v>8</v>
      </c>
      <c r="E30" s="603"/>
      <c r="F30" s="603">
        <f>F5+6</f>
        <v>9</v>
      </c>
      <c r="G30" s="603">
        <f>G5+6</f>
        <v>9</v>
      </c>
      <c r="H30" s="603"/>
      <c r="I30" s="603">
        <f>I5+6</f>
        <v>10</v>
      </c>
      <c r="J30" s="603">
        <f>J5+6</f>
        <v>10</v>
      </c>
      <c r="K30" s="604"/>
      <c r="L30" s="605">
        <f>L5+6</f>
        <v>11</v>
      </c>
      <c r="M30" s="605">
        <f>M5+6</f>
        <v>11</v>
      </c>
      <c r="N30" s="604"/>
      <c r="O30" s="604">
        <f>O5+6</f>
        <v>12</v>
      </c>
      <c r="P30" s="604">
        <f>P5+6</f>
        <v>12</v>
      </c>
      <c r="Q30" s="603"/>
      <c r="R30" s="604">
        <f>R5+6</f>
        <v>13</v>
      </c>
      <c r="S30" s="604">
        <f>S5+6</f>
        <v>13</v>
      </c>
      <c r="T30" s="607"/>
    </row>
    <row r="31" spans="1:31" ht="11.25" customHeight="1" x14ac:dyDescent="0.3">
      <c r="A31" s="541"/>
      <c r="B31" s="677" t="s">
        <v>12</v>
      </c>
      <c r="C31" s="678"/>
      <c r="D31" s="679"/>
      <c r="E31" s="677" t="s">
        <v>36</v>
      </c>
      <c r="F31" s="678"/>
      <c r="G31" s="679"/>
      <c r="H31" s="677" t="s">
        <v>37</v>
      </c>
      <c r="I31" s="678"/>
      <c r="J31" s="679"/>
      <c r="K31" s="677" t="s">
        <v>15</v>
      </c>
      <c r="L31" s="678"/>
      <c r="M31" s="679"/>
      <c r="N31" s="677" t="s">
        <v>38</v>
      </c>
      <c r="O31" s="678"/>
      <c r="P31" s="679"/>
      <c r="Q31" s="677" t="s">
        <v>17</v>
      </c>
      <c r="R31" s="678"/>
      <c r="S31" s="679"/>
      <c r="T31" s="608"/>
      <c r="U31" s="609"/>
    </row>
    <row r="32" spans="1:31" ht="43.5" customHeight="1" x14ac:dyDescent="0.3">
      <c r="A32" s="518" t="s">
        <v>286</v>
      </c>
      <c r="B32" s="519" t="s">
        <v>287</v>
      </c>
      <c r="C32" s="610" t="s">
        <v>295</v>
      </c>
      <c r="D32" s="524" t="s">
        <v>296</v>
      </c>
      <c r="E32" s="523" t="s">
        <v>287</v>
      </c>
      <c r="F32" s="610" t="s">
        <v>295</v>
      </c>
      <c r="G32" s="524" t="s">
        <v>296</v>
      </c>
      <c r="H32" s="523" t="s">
        <v>287</v>
      </c>
      <c r="I32" s="610" t="s">
        <v>295</v>
      </c>
      <c r="J32" s="524" t="s">
        <v>296</v>
      </c>
      <c r="K32" s="525" t="s">
        <v>287</v>
      </c>
      <c r="L32" s="513" t="s">
        <v>295</v>
      </c>
      <c r="M32" s="514" t="s">
        <v>296</v>
      </c>
      <c r="N32" s="525" t="s">
        <v>287</v>
      </c>
      <c r="O32" s="611" t="s">
        <v>295</v>
      </c>
      <c r="P32" s="612" t="s">
        <v>296</v>
      </c>
      <c r="Q32" s="523" t="s">
        <v>287</v>
      </c>
      <c r="R32" s="611" t="s">
        <v>295</v>
      </c>
      <c r="S32" s="612" t="s">
        <v>296</v>
      </c>
      <c r="T32" s="514" t="s">
        <v>218</v>
      </c>
      <c r="U32" s="605"/>
    </row>
    <row r="33" spans="1:21" ht="13" x14ac:dyDescent="0.3">
      <c r="A33" s="518" t="s">
        <v>34</v>
      </c>
      <c r="B33" s="519"/>
      <c r="C33" s="613"/>
      <c r="D33" s="521"/>
      <c r="E33" s="520"/>
      <c r="F33" s="520"/>
      <c r="G33" s="521"/>
      <c r="H33" s="523"/>
      <c r="I33" s="520"/>
      <c r="J33" s="520"/>
      <c r="K33" s="525"/>
      <c r="L33" s="515"/>
      <c r="M33" s="526"/>
      <c r="N33" s="525"/>
      <c r="O33" s="527"/>
      <c r="P33" s="528"/>
      <c r="Q33" s="523"/>
      <c r="R33" s="527"/>
      <c r="S33" s="528"/>
      <c r="T33" s="528"/>
      <c r="U33" s="605"/>
    </row>
    <row r="34" spans="1:21" ht="11.25" customHeight="1" x14ac:dyDescent="0.25">
      <c r="A34" s="6" t="s">
        <v>35</v>
      </c>
      <c r="B34" s="582">
        <v>281</v>
      </c>
      <c r="C34" s="531">
        <f>IF(B34="","",IF(VLOOKUP($A34,  'Ex Ante LI &amp; Eligibility Stats'!$A$6:$N$18,C$30,FALSE)="N/A",0,VLOOKUP($A34, 'Ex Ante LI &amp; Eligibility Stats'!$A$6:$N$18,C$30,FALSE)*B34/1000))</f>
        <v>244.48685999999998</v>
      </c>
      <c r="D34" s="532">
        <f>IF(B34="","",IF(VLOOKUP($A34, 'Ex Post LI &amp; Eligibility Stats'!$A$6:$N$18,D$30,FALSE)="N/A",0,VLOOKUP($A34,'Ex Post LI &amp; Eligibility Stats'!$A$6:$N$18,D$30,FALSE)*B34/1000))</f>
        <v>246.44262000000001</v>
      </c>
      <c r="E34" s="531"/>
      <c r="F34" s="580"/>
      <c r="G34" s="578"/>
      <c r="H34" s="531"/>
      <c r="I34" s="580"/>
      <c r="J34" s="578"/>
      <c r="K34" s="614"/>
      <c r="L34" s="615"/>
      <c r="M34" s="616"/>
      <c r="N34" s="614"/>
      <c r="O34" s="535"/>
      <c r="P34" s="536"/>
      <c r="Q34" s="617"/>
      <c r="R34" s="535"/>
      <c r="S34" s="536"/>
      <c r="T34" s="537">
        <v>10424</v>
      </c>
      <c r="U34" s="605"/>
    </row>
    <row r="35" spans="1:21" ht="13" customHeight="1" x14ac:dyDescent="0.25">
      <c r="A35" s="6" t="s">
        <v>20</v>
      </c>
      <c r="B35" s="577">
        <v>25</v>
      </c>
      <c r="C35" s="531">
        <f>IF(B35="","",IF(VLOOKUP($A35,  'Ex Ante LI &amp; Eligibility Stats'!$A$6:$N$18,C$30,FALSE)="N/A",0,VLOOKUP($A35, 'Ex Ante LI &amp; Eligibility Stats'!$A$6:$N$18,C$30,FALSE)*B35/1000))</f>
        <v>0</v>
      </c>
      <c r="D35" s="532">
        <f>IF(B35="","",IF(VLOOKUP($A35, 'Ex Post LI &amp; Eligibility Stats'!$A$6:$N$18,D$30,FALSE)="N/A",0,VLOOKUP($A35,'Ex Post LI &amp; Eligibility Stats'!$A$6:$N$18,D$30,FALSE)*B35/1000))</f>
        <v>0</v>
      </c>
      <c r="E35" s="531"/>
      <c r="F35" s="531"/>
      <c r="G35" s="532"/>
      <c r="H35" s="531"/>
      <c r="J35" s="532"/>
      <c r="K35" s="618"/>
      <c r="L35" s="619"/>
      <c r="M35" s="620"/>
      <c r="N35" s="618"/>
      <c r="O35" s="539"/>
      <c r="P35" s="540"/>
      <c r="Q35" s="621"/>
      <c r="R35" s="539"/>
      <c r="S35" s="540"/>
      <c r="T35" s="537" t="s">
        <v>21</v>
      </c>
      <c r="U35" s="605"/>
    </row>
    <row r="36" spans="1:21" ht="13" customHeight="1" x14ac:dyDescent="0.25">
      <c r="A36" s="6" t="s">
        <v>22</v>
      </c>
      <c r="B36" s="577">
        <v>0</v>
      </c>
      <c r="C36" s="531">
        <f>IF(B36="","",IF(VLOOKUP($A36,  'Ex Ante LI &amp; Eligibility Stats'!$A$6:$N$18,C$30,FALSE)="N/A",0,VLOOKUP($A36, 'Ex Ante LI &amp; Eligibility Stats'!$A$6:$N$18,C$30,FALSE)*B36/1000))</f>
        <v>0</v>
      </c>
      <c r="D36" s="532">
        <f>IF(B36="","",IF(VLOOKUP($A36, 'Ex Post LI &amp; Eligibility Stats'!$A$6:$N$18,D$30,FALSE)="N/A",0,VLOOKUP($A36,'Ex Post LI &amp; Eligibility Stats'!$A$6:$N$18,D$30,FALSE)*B36/1000))</f>
        <v>0</v>
      </c>
      <c r="E36" s="531"/>
      <c r="F36" s="531"/>
      <c r="G36" s="532"/>
      <c r="H36" s="531"/>
      <c r="J36" s="532"/>
      <c r="K36" s="618"/>
      <c r="L36" s="619"/>
      <c r="M36" s="620"/>
      <c r="N36" s="618"/>
      <c r="O36" s="539"/>
      <c r="P36" s="540"/>
      <c r="Q36" s="621"/>
      <c r="R36" s="539"/>
      <c r="S36" s="540"/>
      <c r="T36" s="537" t="s">
        <v>21</v>
      </c>
      <c r="U36" s="605"/>
    </row>
    <row r="37" spans="1:21" ht="13" customHeight="1" x14ac:dyDescent="0.25">
      <c r="A37" s="6" t="s">
        <v>127</v>
      </c>
      <c r="B37" s="577">
        <v>5789</v>
      </c>
      <c r="C37" s="531">
        <f>IF(B37="","",IF(VLOOKUP($A37,  'Ex Ante LI &amp; Eligibility Stats'!$A$6:$N$18,C$30,FALSE)="N/A",0,VLOOKUP($A37, 'Ex Ante LI &amp; Eligibility Stats'!$A$6:$N$18,C$30,FALSE)*B37/1000))</f>
        <v>4.0175659999999995</v>
      </c>
      <c r="D37" s="532">
        <f>IF(B37="","",IF(VLOOKUP($A37, 'Ex Post LI &amp; Eligibility Stats'!$A$6:$N$18,D$30,FALSE)="N/A",0,VLOOKUP($A37,'Ex Post LI &amp; Eligibility Stats'!$A$6:$N$18,D$30,FALSE)*B37/1000))</f>
        <v>1.6788099999999999</v>
      </c>
      <c r="E37" s="531"/>
      <c r="F37" s="531"/>
      <c r="G37" s="532"/>
      <c r="H37" s="531"/>
      <c r="I37" s="531"/>
      <c r="J37" s="532"/>
      <c r="K37" s="618"/>
      <c r="L37" s="619"/>
      <c r="M37" s="620"/>
      <c r="N37" s="618"/>
      <c r="O37" s="539"/>
      <c r="P37" s="540"/>
      <c r="Q37" s="621"/>
      <c r="R37" s="539"/>
      <c r="S37" s="540"/>
      <c r="T37" s="537" t="s">
        <v>21</v>
      </c>
      <c r="U37" s="605"/>
    </row>
    <row r="38" spans="1:21" ht="13" customHeight="1" x14ac:dyDescent="0.25">
      <c r="A38" s="541" t="s">
        <v>128</v>
      </c>
      <c r="B38" s="546">
        <v>151719</v>
      </c>
      <c r="C38" s="543">
        <f>IF(B38="","",IF(VLOOKUP($A38,  'Ex Ante LI &amp; Eligibility Stats'!$A$6:$N$18,C$30,FALSE)="N/A",0,VLOOKUP($A38, 'Ex Ante LI &amp; Eligibility Stats'!$A$6:$N$18,C$30,FALSE)*B38/1000))</f>
        <v>100.74141600000002</v>
      </c>
      <c r="D38" s="544">
        <f>IF(B38="","",IF(VLOOKUP($A38, 'Ex Post LI &amp; Eligibility Stats'!$A$6:$N$18,D$30,FALSE)="N/A",0,VLOOKUP($A38,'Ex Post LI &amp; Eligibility Stats'!$A$6:$N$18,D$30,FALSE)*B38/1000))</f>
        <v>86.479829999999993</v>
      </c>
      <c r="E38" s="543"/>
      <c r="F38" s="543"/>
      <c r="G38" s="544"/>
      <c r="H38" s="622"/>
      <c r="I38" s="543"/>
      <c r="J38" s="544"/>
      <c r="K38" s="623"/>
      <c r="L38" s="624"/>
      <c r="M38" s="625"/>
      <c r="N38" s="623"/>
      <c r="O38" s="548"/>
      <c r="P38" s="549"/>
      <c r="Q38" s="626"/>
      <c r="R38" s="548"/>
      <c r="S38" s="549"/>
      <c r="T38" s="550" t="s">
        <v>21</v>
      </c>
      <c r="U38" s="605"/>
    </row>
    <row r="39" spans="1:21" ht="15.65" customHeight="1" thickBot="1" x14ac:dyDescent="0.35">
      <c r="A39" s="589" t="s">
        <v>290</v>
      </c>
      <c r="B39" s="552">
        <f>SUM(B34:B38)</f>
        <v>157814</v>
      </c>
      <c r="C39" s="553">
        <f t="shared" ref="C39:D39" si="3">SUM(C34:C38)</f>
        <v>349.24584199999998</v>
      </c>
      <c r="D39" s="554">
        <f t="shared" si="3"/>
        <v>334.60126000000002</v>
      </c>
      <c r="E39" s="552"/>
      <c r="F39" s="553"/>
      <c r="G39" s="554"/>
      <c r="H39" s="552"/>
      <c r="I39" s="553"/>
      <c r="J39" s="554"/>
      <c r="K39" s="556"/>
      <c r="L39" s="627"/>
      <c r="M39" s="628"/>
      <c r="N39" s="556"/>
      <c r="O39" s="557"/>
      <c r="P39" s="558"/>
      <c r="Q39" s="552"/>
      <c r="R39" s="557"/>
      <c r="S39" s="558"/>
      <c r="T39" s="601"/>
      <c r="U39" s="605"/>
    </row>
    <row r="40" spans="1:21" ht="15.65" customHeight="1" thickTop="1" x14ac:dyDescent="0.3">
      <c r="A40" s="518" t="s">
        <v>291</v>
      </c>
      <c r="B40" s="561"/>
      <c r="C40" s="562"/>
      <c r="D40" s="563"/>
      <c r="E40" s="561"/>
      <c r="F40" s="566"/>
      <c r="G40" s="563"/>
      <c r="H40" s="561"/>
      <c r="I40" s="566"/>
      <c r="J40" s="629"/>
      <c r="K40" s="630"/>
      <c r="L40" s="631"/>
      <c r="M40" s="632"/>
      <c r="N40" s="630"/>
      <c r="O40" s="570"/>
      <c r="P40" s="571"/>
      <c r="Q40" s="633"/>
      <c r="R40" s="570"/>
      <c r="S40" s="573"/>
      <c r="T40" s="574"/>
      <c r="U40" s="605"/>
    </row>
    <row r="41" spans="1:21" ht="12.65" customHeight="1" x14ac:dyDescent="0.25">
      <c r="A41" s="6" t="s">
        <v>25</v>
      </c>
      <c r="B41" s="634">
        <v>443</v>
      </c>
      <c r="C41" s="635">
        <v>72</v>
      </c>
      <c r="D41" s="578">
        <f>IF(B41="","",IF(VLOOKUP($A41, 'Ex Post LI &amp; Eligibility Stats'!$A$6:$N$18,D$30,FALSE)="N/A",0,VLOOKUP($A41,'Ex Post LI &amp; Eligibility Stats'!$A$6:$N$18,D$30,FALSE)*B41/1000))</f>
        <v>94.979199999999992</v>
      </c>
      <c r="E41" s="531"/>
      <c r="F41" s="636"/>
      <c r="G41" s="578"/>
      <c r="H41" s="531"/>
      <c r="I41" s="636"/>
      <c r="J41" s="578"/>
      <c r="K41" s="637"/>
      <c r="L41" s="615"/>
      <c r="M41" s="616"/>
      <c r="N41" s="637"/>
      <c r="O41" s="535"/>
      <c r="P41" s="536"/>
      <c r="Q41" s="582"/>
      <c r="R41" s="535"/>
      <c r="S41" s="536"/>
      <c r="T41" s="583">
        <v>592761</v>
      </c>
      <c r="U41" s="605"/>
    </row>
    <row r="42" spans="1:21" ht="12.65" customHeight="1" x14ac:dyDescent="0.25">
      <c r="A42" s="6" t="s">
        <v>26</v>
      </c>
      <c r="B42" s="577">
        <v>1342</v>
      </c>
      <c r="C42" s="638">
        <v>168</v>
      </c>
      <c r="D42" s="532">
        <f>IF(B42="","",IF(VLOOKUP($A42, 'Ex Post LI &amp; Eligibility Stats'!$A$6:$N$18,D$30,FALSE)="N/A",0,VLOOKUP($A42,'Ex Post LI &amp; Eligibility Stats'!$A$6:$N$18,D$30,FALSE)*B42/1000))</f>
        <v>153.25639999999999</v>
      </c>
      <c r="E42" s="531"/>
      <c r="F42" s="639"/>
      <c r="G42" s="532"/>
      <c r="H42" s="531"/>
      <c r="I42" s="639"/>
      <c r="J42" s="532"/>
      <c r="K42" s="640"/>
      <c r="L42" s="619"/>
      <c r="M42" s="620"/>
      <c r="N42" s="640"/>
      <c r="O42" s="539"/>
      <c r="P42" s="540"/>
      <c r="Q42" s="577"/>
      <c r="R42" s="539"/>
      <c r="S42" s="540"/>
      <c r="T42" s="583">
        <v>592761</v>
      </c>
      <c r="U42" s="605"/>
    </row>
    <row r="43" spans="1:21" ht="12.65" customHeight="1" x14ac:dyDescent="0.25">
      <c r="A43" s="6" t="s">
        <v>27</v>
      </c>
      <c r="B43" s="641">
        <v>25</v>
      </c>
      <c r="C43" s="642">
        <v>9</v>
      </c>
      <c r="D43" s="532">
        <f>IF(B43="","",IF(VLOOKUP($A43, 'Ex Post LI &amp; Eligibility Stats'!$A$6:$N$18,D$30,FALSE)="N/A",0,VLOOKUP($A43,'Ex Post LI &amp; Eligibility Stats'!$A$6:$N$18,D$30,FALSE)*B43/1000))</f>
        <v>3.0375000000000001</v>
      </c>
      <c r="E43" s="531"/>
      <c r="F43" s="643"/>
      <c r="G43" s="532"/>
      <c r="H43" s="531"/>
      <c r="I43" s="531"/>
      <c r="J43" s="532"/>
      <c r="K43" s="640"/>
      <c r="L43" s="619"/>
      <c r="M43" s="620"/>
      <c r="N43" s="640"/>
      <c r="O43" s="539"/>
      <c r="P43" s="540"/>
      <c r="Q43" s="640"/>
      <c r="R43" s="539"/>
      <c r="S43" s="540"/>
      <c r="T43" s="583">
        <v>592761</v>
      </c>
      <c r="U43" s="605"/>
    </row>
    <row r="44" spans="1:21" ht="12.65" customHeight="1" x14ac:dyDescent="0.25">
      <c r="A44" s="6" t="s">
        <v>28</v>
      </c>
      <c r="B44" s="641">
        <v>472</v>
      </c>
      <c r="C44" s="642">
        <v>15</v>
      </c>
      <c r="D44" s="532">
        <f>IF(B44="","",IF(VLOOKUP($A44, 'Ex Post LI &amp; Eligibility Stats'!$A$6:$N$18,D$30,FALSE)="N/A",0,VLOOKUP($A44,'Ex Post LI &amp; Eligibility Stats'!$A$6:$N$18,D$30,FALSE)*B44/1000))</f>
        <v>29.641599999999997</v>
      </c>
      <c r="E44" s="531"/>
      <c r="F44" s="643"/>
      <c r="G44" s="532"/>
      <c r="H44" s="531"/>
      <c r="I44" s="531"/>
      <c r="J44" s="532"/>
      <c r="K44" s="640"/>
      <c r="L44" s="619"/>
      <c r="M44" s="620"/>
      <c r="N44" s="640"/>
      <c r="O44" s="539"/>
      <c r="P44" s="540"/>
      <c r="Q44" s="640"/>
      <c r="R44" s="539"/>
      <c r="S44" s="540"/>
      <c r="T44" s="583">
        <v>592761</v>
      </c>
      <c r="U44" s="605"/>
    </row>
    <row r="45" spans="1:21" ht="12.65" customHeight="1" x14ac:dyDescent="0.25">
      <c r="A45" s="6" t="s">
        <v>29</v>
      </c>
      <c r="B45" s="577">
        <v>955</v>
      </c>
      <c r="C45" s="531">
        <f>IF(B45="","",IF(VLOOKUP($A45,  'Ex Ante LI &amp; Eligibility Stats'!$A$6:$N$18,C$30,FALSE)="N/A",0,VLOOKUP($A45, 'Ex Ante LI &amp; Eligibility Stats'!$A$6:$N$18,C$30,FALSE)*B45/1000))</f>
        <v>44.111449999999998</v>
      </c>
      <c r="D45" s="532">
        <f>IF(B45="","",IF(VLOOKUP($A45, 'Ex Post LI &amp; Eligibility Stats'!$A$6:$N$18,D$30,FALSE)="N/A",0,VLOOKUP($A45,'Ex Post LI &amp; Eligibility Stats'!$A$6:$N$18,D$30,FALSE)*B45/1000))</f>
        <v>36.175400000000003</v>
      </c>
      <c r="E45" s="531"/>
      <c r="F45" s="531"/>
      <c r="G45" s="532"/>
      <c r="H45" s="531"/>
      <c r="I45" s="644"/>
      <c r="J45" s="532"/>
      <c r="K45" s="640"/>
      <c r="L45" s="619"/>
      <c r="M45" s="620"/>
      <c r="N45" s="618"/>
      <c r="O45" s="539"/>
      <c r="P45" s="540"/>
      <c r="Q45" s="577"/>
      <c r="R45" s="539"/>
      <c r="S45" s="540"/>
      <c r="T45" s="583">
        <v>10424</v>
      </c>
      <c r="U45" s="605"/>
    </row>
    <row r="46" spans="1:21" ht="12.65" customHeight="1" x14ac:dyDescent="0.25">
      <c r="A46" s="6" t="s">
        <v>129</v>
      </c>
      <c r="B46" s="577">
        <v>1725</v>
      </c>
      <c r="C46" s="531">
        <f>IF(B46="","",IF(VLOOKUP($A46,  'Ex Ante LI &amp; Eligibility Stats'!$A$6:$N$18,C$30,FALSE)="N/A",0,VLOOKUP($A46, 'Ex Ante LI &amp; Eligibility Stats'!$A$6:$N$18,C$30,FALSE)*B46/1000))</f>
        <v>41.037750000000003</v>
      </c>
      <c r="D46" s="532">
        <f>IF(B46="","",IF(VLOOKUP($A46, 'Ex Post LI &amp; Eligibility Stats'!$A$6:$N$18,D$30,FALSE)="N/A",0,VLOOKUP($A46,'Ex Post LI &amp; Eligibility Stats'!$A$6:$N$18,D$30,FALSE)*B46/1000))</f>
        <v>31.998750000000001</v>
      </c>
      <c r="E46" s="531"/>
      <c r="F46" s="531"/>
      <c r="G46" s="532"/>
      <c r="H46" s="531"/>
      <c r="I46" s="644"/>
      <c r="J46" s="532"/>
      <c r="K46" s="640"/>
      <c r="L46" s="619"/>
      <c r="M46" s="620"/>
      <c r="N46" s="618"/>
      <c r="O46" s="539"/>
      <c r="P46" s="540"/>
      <c r="Q46" s="577"/>
      <c r="R46" s="539"/>
      <c r="S46" s="540"/>
      <c r="T46" s="673">
        <v>387153</v>
      </c>
      <c r="U46" s="605"/>
    </row>
    <row r="47" spans="1:21" ht="12.65" customHeight="1" x14ac:dyDescent="0.25">
      <c r="A47" s="6" t="s">
        <v>176</v>
      </c>
      <c r="B47" s="577">
        <v>4607</v>
      </c>
      <c r="C47" s="531">
        <f>IF(B47="","",IF(VLOOKUP($A47,  'Ex Ante LI &amp; Eligibility Stats'!$A$6:$N$18,C$30,FALSE)="N/A",0,VLOOKUP($A47, 'Ex Ante LI &amp; Eligibility Stats'!$A$6:$N$18,C$30,FALSE)*B47/1000))</f>
        <v>21.83718</v>
      </c>
      <c r="D47" s="532">
        <f>IF(B47="","",IF(VLOOKUP($A47, 'Ex Post LI &amp; Eligibility Stats'!$A$6:$N$18,D$30,FALSE)="N/A",0,VLOOKUP($A47,'Ex Post LI &amp; Eligibility Stats'!$A$6:$N$18,D$30,FALSE)*B47/1000))</f>
        <v>1.65852</v>
      </c>
      <c r="E47" s="531"/>
      <c r="F47" s="531"/>
      <c r="G47" s="532"/>
      <c r="H47" s="531"/>
      <c r="I47" s="644"/>
      <c r="J47" s="532"/>
      <c r="K47" s="640"/>
      <c r="L47" s="619"/>
      <c r="M47" s="620"/>
      <c r="N47" s="640"/>
      <c r="O47" s="539"/>
      <c r="P47" s="540"/>
      <c r="Q47" s="577"/>
      <c r="R47" s="539"/>
      <c r="S47" s="540"/>
      <c r="T47" s="673"/>
      <c r="U47" s="605"/>
    </row>
    <row r="48" spans="1:21" ht="12.65" customHeight="1" x14ac:dyDescent="0.25">
      <c r="A48" s="541" t="s">
        <v>292</v>
      </c>
      <c r="B48" s="546">
        <v>117610</v>
      </c>
      <c r="C48" s="543">
        <f>IF(B48="","",IF(VLOOKUP($A48,  'Ex Ante LI &amp; Eligibility Stats'!$A$6:$N$18,C$30,FALSE)="N/A",0,VLOOKUP($A48, 'Ex Ante LI &amp; Eligibility Stats'!$A$6:$N$18,C$30,FALSE)*B48/1000))</f>
        <v>36.459099999999999</v>
      </c>
      <c r="D48" s="544">
        <f>IF(B48="","",IF(VLOOKUP($A48, 'Ex Post LI &amp; Eligibility Stats'!$A$6:$N$18,D$30,FALSE)="N/A",0,VLOOKUP($A48,'Ex Post LI &amp; Eligibility Stats'!$A$6:$N$18,D$30,FALSE)*B48/1000))</f>
        <v>32.930800000000005</v>
      </c>
      <c r="E48" s="543"/>
      <c r="F48" s="543"/>
      <c r="G48" s="544"/>
      <c r="H48" s="622"/>
      <c r="I48" s="645"/>
      <c r="J48" s="544"/>
      <c r="K48" s="646"/>
      <c r="L48" s="624"/>
      <c r="M48" s="625"/>
      <c r="N48" s="623"/>
      <c r="O48" s="548"/>
      <c r="P48" s="549"/>
      <c r="Q48" s="546"/>
      <c r="R48" s="548"/>
      <c r="S48" s="549"/>
      <c r="T48" s="550" t="s">
        <v>21</v>
      </c>
      <c r="U48" s="605"/>
    </row>
    <row r="49" spans="1:21" ht="12" customHeight="1" thickBot="1" x14ac:dyDescent="0.35">
      <c r="A49" s="589" t="s">
        <v>293</v>
      </c>
      <c r="B49" s="552">
        <f t="shared" ref="B49" si="4">SUM(B41:B48)</f>
        <v>127179</v>
      </c>
      <c r="C49" s="553">
        <f>SUM(C41:C48)</f>
        <v>407.44547999999998</v>
      </c>
      <c r="D49" s="554">
        <f t="shared" ref="D49" si="5">SUM(D41:D48)</f>
        <v>383.67817000000002</v>
      </c>
      <c r="E49" s="552"/>
      <c r="F49" s="553"/>
      <c r="G49" s="555"/>
      <c r="H49" s="552"/>
      <c r="I49" s="647"/>
      <c r="J49" s="555"/>
      <c r="K49" s="556"/>
      <c r="L49" s="627"/>
      <c r="M49" s="648"/>
      <c r="N49" s="556"/>
      <c r="O49" s="557"/>
      <c r="P49" s="559"/>
      <c r="Q49" s="649"/>
      <c r="R49" s="557"/>
      <c r="S49" s="559"/>
      <c r="T49" s="558"/>
      <c r="U49" s="605"/>
    </row>
    <row r="50" spans="1:21" ht="14.15" customHeight="1" thickTop="1" x14ac:dyDescent="0.3">
      <c r="A50" s="650" t="s">
        <v>294</v>
      </c>
      <c r="B50" s="542">
        <f>SUM(B39+B49)</f>
        <v>284993</v>
      </c>
      <c r="C50" s="543">
        <f>+C39+C49</f>
        <v>756.6913219999999</v>
      </c>
      <c r="D50" s="651">
        <f>+D39+D49</f>
        <v>718.27943000000005</v>
      </c>
      <c r="E50" s="542"/>
      <c r="F50" s="543"/>
      <c r="G50" s="651"/>
      <c r="H50" s="542"/>
      <c r="I50" s="645"/>
      <c r="J50" s="651"/>
      <c r="K50" s="547"/>
      <c r="L50" s="624"/>
      <c r="M50" s="652"/>
      <c r="N50" s="547"/>
      <c r="O50" s="548"/>
      <c r="P50" s="653"/>
      <c r="Q50" s="546"/>
      <c r="R50" s="548"/>
      <c r="S50" s="653"/>
      <c r="T50" s="654"/>
      <c r="U50" s="605"/>
    </row>
    <row r="51" spans="1:21" s="655" customFormat="1" ht="23.25" customHeight="1" x14ac:dyDescent="0.25">
      <c r="A51" s="674" t="s">
        <v>297</v>
      </c>
      <c r="B51" s="675"/>
      <c r="C51" s="675"/>
      <c r="D51" s="675"/>
      <c r="E51" s="675"/>
      <c r="F51" s="675"/>
      <c r="G51" s="675"/>
      <c r="H51" s="675"/>
      <c r="I51" s="675"/>
      <c r="J51" s="675"/>
      <c r="K51" s="675"/>
      <c r="L51" s="675"/>
      <c r="M51" s="675"/>
      <c r="N51" s="675"/>
      <c r="O51" s="675"/>
      <c r="P51" s="675"/>
      <c r="Q51" s="675"/>
      <c r="R51" s="675"/>
      <c r="S51" s="675"/>
      <c r="T51" s="675"/>
    </row>
    <row r="52" spans="1:21" s="655" customFormat="1" ht="23.25" customHeight="1" x14ac:dyDescent="0.25">
      <c r="A52" s="674" t="s">
        <v>298</v>
      </c>
      <c r="B52" s="675"/>
      <c r="C52" s="675"/>
      <c r="D52" s="675"/>
      <c r="E52" s="675"/>
      <c r="F52" s="675"/>
      <c r="G52" s="675"/>
      <c r="H52" s="675"/>
      <c r="I52" s="675"/>
      <c r="J52" s="675"/>
      <c r="K52" s="675"/>
      <c r="L52" s="675"/>
      <c r="M52" s="675"/>
      <c r="N52" s="675"/>
      <c r="O52" s="675"/>
      <c r="P52" s="675"/>
      <c r="Q52" s="675"/>
      <c r="R52" s="675"/>
      <c r="S52" s="675"/>
      <c r="T52" s="675"/>
    </row>
    <row r="53" spans="1:21" s="656" customFormat="1" ht="10.5" x14ac:dyDescent="0.25">
      <c r="A53" s="676" t="s">
        <v>299</v>
      </c>
      <c r="B53" s="675"/>
      <c r="C53" s="675"/>
      <c r="D53" s="675"/>
      <c r="E53" s="675"/>
      <c r="F53" s="675"/>
      <c r="G53" s="675"/>
      <c r="H53" s="675"/>
      <c r="I53" s="675"/>
      <c r="J53" s="675"/>
      <c r="K53" s="675"/>
      <c r="L53" s="675"/>
      <c r="M53" s="675"/>
      <c r="N53" s="675"/>
      <c r="O53" s="675"/>
      <c r="P53" s="675"/>
      <c r="Q53" s="675"/>
      <c r="R53" s="675"/>
      <c r="S53" s="675"/>
      <c r="T53" s="675"/>
    </row>
    <row r="54" spans="1:21" ht="18" customHeight="1" x14ac:dyDescent="0.25">
      <c r="A54" s="105" t="s">
        <v>1</v>
      </c>
    </row>
    <row r="55" spans="1:21" x14ac:dyDescent="0.25">
      <c r="A55" s="657"/>
    </row>
    <row r="57" spans="1:21" x14ac:dyDescent="0.25">
      <c r="A57" s="658"/>
    </row>
    <row r="58" spans="1:21" x14ac:dyDescent="0.25">
      <c r="A58" s="658"/>
    </row>
    <row r="59" spans="1:21" x14ac:dyDescent="0.25">
      <c r="A59" s="658"/>
    </row>
  </sheetData>
  <sheetProtection password="C511" sheet="1" objects="1" scenarios="1"/>
  <protectedRanges>
    <protectedRange sqref="Q21" name="Range1_2"/>
    <protectedRange sqref="Q24" name="Range1_4"/>
    <protectedRange sqref="Q13" name="Range1_6"/>
    <protectedRange sqref="Q14" name="Range1_7"/>
    <protectedRange sqref="E45" name="Range1"/>
  </protectedRanges>
  <mergeCells count="17">
    <mergeCell ref="Q7:S7"/>
    <mergeCell ref="B7:D7"/>
    <mergeCell ref="E7:G7"/>
    <mergeCell ref="H7:J7"/>
    <mergeCell ref="K7:M7"/>
    <mergeCell ref="N7:P7"/>
    <mergeCell ref="T46:T47"/>
    <mergeCell ref="A51:T51"/>
    <mergeCell ref="A52:T52"/>
    <mergeCell ref="A53:T53"/>
    <mergeCell ref="T22:T23"/>
    <mergeCell ref="B31:D31"/>
    <mergeCell ref="E31:G31"/>
    <mergeCell ref="H31:J31"/>
    <mergeCell ref="K31:M31"/>
    <mergeCell ref="N31:P31"/>
    <mergeCell ref="Q31:S31"/>
  </mergeCells>
  <printOptions horizontalCentered="1"/>
  <pageMargins left="0" right="0" top="0.93" bottom="0.25" header="0.13" footer="0.1"/>
  <pageSetup scale="59" orientation="landscape" r:id="rId1"/>
  <headerFooter>
    <oddHeader>&amp;C&amp;"Arial,Bold"&amp;K000000Table I-1
Pacific Gas and Electric Company 
Interruptible and Price Responsive Programs
Subscription Statistics - Enrolled MW
July 2013</oddHeader>
    <oddFooter>&amp;L&amp;F&amp;CPage 3 of 11&amp;R&amp;A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view="pageLayout" topLeftCell="A2" zoomScale="55" zoomScaleNormal="100" zoomScalePageLayoutView="55" workbookViewId="0">
      <selection activeCell="K28" sqref="K28"/>
    </sheetView>
  </sheetViews>
  <sheetFormatPr defaultColWidth="9.453125" defaultRowHeight="12.5" x14ac:dyDescent="0.25"/>
  <cols>
    <col min="1" max="1" width="35.54296875" style="105" customWidth="1"/>
    <col min="2" max="2" width="11.453125" style="105" customWidth="1"/>
    <col min="3" max="3" width="10" style="105" customWidth="1"/>
    <col min="4" max="8" width="9.453125" style="105" customWidth="1"/>
    <col min="9" max="9" width="9.54296875" style="105" customWidth="1"/>
    <col min="10" max="10" width="11.54296875" style="105" customWidth="1"/>
    <col min="11" max="11" width="9.453125" style="105" customWidth="1"/>
    <col min="12" max="12" width="11.453125" style="105" customWidth="1"/>
    <col min="13" max="13" width="10.54296875" style="105" customWidth="1"/>
    <col min="14" max="14" width="16.453125" style="105" customWidth="1"/>
    <col min="15" max="15" width="64" style="383" customWidth="1"/>
    <col min="16" max="17" width="26.54296875" style="105" hidden="1" customWidth="1"/>
    <col min="18" max="18" width="46.453125" style="105" customWidth="1"/>
    <col min="19" max="19" width="10.54296875" style="105" customWidth="1"/>
    <col min="20" max="20" width="12.453125" style="105" bestFit="1" customWidth="1"/>
    <col min="21" max="21" width="12.453125" style="105" customWidth="1"/>
    <col min="22" max="22" width="9.54296875" style="105" bestFit="1" customWidth="1"/>
    <col min="23" max="23" width="11.453125" style="105" customWidth="1"/>
    <col min="24" max="24" width="11.54296875" style="105" bestFit="1" customWidth="1"/>
    <col min="25" max="25" width="11.54296875" style="105" customWidth="1"/>
    <col min="26" max="16384" width="9.453125" style="105"/>
  </cols>
  <sheetData>
    <row r="1" spans="1:15" ht="12.75" x14ac:dyDescent="0.2">
      <c r="A1" s="179" t="s">
        <v>3</v>
      </c>
      <c r="B1" s="180"/>
      <c r="C1" s="180"/>
      <c r="D1" s="180"/>
      <c r="E1" s="180"/>
      <c r="F1" s="180"/>
      <c r="G1" s="180"/>
      <c r="H1" s="180"/>
      <c r="I1" s="180"/>
      <c r="J1" s="180"/>
      <c r="K1" s="180"/>
      <c r="L1" s="180"/>
      <c r="M1" s="180"/>
      <c r="N1" s="180"/>
      <c r="O1" s="392"/>
    </row>
    <row r="2" spans="1:15" ht="12.75" x14ac:dyDescent="0.2">
      <c r="A2" s="182"/>
      <c r="B2" s="113"/>
      <c r="C2" s="113"/>
      <c r="D2" s="113"/>
      <c r="E2" s="113"/>
      <c r="F2" s="113"/>
      <c r="G2" s="113"/>
      <c r="H2" s="113"/>
      <c r="I2" s="113"/>
      <c r="J2" s="113"/>
      <c r="K2" s="113"/>
      <c r="L2" s="113"/>
      <c r="M2" s="113"/>
      <c r="N2" s="113"/>
      <c r="O2" s="393"/>
    </row>
    <row r="3" spans="1:15" ht="12.75" x14ac:dyDescent="0.2">
      <c r="A3" s="184"/>
      <c r="B3" s="113"/>
      <c r="C3" s="113"/>
      <c r="D3" s="113"/>
      <c r="E3" s="113"/>
      <c r="F3" s="113"/>
      <c r="G3" s="113"/>
      <c r="H3" s="113"/>
      <c r="I3" s="113"/>
      <c r="J3" s="113"/>
      <c r="K3" s="113"/>
      <c r="L3" s="113"/>
      <c r="M3" s="113"/>
      <c r="N3" s="113"/>
      <c r="O3" s="393"/>
    </row>
    <row r="4" spans="1:15" s="387" customFormat="1" ht="13" x14ac:dyDescent="0.3">
      <c r="A4" s="187"/>
      <c r="B4" s="680" t="s">
        <v>4</v>
      </c>
      <c r="C4" s="680"/>
      <c r="D4" s="680"/>
      <c r="E4" s="680"/>
      <c r="F4" s="680"/>
      <c r="G4" s="680"/>
      <c r="H4" s="680"/>
      <c r="I4" s="680"/>
      <c r="J4" s="680"/>
      <c r="K4" s="680"/>
      <c r="L4" s="680"/>
      <c r="M4" s="680"/>
      <c r="N4" s="681" t="s">
        <v>218</v>
      </c>
      <c r="O4" s="394"/>
    </row>
    <row r="5" spans="1:15" s="387" customFormat="1" ht="25.5" customHeight="1" x14ac:dyDescent="0.3">
      <c r="A5" s="185" t="s">
        <v>5</v>
      </c>
      <c r="B5" s="384" t="s">
        <v>6</v>
      </c>
      <c r="C5" s="384" t="s">
        <v>7</v>
      </c>
      <c r="D5" s="384" t="s">
        <v>8</v>
      </c>
      <c r="E5" s="384" t="s">
        <v>9</v>
      </c>
      <c r="F5" s="384" t="s">
        <v>10</v>
      </c>
      <c r="G5" s="384" t="s">
        <v>11</v>
      </c>
      <c r="H5" s="384" t="s">
        <v>12</v>
      </c>
      <c r="I5" s="384" t="s">
        <v>13</v>
      </c>
      <c r="J5" s="384" t="s">
        <v>14</v>
      </c>
      <c r="K5" s="384" t="s">
        <v>15</v>
      </c>
      <c r="L5" s="384" t="s">
        <v>16</v>
      </c>
      <c r="M5" s="384" t="s">
        <v>17</v>
      </c>
      <c r="N5" s="682"/>
      <c r="O5" s="395" t="s">
        <v>18</v>
      </c>
    </row>
    <row r="6" spans="1:15" s="390" customFormat="1" ht="27" customHeight="1" x14ac:dyDescent="0.2">
      <c r="A6" s="388" t="s">
        <v>19</v>
      </c>
      <c r="B6" s="389">
        <v>740.42</v>
      </c>
      <c r="C6" s="389">
        <v>760.09</v>
      </c>
      <c r="D6" s="389">
        <v>748.56</v>
      </c>
      <c r="E6" s="389">
        <v>861.83</v>
      </c>
      <c r="F6" s="389">
        <v>842.17</v>
      </c>
      <c r="G6" s="389">
        <v>895.97</v>
      </c>
      <c r="H6" s="389">
        <v>870.06</v>
      </c>
      <c r="I6" s="389">
        <v>897.95</v>
      </c>
      <c r="J6" s="389">
        <v>884.24</v>
      </c>
      <c r="K6" s="389">
        <v>842.82</v>
      </c>
      <c r="L6" s="389">
        <v>807.72</v>
      </c>
      <c r="M6" s="389">
        <v>805.61</v>
      </c>
      <c r="N6" s="5">
        <v>10424</v>
      </c>
      <c r="O6" s="192" t="s">
        <v>219</v>
      </c>
    </row>
    <row r="7" spans="1:15" s="385" customFormat="1" ht="63.75" x14ac:dyDescent="0.2">
      <c r="A7" s="388" t="s">
        <v>20</v>
      </c>
      <c r="B7" s="391" t="s">
        <v>21</v>
      </c>
      <c r="C7" s="391" t="s">
        <v>21</v>
      </c>
      <c r="D7" s="391" t="s">
        <v>21</v>
      </c>
      <c r="E7" s="391" t="s">
        <v>21</v>
      </c>
      <c r="F7" s="391" t="s">
        <v>21</v>
      </c>
      <c r="G7" s="391" t="s">
        <v>21</v>
      </c>
      <c r="H7" s="391" t="s">
        <v>21</v>
      </c>
      <c r="I7" s="391" t="s">
        <v>21</v>
      </c>
      <c r="J7" s="391" t="s">
        <v>21</v>
      </c>
      <c r="K7" s="391" t="s">
        <v>21</v>
      </c>
      <c r="L7" s="391" t="s">
        <v>21</v>
      </c>
      <c r="M7" s="391" t="s">
        <v>21</v>
      </c>
      <c r="N7" s="5" t="s">
        <v>21</v>
      </c>
      <c r="O7" s="192" t="s">
        <v>220</v>
      </c>
    </row>
    <row r="8" spans="1:15" s="385" customFormat="1" ht="51" x14ac:dyDescent="0.2">
      <c r="A8" s="388" t="s">
        <v>22</v>
      </c>
      <c r="B8" s="391" t="s">
        <v>21</v>
      </c>
      <c r="C8" s="391" t="s">
        <v>21</v>
      </c>
      <c r="D8" s="391" t="s">
        <v>21</v>
      </c>
      <c r="E8" s="391" t="s">
        <v>21</v>
      </c>
      <c r="F8" s="391" t="s">
        <v>21</v>
      </c>
      <c r="G8" s="391" t="s">
        <v>21</v>
      </c>
      <c r="H8" s="391" t="s">
        <v>21</v>
      </c>
      <c r="I8" s="391" t="s">
        <v>21</v>
      </c>
      <c r="J8" s="391" t="s">
        <v>21</v>
      </c>
      <c r="K8" s="391" t="s">
        <v>21</v>
      </c>
      <c r="L8" s="391" t="s">
        <v>21</v>
      </c>
      <c r="M8" s="391" t="s">
        <v>21</v>
      </c>
      <c r="N8" s="5" t="s">
        <v>21</v>
      </c>
      <c r="O8" s="178" t="s">
        <v>221</v>
      </c>
    </row>
    <row r="9" spans="1:15" s="390" customFormat="1" ht="40.5" customHeight="1" x14ac:dyDescent="0.2">
      <c r="A9" s="388" t="s">
        <v>127</v>
      </c>
      <c r="B9" s="391" t="s">
        <v>21</v>
      </c>
      <c r="C9" s="391" t="s">
        <v>21</v>
      </c>
      <c r="D9" s="391" t="s">
        <v>21</v>
      </c>
      <c r="E9" s="391" t="s">
        <v>21</v>
      </c>
      <c r="F9" s="389">
        <v>0.372</v>
      </c>
      <c r="G9" s="389">
        <v>0.46600000000000003</v>
      </c>
      <c r="H9" s="389">
        <v>0.69399999999999995</v>
      </c>
      <c r="I9" s="389">
        <v>0.54700000000000004</v>
      </c>
      <c r="J9" s="389">
        <v>0.51400000000000001</v>
      </c>
      <c r="K9" s="389">
        <v>0.32300000000000001</v>
      </c>
      <c r="L9" s="389" t="s">
        <v>21</v>
      </c>
      <c r="M9" s="389" t="s">
        <v>21</v>
      </c>
      <c r="N9" s="5" t="s">
        <v>21</v>
      </c>
      <c r="O9" s="192" t="s">
        <v>222</v>
      </c>
    </row>
    <row r="10" spans="1:15" s="390" customFormat="1" ht="28.5" customHeight="1" x14ac:dyDescent="0.2">
      <c r="A10" s="388" t="s">
        <v>128</v>
      </c>
      <c r="B10" s="391" t="s">
        <v>21</v>
      </c>
      <c r="C10" s="391" t="s">
        <v>21</v>
      </c>
      <c r="D10" s="391" t="s">
        <v>21</v>
      </c>
      <c r="E10" s="391" t="s">
        <v>21</v>
      </c>
      <c r="F10" s="389">
        <v>0.379</v>
      </c>
      <c r="G10" s="389">
        <v>0.45</v>
      </c>
      <c r="H10" s="389">
        <v>0.66400000000000003</v>
      </c>
      <c r="I10" s="389">
        <v>0.51800000000000002</v>
      </c>
      <c r="J10" s="389">
        <v>0.52800000000000002</v>
      </c>
      <c r="K10" s="389">
        <v>0.28699999999999998</v>
      </c>
      <c r="L10" s="389" t="s">
        <v>21</v>
      </c>
      <c r="M10" s="389" t="s">
        <v>21</v>
      </c>
      <c r="N10" s="5" t="s">
        <v>21</v>
      </c>
      <c r="O10" s="192" t="s">
        <v>223</v>
      </c>
    </row>
    <row r="11" spans="1:15" s="390" customFormat="1" ht="51" customHeight="1" x14ac:dyDescent="0.2">
      <c r="A11" s="388" t="s">
        <v>25</v>
      </c>
      <c r="B11" s="391" t="s">
        <v>21</v>
      </c>
      <c r="C11" s="391" t="s">
        <v>21</v>
      </c>
      <c r="D11" s="391" t="s">
        <v>21</v>
      </c>
      <c r="E11" s="391" t="s">
        <v>21</v>
      </c>
      <c r="F11" s="389">
        <v>157.27000000000001</v>
      </c>
      <c r="G11" s="389">
        <v>157.27000000000001</v>
      </c>
      <c r="H11" s="389">
        <v>157.27000000000001</v>
      </c>
      <c r="I11" s="389">
        <v>157.27000000000001</v>
      </c>
      <c r="J11" s="389">
        <v>157.27000000000001</v>
      </c>
      <c r="K11" s="389">
        <v>157.27000000000001</v>
      </c>
      <c r="L11" s="389" t="s">
        <v>21</v>
      </c>
      <c r="M11" s="389" t="s">
        <v>21</v>
      </c>
      <c r="N11" s="5">
        <v>592761</v>
      </c>
      <c r="O11" s="192" t="s">
        <v>224</v>
      </c>
    </row>
    <row r="12" spans="1:15" s="390" customFormat="1" ht="55.4" customHeight="1" x14ac:dyDescent="0.2">
      <c r="A12" s="388" t="s">
        <v>26</v>
      </c>
      <c r="B12" s="391" t="s">
        <v>21</v>
      </c>
      <c r="C12" s="391" t="s">
        <v>21</v>
      </c>
      <c r="D12" s="391" t="s">
        <v>21</v>
      </c>
      <c r="E12" s="391" t="s">
        <v>21</v>
      </c>
      <c r="F12" s="389">
        <v>99.77</v>
      </c>
      <c r="G12" s="389">
        <v>102.89</v>
      </c>
      <c r="H12" s="389">
        <v>105.63</v>
      </c>
      <c r="I12" s="389">
        <v>107.07</v>
      </c>
      <c r="J12" s="389">
        <v>105.69</v>
      </c>
      <c r="K12" s="389">
        <v>101.91</v>
      </c>
      <c r="L12" s="389" t="s">
        <v>21</v>
      </c>
      <c r="M12" s="389" t="s">
        <v>21</v>
      </c>
      <c r="N12" s="5">
        <v>592761</v>
      </c>
      <c r="O12" s="192" t="s">
        <v>224</v>
      </c>
    </row>
    <row r="13" spans="1:15" s="390" customFormat="1" ht="53.9" customHeight="1" x14ac:dyDescent="0.2">
      <c r="A13" s="388" t="s">
        <v>27</v>
      </c>
      <c r="B13" s="391" t="s">
        <v>21</v>
      </c>
      <c r="C13" s="391" t="s">
        <v>21</v>
      </c>
      <c r="D13" s="391" t="s">
        <v>21</v>
      </c>
      <c r="E13" s="391" t="s">
        <v>21</v>
      </c>
      <c r="F13" s="389">
        <v>109.42</v>
      </c>
      <c r="G13" s="389">
        <v>131.44999999999999</v>
      </c>
      <c r="H13" s="389">
        <v>140.97999999999999</v>
      </c>
      <c r="I13" s="389">
        <v>116.76</v>
      </c>
      <c r="J13" s="389">
        <v>95.38</v>
      </c>
      <c r="K13" s="389">
        <v>107.48</v>
      </c>
      <c r="L13" s="389" t="s">
        <v>21</v>
      </c>
      <c r="M13" s="389" t="s">
        <v>21</v>
      </c>
      <c r="N13" s="5">
        <v>592761</v>
      </c>
      <c r="O13" s="192" t="s">
        <v>224</v>
      </c>
    </row>
    <row r="14" spans="1:15" s="390" customFormat="1" ht="54" customHeight="1" x14ac:dyDescent="0.2">
      <c r="A14" s="388" t="s">
        <v>28</v>
      </c>
      <c r="B14" s="391" t="s">
        <v>21</v>
      </c>
      <c r="C14" s="391" t="s">
        <v>21</v>
      </c>
      <c r="D14" s="391" t="s">
        <v>21</v>
      </c>
      <c r="E14" s="391" t="s">
        <v>21</v>
      </c>
      <c r="F14" s="389">
        <v>71.02</v>
      </c>
      <c r="G14" s="389">
        <v>75.88</v>
      </c>
      <c r="H14" s="389">
        <v>74.989999999999995</v>
      </c>
      <c r="I14" s="389">
        <v>77.349999999999994</v>
      </c>
      <c r="J14" s="389">
        <v>68.790000000000006</v>
      </c>
      <c r="K14" s="389">
        <v>77.48</v>
      </c>
      <c r="L14" s="389" t="s">
        <v>21</v>
      </c>
      <c r="M14" s="389" t="s">
        <v>21</v>
      </c>
      <c r="N14" s="5">
        <v>592761</v>
      </c>
      <c r="O14" s="192" t="s">
        <v>224</v>
      </c>
    </row>
    <row r="15" spans="1:15" s="390" customFormat="1" ht="80.900000000000006" customHeight="1" x14ac:dyDescent="0.2">
      <c r="A15" s="388" t="s">
        <v>29</v>
      </c>
      <c r="B15" s="389">
        <v>39.79</v>
      </c>
      <c r="C15" s="389">
        <v>40.5</v>
      </c>
      <c r="D15" s="389">
        <v>38.51</v>
      </c>
      <c r="E15" s="389">
        <v>43.39</v>
      </c>
      <c r="F15" s="389">
        <v>49.3</v>
      </c>
      <c r="G15" s="389">
        <v>50.24</v>
      </c>
      <c r="H15" s="389">
        <v>46.19</v>
      </c>
      <c r="I15" s="389">
        <v>49.18</v>
      </c>
      <c r="J15" s="389">
        <v>51.6</v>
      </c>
      <c r="K15" s="389">
        <v>49.16</v>
      </c>
      <c r="L15" s="389">
        <v>38.78</v>
      </c>
      <c r="M15" s="389">
        <v>40.479999999999997</v>
      </c>
      <c r="N15" s="5">
        <v>10424</v>
      </c>
      <c r="O15" s="192" t="s">
        <v>228</v>
      </c>
    </row>
    <row r="16" spans="1:15" s="390" customFormat="1" ht="35.9" customHeight="1" x14ac:dyDescent="0.25">
      <c r="A16" s="388" t="s">
        <v>129</v>
      </c>
      <c r="B16" s="389">
        <v>26.84</v>
      </c>
      <c r="C16" s="389">
        <v>26.84</v>
      </c>
      <c r="D16" s="389">
        <v>26.84</v>
      </c>
      <c r="E16" s="389">
        <v>27.04</v>
      </c>
      <c r="F16" s="389">
        <v>26.74</v>
      </c>
      <c r="G16" s="389">
        <v>25.14</v>
      </c>
      <c r="H16" s="389">
        <v>23.79</v>
      </c>
      <c r="I16" s="389">
        <v>26.06</v>
      </c>
      <c r="J16" s="389">
        <v>24.88</v>
      </c>
      <c r="K16" s="389">
        <v>26.9</v>
      </c>
      <c r="L16" s="389">
        <v>27.08</v>
      </c>
      <c r="M16" s="389">
        <v>27.08</v>
      </c>
      <c r="N16" s="683">
        <v>387153</v>
      </c>
      <c r="O16" s="685" t="s">
        <v>226</v>
      </c>
    </row>
    <row r="17" spans="1:15" s="390" customFormat="1" ht="20.149999999999999" customHeight="1" x14ac:dyDescent="0.25">
      <c r="A17" s="388" t="s">
        <v>176</v>
      </c>
      <c r="B17" s="389">
        <v>4.57</v>
      </c>
      <c r="C17" s="389">
        <v>4.57</v>
      </c>
      <c r="D17" s="389">
        <v>4.57</v>
      </c>
      <c r="E17" s="389">
        <v>4.5</v>
      </c>
      <c r="F17" s="389">
        <v>4.88</v>
      </c>
      <c r="G17" s="389">
        <v>3.81</v>
      </c>
      <c r="H17" s="389">
        <v>4.74</v>
      </c>
      <c r="I17" s="389">
        <v>3.95</v>
      </c>
      <c r="J17" s="389">
        <v>4.33</v>
      </c>
      <c r="K17" s="389">
        <v>4.07</v>
      </c>
      <c r="L17" s="389">
        <v>4.57</v>
      </c>
      <c r="M17" s="389">
        <v>4.57</v>
      </c>
      <c r="N17" s="684"/>
      <c r="O17" s="686"/>
    </row>
    <row r="18" spans="1:15" s="390" customFormat="1" ht="40.4" customHeight="1" x14ac:dyDescent="0.25">
      <c r="A18" s="388" t="s">
        <v>130</v>
      </c>
      <c r="B18" s="389" t="s">
        <v>21</v>
      </c>
      <c r="C18" s="389" t="s">
        <v>21</v>
      </c>
      <c r="D18" s="389" t="s">
        <v>21</v>
      </c>
      <c r="E18" s="389" t="s">
        <v>21</v>
      </c>
      <c r="F18" s="389">
        <v>0.16</v>
      </c>
      <c r="G18" s="389">
        <v>0.22</v>
      </c>
      <c r="H18" s="389">
        <v>0.31</v>
      </c>
      <c r="I18" s="389">
        <v>0.25</v>
      </c>
      <c r="J18" s="389">
        <v>0.24</v>
      </c>
      <c r="K18" s="389">
        <v>0.14000000000000001</v>
      </c>
      <c r="L18" s="389" t="s">
        <v>21</v>
      </c>
      <c r="M18" s="389" t="s">
        <v>21</v>
      </c>
      <c r="N18" s="5" t="s">
        <v>21</v>
      </c>
      <c r="O18" s="192" t="s">
        <v>227</v>
      </c>
    </row>
    <row r="19" spans="1:15" s="387" customFormat="1" ht="39" customHeight="1" x14ac:dyDescent="0.25">
      <c r="A19" s="687" t="s">
        <v>229</v>
      </c>
      <c r="B19" s="687"/>
      <c r="C19" s="687"/>
      <c r="D19" s="687"/>
      <c r="E19" s="687"/>
      <c r="F19" s="687"/>
      <c r="G19" s="687"/>
      <c r="H19" s="687"/>
      <c r="I19" s="687"/>
      <c r="J19" s="687"/>
      <c r="K19" s="687"/>
      <c r="L19" s="687"/>
      <c r="M19" s="687"/>
      <c r="N19" s="687"/>
      <c r="O19" s="385"/>
    </row>
  </sheetData>
  <sheetProtection password="C511" sheet="1" objects="1" scenarios="1"/>
  <mergeCells count="5">
    <mergeCell ref="B4:M4"/>
    <mergeCell ref="N4:N5"/>
    <mergeCell ref="N16:N17"/>
    <mergeCell ref="O16:O17"/>
    <mergeCell ref="A19:N19"/>
  </mergeCells>
  <printOptions horizontalCentered="1"/>
  <pageMargins left="0" right="0" top="0.93" bottom="0.25" header="0.13" footer="0.1"/>
  <pageSetup scale="58" orientation="landscape" r:id="rId1"/>
  <headerFooter>
    <oddHeader>&amp;C&amp;"Arial,Bold"&amp;K000000
Pacific Gas and Electric Company 
Average Ex Ante Load Impact kW / Customer
July 2013</oddHeader>
    <oddFooter>&amp;L&amp;F&amp;CPage 4 of 11&amp;R&amp;A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view="pageLayout" topLeftCell="A9" zoomScale="70" zoomScaleNormal="100" zoomScalePageLayoutView="70" workbookViewId="0">
      <selection activeCell="K28" sqref="K28"/>
    </sheetView>
  </sheetViews>
  <sheetFormatPr defaultColWidth="9.453125" defaultRowHeight="12.5" x14ac:dyDescent="0.25"/>
  <cols>
    <col min="1" max="1" width="37.453125" style="105" customWidth="1"/>
    <col min="2" max="2" width="11.453125" style="105" bestFit="1" customWidth="1"/>
    <col min="3" max="3" width="10" style="105" bestFit="1" customWidth="1"/>
    <col min="4" max="5" width="8.54296875" style="105" customWidth="1"/>
    <col min="6" max="6" width="9.453125" style="105" customWidth="1"/>
    <col min="7" max="8" width="10" style="105" customWidth="1"/>
    <col min="9" max="9" width="9.54296875" style="105" customWidth="1"/>
    <col min="10" max="10" width="11.54296875" style="105" customWidth="1"/>
    <col min="11" max="11" width="9.453125" style="105" customWidth="1"/>
    <col min="12" max="12" width="11.453125" style="105" customWidth="1"/>
    <col min="13" max="13" width="10.54296875" style="105" customWidth="1"/>
    <col min="14" max="14" width="13.453125" style="105" customWidth="1"/>
    <col min="15" max="15" width="64.08984375" style="105" customWidth="1"/>
    <col min="16" max="16" width="15" style="105" bestFit="1" customWidth="1"/>
    <col min="17" max="17" width="10.54296875" style="105" customWidth="1"/>
    <col min="18" max="18" width="9.54296875" style="105" bestFit="1" customWidth="1"/>
    <col min="19" max="19" width="11.453125" style="105" customWidth="1"/>
    <col min="20" max="20" width="9.54296875" style="105" bestFit="1" customWidth="1"/>
    <col min="21" max="21" width="10.54296875" style="105" customWidth="1"/>
    <col min="22" max="22" width="12.453125" style="105" bestFit="1" customWidth="1"/>
    <col min="23" max="23" width="12.453125" style="105" customWidth="1"/>
    <col min="24" max="24" width="9.54296875" style="105" bestFit="1" customWidth="1"/>
    <col min="25" max="25" width="11.453125" style="105" customWidth="1"/>
    <col min="26" max="26" width="11.54296875" style="105" bestFit="1" customWidth="1"/>
    <col min="27" max="27" width="11.54296875" style="105" customWidth="1"/>
    <col min="28" max="16384" width="9.453125" style="105"/>
  </cols>
  <sheetData>
    <row r="1" spans="1:15" ht="12.75" x14ac:dyDescent="0.2">
      <c r="A1" s="179" t="s">
        <v>3</v>
      </c>
      <c r="B1" s="180"/>
      <c r="C1" s="180"/>
      <c r="D1" s="180"/>
      <c r="E1" s="180"/>
      <c r="F1" s="180"/>
      <c r="G1" s="180"/>
      <c r="H1" s="180"/>
      <c r="I1" s="180"/>
      <c r="J1" s="180"/>
      <c r="K1" s="180"/>
      <c r="L1" s="180"/>
      <c r="M1" s="180"/>
      <c r="N1" s="180"/>
      <c r="O1" s="181"/>
    </row>
    <row r="2" spans="1:15" ht="12.75" x14ac:dyDescent="0.2">
      <c r="A2" s="182"/>
      <c r="B2" s="113"/>
      <c r="C2" s="113"/>
      <c r="D2" s="113"/>
      <c r="E2" s="113"/>
      <c r="F2" s="113"/>
      <c r="G2" s="113"/>
      <c r="H2" s="113"/>
      <c r="I2" s="113"/>
      <c r="J2" s="113"/>
      <c r="K2" s="113"/>
      <c r="L2" s="113"/>
      <c r="M2" s="113"/>
      <c r="N2" s="113"/>
      <c r="O2" s="183"/>
    </row>
    <row r="3" spans="1:15" ht="12.75" x14ac:dyDescent="0.2">
      <c r="A3" s="184"/>
      <c r="B3" s="113"/>
      <c r="C3" s="113"/>
      <c r="D3" s="113"/>
      <c r="E3" s="113"/>
      <c r="F3" s="113"/>
      <c r="G3" s="113"/>
      <c r="H3" s="113"/>
      <c r="I3" s="113"/>
      <c r="J3" s="113"/>
      <c r="K3" s="113"/>
      <c r="L3" s="113"/>
      <c r="M3" s="113"/>
      <c r="N3" s="113"/>
      <c r="O3" s="183"/>
    </row>
    <row r="4" spans="1:15" s="387" customFormat="1" ht="13" x14ac:dyDescent="0.3">
      <c r="A4" s="187"/>
      <c r="B4" s="680" t="s">
        <v>33</v>
      </c>
      <c r="C4" s="680"/>
      <c r="D4" s="680"/>
      <c r="E4" s="680"/>
      <c r="F4" s="680"/>
      <c r="G4" s="680"/>
      <c r="H4" s="680"/>
      <c r="I4" s="680"/>
      <c r="J4" s="680"/>
      <c r="K4" s="680"/>
      <c r="L4" s="680"/>
      <c r="M4" s="680"/>
      <c r="N4" s="681" t="s">
        <v>218</v>
      </c>
      <c r="O4" s="187"/>
    </row>
    <row r="5" spans="1:15" s="387" customFormat="1" ht="26.25" customHeight="1" x14ac:dyDescent="0.3">
      <c r="A5" s="185" t="s">
        <v>5</v>
      </c>
      <c r="B5" s="384" t="s">
        <v>6</v>
      </c>
      <c r="C5" s="384" t="s">
        <v>7</v>
      </c>
      <c r="D5" s="384" t="s">
        <v>8</v>
      </c>
      <c r="E5" s="384" t="s">
        <v>9</v>
      </c>
      <c r="F5" s="384" t="s">
        <v>10</v>
      </c>
      <c r="G5" s="384" t="s">
        <v>11</v>
      </c>
      <c r="H5" s="384" t="s">
        <v>12</v>
      </c>
      <c r="I5" s="384" t="s">
        <v>13</v>
      </c>
      <c r="J5" s="384" t="s">
        <v>14</v>
      </c>
      <c r="K5" s="384" t="s">
        <v>15</v>
      </c>
      <c r="L5" s="384" t="s">
        <v>16</v>
      </c>
      <c r="M5" s="384" t="s">
        <v>17</v>
      </c>
      <c r="N5" s="682"/>
      <c r="O5" s="188" t="s">
        <v>18</v>
      </c>
    </row>
    <row r="6" spans="1:15" s="387" customFormat="1" ht="25.5" x14ac:dyDescent="0.2">
      <c r="A6" s="189" t="s">
        <v>19</v>
      </c>
      <c r="B6" s="191">
        <v>877.02</v>
      </c>
      <c r="C6" s="191">
        <v>877.02</v>
      </c>
      <c r="D6" s="191">
        <v>877.02</v>
      </c>
      <c r="E6" s="191">
        <v>877.02</v>
      </c>
      <c r="F6" s="191">
        <v>877.02</v>
      </c>
      <c r="G6" s="191">
        <v>877.02</v>
      </c>
      <c r="H6" s="191">
        <v>877.02</v>
      </c>
      <c r="I6" s="190">
        <v>877.02</v>
      </c>
      <c r="J6" s="191">
        <v>877.02</v>
      </c>
      <c r="K6" s="191">
        <v>877.02</v>
      </c>
      <c r="L6" s="191">
        <v>877.02</v>
      </c>
      <c r="M6" s="191">
        <v>877.02</v>
      </c>
      <c r="N6" s="5">
        <v>10424</v>
      </c>
      <c r="O6" s="192" t="s">
        <v>219</v>
      </c>
    </row>
    <row r="7" spans="1:15" s="387" customFormat="1" ht="63.75" x14ac:dyDescent="0.2">
      <c r="A7" s="189" t="s">
        <v>20</v>
      </c>
      <c r="B7" s="191" t="s">
        <v>21</v>
      </c>
      <c r="C7" s="191" t="s">
        <v>21</v>
      </c>
      <c r="D7" s="191" t="s">
        <v>21</v>
      </c>
      <c r="E7" s="191" t="s">
        <v>21</v>
      </c>
      <c r="F7" s="191" t="s">
        <v>21</v>
      </c>
      <c r="G7" s="191" t="s">
        <v>21</v>
      </c>
      <c r="H7" s="191" t="s">
        <v>21</v>
      </c>
      <c r="I7" s="191" t="s">
        <v>21</v>
      </c>
      <c r="J7" s="191" t="s">
        <v>21</v>
      </c>
      <c r="K7" s="191" t="s">
        <v>21</v>
      </c>
      <c r="L7" s="191" t="s">
        <v>21</v>
      </c>
      <c r="M7" s="191" t="s">
        <v>21</v>
      </c>
      <c r="N7" s="5" t="s">
        <v>21</v>
      </c>
      <c r="O7" s="192" t="s">
        <v>220</v>
      </c>
    </row>
    <row r="8" spans="1:15" s="387" customFormat="1" ht="51" x14ac:dyDescent="0.2">
      <c r="A8" s="189" t="s">
        <v>22</v>
      </c>
      <c r="B8" s="191" t="s">
        <v>21</v>
      </c>
      <c r="C8" s="191" t="s">
        <v>21</v>
      </c>
      <c r="D8" s="191" t="s">
        <v>21</v>
      </c>
      <c r="E8" s="191" t="s">
        <v>21</v>
      </c>
      <c r="F8" s="191" t="s">
        <v>21</v>
      </c>
      <c r="G8" s="191" t="s">
        <v>21</v>
      </c>
      <c r="H8" s="191" t="s">
        <v>21</v>
      </c>
      <c r="I8" s="191" t="s">
        <v>21</v>
      </c>
      <c r="J8" s="191" t="s">
        <v>21</v>
      </c>
      <c r="K8" s="191" t="s">
        <v>21</v>
      </c>
      <c r="L8" s="191" t="s">
        <v>21</v>
      </c>
      <c r="M8" s="191" t="s">
        <v>21</v>
      </c>
      <c r="N8" s="5" t="s">
        <v>21</v>
      </c>
      <c r="O8" s="178" t="s">
        <v>221</v>
      </c>
    </row>
    <row r="9" spans="1:15" s="387" customFormat="1" ht="38.25" x14ac:dyDescent="0.2">
      <c r="A9" s="189" t="s">
        <v>127</v>
      </c>
      <c r="B9" s="4">
        <v>0.28999999999999998</v>
      </c>
      <c r="C9" s="4">
        <v>0.28999999999999998</v>
      </c>
      <c r="D9" s="4">
        <v>0.28999999999999998</v>
      </c>
      <c r="E9" s="4">
        <v>0.28999999999999998</v>
      </c>
      <c r="F9" s="4">
        <v>0.28999999999999998</v>
      </c>
      <c r="G9" s="4">
        <v>0.28999999999999998</v>
      </c>
      <c r="H9" s="4">
        <v>0.28999999999999998</v>
      </c>
      <c r="I9" s="4">
        <v>0.28999999999999998</v>
      </c>
      <c r="J9" s="4">
        <v>0.28999999999999998</v>
      </c>
      <c r="K9" s="4">
        <v>0.28999999999999998</v>
      </c>
      <c r="L9" s="4">
        <v>0.28999999999999998</v>
      </c>
      <c r="M9" s="4">
        <v>0.28999999999999998</v>
      </c>
      <c r="N9" s="5" t="s">
        <v>21</v>
      </c>
      <c r="O9" s="192" t="s">
        <v>222</v>
      </c>
    </row>
    <row r="10" spans="1:15" s="387" customFormat="1" ht="25.5" x14ac:dyDescent="0.2">
      <c r="A10" s="189" t="s">
        <v>128</v>
      </c>
      <c r="B10" s="4">
        <v>0.56999999999999995</v>
      </c>
      <c r="C10" s="4">
        <v>0.56999999999999995</v>
      </c>
      <c r="D10" s="4">
        <v>0.56999999999999995</v>
      </c>
      <c r="E10" s="4">
        <v>0.56999999999999995</v>
      </c>
      <c r="F10" s="4">
        <v>0.56999999999999995</v>
      </c>
      <c r="G10" s="4">
        <v>0.56999999999999995</v>
      </c>
      <c r="H10" s="4">
        <v>0.56999999999999995</v>
      </c>
      <c r="I10" s="4">
        <v>0.56999999999999995</v>
      </c>
      <c r="J10" s="4">
        <v>0.56999999999999995</v>
      </c>
      <c r="K10" s="4">
        <v>0.56999999999999995</v>
      </c>
      <c r="L10" s="4">
        <v>0.56999999999999995</v>
      </c>
      <c r="M10" s="4">
        <v>0.56999999999999995</v>
      </c>
      <c r="N10" s="5" t="s">
        <v>21</v>
      </c>
      <c r="O10" s="192" t="s">
        <v>223</v>
      </c>
    </row>
    <row r="11" spans="1:15" s="387" customFormat="1" ht="51" x14ac:dyDescent="0.2">
      <c r="A11" s="189" t="s">
        <v>25</v>
      </c>
      <c r="B11" s="4">
        <v>214.4</v>
      </c>
      <c r="C11" s="4">
        <v>214.4</v>
      </c>
      <c r="D11" s="4">
        <v>214.4</v>
      </c>
      <c r="E11" s="4">
        <v>214.4</v>
      </c>
      <c r="F11" s="4">
        <v>214.4</v>
      </c>
      <c r="G11" s="4">
        <v>214.4</v>
      </c>
      <c r="H11" s="4">
        <v>214.4</v>
      </c>
      <c r="I11" s="4">
        <v>214.4</v>
      </c>
      <c r="J11" s="4">
        <v>214.4</v>
      </c>
      <c r="K11" s="4">
        <v>214.4</v>
      </c>
      <c r="L11" s="4">
        <v>214.4</v>
      </c>
      <c r="M11" s="4">
        <v>214.4</v>
      </c>
      <c r="N11" s="5">
        <v>592761</v>
      </c>
      <c r="O11" s="192" t="s">
        <v>224</v>
      </c>
    </row>
    <row r="12" spans="1:15" s="387" customFormat="1" ht="51" x14ac:dyDescent="0.2">
      <c r="A12" s="189" t="s">
        <v>26</v>
      </c>
      <c r="B12" s="4">
        <v>114.2</v>
      </c>
      <c r="C12" s="4">
        <v>114.2</v>
      </c>
      <c r="D12" s="4">
        <v>114.2</v>
      </c>
      <c r="E12" s="4">
        <v>114.2</v>
      </c>
      <c r="F12" s="4">
        <v>114.2</v>
      </c>
      <c r="G12" s="4">
        <v>114.2</v>
      </c>
      <c r="H12" s="4">
        <v>114.2</v>
      </c>
      <c r="I12" s="4">
        <v>114.2</v>
      </c>
      <c r="J12" s="4">
        <v>114.2</v>
      </c>
      <c r="K12" s="4">
        <v>114.2</v>
      </c>
      <c r="L12" s="4">
        <v>114.2</v>
      </c>
      <c r="M12" s="4">
        <v>114.2</v>
      </c>
      <c r="N12" s="5">
        <v>592761</v>
      </c>
      <c r="O12" s="192" t="s">
        <v>224</v>
      </c>
    </row>
    <row r="13" spans="1:15" s="387" customFormat="1" ht="51" x14ac:dyDescent="0.2">
      <c r="A13" s="189" t="s">
        <v>27</v>
      </c>
      <c r="B13" s="4">
        <v>121.5</v>
      </c>
      <c r="C13" s="4">
        <v>121.5</v>
      </c>
      <c r="D13" s="4">
        <v>121.5</v>
      </c>
      <c r="E13" s="4">
        <v>121.5</v>
      </c>
      <c r="F13" s="4">
        <v>121.5</v>
      </c>
      <c r="G13" s="4">
        <v>121.5</v>
      </c>
      <c r="H13" s="4">
        <v>121.5</v>
      </c>
      <c r="I13" s="4">
        <v>121.5</v>
      </c>
      <c r="J13" s="4">
        <v>121.5</v>
      </c>
      <c r="K13" s="4">
        <v>121.5</v>
      </c>
      <c r="L13" s="4">
        <v>121.5</v>
      </c>
      <c r="M13" s="4">
        <v>121.5</v>
      </c>
      <c r="N13" s="5">
        <v>592761</v>
      </c>
      <c r="O13" s="192" t="s">
        <v>224</v>
      </c>
    </row>
    <row r="14" spans="1:15" s="387" customFormat="1" ht="37.5" x14ac:dyDescent="0.25">
      <c r="A14" s="189" t="s">
        <v>28</v>
      </c>
      <c r="B14" s="4">
        <v>62.8</v>
      </c>
      <c r="C14" s="4">
        <v>62.8</v>
      </c>
      <c r="D14" s="4">
        <v>62.8</v>
      </c>
      <c r="E14" s="4">
        <v>62.8</v>
      </c>
      <c r="F14" s="4">
        <v>62.8</v>
      </c>
      <c r="G14" s="4">
        <v>62.8</v>
      </c>
      <c r="H14" s="4">
        <v>62.8</v>
      </c>
      <c r="I14" s="4">
        <v>62.8</v>
      </c>
      <c r="J14" s="4">
        <v>62.8</v>
      </c>
      <c r="K14" s="4">
        <v>62.8</v>
      </c>
      <c r="L14" s="4">
        <v>62.8</v>
      </c>
      <c r="M14" s="4">
        <v>62.8</v>
      </c>
      <c r="N14" s="5">
        <v>592761</v>
      </c>
      <c r="O14" s="192" t="s">
        <v>224</v>
      </c>
    </row>
    <row r="15" spans="1:15" s="387" customFormat="1" ht="75" x14ac:dyDescent="0.25">
      <c r="A15" s="189" t="s">
        <v>29</v>
      </c>
      <c r="B15" s="4">
        <v>37.880000000000003</v>
      </c>
      <c r="C15" s="4">
        <v>37.880000000000003</v>
      </c>
      <c r="D15" s="4">
        <v>37.880000000000003</v>
      </c>
      <c r="E15" s="4">
        <v>37.880000000000003</v>
      </c>
      <c r="F15" s="4">
        <v>37.880000000000003</v>
      </c>
      <c r="G15" s="4">
        <v>37.880000000000003</v>
      </c>
      <c r="H15" s="4">
        <v>37.880000000000003</v>
      </c>
      <c r="I15" s="4">
        <v>37.880000000000003</v>
      </c>
      <c r="J15" s="4">
        <v>37.880000000000003</v>
      </c>
      <c r="K15" s="4">
        <v>37.880000000000003</v>
      </c>
      <c r="L15" s="4">
        <v>37.880000000000003</v>
      </c>
      <c r="M15" s="4">
        <v>37.880000000000003</v>
      </c>
      <c r="N15" s="5">
        <v>10424</v>
      </c>
      <c r="O15" s="192" t="s">
        <v>225</v>
      </c>
    </row>
    <row r="16" spans="1:15" s="387" customFormat="1" ht="31.5" customHeight="1" x14ac:dyDescent="0.25">
      <c r="A16" s="186" t="s">
        <v>129</v>
      </c>
      <c r="B16" s="4">
        <v>18.55</v>
      </c>
      <c r="C16" s="4">
        <v>18.55</v>
      </c>
      <c r="D16" s="4">
        <v>18.55</v>
      </c>
      <c r="E16" s="4">
        <v>18.55</v>
      </c>
      <c r="F16" s="4">
        <v>18.55</v>
      </c>
      <c r="G16" s="4">
        <v>18.55</v>
      </c>
      <c r="H16" s="4">
        <v>18.55</v>
      </c>
      <c r="I16" s="4">
        <v>18.55</v>
      </c>
      <c r="J16" s="4">
        <v>18.55</v>
      </c>
      <c r="K16" s="4">
        <v>18.55</v>
      </c>
      <c r="L16" s="4">
        <v>18.55</v>
      </c>
      <c r="M16" s="4">
        <v>18.55</v>
      </c>
      <c r="N16" s="683">
        <v>387153</v>
      </c>
      <c r="O16" s="685" t="s">
        <v>226</v>
      </c>
    </row>
    <row r="17" spans="1:15" s="387" customFormat="1" ht="31.5" customHeight="1" x14ac:dyDescent="0.25">
      <c r="A17" s="6" t="s">
        <v>176</v>
      </c>
      <c r="B17" s="4">
        <v>0.36</v>
      </c>
      <c r="C17" s="4">
        <v>0.36</v>
      </c>
      <c r="D17" s="4">
        <v>0.36</v>
      </c>
      <c r="E17" s="4">
        <v>0.36</v>
      </c>
      <c r="F17" s="4">
        <v>0.36</v>
      </c>
      <c r="G17" s="4">
        <v>0.36</v>
      </c>
      <c r="H17" s="4">
        <v>0.36</v>
      </c>
      <c r="I17" s="4">
        <v>0.36</v>
      </c>
      <c r="J17" s="4">
        <v>0.36</v>
      </c>
      <c r="K17" s="4">
        <v>0.36</v>
      </c>
      <c r="L17" s="4">
        <v>0.36</v>
      </c>
      <c r="M17" s="4">
        <v>0.36</v>
      </c>
      <c r="N17" s="684"/>
      <c r="O17" s="686"/>
    </row>
    <row r="18" spans="1:15" s="387" customFormat="1" ht="37.5" x14ac:dyDescent="0.25">
      <c r="A18" s="186" t="s">
        <v>130</v>
      </c>
      <c r="B18" s="4">
        <v>0.28000000000000003</v>
      </c>
      <c r="C18" s="4">
        <v>0.28000000000000003</v>
      </c>
      <c r="D18" s="4">
        <v>0.28000000000000003</v>
      </c>
      <c r="E18" s="4">
        <v>0.28000000000000003</v>
      </c>
      <c r="F18" s="4">
        <v>0.28000000000000003</v>
      </c>
      <c r="G18" s="4">
        <v>0.28000000000000003</v>
      </c>
      <c r="H18" s="4">
        <v>0.28000000000000003</v>
      </c>
      <c r="I18" s="4">
        <v>0.28000000000000003</v>
      </c>
      <c r="J18" s="4">
        <v>0.28000000000000003</v>
      </c>
      <c r="K18" s="4">
        <v>0.28000000000000003</v>
      </c>
      <c r="L18" s="4">
        <v>0.28000000000000003</v>
      </c>
      <c r="M18" s="4">
        <v>0.28000000000000003</v>
      </c>
      <c r="N18" s="5" t="s">
        <v>21</v>
      </c>
      <c r="O18" s="192" t="s">
        <v>227</v>
      </c>
    </row>
    <row r="19" spans="1:15" s="387" customFormat="1" ht="12.75" customHeight="1" x14ac:dyDescent="0.25">
      <c r="A19" s="688" t="s">
        <v>230</v>
      </c>
      <c r="B19" s="688"/>
      <c r="C19" s="688"/>
      <c r="D19" s="688"/>
      <c r="E19" s="688"/>
      <c r="F19" s="688"/>
      <c r="G19" s="688"/>
      <c r="H19" s="688"/>
      <c r="I19" s="688"/>
      <c r="J19" s="688"/>
      <c r="K19" s="688"/>
      <c r="L19" s="688"/>
      <c r="M19" s="688"/>
      <c r="N19" s="688"/>
      <c r="O19" s="688"/>
    </row>
    <row r="20" spans="1:15" s="387" customFormat="1" ht="27.75" customHeight="1" x14ac:dyDescent="0.25">
      <c r="A20" s="689"/>
      <c r="B20" s="689"/>
      <c r="C20" s="689"/>
      <c r="D20" s="689"/>
      <c r="E20" s="689"/>
      <c r="F20" s="689"/>
      <c r="G20" s="689"/>
      <c r="H20" s="689"/>
      <c r="I20" s="689"/>
      <c r="J20" s="689"/>
      <c r="K20" s="689"/>
      <c r="L20" s="689"/>
      <c r="M20" s="689"/>
      <c r="N20" s="689"/>
      <c r="O20" s="689"/>
    </row>
    <row r="21" spans="1:15" x14ac:dyDescent="0.25">
      <c r="A21" s="105" t="s">
        <v>1</v>
      </c>
    </row>
  </sheetData>
  <sheetProtection password="C511" sheet="1" objects="1" scenarios="1"/>
  <mergeCells count="5">
    <mergeCell ref="A19:O20"/>
    <mergeCell ref="B4:M4"/>
    <mergeCell ref="N4:N5"/>
    <mergeCell ref="N16:N17"/>
    <mergeCell ref="O16:O17"/>
  </mergeCells>
  <printOptions horizontalCentered="1"/>
  <pageMargins left="0" right="0" top="0.93" bottom="0.25" header="0.13" footer="0.1"/>
  <pageSetup scale="58" orientation="landscape" r:id="rId1"/>
  <headerFooter>
    <oddHeader>&amp;C&amp;"Arial,Bold"&amp;K000000
Pacific Gas and Electric Company 
Average Ex Post Load Impact kW / Customer
July 2013</oddHeader>
    <oddFooter>&amp;L&amp;F&amp;CPage 5 of 11&amp;R&amp;A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2"/>
  <sheetViews>
    <sheetView view="pageLayout" topLeftCell="A17" zoomScale="85" zoomScaleNormal="70" zoomScalePageLayoutView="85" workbookViewId="0">
      <selection activeCell="B33" sqref="B33:E33"/>
    </sheetView>
  </sheetViews>
  <sheetFormatPr defaultColWidth="9.453125" defaultRowHeight="11.5" x14ac:dyDescent="0.25"/>
  <cols>
    <col min="1" max="1" width="35.54296875" style="32" customWidth="1"/>
    <col min="2" max="4" width="10" style="32" customWidth="1"/>
    <col min="5" max="5" width="11.453125" style="32" customWidth="1"/>
    <col min="6" max="8" width="10" style="32" customWidth="1"/>
    <col min="9" max="9" width="11.453125" style="32" customWidth="1"/>
    <col min="10" max="12" width="10" style="32" customWidth="1"/>
    <col min="13" max="13" width="11.453125" style="32" customWidth="1"/>
    <col min="14" max="16" width="10" style="32" customWidth="1"/>
    <col min="17" max="17" width="11" style="32" customWidth="1"/>
    <col min="18" max="20" width="10" style="32" customWidth="1"/>
    <col min="21" max="21" width="10.54296875" style="32" customWidth="1"/>
    <col min="22" max="24" width="10" style="32" customWidth="1"/>
    <col min="25" max="25" width="10.54296875" style="32" customWidth="1"/>
    <col min="26" max="16384" width="9.453125" style="32"/>
  </cols>
  <sheetData>
    <row r="1" spans="1:25" ht="12" x14ac:dyDescent="0.2">
      <c r="A1" s="131" t="s">
        <v>39</v>
      </c>
    </row>
    <row r="3" spans="1:25" ht="21.75" customHeight="1" x14ac:dyDescent="0.2">
      <c r="A3" s="405">
        <v>2013</v>
      </c>
      <c r="B3" s="690" t="s">
        <v>6</v>
      </c>
      <c r="C3" s="690"/>
      <c r="D3" s="690"/>
      <c r="E3" s="690"/>
      <c r="F3" s="690" t="s">
        <v>7</v>
      </c>
      <c r="G3" s="690"/>
      <c r="H3" s="690"/>
      <c r="I3" s="690"/>
      <c r="J3" s="690" t="s">
        <v>8</v>
      </c>
      <c r="K3" s="690"/>
      <c r="L3" s="690"/>
      <c r="M3" s="690"/>
      <c r="N3" s="690" t="s">
        <v>9</v>
      </c>
      <c r="O3" s="690"/>
      <c r="P3" s="690"/>
      <c r="Q3" s="690"/>
      <c r="R3" s="690" t="s">
        <v>10</v>
      </c>
      <c r="S3" s="690"/>
      <c r="T3" s="690"/>
      <c r="U3" s="690"/>
      <c r="V3" s="690" t="s">
        <v>11</v>
      </c>
      <c r="W3" s="690"/>
      <c r="X3" s="690"/>
      <c r="Y3" s="690"/>
    </row>
    <row r="4" spans="1:25" ht="44.25" customHeight="1" x14ac:dyDescent="0.2">
      <c r="A4" s="249" t="s">
        <v>40</v>
      </c>
      <c r="B4" s="132" t="s">
        <v>41</v>
      </c>
      <c r="C4" s="132" t="s">
        <v>42</v>
      </c>
      <c r="D4" s="132" t="s">
        <v>43</v>
      </c>
      <c r="E4" s="132" t="s">
        <v>44</v>
      </c>
      <c r="F4" s="132" t="s">
        <v>41</v>
      </c>
      <c r="G4" s="132" t="s">
        <v>42</v>
      </c>
      <c r="H4" s="132" t="s">
        <v>43</v>
      </c>
      <c r="I4" s="132" t="s">
        <v>44</v>
      </c>
      <c r="J4" s="132" t="s">
        <v>41</v>
      </c>
      <c r="K4" s="132" t="s">
        <v>42</v>
      </c>
      <c r="L4" s="132" t="s">
        <v>43</v>
      </c>
      <c r="M4" s="132" t="s">
        <v>44</v>
      </c>
      <c r="N4" s="132" t="s">
        <v>41</v>
      </c>
      <c r="O4" s="132" t="s">
        <v>42</v>
      </c>
      <c r="P4" s="132" t="s">
        <v>43</v>
      </c>
      <c r="Q4" s="132" t="s">
        <v>44</v>
      </c>
      <c r="R4" s="132" t="s">
        <v>41</v>
      </c>
      <c r="S4" s="132" t="s">
        <v>42</v>
      </c>
      <c r="T4" s="132" t="s">
        <v>43</v>
      </c>
      <c r="U4" s="132" t="s">
        <v>44</v>
      </c>
      <c r="V4" s="132" t="s">
        <v>41</v>
      </c>
      <c r="W4" s="132" t="s">
        <v>42</v>
      </c>
      <c r="X4" s="132" t="s">
        <v>43</v>
      </c>
      <c r="Y4" s="132" t="s">
        <v>44</v>
      </c>
    </row>
    <row r="5" spans="1:25" x14ac:dyDescent="0.25">
      <c r="A5" s="7" t="s">
        <v>25</v>
      </c>
      <c r="B5" s="133"/>
      <c r="C5" s="333">
        <v>0</v>
      </c>
      <c r="D5" s="133">
        <f>SUM(0+0/1000)</f>
        <v>0</v>
      </c>
      <c r="E5" s="334">
        <f>SUM(C5:D5)</f>
        <v>0</v>
      </c>
      <c r="F5" s="134" t="s">
        <v>1</v>
      </c>
      <c r="G5" s="9">
        <f>SUM(C5+0)</f>
        <v>0</v>
      </c>
      <c r="H5" s="135">
        <f>SUM(D5+0)</f>
        <v>0</v>
      </c>
      <c r="I5" s="16">
        <f>SUM(G5:H5)</f>
        <v>0</v>
      </c>
      <c r="J5" s="134" t="s">
        <v>1</v>
      </c>
      <c r="K5" s="8">
        <f>SUM(G5+0)</f>
        <v>0</v>
      </c>
      <c r="L5" s="9">
        <f>SUM(H5+0)</f>
        <v>0</v>
      </c>
      <c r="M5" s="16">
        <f t="shared" ref="M5:M12" si="0">SUM(K5:L5)</f>
        <v>0</v>
      </c>
      <c r="N5" s="8"/>
      <c r="O5" s="9">
        <f>SUM(K5+0)</f>
        <v>0</v>
      </c>
      <c r="P5" s="9">
        <f>SUM(L5+0)</f>
        <v>0</v>
      </c>
      <c r="Q5" s="16">
        <f>SUM(O5:P5)</f>
        <v>0</v>
      </c>
      <c r="R5" s="8"/>
      <c r="S5" s="9">
        <f>SUM(O5+0)</f>
        <v>0</v>
      </c>
      <c r="T5" s="135">
        <f>SUM(P5+0)</f>
        <v>0</v>
      </c>
      <c r="U5" s="16">
        <f>SUM(S5:T5)</f>
        <v>0</v>
      </c>
      <c r="V5" s="8"/>
      <c r="W5" s="9">
        <f>SUM( S5+0)</f>
        <v>0</v>
      </c>
      <c r="X5" s="9">
        <f>T5+0</f>
        <v>0</v>
      </c>
      <c r="Y5" s="16">
        <f>SUM(V5:X5)</f>
        <v>0</v>
      </c>
    </row>
    <row r="6" spans="1:25" x14ac:dyDescent="0.25">
      <c r="A6" s="7" t="s">
        <v>26</v>
      </c>
      <c r="B6" s="133"/>
      <c r="C6" s="333">
        <v>0</v>
      </c>
      <c r="D6" s="133">
        <f>SUM(0+0/1000)</f>
        <v>0</v>
      </c>
      <c r="E6" s="334">
        <f t="shared" ref="E6:E12" si="1">SUM(C6:D6)</f>
        <v>0</v>
      </c>
      <c r="F6" s="134"/>
      <c r="G6" s="9">
        <f t="shared" ref="G6:G12" si="2">SUM(C6+0)</f>
        <v>0</v>
      </c>
      <c r="H6" s="135">
        <f t="shared" ref="H6:H12" si="3">SUM(D6+0)</f>
        <v>0</v>
      </c>
      <c r="I6" s="16">
        <f t="shared" ref="I6:I12" si="4">SUM(G6:H6)</f>
        <v>0</v>
      </c>
      <c r="J6" s="134" t="s">
        <v>1</v>
      </c>
      <c r="K6" s="8">
        <f t="shared" ref="K6:K12" si="5">SUM(G6+0)</f>
        <v>0</v>
      </c>
      <c r="L6" s="9">
        <f t="shared" ref="L6:L12" si="6">SUM(H6+0)</f>
        <v>0</v>
      </c>
      <c r="M6" s="16">
        <f t="shared" si="0"/>
        <v>0</v>
      </c>
      <c r="N6" s="8"/>
      <c r="O6" s="9">
        <f t="shared" ref="O6:O12" si="7">SUM(K6+0)</f>
        <v>0</v>
      </c>
      <c r="P6" s="135">
        <f t="shared" ref="P6:P10" si="8">SUM(L6+0)</f>
        <v>0</v>
      </c>
      <c r="Q6" s="16">
        <f t="shared" ref="Q6:Q12" si="9">SUM(O6:P6)</f>
        <v>0</v>
      </c>
      <c r="R6" s="8"/>
      <c r="S6" s="9">
        <f t="shared" ref="S6:S12" si="10">SUM(O6+0)</f>
        <v>0</v>
      </c>
      <c r="T6" s="135">
        <f t="shared" ref="T6:T12" si="11">SUM(P6+0)</f>
        <v>0</v>
      </c>
      <c r="U6" s="16">
        <f t="shared" ref="U6:U12" si="12">SUM(S6:T6)</f>
        <v>0</v>
      </c>
      <c r="V6" s="8"/>
      <c r="W6" s="9">
        <f t="shared" ref="W6:W12" si="13">SUM( S6+0)</f>
        <v>0</v>
      </c>
      <c r="X6" s="9">
        <f t="shared" ref="X6:X12" si="14">T6+0</f>
        <v>0</v>
      </c>
      <c r="Y6" s="16">
        <f t="shared" ref="Y6:Y12" si="15">SUM(V6:X6)</f>
        <v>0</v>
      </c>
    </row>
    <row r="7" spans="1:25" x14ac:dyDescent="0.25">
      <c r="A7" s="7" t="s">
        <v>27</v>
      </c>
      <c r="B7" s="133"/>
      <c r="C7" s="333">
        <v>0</v>
      </c>
      <c r="D7" s="133">
        <f>SUM(0+0/1000)</f>
        <v>0</v>
      </c>
      <c r="E7" s="334">
        <f t="shared" si="1"/>
        <v>0</v>
      </c>
      <c r="F7" s="134"/>
      <c r="G7" s="9">
        <f t="shared" si="2"/>
        <v>0</v>
      </c>
      <c r="H7" s="135">
        <f t="shared" si="3"/>
        <v>0</v>
      </c>
      <c r="I7" s="16">
        <f t="shared" si="4"/>
        <v>0</v>
      </c>
      <c r="J7" s="134"/>
      <c r="K7" s="8">
        <f t="shared" si="5"/>
        <v>0</v>
      </c>
      <c r="L7" s="9">
        <f t="shared" si="6"/>
        <v>0</v>
      </c>
      <c r="M7" s="16">
        <f t="shared" si="0"/>
        <v>0</v>
      </c>
      <c r="N7" s="8"/>
      <c r="O7" s="9">
        <f t="shared" si="7"/>
        <v>0</v>
      </c>
      <c r="P7" s="135">
        <f t="shared" si="8"/>
        <v>0</v>
      </c>
      <c r="Q7" s="16">
        <f t="shared" si="9"/>
        <v>0</v>
      </c>
      <c r="S7" s="9">
        <f t="shared" si="10"/>
        <v>0</v>
      </c>
      <c r="T7" s="135">
        <f t="shared" si="11"/>
        <v>0</v>
      </c>
      <c r="U7" s="16">
        <f t="shared" si="12"/>
        <v>0</v>
      </c>
      <c r="V7" s="8"/>
      <c r="W7" s="9">
        <f t="shared" si="13"/>
        <v>0</v>
      </c>
      <c r="X7" s="9">
        <f t="shared" si="14"/>
        <v>0</v>
      </c>
      <c r="Y7" s="16">
        <f t="shared" si="15"/>
        <v>0</v>
      </c>
    </row>
    <row r="8" spans="1:25" x14ac:dyDescent="0.25">
      <c r="A8" s="7" t="s">
        <v>28</v>
      </c>
      <c r="B8" s="133"/>
      <c r="C8" s="333">
        <v>0</v>
      </c>
      <c r="D8" s="133">
        <f>SUM(0+128/1000)</f>
        <v>0.128</v>
      </c>
      <c r="E8" s="334">
        <f t="shared" si="1"/>
        <v>0.128</v>
      </c>
      <c r="F8" s="134"/>
      <c r="G8" s="9">
        <f t="shared" si="2"/>
        <v>0</v>
      </c>
      <c r="H8" s="135">
        <f t="shared" si="3"/>
        <v>0.128</v>
      </c>
      <c r="I8" s="16">
        <f t="shared" si="4"/>
        <v>0.128</v>
      </c>
      <c r="J8" s="134"/>
      <c r="K8" s="8">
        <f t="shared" si="5"/>
        <v>0</v>
      </c>
      <c r="L8" s="9">
        <f t="shared" si="6"/>
        <v>0.128</v>
      </c>
      <c r="M8" s="16">
        <f t="shared" si="0"/>
        <v>0.128</v>
      </c>
      <c r="N8" s="8"/>
      <c r="O8" s="9">
        <f t="shared" si="7"/>
        <v>0</v>
      </c>
      <c r="P8" s="135">
        <f t="shared" si="8"/>
        <v>0.128</v>
      </c>
      <c r="Q8" s="16">
        <f t="shared" si="9"/>
        <v>0.128</v>
      </c>
      <c r="R8" s="8"/>
      <c r="S8" s="9">
        <f t="shared" si="10"/>
        <v>0</v>
      </c>
      <c r="T8" s="135">
        <f t="shared" si="11"/>
        <v>0.128</v>
      </c>
      <c r="U8" s="16">
        <f t="shared" si="12"/>
        <v>0.128</v>
      </c>
      <c r="V8" s="8"/>
      <c r="W8" s="9">
        <f t="shared" si="13"/>
        <v>0</v>
      </c>
      <c r="X8" s="9">
        <f t="shared" si="14"/>
        <v>0.128</v>
      </c>
      <c r="Y8" s="16">
        <f t="shared" si="15"/>
        <v>0.128</v>
      </c>
    </row>
    <row r="9" spans="1:25" x14ac:dyDescent="0.25">
      <c r="A9" s="7" t="s">
        <v>29</v>
      </c>
      <c r="B9" s="133"/>
      <c r="C9" s="333">
        <v>0</v>
      </c>
      <c r="D9" s="133">
        <v>0</v>
      </c>
      <c r="E9" s="334">
        <f t="shared" si="1"/>
        <v>0</v>
      </c>
      <c r="F9" s="134"/>
      <c r="G9" s="9">
        <f t="shared" si="2"/>
        <v>0</v>
      </c>
      <c r="H9" s="135">
        <f t="shared" si="3"/>
        <v>0</v>
      </c>
      <c r="I9" s="16">
        <f t="shared" si="4"/>
        <v>0</v>
      </c>
      <c r="J9" s="134"/>
      <c r="K9" s="8">
        <f t="shared" si="5"/>
        <v>0</v>
      </c>
      <c r="L9" s="9">
        <f t="shared" si="6"/>
        <v>0</v>
      </c>
      <c r="M9" s="16">
        <f t="shared" si="0"/>
        <v>0</v>
      </c>
      <c r="N9" s="8"/>
      <c r="O9" s="9">
        <f t="shared" si="7"/>
        <v>0</v>
      </c>
      <c r="P9" s="135">
        <f t="shared" si="8"/>
        <v>0</v>
      </c>
      <c r="Q9" s="16">
        <f t="shared" si="9"/>
        <v>0</v>
      </c>
      <c r="R9" s="8"/>
      <c r="S9" s="9">
        <f t="shared" si="10"/>
        <v>0</v>
      </c>
      <c r="T9" s="135">
        <f t="shared" si="11"/>
        <v>0</v>
      </c>
      <c r="U9" s="16">
        <f t="shared" si="12"/>
        <v>0</v>
      </c>
      <c r="V9" s="8"/>
      <c r="W9" s="9">
        <f t="shared" si="13"/>
        <v>0</v>
      </c>
      <c r="X9" s="9">
        <f t="shared" si="14"/>
        <v>0</v>
      </c>
      <c r="Y9" s="16">
        <f t="shared" si="15"/>
        <v>0</v>
      </c>
    </row>
    <row r="10" spans="1:25" x14ac:dyDescent="0.25">
      <c r="A10" s="7" t="s">
        <v>30</v>
      </c>
      <c r="B10" s="133"/>
      <c r="C10" s="333">
        <v>0</v>
      </c>
      <c r="D10" s="133">
        <v>0</v>
      </c>
      <c r="E10" s="334">
        <f t="shared" si="1"/>
        <v>0</v>
      </c>
      <c r="F10" s="134"/>
      <c r="G10" s="9">
        <f t="shared" si="2"/>
        <v>0</v>
      </c>
      <c r="H10" s="135">
        <f t="shared" si="3"/>
        <v>0</v>
      </c>
      <c r="I10" s="16">
        <f t="shared" si="4"/>
        <v>0</v>
      </c>
      <c r="J10" s="134"/>
      <c r="K10" s="8">
        <f t="shared" si="5"/>
        <v>0</v>
      </c>
      <c r="L10" s="9">
        <f t="shared" si="6"/>
        <v>0</v>
      </c>
      <c r="M10" s="16">
        <f t="shared" si="0"/>
        <v>0</v>
      </c>
      <c r="N10" s="8"/>
      <c r="O10" s="9">
        <f t="shared" si="7"/>
        <v>0</v>
      </c>
      <c r="P10" s="135">
        <f t="shared" si="8"/>
        <v>0</v>
      </c>
      <c r="Q10" s="16">
        <f t="shared" si="9"/>
        <v>0</v>
      </c>
      <c r="R10" s="8"/>
      <c r="S10" s="9">
        <f t="shared" si="10"/>
        <v>0</v>
      </c>
      <c r="T10" s="135">
        <f t="shared" si="11"/>
        <v>0</v>
      </c>
      <c r="U10" s="16">
        <f t="shared" si="12"/>
        <v>0</v>
      </c>
      <c r="V10" s="8"/>
      <c r="W10" s="9">
        <f t="shared" si="13"/>
        <v>0</v>
      </c>
      <c r="X10" s="9">
        <f t="shared" si="14"/>
        <v>0</v>
      </c>
      <c r="Y10" s="16">
        <f t="shared" si="15"/>
        <v>0</v>
      </c>
    </row>
    <row r="11" spans="1:25" x14ac:dyDescent="0.25">
      <c r="A11" s="7" t="s">
        <v>31</v>
      </c>
      <c r="B11" s="29"/>
      <c r="C11" s="333">
        <v>0</v>
      </c>
      <c r="D11" s="133">
        <v>0</v>
      </c>
      <c r="E11" s="334">
        <f t="shared" si="1"/>
        <v>0</v>
      </c>
      <c r="F11" s="8"/>
      <c r="G11" s="9">
        <f t="shared" si="2"/>
        <v>0</v>
      </c>
      <c r="H11" s="135">
        <f t="shared" si="3"/>
        <v>0</v>
      </c>
      <c r="I11" s="16">
        <f t="shared" si="4"/>
        <v>0</v>
      </c>
      <c r="J11" s="8"/>
      <c r="K11" s="8">
        <f t="shared" si="5"/>
        <v>0</v>
      </c>
      <c r="L11" s="9">
        <f t="shared" si="6"/>
        <v>0</v>
      </c>
      <c r="M11" s="16">
        <f t="shared" si="0"/>
        <v>0</v>
      </c>
      <c r="N11" s="8"/>
      <c r="O11" s="9">
        <f t="shared" si="7"/>
        <v>0</v>
      </c>
      <c r="P11" s="135">
        <f t="shared" ref="P11:P12" si="16">SUM(L11+0)</f>
        <v>0</v>
      </c>
      <c r="Q11" s="16">
        <f t="shared" si="9"/>
        <v>0</v>
      </c>
      <c r="R11" s="17"/>
      <c r="S11" s="9">
        <f t="shared" si="10"/>
        <v>0</v>
      </c>
      <c r="T11" s="135">
        <f t="shared" si="11"/>
        <v>0</v>
      </c>
      <c r="U11" s="16">
        <f t="shared" si="12"/>
        <v>0</v>
      </c>
      <c r="V11" s="8"/>
      <c r="W11" s="9">
        <f t="shared" si="13"/>
        <v>0</v>
      </c>
      <c r="X11" s="9">
        <f t="shared" si="14"/>
        <v>0</v>
      </c>
      <c r="Y11" s="16">
        <f t="shared" si="15"/>
        <v>0</v>
      </c>
    </row>
    <row r="12" spans="1:25" x14ac:dyDescent="0.25">
      <c r="A12" s="7" t="s">
        <v>32</v>
      </c>
      <c r="B12" s="133"/>
      <c r="C12" s="333">
        <v>0</v>
      </c>
      <c r="D12" s="133">
        <v>0</v>
      </c>
      <c r="E12" s="334">
        <f t="shared" si="1"/>
        <v>0</v>
      </c>
      <c r="F12" s="134"/>
      <c r="G12" s="9">
        <f t="shared" si="2"/>
        <v>0</v>
      </c>
      <c r="H12" s="135">
        <f t="shared" si="3"/>
        <v>0</v>
      </c>
      <c r="I12" s="16">
        <f t="shared" si="4"/>
        <v>0</v>
      </c>
      <c r="J12" s="134"/>
      <c r="K12" s="8">
        <f t="shared" si="5"/>
        <v>0</v>
      </c>
      <c r="L12" s="9">
        <f t="shared" si="6"/>
        <v>0</v>
      </c>
      <c r="M12" s="16">
        <f t="shared" si="0"/>
        <v>0</v>
      </c>
      <c r="N12" s="8"/>
      <c r="O12" s="9">
        <f t="shared" si="7"/>
        <v>0</v>
      </c>
      <c r="P12" s="135">
        <f t="shared" si="16"/>
        <v>0</v>
      </c>
      <c r="Q12" s="16">
        <f t="shared" si="9"/>
        <v>0</v>
      </c>
      <c r="R12" s="8"/>
      <c r="S12" s="9">
        <f t="shared" si="10"/>
        <v>0</v>
      </c>
      <c r="T12" s="135">
        <f t="shared" si="11"/>
        <v>0</v>
      </c>
      <c r="U12" s="16">
        <f t="shared" si="12"/>
        <v>0</v>
      </c>
      <c r="V12" s="8"/>
      <c r="W12" s="9">
        <f t="shared" si="13"/>
        <v>0</v>
      </c>
      <c r="X12" s="9">
        <f t="shared" si="14"/>
        <v>0</v>
      </c>
      <c r="Y12" s="16">
        <f t="shared" si="15"/>
        <v>0</v>
      </c>
    </row>
    <row r="13" spans="1:25" s="131" customFormat="1" x14ac:dyDescent="0.25">
      <c r="A13" s="136" t="s">
        <v>45</v>
      </c>
      <c r="B13" s="137"/>
      <c r="C13" s="335">
        <f>SUM(C5:C12)</f>
        <v>0</v>
      </c>
      <c r="D13" s="137">
        <f>SUM(D5:D12)</f>
        <v>0.128</v>
      </c>
      <c r="E13" s="137">
        <f>SUM(E5:E12)</f>
        <v>0.128</v>
      </c>
      <c r="F13" s="16"/>
      <c r="G13" s="137">
        <f>SUM(G5:G12)</f>
        <v>0</v>
      </c>
      <c r="H13" s="137">
        <f>SUM(H5:H12)</f>
        <v>0.128</v>
      </c>
      <c r="I13" s="137">
        <f>SUM(I5:I12)</f>
        <v>0.128</v>
      </c>
      <c r="J13" s="16"/>
      <c r="K13" s="137">
        <f>SUM(K5:K12)</f>
        <v>0</v>
      </c>
      <c r="L13" s="137">
        <f>SUM(L5:L12)</f>
        <v>0.128</v>
      </c>
      <c r="M13" s="137">
        <f>SUM(M5:M12)</f>
        <v>0.128</v>
      </c>
      <c r="N13" s="16"/>
      <c r="O13" s="16">
        <f>SUM(O5:O12)</f>
        <v>0</v>
      </c>
      <c r="P13" s="16">
        <f>SUM(P5:P12)</f>
        <v>0.128</v>
      </c>
      <c r="Q13" s="16">
        <f>SUM(Q5:Q12)</f>
        <v>0.128</v>
      </c>
      <c r="R13" s="16"/>
      <c r="S13" s="16">
        <f t="shared" ref="S13:Y13" si="17">SUM(S5:S12)</f>
        <v>0</v>
      </c>
      <c r="T13" s="16">
        <f t="shared" si="17"/>
        <v>0.128</v>
      </c>
      <c r="U13" s="16">
        <f t="shared" si="17"/>
        <v>0.128</v>
      </c>
      <c r="V13" s="16"/>
      <c r="W13" s="16">
        <f t="shared" si="17"/>
        <v>0</v>
      </c>
      <c r="X13" s="16">
        <f t="shared" si="17"/>
        <v>0.128</v>
      </c>
      <c r="Y13" s="16">
        <f t="shared" si="17"/>
        <v>0.128</v>
      </c>
    </row>
    <row r="14" spans="1:25" ht="4.4000000000000004" customHeight="1" x14ac:dyDescent="0.25">
      <c r="A14" s="136"/>
      <c r="B14" s="138"/>
      <c r="C14" s="139"/>
      <c r="D14" s="139"/>
      <c r="E14" s="140"/>
      <c r="F14" s="138"/>
      <c r="G14" s="8"/>
      <c r="H14" s="8"/>
      <c r="I14" s="16"/>
      <c r="J14" s="18"/>
      <c r="K14" s="8"/>
      <c r="L14" s="19"/>
      <c r="M14" s="16"/>
      <c r="N14" s="18"/>
      <c r="O14" s="8"/>
      <c r="P14" s="19"/>
      <c r="Q14" s="16"/>
      <c r="R14" s="18"/>
      <c r="S14" s="8"/>
      <c r="T14" s="19"/>
      <c r="U14" s="16"/>
      <c r="V14" s="18"/>
      <c r="W14" s="8"/>
      <c r="X14" s="19"/>
      <c r="Y14" s="8"/>
    </row>
    <row r="15" spans="1:25" x14ac:dyDescent="0.25">
      <c r="A15" s="249" t="s">
        <v>34</v>
      </c>
      <c r="B15" s="141"/>
      <c r="C15" s="132"/>
      <c r="D15" s="132"/>
      <c r="E15" s="331"/>
      <c r="F15" s="141"/>
      <c r="G15" s="20"/>
      <c r="H15" s="21"/>
      <c r="I15" s="21"/>
      <c r="J15" s="10"/>
      <c r="K15" s="20"/>
      <c r="L15" s="21"/>
      <c r="M15" s="16"/>
      <c r="N15" s="10"/>
      <c r="O15" s="20"/>
      <c r="P15" s="21"/>
      <c r="Q15" s="16"/>
      <c r="R15" s="10"/>
      <c r="S15" s="20"/>
      <c r="T15" s="21"/>
      <c r="U15" s="16"/>
      <c r="V15" s="10"/>
      <c r="W15" s="20"/>
      <c r="X15" s="21"/>
      <c r="Y15" s="8"/>
    </row>
    <row r="16" spans="1:25" x14ac:dyDescent="0.25">
      <c r="A16" s="7" t="s">
        <v>35</v>
      </c>
      <c r="B16" s="142"/>
      <c r="C16" s="333">
        <v>0</v>
      </c>
      <c r="D16" s="133">
        <v>0</v>
      </c>
      <c r="E16" s="334">
        <f>SUM(B16:D16)</f>
        <v>0</v>
      </c>
      <c r="F16" s="141"/>
      <c r="G16" s="9">
        <f>SUM(C16+0)</f>
        <v>0</v>
      </c>
      <c r="H16" s="135">
        <f t="shared" ref="H16:H20" si="18">SUM(D16+0)</f>
        <v>0</v>
      </c>
      <c r="I16" s="334">
        <f>SUM(F16:H16)</f>
        <v>0</v>
      </c>
      <c r="J16" s="10"/>
      <c r="K16" s="9">
        <f>SUM(G16+0)</f>
        <v>0</v>
      </c>
      <c r="L16" s="9">
        <f t="shared" ref="L16:L20" si="19">SUM(H16+0)</f>
        <v>0</v>
      </c>
      <c r="M16" s="16">
        <f>SUM(K16:L16)</f>
        <v>0</v>
      </c>
      <c r="N16" s="10"/>
      <c r="O16" s="22">
        <f>SUM(K16+0)</f>
        <v>0</v>
      </c>
      <c r="P16" s="9">
        <f t="shared" ref="P16:P20" si="20">SUM(L16+0)</f>
        <v>0</v>
      </c>
      <c r="Q16" s="16">
        <f>SUM(O16:P16)</f>
        <v>0</v>
      </c>
      <c r="R16" s="10"/>
      <c r="S16" s="9">
        <f>SUM(O16+0)</f>
        <v>0</v>
      </c>
      <c r="T16" s="23">
        <f>SUM(P16+0)</f>
        <v>0</v>
      </c>
      <c r="U16" s="16">
        <f>SUM(R16:T16)</f>
        <v>0</v>
      </c>
      <c r="V16" s="412"/>
      <c r="W16" s="23">
        <f>SUM(T16+0)</f>
        <v>0</v>
      </c>
      <c r="X16" s="23">
        <f>U16+0</f>
        <v>0</v>
      </c>
      <c r="Y16" s="11">
        <f>SUM(W16:X16)</f>
        <v>0</v>
      </c>
    </row>
    <row r="17" spans="1:25" x14ac:dyDescent="0.25">
      <c r="A17" s="7" t="s">
        <v>20</v>
      </c>
      <c r="B17" s="142"/>
      <c r="C17" s="333">
        <v>0</v>
      </c>
      <c r="D17" s="133">
        <v>0</v>
      </c>
      <c r="E17" s="334">
        <f>SUM(B17:D17)</f>
        <v>0</v>
      </c>
      <c r="F17" s="141"/>
      <c r="G17" s="9">
        <f t="shared" ref="G17:G20" si="21">SUM(C17+0)</f>
        <v>0</v>
      </c>
      <c r="H17" s="135">
        <f t="shared" si="18"/>
        <v>0</v>
      </c>
      <c r="I17" s="334">
        <f>SUM(F17:H17)</f>
        <v>0</v>
      </c>
      <c r="J17" s="10"/>
      <c r="K17" s="9">
        <f t="shared" ref="K17:K20" si="22">SUM(G17+0)</f>
        <v>0</v>
      </c>
      <c r="L17" s="9">
        <f t="shared" si="19"/>
        <v>0</v>
      </c>
      <c r="M17" s="16">
        <f>SUM(K17:L17)</f>
        <v>0</v>
      </c>
      <c r="N17" s="10"/>
      <c r="O17" s="22">
        <f t="shared" ref="O17:O20" si="23">SUM(K17+0)</f>
        <v>0</v>
      </c>
      <c r="P17" s="9">
        <f t="shared" si="20"/>
        <v>0</v>
      </c>
      <c r="Q17" s="16">
        <f>SUM(O17:P17)</f>
        <v>0</v>
      </c>
      <c r="R17" s="10"/>
      <c r="S17" s="9">
        <f t="shared" ref="S17:S20" si="24">SUM(O17+0)</f>
        <v>0</v>
      </c>
      <c r="T17" s="23">
        <f t="shared" ref="T17:T20" si="25">SUM(P17+0)</f>
        <v>0</v>
      </c>
      <c r="U17" s="16">
        <f>SUM(R17:T17)</f>
        <v>0</v>
      </c>
      <c r="V17" s="412"/>
      <c r="W17" s="23">
        <f t="shared" ref="W17:W20" si="26">SUM(T17+0)</f>
        <v>0</v>
      </c>
      <c r="X17" s="23">
        <f t="shared" ref="X17:X20" si="27">U17+0</f>
        <v>0</v>
      </c>
      <c r="Y17" s="11">
        <f t="shared" ref="Y17:Y20" si="28">SUM(W17:X17)</f>
        <v>0</v>
      </c>
    </row>
    <row r="18" spans="1:25" x14ac:dyDescent="0.25">
      <c r="A18" s="7" t="s">
        <v>22</v>
      </c>
      <c r="B18" s="142"/>
      <c r="C18" s="333">
        <v>0</v>
      </c>
      <c r="D18" s="133">
        <v>0</v>
      </c>
      <c r="E18" s="334">
        <f>SUM(B18:D18)</f>
        <v>0</v>
      </c>
      <c r="F18" s="134"/>
      <c r="G18" s="9">
        <f t="shared" si="21"/>
        <v>0</v>
      </c>
      <c r="H18" s="135">
        <f t="shared" si="18"/>
        <v>0</v>
      </c>
      <c r="I18" s="334">
        <f>SUM(F18:H18)</f>
        <v>0</v>
      </c>
      <c r="J18" s="8"/>
      <c r="K18" s="9">
        <f t="shared" si="22"/>
        <v>0</v>
      </c>
      <c r="L18" s="9">
        <f t="shared" si="19"/>
        <v>0</v>
      </c>
      <c r="M18" s="16">
        <f>SUM(K18:L18)</f>
        <v>0</v>
      </c>
      <c r="N18" s="8"/>
      <c r="O18" s="22">
        <f t="shared" si="23"/>
        <v>0</v>
      </c>
      <c r="P18" s="9">
        <f t="shared" si="20"/>
        <v>0</v>
      </c>
      <c r="Q18" s="16">
        <f>SUM(O18:P18)</f>
        <v>0</v>
      </c>
      <c r="R18" s="8"/>
      <c r="S18" s="9">
        <f t="shared" si="24"/>
        <v>0</v>
      </c>
      <c r="T18" s="23">
        <f t="shared" si="25"/>
        <v>0</v>
      </c>
      <c r="U18" s="16">
        <f>SUM(R18:T18)</f>
        <v>0</v>
      </c>
      <c r="V18" s="412"/>
      <c r="W18" s="23">
        <f t="shared" si="26"/>
        <v>0</v>
      </c>
      <c r="X18" s="23">
        <f t="shared" si="27"/>
        <v>0</v>
      </c>
      <c r="Y18" s="11">
        <f t="shared" si="28"/>
        <v>0</v>
      </c>
    </row>
    <row r="19" spans="1:25" x14ac:dyDescent="0.25">
      <c r="A19" s="7" t="s">
        <v>23</v>
      </c>
      <c r="B19" s="142"/>
      <c r="C19" s="333">
        <v>0</v>
      </c>
      <c r="D19" s="133">
        <v>0</v>
      </c>
      <c r="E19" s="334">
        <f>SUM(B19:D19)</f>
        <v>0</v>
      </c>
      <c r="F19" s="134"/>
      <c r="G19" s="9">
        <f t="shared" si="21"/>
        <v>0</v>
      </c>
      <c r="H19" s="135">
        <f t="shared" si="18"/>
        <v>0</v>
      </c>
      <c r="I19" s="334">
        <f>SUM(F19:H19)</f>
        <v>0</v>
      </c>
      <c r="J19" s="8"/>
      <c r="K19" s="9">
        <f t="shared" si="22"/>
        <v>0</v>
      </c>
      <c r="L19" s="9">
        <f t="shared" si="19"/>
        <v>0</v>
      </c>
      <c r="M19" s="16">
        <f>SUM(K19:L19)</f>
        <v>0</v>
      </c>
      <c r="N19" s="8"/>
      <c r="O19" s="22">
        <f t="shared" si="23"/>
        <v>0</v>
      </c>
      <c r="P19" s="9">
        <f t="shared" si="20"/>
        <v>0</v>
      </c>
      <c r="Q19" s="16">
        <f>SUM(O19:P19)</f>
        <v>0</v>
      </c>
      <c r="R19" s="8"/>
      <c r="S19" s="9">
        <f t="shared" si="24"/>
        <v>0</v>
      </c>
      <c r="T19" s="23">
        <f t="shared" si="25"/>
        <v>0</v>
      </c>
      <c r="U19" s="16">
        <f>SUM(R19:T19)</f>
        <v>0</v>
      </c>
      <c r="V19" s="412"/>
      <c r="W19" s="23">
        <f t="shared" si="26"/>
        <v>0</v>
      </c>
      <c r="X19" s="23">
        <f t="shared" si="27"/>
        <v>0</v>
      </c>
      <c r="Y19" s="11">
        <f t="shared" si="28"/>
        <v>0</v>
      </c>
    </row>
    <row r="20" spans="1:25" x14ac:dyDescent="0.25">
      <c r="A20" s="7" t="s">
        <v>24</v>
      </c>
      <c r="B20" s="142"/>
      <c r="C20" s="333">
        <v>0</v>
      </c>
      <c r="D20" s="133">
        <v>0</v>
      </c>
      <c r="E20" s="334">
        <f>SUM(B20:D20)</f>
        <v>0</v>
      </c>
      <c r="F20" s="134"/>
      <c r="G20" s="9">
        <f t="shared" si="21"/>
        <v>0</v>
      </c>
      <c r="H20" s="135">
        <f t="shared" si="18"/>
        <v>0</v>
      </c>
      <c r="I20" s="334">
        <f>SUM(F20:H20)</f>
        <v>0</v>
      </c>
      <c r="J20" s="8"/>
      <c r="K20" s="9">
        <f t="shared" si="22"/>
        <v>0</v>
      </c>
      <c r="L20" s="9">
        <f t="shared" si="19"/>
        <v>0</v>
      </c>
      <c r="M20" s="16">
        <f>SUM(K20:L20)</f>
        <v>0</v>
      </c>
      <c r="N20" s="8"/>
      <c r="O20" s="22">
        <f t="shared" si="23"/>
        <v>0</v>
      </c>
      <c r="P20" s="9">
        <f t="shared" si="20"/>
        <v>0</v>
      </c>
      <c r="Q20" s="16">
        <f>SUM(O20:P20)</f>
        <v>0</v>
      </c>
      <c r="R20" s="8"/>
      <c r="S20" s="9">
        <f t="shared" si="24"/>
        <v>0</v>
      </c>
      <c r="T20" s="23">
        <f t="shared" si="25"/>
        <v>0</v>
      </c>
      <c r="U20" s="16">
        <f>SUM(R20:T20)</f>
        <v>0</v>
      </c>
      <c r="V20" s="412"/>
      <c r="W20" s="23">
        <f t="shared" si="26"/>
        <v>0</v>
      </c>
      <c r="X20" s="23">
        <f t="shared" si="27"/>
        <v>0</v>
      </c>
      <c r="Y20" s="11">
        <f t="shared" si="28"/>
        <v>0</v>
      </c>
    </row>
    <row r="21" spans="1:25" s="131" customFormat="1" x14ac:dyDescent="0.25">
      <c r="A21" s="136" t="s">
        <v>45</v>
      </c>
      <c r="B21" s="137"/>
      <c r="C21" s="333">
        <f>SUM(C16:C20)</f>
        <v>0</v>
      </c>
      <c r="D21" s="293">
        <f>SUM(D16:D20)</f>
        <v>0</v>
      </c>
      <c r="E21" s="137">
        <f>SUM(E16:E20)</f>
        <v>0</v>
      </c>
      <c r="F21" s="11"/>
      <c r="G21" s="293">
        <f>SUM(G16:G20)</f>
        <v>0</v>
      </c>
      <c r="H21" s="293">
        <f>SUM(H16:H20)</f>
        <v>0</v>
      </c>
      <c r="I21" s="137">
        <f>SUM(I16:I20)</f>
        <v>0</v>
      </c>
      <c r="J21" s="11"/>
      <c r="K21" s="293">
        <f>SUM(K16:K20)</f>
        <v>0</v>
      </c>
      <c r="L21" s="293">
        <f>SUM(L16:L20)</f>
        <v>0</v>
      </c>
      <c r="M21" s="137">
        <f>SUM(M16:M20)</f>
        <v>0</v>
      </c>
      <c r="N21" s="11"/>
      <c r="O21" s="137">
        <f>SUM(O16:O20)</f>
        <v>0</v>
      </c>
      <c r="P21" s="137">
        <f>SUM(P16:P20)</f>
        <v>0</v>
      </c>
      <c r="Q21" s="137">
        <f>SUM(Q16:Q20)</f>
        <v>0</v>
      </c>
      <c r="R21" s="11"/>
      <c r="S21" s="9">
        <f t="shared" ref="S21:T21" si="29">SUM(O21+0)</f>
        <v>0</v>
      </c>
      <c r="T21" s="23">
        <f t="shared" si="29"/>
        <v>0</v>
      </c>
      <c r="U21" s="137">
        <f>SUM(U16:U20)</f>
        <v>0</v>
      </c>
      <c r="V21" s="412"/>
      <c r="W21" s="293">
        <f t="shared" ref="W21" si="30">SUM(S21+0/1000)</f>
        <v>0</v>
      </c>
      <c r="X21" s="293">
        <f t="shared" ref="X21" si="31">SUM(T21+0/1000)</f>
        <v>0</v>
      </c>
      <c r="Y21" s="143">
        <f t="shared" ref="Y21" si="32">SUM(V21:X21)</f>
        <v>0</v>
      </c>
    </row>
    <row r="22" spans="1:25" ht="5.25" customHeight="1" x14ac:dyDescent="0.35">
      <c r="A22" s="136"/>
      <c r="B22" s="138"/>
      <c r="C22" s="139"/>
      <c r="D22" s="139"/>
      <c r="E22" s="140"/>
      <c r="F22" s="138"/>
      <c r="G22" s="8"/>
      <c r="H22" s="19"/>
      <c r="I22" s="11"/>
      <c r="J22" s="18"/>
      <c r="K22" s="396"/>
      <c r="L22" s="19"/>
      <c r="M22" s="16" t="s">
        <v>1</v>
      </c>
      <c r="N22" s="18"/>
      <c r="O22" s="8"/>
      <c r="P22" s="19"/>
      <c r="Q22" s="16" t="s">
        <v>1</v>
      </c>
      <c r="R22" s="18"/>
      <c r="S22" s="8"/>
      <c r="T22" s="19"/>
      <c r="U22" s="16" t="s">
        <v>1</v>
      </c>
      <c r="V22" s="18"/>
      <c r="W22" s="8"/>
      <c r="X22" s="19"/>
      <c r="Y22" s="16" t="s">
        <v>1</v>
      </c>
    </row>
    <row r="23" spans="1:25" s="131" customFormat="1" ht="17.25" customHeight="1" x14ac:dyDescent="0.25">
      <c r="A23" s="136" t="s">
        <v>44</v>
      </c>
      <c r="B23" s="138"/>
      <c r="C23" s="137">
        <f>SUM(C13+C21)</f>
        <v>0</v>
      </c>
      <c r="D23" s="137">
        <f>SUM(D13+D21)</f>
        <v>0.128</v>
      </c>
      <c r="E23" s="137">
        <f>E13+E21</f>
        <v>0.128</v>
      </c>
      <c r="F23" s="138"/>
      <c r="G23" s="16">
        <f>SUM(G13+G21)</f>
        <v>0</v>
      </c>
      <c r="H23" s="11">
        <f>SUM(H13+H21)</f>
        <v>0.128</v>
      </c>
      <c r="I23" s="16">
        <f>I13+I21</f>
        <v>0.128</v>
      </c>
      <c r="J23" s="18"/>
      <c r="K23" s="16">
        <f>SUM(K13+K21)</f>
        <v>0</v>
      </c>
      <c r="L23" s="11">
        <f>SUM(L13+L21)</f>
        <v>0.128</v>
      </c>
      <c r="M23" s="16">
        <f>M13+M21</f>
        <v>0.128</v>
      </c>
      <c r="N23" s="18"/>
      <c r="O23" s="16">
        <f>SUM(O13+O21)</f>
        <v>0</v>
      </c>
      <c r="P23" s="11">
        <f>SUM(P13+P21)</f>
        <v>0.128</v>
      </c>
      <c r="Q23" s="16">
        <f>Q13+Q21</f>
        <v>0.128</v>
      </c>
      <c r="R23" s="18"/>
      <c r="S23" s="16">
        <f>SUM(S13+S21)</f>
        <v>0</v>
      </c>
      <c r="T23" s="11">
        <f>SUM(T13+T21)</f>
        <v>0.128</v>
      </c>
      <c r="U23" s="16">
        <f>U13+U21</f>
        <v>0.128</v>
      </c>
      <c r="V23" s="18"/>
      <c r="W23" s="16">
        <f>SUM(W13+W21)</f>
        <v>0</v>
      </c>
      <c r="X23" s="11">
        <f>SUM(X13+X21)</f>
        <v>0.128</v>
      </c>
      <c r="Y23" s="16">
        <f>Y13+Y21</f>
        <v>0.128</v>
      </c>
    </row>
    <row r="24" spans="1:25" ht="17.25" customHeight="1" x14ac:dyDescent="0.2">
      <c r="A24" s="144"/>
      <c r="B24" s="145"/>
      <c r="C24" s="146"/>
      <c r="D24" s="146"/>
      <c r="E24" s="147"/>
      <c r="F24" s="145"/>
      <c r="G24" s="24"/>
      <c r="H24" s="25"/>
      <c r="I24" s="26"/>
      <c r="J24" s="26"/>
      <c r="K24" s="24"/>
      <c r="L24" s="25"/>
      <c r="M24" s="26"/>
      <c r="N24" s="26"/>
      <c r="O24" s="24"/>
      <c r="P24" s="25"/>
      <c r="Q24" s="26"/>
      <c r="R24" s="26"/>
      <c r="S24" s="24"/>
      <c r="T24" s="25"/>
      <c r="U24" s="26"/>
      <c r="V24" s="26"/>
      <c r="W24" s="24"/>
      <c r="X24" s="25"/>
      <c r="Y24" s="148"/>
    </row>
    <row r="25" spans="1:25" ht="12" x14ac:dyDescent="0.2">
      <c r="A25" s="249" t="s">
        <v>46</v>
      </c>
      <c r="B25" s="149"/>
      <c r="C25" s="150"/>
      <c r="D25" s="150"/>
      <c r="E25" s="151"/>
      <c r="F25" s="152"/>
      <c r="G25" s="27"/>
      <c r="H25" s="27"/>
      <c r="I25" s="28"/>
      <c r="J25" s="28"/>
      <c r="K25" s="27"/>
      <c r="L25" s="27"/>
      <c r="M25" s="28"/>
      <c r="N25" s="28"/>
      <c r="O25" s="27"/>
      <c r="P25" s="27"/>
      <c r="Q25" s="28"/>
      <c r="R25" s="28"/>
      <c r="S25" s="27"/>
      <c r="T25" s="27"/>
      <c r="U25" s="28"/>
      <c r="V25" s="28"/>
      <c r="W25" s="27"/>
      <c r="X25" s="27"/>
      <c r="Y25" s="153"/>
    </row>
    <row r="26" spans="1:25" x14ac:dyDescent="0.25">
      <c r="A26" s="154" t="s">
        <v>47</v>
      </c>
      <c r="B26" s="380">
        <f>SUM(0+551/1000)</f>
        <v>0.55100000000000005</v>
      </c>
      <c r="C26" s="155"/>
      <c r="D26" s="155"/>
      <c r="E26" s="156"/>
      <c r="F26" s="17">
        <f>SUM(B26+531/1000)</f>
        <v>1.0820000000000001</v>
      </c>
      <c r="G26" s="9"/>
      <c r="H26" s="9"/>
      <c r="I26" s="8"/>
      <c r="J26" s="17">
        <f>SUM(F26+0/1000)</f>
        <v>1.0820000000000001</v>
      </c>
      <c r="K26" s="9"/>
      <c r="L26" s="9"/>
      <c r="M26" s="8"/>
      <c r="N26" s="9">
        <f>SUM(J26+2048/1000)</f>
        <v>3.13</v>
      </c>
      <c r="O26" s="177"/>
      <c r="P26" s="9"/>
      <c r="Q26" s="8"/>
      <c r="R26" s="8">
        <f>SUM(N26+162/1000)</f>
        <v>3.2919999999999998</v>
      </c>
      <c r="S26" s="9"/>
      <c r="T26" s="9"/>
      <c r="U26" s="8"/>
      <c r="V26" s="8">
        <f>SUM(R26+0)</f>
        <v>3.2919999999999998</v>
      </c>
      <c r="W26" s="9"/>
      <c r="X26" s="9"/>
      <c r="Y26" s="8"/>
    </row>
    <row r="27" spans="1:25" x14ac:dyDescent="0.25">
      <c r="A27" s="134"/>
      <c r="B27" s="17"/>
      <c r="C27" s="157"/>
      <c r="D27" s="157"/>
      <c r="E27" s="158"/>
      <c r="F27" s="134"/>
      <c r="G27" s="9"/>
      <c r="H27" s="9"/>
      <c r="I27" s="8"/>
      <c r="J27" s="8"/>
      <c r="K27" s="9"/>
      <c r="L27" s="9"/>
      <c r="M27" s="8"/>
      <c r="N27" s="8"/>
      <c r="O27" s="9"/>
      <c r="P27" s="9"/>
      <c r="Q27" s="8"/>
      <c r="R27" s="8"/>
      <c r="S27" s="9"/>
      <c r="T27" s="9"/>
      <c r="U27" s="8"/>
      <c r="V27" s="8"/>
      <c r="W27" s="9"/>
      <c r="X27" s="9"/>
      <c r="Y27" s="8"/>
    </row>
    <row r="28" spans="1:25" s="131" customFormat="1" x14ac:dyDescent="0.25">
      <c r="A28" s="136" t="s">
        <v>45</v>
      </c>
      <c r="B28" s="137">
        <f>SUM(B26:B27)</f>
        <v>0.55100000000000005</v>
      </c>
      <c r="C28" s="293">
        <f>SUM(C26:C27)</f>
        <v>0</v>
      </c>
      <c r="D28" s="293">
        <f>SUM(D26:D27)</f>
        <v>0</v>
      </c>
      <c r="E28" s="293">
        <f>SUM(E26)</f>
        <v>0</v>
      </c>
      <c r="F28" s="143">
        <f>SUM(F26:F27)</f>
        <v>1.0820000000000001</v>
      </c>
      <c r="G28" s="17">
        <f>SUM(G26:G27)</f>
        <v>0</v>
      </c>
      <c r="H28" s="17">
        <f>SUM(H26:H27)</f>
        <v>0</v>
      </c>
      <c r="I28" s="293">
        <f>SUM(I26)</f>
        <v>0</v>
      </c>
      <c r="J28" s="16">
        <f>SUM(J26:J27)</f>
        <v>1.0820000000000001</v>
      </c>
      <c r="K28" s="8">
        <f>SUM(K26:K27)</f>
        <v>0</v>
      </c>
      <c r="L28" s="8">
        <f>SUM(L26:L27)</f>
        <v>0</v>
      </c>
      <c r="M28" s="293">
        <f>SUM(M26)</f>
        <v>0</v>
      </c>
      <c r="N28" s="16">
        <f>SUM(N26:N27)</f>
        <v>3.13</v>
      </c>
      <c r="O28" s="8">
        <f>SUM(O26:O27)</f>
        <v>0</v>
      </c>
      <c r="P28" s="8">
        <f>SUM(P26:P27)</f>
        <v>0</v>
      </c>
      <c r="Q28" s="293">
        <f>SUM(Q26)</f>
        <v>0</v>
      </c>
      <c r="R28" s="16">
        <f>SUM(R26:R27)</f>
        <v>3.2919999999999998</v>
      </c>
      <c r="S28" s="8">
        <f>SUM(S26:S27)</f>
        <v>0</v>
      </c>
      <c r="T28" s="8">
        <f>SUM(T26:T27)</f>
        <v>0</v>
      </c>
      <c r="U28" s="293">
        <f>SUM(U26)</f>
        <v>0</v>
      </c>
      <c r="V28" s="16">
        <f>SUM(V26:V27)</f>
        <v>3.2919999999999998</v>
      </c>
      <c r="W28" s="8">
        <f>SUM(W26:W27)</f>
        <v>0</v>
      </c>
      <c r="X28" s="8">
        <f>SUM(X26:X27)</f>
        <v>0</v>
      </c>
      <c r="Y28" s="17">
        <f>SUM(Y26)</f>
        <v>0</v>
      </c>
    </row>
    <row r="29" spans="1:25" ht="4.4000000000000004" customHeight="1" x14ac:dyDescent="0.25">
      <c r="A29" s="138"/>
      <c r="B29" s="139"/>
      <c r="C29" s="139"/>
      <c r="D29" s="139"/>
      <c r="E29" s="474"/>
      <c r="F29" s="138"/>
      <c r="G29" s="8"/>
      <c r="H29" s="19"/>
      <c r="I29" s="8"/>
      <c r="J29" s="18"/>
      <c r="K29" s="8"/>
      <c r="L29" s="19"/>
      <c r="M29" s="8"/>
      <c r="N29" s="18"/>
      <c r="O29" s="8"/>
      <c r="P29" s="19"/>
      <c r="Q29" s="8"/>
      <c r="R29" s="18"/>
      <c r="S29" s="8"/>
      <c r="T29" s="19"/>
      <c r="U29" s="8"/>
      <c r="V29" s="18"/>
      <c r="W29" s="8"/>
      <c r="X29" s="19"/>
      <c r="Y29" s="8"/>
    </row>
    <row r="30" spans="1:25" s="131" customFormat="1" x14ac:dyDescent="0.25">
      <c r="A30" s="138" t="s">
        <v>48</v>
      </c>
      <c r="B30" s="159">
        <f>SUM( B28)</f>
        <v>0.55100000000000005</v>
      </c>
      <c r="C30" s="142" t="s">
        <v>21</v>
      </c>
      <c r="D30" s="142" t="s">
        <v>21</v>
      </c>
      <c r="E30" s="142" t="s">
        <v>21</v>
      </c>
      <c r="F30" s="143">
        <f>F28</f>
        <v>1.0820000000000001</v>
      </c>
      <c r="G30" s="142" t="s">
        <v>21</v>
      </c>
      <c r="H30" s="142" t="s">
        <v>21</v>
      </c>
      <c r="I30" s="142" t="s">
        <v>21</v>
      </c>
      <c r="J30" s="18">
        <f>J28</f>
        <v>1.0820000000000001</v>
      </c>
      <c r="K30" s="142" t="s">
        <v>21</v>
      </c>
      <c r="L30" s="142" t="s">
        <v>21</v>
      </c>
      <c r="M30" s="142" t="s">
        <v>21</v>
      </c>
      <c r="N30" s="18">
        <f>N28</f>
        <v>3.13</v>
      </c>
      <c r="O30" s="142" t="s">
        <v>21</v>
      </c>
      <c r="P30" s="142" t="s">
        <v>21</v>
      </c>
      <c r="Q30" s="142" t="s">
        <v>21</v>
      </c>
      <c r="R30" s="18">
        <f>R28</f>
        <v>3.2919999999999998</v>
      </c>
      <c r="S30" s="142" t="s">
        <v>21</v>
      </c>
      <c r="T30" s="142" t="s">
        <v>21</v>
      </c>
      <c r="U30" s="142" t="s">
        <v>21</v>
      </c>
      <c r="V30" s="16">
        <f>V28</f>
        <v>3.2919999999999998</v>
      </c>
      <c r="W30" s="142" t="s">
        <v>21</v>
      </c>
      <c r="X30" s="142" t="s">
        <v>21</v>
      </c>
      <c r="Y30" s="473" t="s">
        <v>21</v>
      </c>
    </row>
    <row r="31" spans="1:25" x14ac:dyDescent="0.25">
      <c r="A31" s="160"/>
      <c r="B31" s="160"/>
      <c r="C31" s="161"/>
      <c r="D31" s="161"/>
      <c r="E31" s="162"/>
      <c r="F31" s="160"/>
      <c r="G31" s="161"/>
      <c r="H31" s="162"/>
      <c r="I31" s="160"/>
      <c r="J31" s="160"/>
      <c r="K31" s="161"/>
      <c r="L31" s="162"/>
      <c r="M31" s="160"/>
      <c r="N31" s="160"/>
      <c r="O31" s="161"/>
      <c r="P31" s="162"/>
      <c r="Q31" s="160"/>
      <c r="R31" s="160"/>
      <c r="S31" s="161"/>
      <c r="T31" s="162"/>
      <c r="U31" s="160"/>
      <c r="V31" s="160"/>
      <c r="W31" s="161"/>
      <c r="X31" s="162"/>
      <c r="Y31" s="160"/>
    </row>
    <row r="33" spans="1:25" ht="24.75" customHeight="1" x14ac:dyDescent="0.25">
      <c r="A33" s="405">
        <v>2013</v>
      </c>
      <c r="B33" s="690" t="s">
        <v>12</v>
      </c>
      <c r="C33" s="690"/>
      <c r="D33" s="690"/>
      <c r="E33" s="690"/>
      <c r="F33" s="690" t="s">
        <v>36</v>
      </c>
      <c r="G33" s="690"/>
      <c r="H33" s="690"/>
      <c r="I33" s="690" t="s">
        <v>12</v>
      </c>
      <c r="J33" s="690" t="s">
        <v>37</v>
      </c>
      <c r="K33" s="690"/>
      <c r="L33" s="690"/>
      <c r="M33" s="690" t="s">
        <v>12</v>
      </c>
      <c r="N33" s="690" t="s">
        <v>15</v>
      </c>
      <c r="O33" s="690"/>
      <c r="P33" s="690"/>
      <c r="Q33" s="690" t="s">
        <v>12</v>
      </c>
      <c r="R33" s="690" t="s">
        <v>38</v>
      </c>
      <c r="S33" s="690"/>
      <c r="T33" s="690"/>
      <c r="U33" s="690" t="s">
        <v>12</v>
      </c>
      <c r="V33" s="690" t="s">
        <v>17</v>
      </c>
      <c r="W33" s="690"/>
      <c r="X33" s="690"/>
      <c r="Y33" s="690" t="s">
        <v>12</v>
      </c>
    </row>
    <row r="34" spans="1:25" ht="34.5" x14ac:dyDescent="0.25">
      <c r="A34" s="249" t="s">
        <v>40</v>
      </c>
      <c r="B34" s="132" t="s">
        <v>41</v>
      </c>
      <c r="C34" s="132" t="s">
        <v>42</v>
      </c>
      <c r="D34" s="132" t="s">
        <v>43</v>
      </c>
      <c r="E34" s="132" t="s">
        <v>44</v>
      </c>
      <c r="F34" s="132" t="s">
        <v>41</v>
      </c>
      <c r="G34" s="132" t="s">
        <v>42</v>
      </c>
      <c r="H34" s="132" t="s">
        <v>43</v>
      </c>
      <c r="I34" s="132" t="s">
        <v>44</v>
      </c>
      <c r="J34" s="132" t="s">
        <v>41</v>
      </c>
      <c r="K34" s="132" t="s">
        <v>42</v>
      </c>
      <c r="L34" s="132" t="s">
        <v>43</v>
      </c>
      <c r="M34" s="132" t="s">
        <v>44</v>
      </c>
      <c r="N34" s="132" t="s">
        <v>41</v>
      </c>
      <c r="O34" s="132" t="s">
        <v>42</v>
      </c>
      <c r="P34" s="132" t="s">
        <v>43</v>
      </c>
      <c r="Q34" s="132" t="s">
        <v>44</v>
      </c>
      <c r="R34" s="132" t="s">
        <v>41</v>
      </c>
      <c r="S34" s="132" t="s">
        <v>42</v>
      </c>
      <c r="T34" s="132" t="s">
        <v>43</v>
      </c>
      <c r="U34" s="132" t="s">
        <v>44</v>
      </c>
      <c r="V34" s="132" t="s">
        <v>41</v>
      </c>
      <c r="W34" s="132" t="s">
        <v>42</v>
      </c>
      <c r="X34" s="132" t="s">
        <v>43</v>
      </c>
      <c r="Y34" s="132" t="s">
        <v>44</v>
      </c>
    </row>
    <row r="35" spans="1:25" x14ac:dyDescent="0.25">
      <c r="A35" s="7" t="s">
        <v>25</v>
      </c>
      <c r="B35" s="132"/>
      <c r="C35" s="12">
        <f>SUM(O5+0)</f>
        <v>0</v>
      </c>
      <c r="D35" s="12">
        <f>SUM(P5+0)</f>
        <v>0</v>
      </c>
      <c r="E35" s="13">
        <f t="shared" ref="E35:E42" si="33">SUM(B35:D35)</f>
        <v>0</v>
      </c>
      <c r="F35" s="132"/>
      <c r="G35" s="12"/>
      <c r="H35" s="12"/>
      <c r="I35" s="13">
        <f>SUM(F35:H35)</f>
        <v>0</v>
      </c>
      <c r="J35" s="132"/>
      <c r="K35" s="12"/>
      <c r="L35" s="264"/>
      <c r="M35" s="13">
        <f>SUM(J35:L35)</f>
        <v>0</v>
      </c>
      <c r="N35" s="8"/>
      <c r="O35" s="12"/>
      <c r="P35" s="12"/>
      <c r="Q35" s="13">
        <f>SUM(N35:P35)</f>
        <v>0</v>
      </c>
      <c r="R35" s="14"/>
      <c r="S35" s="12"/>
      <c r="T35" s="12"/>
      <c r="U35" s="13">
        <f>SUM(R35:T35)</f>
        <v>0</v>
      </c>
      <c r="V35" s="132"/>
      <c r="W35" s="9"/>
      <c r="X35" s="9"/>
      <c r="Y35" s="13">
        <f>SUM(V35:X35)</f>
        <v>0</v>
      </c>
    </row>
    <row r="36" spans="1:25" x14ac:dyDescent="0.25">
      <c r="A36" s="7" t="s">
        <v>26</v>
      </c>
      <c r="B36" s="132"/>
      <c r="C36" s="12">
        <f t="shared" ref="C36:C41" si="34">SUM(O5+0)</f>
        <v>0</v>
      </c>
      <c r="D36" s="12">
        <f t="shared" ref="D36:D42" si="35">SUM(P6+0)</f>
        <v>0</v>
      </c>
      <c r="E36" s="13">
        <f t="shared" si="33"/>
        <v>0</v>
      </c>
      <c r="F36" s="132"/>
      <c r="G36" s="12"/>
      <c r="H36" s="133"/>
      <c r="I36" s="13">
        <f t="shared" ref="I36:I42" si="36">SUM(F36:H36)</f>
        <v>0</v>
      </c>
      <c r="J36" s="132"/>
      <c r="K36" s="12"/>
      <c r="L36" s="264"/>
      <c r="M36" s="13">
        <f t="shared" ref="M36:M42" si="37">SUM(J36:L36)</f>
        <v>0</v>
      </c>
      <c r="N36" s="8"/>
      <c r="O36" s="12"/>
      <c r="P36" s="12"/>
      <c r="Q36" s="13">
        <f t="shared" ref="Q36:Q42" si="38">SUM(N36:P36)</f>
        <v>0</v>
      </c>
      <c r="R36" s="14"/>
      <c r="S36" s="12"/>
      <c r="T36" s="12"/>
      <c r="U36" s="13">
        <f t="shared" ref="U36:U37" si="39">SUM(R36:T36)</f>
        <v>0</v>
      </c>
      <c r="V36" s="132"/>
      <c r="W36" s="9"/>
      <c r="X36" s="9"/>
      <c r="Y36" s="13">
        <f t="shared" ref="Y36:Y42" si="40">SUM(V36:X36)</f>
        <v>0</v>
      </c>
    </row>
    <row r="37" spans="1:25" x14ac:dyDescent="0.25">
      <c r="A37" s="7" t="s">
        <v>27</v>
      </c>
      <c r="B37" s="132"/>
      <c r="C37" s="12">
        <f t="shared" si="34"/>
        <v>0</v>
      </c>
      <c r="D37" s="12">
        <f t="shared" si="35"/>
        <v>0</v>
      </c>
      <c r="E37" s="13">
        <f t="shared" si="33"/>
        <v>0</v>
      </c>
      <c r="F37" s="132"/>
      <c r="G37" s="12"/>
      <c r="H37" s="12"/>
      <c r="I37" s="13">
        <f t="shared" si="36"/>
        <v>0</v>
      </c>
      <c r="J37" s="132"/>
      <c r="K37" s="12"/>
      <c r="L37" s="264"/>
      <c r="M37" s="13">
        <f t="shared" si="37"/>
        <v>0</v>
      </c>
      <c r="N37" s="8"/>
      <c r="O37" s="12"/>
      <c r="P37" s="266"/>
      <c r="Q37" s="13">
        <f t="shared" si="38"/>
        <v>0</v>
      </c>
      <c r="R37" s="14"/>
      <c r="S37" s="12"/>
      <c r="T37" s="12"/>
      <c r="U37" s="13">
        <f t="shared" si="39"/>
        <v>0</v>
      </c>
      <c r="V37" s="132"/>
      <c r="W37" s="9"/>
      <c r="X37" s="9"/>
      <c r="Y37" s="13">
        <f t="shared" si="40"/>
        <v>0</v>
      </c>
    </row>
    <row r="38" spans="1:25" x14ac:dyDescent="0.25">
      <c r="A38" s="7" t="s">
        <v>28</v>
      </c>
      <c r="B38" s="132"/>
      <c r="C38" s="12">
        <f t="shared" si="34"/>
        <v>0</v>
      </c>
      <c r="D38" s="12">
        <f t="shared" si="35"/>
        <v>0.128</v>
      </c>
      <c r="E38" s="13">
        <f t="shared" si="33"/>
        <v>0.128</v>
      </c>
      <c r="F38" s="132"/>
      <c r="G38" s="12"/>
      <c r="H38" s="12"/>
      <c r="I38" s="13">
        <f t="shared" si="36"/>
        <v>0</v>
      </c>
      <c r="J38" s="132"/>
      <c r="K38" s="12"/>
      <c r="L38" s="264"/>
      <c r="M38" s="13">
        <f>SUM(J38:L38)</f>
        <v>0</v>
      </c>
      <c r="N38" s="8"/>
      <c r="O38" s="12"/>
      <c r="P38" s="267"/>
      <c r="Q38" s="13">
        <f>SUM(N38:P38)</f>
        <v>0</v>
      </c>
      <c r="R38" s="14"/>
      <c r="S38" s="12"/>
      <c r="T38" s="12"/>
      <c r="U38" s="13">
        <f>SUM(R38:T38)</f>
        <v>0</v>
      </c>
      <c r="V38" s="132"/>
      <c r="W38" s="9"/>
      <c r="X38" s="9"/>
      <c r="Y38" s="13">
        <f t="shared" si="40"/>
        <v>0</v>
      </c>
    </row>
    <row r="39" spans="1:25" x14ac:dyDescent="0.25">
      <c r="A39" s="7" t="s">
        <v>29</v>
      </c>
      <c r="B39" s="132"/>
      <c r="C39" s="12">
        <f t="shared" si="34"/>
        <v>0</v>
      </c>
      <c r="D39" s="12">
        <f t="shared" si="35"/>
        <v>0</v>
      </c>
      <c r="E39" s="13">
        <f t="shared" si="33"/>
        <v>0</v>
      </c>
      <c r="F39" s="132"/>
      <c r="G39" s="12"/>
      <c r="H39" s="133"/>
      <c r="I39" s="13">
        <f t="shared" si="36"/>
        <v>0</v>
      </c>
      <c r="J39" s="132"/>
      <c r="K39" s="12"/>
      <c r="L39" s="264"/>
      <c r="M39" s="13">
        <f t="shared" si="37"/>
        <v>0</v>
      </c>
      <c r="N39" s="8"/>
      <c r="O39" s="12"/>
      <c r="P39" s="12"/>
      <c r="Q39" s="13">
        <f t="shared" si="38"/>
        <v>0</v>
      </c>
      <c r="R39" s="14"/>
      <c r="S39" s="12"/>
      <c r="T39" s="12"/>
      <c r="U39" s="13">
        <f t="shared" ref="U39:U42" si="41">SUM(R39:T39)</f>
        <v>0</v>
      </c>
      <c r="V39" s="132"/>
      <c r="W39" s="9"/>
      <c r="X39" s="9"/>
      <c r="Y39" s="13">
        <f t="shared" si="40"/>
        <v>0</v>
      </c>
    </row>
    <row r="40" spans="1:25" x14ac:dyDescent="0.25">
      <c r="A40" s="7" t="s">
        <v>30</v>
      </c>
      <c r="B40" s="132"/>
      <c r="C40" s="12">
        <f t="shared" si="34"/>
        <v>0</v>
      </c>
      <c r="D40" s="12">
        <f t="shared" si="35"/>
        <v>0</v>
      </c>
      <c r="E40" s="13">
        <f t="shared" si="33"/>
        <v>0</v>
      </c>
      <c r="F40" s="132"/>
      <c r="G40" s="12"/>
      <c r="H40" s="133"/>
      <c r="I40" s="13">
        <f t="shared" si="36"/>
        <v>0</v>
      </c>
      <c r="J40" s="132"/>
      <c r="K40" s="12"/>
      <c r="L40" s="264"/>
      <c r="M40" s="13">
        <f t="shared" si="37"/>
        <v>0</v>
      </c>
      <c r="N40" s="8"/>
      <c r="O40" s="12"/>
      <c r="P40" s="12"/>
      <c r="Q40" s="13">
        <f t="shared" si="38"/>
        <v>0</v>
      </c>
      <c r="R40" s="14"/>
      <c r="S40" s="12"/>
      <c r="T40" s="12"/>
      <c r="U40" s="13">
        <f t="shared" si="41"/>
        <v>0</v>
      </c>
      <c r="V40" s="132"/>
      <c r="W40" s="9"/>
      <c r="X40" s="9"/>
      <c r="Y40" s="13">
        <f t="shared" si="40"/>
        <v>0</v>
      </c>
    </row>
    <row r="41" spans="1:25" x14ac:dyDescent="0.25">
      <c r="A41" s="7" t="s">
        <v>31</v>
      </c>
      <c r="B41" s="29"/>
      <c r="C41" s="12">
        <f t="shared" si="34"/>
        <v>0</v>
      </c>
      <c r="D41" s="12">
        <f t="shared" si="35"/>
        <v>0</v>
      </c>
      <c r="E41" s="13">
        <f t="shared" si="33"/>
        <v>0</v>
      </c>
      <c r="F41" s="8"/>
      <c r="G41" s="12"/>
      <c r="H41" s="133"/>
      <c r="I41" s="13">
        <f t="shared" si="36"/>
        <v>0</v>
      </c>
      <c r="J41" s="8"/>
      <c r="K41" s="12"/>
      <c r="L41" s="264"/>
      <c r="M41" s="13">
        <f t="shared" si="37"/>
        <v>0</v>
      </c>
      <c r="N41" s="8"/>
      <c r="O41" s="12"/>
      <c r="P41" s="12"/>
      <c r="Q41" s="13">
        <f t="shared" si="38"/>
        <v>0</v>
      </c>
      <c r="R41" s="17"/>
      <c r="S41" s="12"/>
      <c r="T41" s="12"/>
      <c r="U41" s="13">
        <f t="shared" si="41"/>
        <v>0</v>
      </c>
      <c r="V41" s="8"/>
      <c r="W41" s="9"/>
      <c r="X41" s="9"/>
      <c r="Y41" s="13">
        <f t="shared" si="40"/>
        <v>0</v>
      </c>
    </row>
    <row r="42" spans="1:25" x14ac:dyDescent="0.25">
      <c r="A42" s="7" t="s">
        <v>32</v>
      </c>
      <c r="B42" s="29"/>
      <c r="C42" s="12">
        <f t="shared" ref="C42" si="42">SUM(O12+0)</f>
        <v>0</v>
      </c>
      <c r="D42" s="12">
        <f t="shared" si="35"/>
        <v>0</v>
      </c>
      <c r="E42" s="13">
        <f t="shared" si="33"/>
        <v>0</v>
      </c>
      <c r="F42" s="8"/>
      <c r="G42" s="12"/>
      <c r="H42" s="133"/>
      <c r="I42" s="13">
        <f t="shared" si="36"/>
        <v>0</v>
      </c>
      <c r="J42" s="8"/>
      <c r="K42" s="12"/>
      <c r="L42" s="264"/>
      <c r="M42" s="13">
        <f t="shared" si="37"/>
        <v>0</v>
      </c>
      <c r="N42" s="16"/>
      <c r="O42" s="12"/>
      <c r="P42" s="12"/>
      <c r="Q42" s="13">
        <f t="shared" si="38"/>
        <v>0</v>
      </c>
      <c r="R42" s="17"/>
      <c r="S42" s="12"/>
      <c r="T42" s="12"/>
      <c r="U42" s="13">
        <f t="shared" si="41"/>
        <v>0</v>
      </c>
      <c r="V42" s="8"/>
      <c r="W42" s="9"/>
      <c r="X42" s="9"/>
      <c r="Y42" s="13">
        <f t="shared" si="40"/>
        <v>0</v>
      </c>
    </row>
    <row r="43" spans="1:25" s="131" customFormat="1" x14ac:dyDescent="0.25">
      <c r="A43" s="138" t="s">
        <v>45</v>
      </c>
      <c r="B43" s="18"/>
      <c r="C43" s="18">
        <f>SUM(C35:C42)</f>
        <v>0</v>
      </c>
      <c r="D43" s="156">
        <f>SUM(D35:D42)</f>
        <v>0.128</v>
      </c>
      <c r="E43" s="18">
        <f>SUM(E35:E42)</f>
        <v>0.128</v>
      </c>
      <c r="F43" s="16"/>
      <c r="G43" s="18">
        <f>SUM(G35:G42)</f>
        <v>0</v>
      </c>
      <c r="H43" s="18">
        <f>SUM(H35:H42)</f>
        <v>0</v>
      </c>
      <c r="I43" s="18">
        <f>SUM(I35:I42)</f>
        <v>0</v>
      </c>
      <c r="J43" s="16"/>
      <c r="K43" s="18">
        <f>SUM(K35:K42)</f>
        <v>0</v>
      </c>
      <c r="L43" s="18">
        <f>SUM(L35:L42)</f>
        <v>0</v>
      </c>
      <c r="M43" s="13">
        <f>SUM(M35:M42)</f>
        <v>0</v>
      </c>
      <c r="N43" s="167"/>
      <c r="O43" s="18">
        <f>SUM(O35:O42)</f>
        <v>0</v>
      </c>
      <c r="P43" s="18">
        <f>SUM(P35:P42)</f>
        <v>0</v>
      </c>
      <c r="Q43" s="13">
        <f>SUM(Q35:Q42)</f>
        <v>0</v>
      </c>
      <c r="R43" s="16"/>
      <c r="S43" s="18">
        <f>SUM(S35:S42)</f>
        <v>0</v>
      </c>
      <c r="T43" s="18">
        <f>SUM(T35:T42)</f>
        <v>0</v>
      </c>
      <c r="U43" s="18">
        <f>SUM(U35:U42)</f>
        <v>0</v>
      </c>
      <c r="V43" s="16"/>
      <c r="W43" s="18">
        <f>SUM(W35:W42)</f>
        <v>0</v>
      </c>
      <c r="X43" s="18">
        <f>SUM(X35:X42)</f>
        <v>0</v>
      </c>
      <c r="Y43" s="16">
        <f>SUM(Y35:Y42)</f>
        <v>0</v>
      </c>
    </row>
    <row r="44" spans="1:25" ht="4.4000000000000004" customHeight="1" x14ac:dyDescent="0.25">
      <c r="A44" s="138"/>
      <c r="B44" s="18"/>
      <c r="C44" s="8"/>
      <c r="D44" s="8"/>
      <c r="E44" s="11"/>
      <c r="F44" s="18"/>
      <c r="G44" s="8"/>
      <c r="H44" s="18"/>
      <c r="I44" s="16"/>
      <c r="J44" s="18"/>
      <c r="K44" s="8"/>
      <c r="L44" s="19"/>
      <c r="M44" s="16"/>
      <c r="N44" s="18"/>
      <c r="O44" s="18"/>
      <c r="P44" s="18"/>
      <c r="Q44" s="18"/>
      <c r="R44" s="18"/>
      <c r="S44" s="8"/>
      <c r="T44" s="19"/>
      <c r="U44" s="16"/>
      <c r="V44" s="18"/>
      <c r="W44" s="8"/>
      <c r="X44" s="19"/>
      <c r="Y44" s="16"/>
    </row>
    <row r="45" spans="1:25" x14ac:dyDescent="0.25">
      <c r="A45" s="141" t="s">
        <v>34</v>
      </c>
      <c r="B45" s="10"/>
      <c r="C45" s="20"/>
      <c r="D45" s="20"/>
      <c r="E45" s="21"/>
      <c r="F45" s="10"/>
      <c r="G45" s="20"/>
      <c r="H45" s="21"/>
      <c r="I45" s="16"/>
      <c r="J45" s="10"/>
      <c r="K45" s="20"/>
      <c r="L45" s="21"/>
      <c r="M45" s="16"/>
      <c r="N45" s="10"/>
      <c r="O45" s="20"/>
      <c r="P45" s="21"/>
      <c r="Q45" s="16"/>
      <c r="R45" s="10"/>
      <c r="S45" s="20"/>
      <c r="T45" s="21"/>
      <c r="U45" s="16"/>
      <c r="V45" s="10"/>
      <c r="W45" s="20"/>
      <c r="X45" s="21"/>
      <c r="Y45" s="16"/>
    </row>
    <row r="46" spans="1:25" x14ac:dyDescent="0.25">
      <c r="A46" s="7" t="s">
        <v>35</v>
      </c>
      <c r="B46" s="10"/>
      <c r="C46" s="22">
        <f>SUM(O16+0)</f>
        <v>0</v>
      </c>
      <c r="D46" s="22">
        <f t="shared" ref="D46:D50" si="43">SUM(P17+0)</f>
        <v>0</v>
      </c>
      <c r="E46" s="13">
        <f>SUM(B46:D46)</f>
        <v>0</v>
      </c>
      <c r="F46" s="10"/>
      <c r="G46" s="22"/>
      <c r="H46" s="22"/>
      <c r="I46" s="13">
        <f>SUM(F46:H46)</f>
        <v>0</v>
      </c>
      <c r="J46" s="10"/>
      <c r="K46" s="12"/>
      <c r="L46" s="23"/>
      <c r="M46" s="13">
        <f>SUM(J46:L46)</f>
        <v>0</v>
      </c>
      <c r="N46" s="10"/>
      <c r="O46" s="12"/>
      <c r="P46" s="12"/>
      <c r="Q46" s="13">
        <f>SUM(O46:P46)</f>
        <v>0</v>
      </c>
      <c r="R46" s="10"/>
      <c r="S46" s="22"/>
      <c r="T46" s="23"/>
      <c r="U46" s="13">
        <f>SUM(R46:T46)</f>
        <v>0</v>
      </c>
      <c r="V46" s="10"/>
      <c r="W46" s="8"/>
      <c r="X46" s="8"/>
      <c r="Y46" s="13">
        <f>SUM(V46:X46)</f>
        <v>0</v>
      </c>
    </row>
    <row r="47" spans="1:25" x14ac:dyDescent="0.25">
      <c r="A47" s="7" t="s">
        <v>20</v>
      </c>
      <c r="B47" s="10"/>
      <c r="C47" s="22">
        <f t="shared" ref="C47:C50" si="44">SUM(O17+0)</f>
        <v>0</v>
      </c>
      <c r="D47" s="22">
        <f t="shared" si="43"/>
        <v>0</v>
      </c>
      <c r="E47" s="13">
        <f>SUM(B47:D47)</f>
        <v>0</v>
      </c>
      <c r="F47" s="10"/>
      <c r="G47" s="22"/>
      <c r="H47" s="22"/>
      <c r="I47" s="13">
        <f>SUM(F47:H47)</f>
        <v>0</v>
      </c>
      <c r="J47" s="10"/>
      <c r="K47" s="12"/>
      <c r="L47" s="23"/>
      <c r="M47" s="13">
        <f t="shared" ref="M47:M50" si="45">SUM(J47:L47)</f>
        <v>0</v>
      </c>
      <c r="N47" s="10"/>
      <c r="O47" s="12"/>
      <c r="P47" s="12"/>
      <c r="Q47" s="13">
        <f t="shared" ref="Q47:Q50" si="46">SUM(O47:P47)</f>
        <v>0</v>
      </c>
      <c r="R47" s="10"/>
      <c r="S47" s="22"/>
      <c r="T47" s="23"/>
      <c r="U47" s="13">
        <f t="shared" ref="U47:U50" si="47">SUM(R47:T47)</f>
        <v>0</v>
      </c>
      <c r="V47" s="10"/>
      <c r="W47" s="8"/>
      <c r="X47" s="8"/>
      <c r="Y47" s="13">
        <f t="shared" ref="Y47:Y50" si="48">SUM(V47:X47)</f>
        <v>0</v>
      </c>
    </row>
    <row r="48" spans="1:25" x14ac:dyDescent="0.25">
      <c r="A48" s="7" t="s">
        <v>22</v>
      </c>
      <c r="B48" s="10"/>
      <c r="C48" s="22">
        <f t="shared" si="44"/>
        <v>0</v>
      </c>
      <c r="D48" s="22">
        <f t="shared" si="43"/>
        <v>0</v>
      </c>
      <c r="E48" s="13">
        <f>SUM(B48:D48)</f>
        <v>0</v>
      </c>
      <c r="F48" s="10"/>
      <c r="G48" s="22"/>
      <c r="H48" s="22"/>
      <c r="I48" s="13">
        <f>SUM(F48:H48)</f>
        <v>0</v>
      </c>
      <c r="J48" s="10"/>
      <c r="K48" s="12"/>
      <c r="L48" s="23"/>
      <c r="M48" s="13">
        <f t="shared" si="45"/>
        <v>0</v>
      </c>
      <c r="N48" s="10"/>
      <c r="O48" s="12"/>
      <c r="P48" s="12"/>
      <c r="Q48" s="13">
        <f t="shared" si="46"/>
        <v>0</v>
      </c>
      <c r="R48" s="10"/>
      <c r="S48" s="22"/>
      <c r="T48" s="23"/>
      <c r="U48" s="13">
        <f t="shared" si="47"/>
        <v>0</v>
      </c>
      <c r="V48" s="10"/>
      <c r="W48" s="8"/>
      <c r="X48" s="8"/>
      <c r="Y48" s="13">
        <f t="shared" si="48"/>
        <v>0</v>
      </c>
    </row>
    <row r="49" spans="1:25" hidden="1" x14ac:dyDescent="0.25">
      <c r="A49" s="7" t="s">
        <v>23</v>
      </c>
      <c r="B49" s="29"/>
      <c r="C49" s="22">
        <f t="shared" si="44"/>
        <v>0</v>
      </c>
      <c r="D49" s="22">
        <f t="shared" si="43"/>
        <v>0</v>
      </c>
      <c r="E49" s="13">
        <f>SUM(B49:D49)</f>
        <v>0</v>
      </c>
      <c r="F49" s="8"/>
      <c r="G49" s="22"/>
      <c r="H49" s="22"/>
      <c r="I49" s="16">
        <f>SUM(G49:H49)</f>
        <v>0</v>
      </c>
      <c r="J49" s="8"/>
      <c r="K49" s="12"/>
      <c r="L49" s="23"/>
      <c r="M49" s="13">
        <f t="shared" si="45"/>
        <v>0</v>
      </c>
      <c r="N49" s="8"/>
      <c r="O49" s="12"/>
      <c r="P49" s="12"/>
      <c r="Q49" s="13">
        <f t="shared" si="46"/>
        <v>0</v>
      </c>
      <c r="R49" s="8"/>
      <c r="S49" s="22"/>
      <c r="T49" s="23"/>
      <c r="U49" s="13">
        <f t="shared" si="47"/>
        <v>0</v>
      </c>
      <c r="V49" s="8"/>
      <c r="W49" s="8"/>
      <c r="X49" s="8"/>
      <c r="Y49" s="13">
        <f t="shared" si="48"/>
        <v>0</v>
      </c>
    </row>
    <row r="50" spans="1:25" x14ac:dyDescent="0.25">
      <c r="A50" s="7" t="s">
        <v>24</v>
      </c>
      <c r="B50" s="29"/>
      <c r="C50" s="22">
        <f t="shared" si="44"/>
        <v>0</v>
      </c>
      <c r="D50" s="22">
        <f t="shared" si="43"/>
        <v>0</v>
      </c>
      <c r="E50" s="13">
        <f>SUM(B50:D50)</f>
        <v>0</v>
      </c>
      <c r="F50" s="8"/>
      <c r="G50" s="22"/>
      <c r="H50" s="22"/>
      <c r="I50" s="16">
        <f>SUM(G50:H50)</f>
        <v>0</v>
      </c>
      <c r="J50" s="8"/>
      <c r="K50" s="12"/>
      <c r="L50" s="23"/>
      <c r="M50" s="13">
        <f t="shared" si="45"/>
        <v>0</v>
      </c>
      <c r="N50" s="8"/>
      <c r="O50" s="12"/>
      <c r="P50" s="12"/>
      <c r="Q50" s="13">
        <f t="shared" si="46"/>
        <v>0</v>
      </c>
      <c r="R50" s="8"/>
      <c r="S50" s="22"/>
      <c r="T50" s="23"/>
      <c r="U50" s="13">
        <f t="shared" si="47"/>
        <v>0</v>
      </c>
      <c r="V50" s="8"/>
      <c r="W50" s="8"/>
      <c r="X50" s="8"/>
      <c r="Y50" s="13">
        <f t="shared" si="48"/>
        <v>0</v>
      </c>
    </row>
    <row r="51" spans="1:25" s="131" customFormat="1" x14ac:dyDescent="0.25">
      <c r="A51" s="138" t="s">
        <v>45</v>
      </c>
      <c r="B51" s="18"/>
      <c r="C51" s="18">
        <f>SUM(C46:C50)</f>
        <v>0</v>
      </c>
      <c r="D51" s="18">
        <f>SUM(D46:D50)</f>
        <v>0</v>
      </c>
      <c r="E51" s="18">
        <f>SUM(E46:E50)</f>
        <v>0</v>
      </c>
      <c r="F51" s="11"/>
      <c r="G51" s="18">
        <f>SUM(G46:G50)</f>
        <v>0</v>
      </c>
      <c r="H51" s="18">
        <f>SUM(H46:H50)</f>
        <v>0</v>
      </c>
      <c r="I51" s="18">
        <f>SUM(I46:I50)</f>
        <v>0</v>
      </c>
      <c r="J51" s="11"/>
      <c r="K51" s="15">
        <f>SUM(K46:K50)</f>
        <v>0</v>
      </c>
      <c r="L51" s="18">
        <f>SUM(L46:L50)</f>
        <v>0</v>
      </c>
      <c r="M51" s="18">
        <f>SUM(M46:M50)</f>
        <v>0</v>
      </c>
      <c r="N51" s="11"/>
      <c r="O51" s="18">
        <f>SUM(O46:O50)</f>
        <v>0</v>
      </c>
      <c r="P51" s="18">
        <f>SUM(P46:P50)</f>
        <v>0</v>
      </c>
      <c r="Q51" s="18">
        <f>SUM(Q46:Q50)</f>
        <v>0</v>
      </c>
      <c r="R51" s="11"/>
      <c r="S51" s="292">
        <f>SUM(S46:S50)</f>
        <v>0</v>
      </c>
      <c r="T51" s="167">
        <f>SUM(T46:T50)</f>
        <v>0</v>
      </c>
      <c r="U51" s="18">
        <f>SUM(U46:U50)</f>
        <v>0</v>
      </c>
      <c r="V51" s="11"/>
      <c r="W51" s="16">
        <f>SUM(W46:W50)</f>
        <v>0</v>
      </c>
      <c r="X51" s="16">
        <f>SUM(X46:X50)</f>
        <v>0</v>
      </c>
      <c r="Y51" s="16">
        <f>SUM(Y46:Y50)</f>
        <v>0</v>
      </c>
    </row>
    <row r="52" spans="1:25" ht="4.4000000000000004" customHeight="1" x14ac:dyDescent="0.25">
      <c r="A52" s="138"/>
      <c r="B52" s="18"/>
      <c r="C52" s="8"/>
      <c r="D52" s="8"/>
      <c r="E52" s="11"/>
      <c r="F52" s="18"/>
      <c r="G52" s="8"/>
      <c r="H52" s="19"/>
      <c r="I52" s="16" t="s">
        <v>1</v>
      </c>
      <c r="J52" s="18"/>
      <c r="K52" s="8"/>
      <c r="L52" s="19"/>
      <c r="M52" s="16"/>
      <c r="N52" s="18"/>
      <c r="O52" s="8"/>
      <c r="P52" s="19"/>
      <c r="Q52" s="16"/>
      <c r="R52" s="18"/>
      <c r="S52" s="8"/>
      <c r="T52" s="19"/>
      <c r="U52" s="16"/>
      <c r="V52" s="18"/>
      <c r="W52" s="8"/>
      <c r="X52" s="19"/>
      <c r="Y52" s="16"/>
    </row>
    <row r="53" spans="1:25" ht="17.25" customHeight="1" x14ac:dyDescent="0.25">
      <c r="A53" s="138" t="s">
        <v>44</v>
      </c>
      <c r="B53" s="18"/>
      <c r="C53" s="18">
        <f>SUM(C43+C51)</f>
        <v>0</v>
      </c>
      <c r="D53" s="18">
        <f>SUM(D43+D51)</f>
        <v>0.128</v>
      </c>
      <c r="E53" s="18">
        <f>E43+E51</f>
        <v>0.128</v>
      </c>
      <c r="F53" s="18"/>
      <c r="G53" s="16">
        <f>SUM(G43+G51)</f>
        <v>0</v>
      </c>
      <c r="H53" s="11">
        <f>SUM(H43+H51)</f>
        <v>0</v>
      </c>
      <c r="I53" s="16">
        <f>I43+I51</f>
        <v>0</v>
      </c>
      <c r="J53" s="18"/>
      <c r="K53" s="16">
        <f>SUM(K43+K51)</f>
        <v>0</v>
      </c>
      <c r="L53" s="11">
        <f>SUM(L43+L51)</f>
        <v>0</v>
      </c>
      <c r="M53" s="16">
        <f>M43+M51</f>
        <v>0</v>
      </c>
      <c r="N53" s="18"/>
      <c r="O53" s="16">
        <f>SUM(O43+O51)</f>
        <v>0</v>
      </c>
      <c r="P53" s="11">
        <f>SUM(P43+P51)</f>
        <v>0</v>
      </c>
      <c r="Q53" s="16">
        <f>Q43+Q51</f>
        <v>0</v>
      </c>
      <c r="R53" s="18"/>
      <c r="S53" s="16">
        <f>SUM(S43+S51)</f>
        <v>0</v>
      </c>
      <c r="T53" s="11">
        <f>SUM(T43+T51)</f>
        <v>0</v>
      </c>
      <c r="U53" s="16">
        <f>U43+U51</f>
        <v>0</v>
      </c>
      <c r="V53" s="18"/>
      <c r="W53" s="16">
        <f>SUM(W43+W51)</f>
        <v>0</v>
      </c>
      <c r="X53" s="11">
        <f>SUM(X43+X51)</f>
        <v>0</v>
      </c>
      <c r="Y53" s="16">
        <f>Y43+Y51</f>
        <v>0</v>
      </c>
    </row>
    <row r="54" spans="1:25" ht="17.25" customHeight="1" x14ac:dyDescent="0.25">
      <c r="A54" s="144"/>
      <c r="B54" s="26"/>
      <c r="C54" s="24"/>
      <c r="D54" s="24"/>
      <c r="E54" s="163"/>
      <c r="F54" s="26"/>
      <c r="G54" s="24"/>
      <c r="H54" s="25"/>
      <c r="I54" s="26"/>
      <c r="J54" s="26"/>
      <c r="K54" s="24"/>
      <c r="L54" s="25"/>
      <c r="M54" s="26"/>
      <c r="N54" s="26"/>
      <c r="O54" s="24"/>
      <c r="P54" s="25"/>
      <c r="Q54" s="26"/>
      <c r="R54" s="26"/>
      <c r="S54" s="24"/>
      <c r="T54" s="25"/>
      <c r="U54" s="26"/>
      <c r="V54" s="26"/>
      <c r="W54" s="24"/>
      <c r="X54" s="25"/>
      <c r="Y54" s="148"/>
    </row>
    <row r="55" spans="1:25" x14ac:dyDescent="0.25">
      <c r="A55" s="249" t="s">
        <v>46</v>
      </c>
      <c r="B55" s="164"/>
      <c r="C55" s="27"/>
      <c r="D55" s="27"/>
      <c r="E55" s="165"/>
      <c r="F55" s="28"/>
      <c r="G55" s="27"/>
      <c r="H55" s="27"/>
      <c r="I55" s="28"/>
      <c r="J55" s="28"/>
      <c r="K55" s="27"/>
      <c r="L55" s="27"/>
      <c r="M55" s="28"/>
      <c r="N55" s="28"/>
      <c r="O55" s="27"/>
      <c r="P55" s="27"/>
      <c r="Q55" s="28"/>
      <c r="R55" s="28"/>
      <c r="S55" s="27"/>
      <c r="T55" s="27"/>
      <c r="U55" s="28"/>
      <c r="V55" s="28"/>
      <c r="W55" s="27"/>
      <c r="X55" s="27"/>
      <c r="Y55" s="153"/>
    </row>
    <row r="56" spans="1:25" x14ac:dyDescent="0.25">
      <c r="A56" s="154" t="s">
        <v>47</v>
      </c>
      <c r="B56" s="8">
        <v>0</v>
      </c>
      <c r="C56" s="29"/>
      <c r="D56" s="29"/>
      <c r="E56" s="30"/>
      <c r="F56" s="28"/>
      <c r="G56" s="29"/>
      <c r="H56" s="29"/>
      <c r="I56" s="30"/>
      <c r="J56" s="8"/>
      <c r="K56" s="29"/>
      <c r="L56" s="29"/>
      <c r="M56" s="30"/>
      <c r="N56" s="8"/>
      <c r="O56" s="29"/>
      <c r="P56" s="29"/>
      <c r="Q56" s="30"/>
      <c r="R56" s="8"/>
      <c r="S56" s="29"/>
      <c r="T56" s="29"/>
      <c r="U56" s="30"/>
      <c r="V56" s="16"/>
      <c r="W56" s="23"/>
      <c r="X56" s="166"/>
      <c r="Y56" s="16"/>
    </row>
    <row r="57" spans="1:25" x14ac:dyDescent="0.25">
      <c r="A57" s="134"/>
      <c r="B57" s="8"/>
      <c r="C57" s="9"/>
      <c r="D57" s="9"/>
      <c r="E57" s="30"/>
      <c r="F57" s="8"/>
      <c r="G57" s="9"/>
      <c r="H57" s="9"/>
      <c r="I57" s="30"/>
      <c r="J57" s="8"/>
      <c r="K57" s="9"/>
      <c r="L57" s="9"/>
      <c r="M57" s="30"/>
      <c r="N57" s="8"/>
      <c r="O57" s="9"/>
      <c r="P57" s="9"/>
      <c r="Q57" s="30"/>
      <c r="R57" s="8"/>
      <c r="S57" s="9"/>
      <c r="T57" s="9"/>
      <c r="U57" s="30"/>
      <c r="V57" s="8"/>
      <c r="W57" s="9"/>
      <c r="X57" s="9"/>
      <c r="Y57" s="30"/>
    </row>
    <row r="58" spans="1:25" s="131" customFormat="1" x14ac:dyDescent="0.25">
      <c r="A58" s="136" t="s">
        <v>45</v>
      </c>
      <c r="B58" s="18">
        <f>SUM(B56:B57)</f>
        <v>0</v>
      </c>
      <c r="C58" s="18">
        <f>SUM(C56:C57)</f>
        <v>0</v>
      </c>
      <c r="D58" s="18">
        <f>SUM(D56:D57)</f>
        <v>0</v>
      </c>
      <c r="E58" s="18">
        <f>SUM(E56)</f>
        <v>0</v>
      </c>
      <c r="F58" s="18">
        <f>SUM(F56:F57)</f>
        <v>0</v>
      </c>
      <c r="G58" s="18">
        <f>SUM(G56:G57)</f>
        <v>0</v>
      </c>
      <c r="H58" s="18">
        <f>SUM(H56:H57)</f>
        <v>0</v>
      </c>
      <c r="I58" s="18">
        <f>SUM(I56)</f>
        <v>0</v>
      </c>
      <c r="J58" s="18">
        <f>SUM(J56:J57)</f>
        <v>0</v>
      </c>
      <c r="K58" s="18">
        <f>SUM(K56:K57)</f>
        <v>0</v>
      </c>
      <c r="L58" s="18">
        <f>SUM(L56:L57)</f>
        <v>0</v>
      </c>
      <c r="M58" s="18">
        <f>SUM(M56)</f>
        <v>0</v>
      </c>
      <c r="N58" s="18">
        <f>SUM(N56:N57)</f>
        <v>0</v>
      </c>
      <c r="O58" s="18">
        <f>SUM(O56:O57)</f>
        <v>0</v>
      </c>
      <c r="P58" s="18">
        <f>SUM(P56:P57)</f>
        <v>0</v>
      </c>
      <c r="Q58" s="18">
        <f>SUM(Q56)</f>
        <v>0</v>
      </c>
      <c r="R58" s="18">
        <f>SUM(R56:R57)</f>
        <v>0</v>
      </c>
      <c r="S58" s="18">
        <f>SUM(S56:S57)</f>
        <v>0</v>
      </c>
      <c r="T58" s="18">
        <f>SUM(T56:T57)</f>
        <v>0</v>
      </c>
      <c r="U58" s="18">
        <f>SUM(U56)</f>
        <v>0</v>
      </c>
      <c r="V58" s="18">
        <f>SUM(V56:V57)</f>
        <v>0</v>
      </c>
      <c r="W58" s="18">
        <f>SUM(W56:W57)</f>
        <v>0</v>
      </c>
      <c r="X58" s="18">
        <f>SUM(X56:X57)</f>
        <v>0</v>
      </c>
      <c r="Y58" s="16">
        <f>SUM(Y56)</f>
        <v>0</v>
      </c>
    </row>
    <row r="59" spans="1:25" ht="4.4000000000000004" customHeight="1" x14ac:dyDescent="0.25">
      <c r="A59" s="138"/>
      <c r="B59" s="8"/>
      <c r="C59" s="8"/>
      <c r="D59" s="8"/>
      <c r="E59" s="11"/>
      <c r="F59" s="8"/>
      <c r="G59" s="8"/>
      <c r="H59" s="8"/>
      <c r="I59" s="11"/>
      <c r="J59" s="8"/>
      <c r="K59" s="8"/>
      <c r="L59" s="8"/>
      <c r="M59" s="11"/>
      <c r="N59" s="8"/>
      <c r="O59" s="8"/>
      <c r="P59" s="8"/>
      <c r="Q59" s="11"/>
      <c r="R59" s="8"/>
      <c r="S59" s="8"/>
      <c r="T59" s="8"/>
      <c r="U59" s="11"/>
      <c r="V59" s="8"/>
      <c r="W59" s="8"/>
      <c r="X59" s="8"/>
      <c r="Y59" s="11"/>
    </row>
    <row r="60" spans="1:25" s="168" customFormat="1" x14ac:dyDescent="0.25">
      <c r="A60" s="138" t="s">
        <v>48</v>
      </c>
      <c r="B60" s="31">
        <f>B58</f>
        <v>0</v>
      </c>
      <c r="C60" s="31" t="s">
        <v>21</v>
      </c>
      <c r="D60" s="31" t="s">
        <v>21</v>
      </c>
      <c r="E60" s="31" t="s">
        <v>21</v>
      </c>
      <c r="F60" s="31">
        <f>F58</f>
        <v>0</v>
      </c>
      <c r="G60" s="31" t="s">
        <v>21</v>
      </c>
      <c r="H60" s="31" t="s">
        <v>21</v>
      </c>
      <c r="I60" s="31" t="s">
        <v>21</v>
      </c>
      <c r="J60" s="31">
        <f>J58</f>
        <v>0</v>
      </c>
      <c r="K60" s="31" t="s">
        <v>21</v>
      </c>
      <c r="L60" s="31" t="s">
        <v>21</v>
      </c>
      <c r="M60" s="31" t="s">
        <v>21</v>
      </c>
      <c r="N60" s="31">
        <f>N58</f>
        <v>0</v>
      </c>
      <c r="O60" s="31" t="s">
        <v>21</v>
      </c>
      <c r="P60" s="31" t="s">
        <v>21</v>
      </c>
      <c r="Q60" s="31" t="s">
        <v>21</v>
      </c>
      <c r="R60" s="31">
        <f>R58</f>
        <v>0</v>
      </c>
      <c r="S60" s="31" t="s">
        <v>21</v>
      </c>
      <c r="T60" s="31" t="s">
        <v>21</v>
      </c>
      <c r="U60" s="31" t="s">
        <v>21</v>
      </c>
      <c r="V60" s="31">
        <f>V58</f>
        <v>0</v>
      </c>
      <c r="W60" s="31" t="s">
        <v>21</v>
      </c>
      <c r="X60" s="31" t="s">
        <v>21</v>
      </c>
      <c r="Y60" s="167" t="s">
        <v>21</v>
      </c>
    </row>
    <row r="61" spans="1:25" x14ac:dyDescent="0.25">
      <c r="B61" s="160"/>
      <c r="C61" s="162"/>
      <c r="D61" s="162"/>
      <c r="E61" s="162"/>
      <c r="F61" s="263"/>
      <c r="G61" s="162"/>
      <c r="H61" s="162"/>
      <c r="I61" s="160"/>
      <c r="J61" s="160"/>
      <c r="K61" s="162"/>
      <c r="L61" s="162"/>
      <c r="M61" s="160"/>
      <c r="N61" s="160"/>
      <c r="O61" s="162"/>
      <c r="P61" s="162"/>
      <c r="Q61" s="160"/>
      <c r="R61" s="160"/>
      <c r="S61" s="162"/>
      <c r="T61" s="162"/>
      <c r="U61" s="160"/>
      <c r="V61" s="160"/>
      <c r="W61" s="162"/>
      <c r="X61" s="162"/>
      <c r="Y61" s="160"/>
    </row>
    <row r="62" spans="1:25" x14ac:dyDescent="0.25">
      <c r="B62" s="160"/>
      <c r="C62" s="162"/>
      <c r="D62" s="162"/>
      <c r="E62" s="162"/>
      <c r="F62" s="263"/>
      <c r="G62" s="162"/>
      <c r="H62" s="162"/>
      <c r="I62" s="160"/>
      <c r="J62" s="160"/>
      <c r="K62" s="162"/>
      <c r="L62" s="162"/>
      <c r="M62" s="160"/>
      <c r="N62" s="160"/>
      <c r="O62" s="162"/>
      <c r="P62" s="162"/>
      <c r="Q62" s="160"/>
      <c r="R62" s="160"/>
      <c r="S62" s="162"/>
      <c r="T62" s="162"/>
      <c r="U62" s="160"/>
      <c r="V62" s="160"/>
      <c r="W62" s="162"/>
      <c r="X62" s="162"/>
      <c r="Y62" s="160"/>
    </row>
    <row r="63" spans="1:25" x14ac:dyDescent="0.25">
      <c r="A63" s="160"/>
      <c r="B63" s="160"/>
      <c r="D63" s="162"/>
      <c r="G63" s="162"/>
      <c r="I63" s="160"/>
      <c r="K63" s="162"/>
      <c r="M63" s="160"/>
      <c r="N63" s="35"/>
      <c r="O63" s="162"/>
      <c r="P63" s="162"/>
      <c r="Q63" s="35"/>
      <c r="R63" s="35"/>
      <c r="S63" s="162"/>
      <c r="T63" s="162"/>
      <c r="U63" s="35"/>
      <c r="V63" s="35"/>
      <c r="W63" s="162"/>
      <c r="X63" s="162"/>
      <c r="Y63" s="35"/>
    </row>
    <row r="65" spans="1:25" x14ac:dyDescent="0.25">
      <c r="A65" s="160"/>
      <c r="B65" s="160"/>
      <c r="D65" s="162"/>
      <c r="G65" s="162"/>
      <c r="I65" s="160"/>
      <c r="K65" s="162"/>
      <c r="M65" s="160"/>
      <c r="N65" s="35"/>
      <c r="O65" s="162"/>
      <c r="P65" s="162"/>
      <c r="Q65" s="35"/>
      <c r="R65" s="35"/>
      <c r="S65" s="162"/>
      <c r="T65" s="162"/>
      <c r="U65" s="35"/>
      <c r="V65" s="35"/>
      <c r="W65" s="162"/>
      <c r="X65" s="162"/>
      <c r="Y65" s="35"/>
    </row>
    <row r="66" spans="1:25" x14ac:dyDescent="0.25">
      <c r="A66" s="160"/>
      <c r="B66" s="160"/>
      <c r="D66" s="162"/>
      <c r="G66" s="162"/>
      <c r="I66" s="160"/>
      <c r="K66" s="162"/>
      <c r="M66" s="160"/>
    </row>
    <row r="67" spans="1:25" x14ac:dyDescent="0.25">
      <c r="A67" s="160"/>
      <c r="B67" s="160"/>
      <c r="D67" s="162"/>
      <c r="F67" s="169"/>
      <c r="I67" s="169"/>
      <c r="J67" s="169"/>
      <c r="M67" s="169"/>
      <c r="N67" s="169"/>
      <c r="Q67" s="169"/>
      <c r="R67" s="169"/>
      <c r="U67" s="169"/>
      <c r="V67" s="169"/>
      <c r="Y67" s="169"/>
    </row>
    <row r="68" spans="1:25" x14ac:dyDescent="0.25">
      <c r="A68" s="160"/>
      <c r="B68" s="160"/>
      <c r="D68" s="162"/>
      <c r="G68" s="162"/>
      <c r="I68" s="160"/>
      <c r="K68" s="162"/>
      <c r="M68" s="160"/>
      <c r="N68" s="35"/>
      <c r="O68" s="162"/>
      <c r="P68" s="162"/>
      <c r="Q68" s="35"/>
      <c r="R68" s="35"/>
      <c r="S68" s="162"/>
      <c r="T68" s="162"/>
      <c r="U68" s="35"/>
      <c r="V68" s="35"/>
      <c r="W68" s="162"/>
      <c r="X68" s="162"/>
      <c r="Y68" s="35"/>
    </row>
    <row r="69" spans="1:25" x14ac:dyDescent="0.25">
      <c r="A69" s="169"/>
      <c r="B69" s="169"/>
      <c r="F69" s="169"/>
      <c r="I69" s="169"/>
      <c r="J69" s="169"/>
      <c r="M69" s="169"/>
      <c r="N69" s="169"/>
      <c r="Q69" s="169"/>
      <c r="R69" s="169"/>
      <c r="U69" s="169"/>
      <c r="V69" s="169"/>
      <c r="Y69" s="169"/>
    </row>
    <row r="70" spans="1:25" x14ac:dyDescent="0.25">
      <c r="A70" s="169"/>
      <c r="B70" s="169"/>
      <c r="F70" s="169"/>
      <c r="I70" s="169"/>
      <c r="J70" s="169"/>
      <c r="M70" s="169"/>
      <c r="N70" s="169"/>
      <c r="Q70" s="169"/>
      <c r="R70" s="169"/>
      <c r="U70" s="169"/>
      <c r="V70" s="169"/>
      <c r="Y70" s="169"/>
    </row>
    <row r="71" spans="1:25" x14ac:dyDescent="0.25">
      <c r="A71" s="169"/>
      <c r="B71" s="169"/>
      <c r="F71" s="169"/>
      <c r="I71" s="169"/>
      <c r="J71" s="169"/>
      <c r="M71" s="169"/>
      <c r="N71" s="169"/>
      <c r="Q71" s="169"/>
      <c r="R71" s="169"/>
      <c r="U71" s="169"/>
      <c r="V71" s="169"/>
      <c r="Y71" s="169"/>
    </row>
    <row r="72" spans="1:25" x14ac:dyDescent="0.25">
      <c r="A72" s="169"/>
      <c r="B72" s="169"/>
      <c r="F72" s="169"/>
      <c r="I72" s="169"/>
      <c r="J72" s="169"/>
      <c r="M72" s="169"/>
      <c r="N72" s="169"/>
      <c r="Q72" s="169"/>
      <c r="R72" s="169"/>
      <c r="U72" s="169"/>
      <c r="V72" s="169"/>
      <c r="Y72" s="169"/>
    </row>
  </sheetData>
  <sheetProtection password="C511" sheet="1" objects="1" scenarios="1"/>
  <mergeCells count="12">
    <mergeCell ref="V33:Y33"/>
    <mergeCell ref="B3:E3"/>
    <mergeCell ref="F3:I3"/>
    <mergeCell ref="J3:M3"/>
    <mergeCell ref="N3:Q3"/>
    <mergeCell ref="R3:U3"/>
    <mergeCell ref="V3:Y3"/>
    <mergeCell ref="B33:E33"/>
    <mergeCell ref="F33:I33"/>
    <mergeCell ref="J33:M33"/>
    <mergeCell ref="N33:Q33"/>
    <mergeCell ref="R33:U33"/>
  </mergeCells>
  <printOptions horizontalCentered="1"/>
  <pageMargins left="0" right="0" top="0.93" bottom="0.25" header="0.13" footer="0.1"/>
  <pageSetup scale="49" orientation="landscape" r:id="rId1"/>
  <headerFooter>
    <oddHeader>&amp;C&amp;"Arial,Bold"&amp;K000000Table I-2
Pacific Gas and Electtric Company
Program Subscription Statistics
July 2013</oddHeader>
    <oddFooter>&amp;L&amp;F&amp;CPage 6 of 11&amp;R&amp;A</oddFooter>
  </headerFooter>
  <ignoredErrors>
    <ignoredError sqref="B29:Y29 B28:D28 B58:D58 I16:J20 C21:F21 B27:Y27 C26:E26 G26:I26 K26:M26 M7:N10 M5:M6 N12 C13:F13 R6:R10 R12 M16:N20 Q16:R20 P26:Q26 B25:Y25 B22:B23 M23:N23 Q23:R23 E23:F23 I23:J23 U23 B31:Y33 B30:Q30 S30:Y30 S26:U26 Y5 U16:U21 Y21 W26:Y26 B45:K45 B46:B50 E46:F50 B24:T24 W24:Y24 H43:I43 I46:J50 B34:G34 I34:K34 E35:F43 I35:J42 B44:G44 I44:J44 M34:Q34 T43 S34:Y34 M46:M50 U46:U50 Y46:Y50 F6:F10 F12 E16:F20 D22:H22 D14:Y15 B35:B43 M35:M42 Q35:Q42 U35:U42 Y35:Y42 J22:U22 K13:L13 I21:R21 N13:T13 W13:Y13 U13 R5 Y6:Y12 W22:Y22" emptyCellReference="1"/>
    <ignoredError sqref="R28:T28 V28:Y28 E28:P28 Q28 U28 E58:Y58" formula="1"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8"/>
  <sheetViews>
    <sheetView view="pageLayout" topLeftCell="D5" zoomScale="85" zoomScaleNormal="70" zoomScalePageLayoutView="85" workbookViewId="0">
      <selection activeCell="J5" sqref="J5"/>
    </sheetView>
  </sheetViews>
  <sheetFormatPr defaultRowHeight="12.5" x14ac:dyDescent="0.25"/>
  <cols>
    <col min="1" max="1" width="0" style="32" hidden="1" customWidth="1"/>
    <col min="2" max="2" width="52" style="32" customWidth="1"/>
    <col min="3" max="3" width="14.54296875" style="109" customWidth="1"/>
    <col min="4" max="5" width="10.54296875" style="35" customWidth="1"/>
    <col min="6" max="6" width="10.54296875" style="32" customWidth="1"/>
    <col min="7" max="7" width="11.54296875" style="32" customWidth="1"/>
    <col min="8" max="10" width="10.54296875" style="32" customWidth="1"/>
    <col min="11" max="11" width="11.453125" style="32" customWidth="1"/>
    <col min="12" max="15" width="10.54296875" style="32" customWidth="1"/>
    <col min="16" max="17" width="14.453125" style="32" customWidth="1"/>
    <col min="18" max="18" width="13.453125" style="32" customWidth="1"/>
    <col min="19" max="19" width="14.453125" style="32" customWidth="1"/>
    <col min="20" max="20" width="9.54296875" style="32" customWidth="1"/>
    <col min="21" max="256" width="9.453125" style="32"/>
    <col min="257" max="257" width="0" style="32" hidden="1" customWidth="1"/>
    <col min="258" max="258" width="52" style="32" customWidth="1"/>
    <col min="259" max="259" width="0" style="32" hidden="1" customWidth="1"/>
    <col min="260" max="262" width="10.54296875" style="32" customWidth="1"/>
    <col min="263" max="263" width="11.54296875" style="32" customWidth="1"/>
    <col min="264" max="271" width="10.54296875" style="32" customWidth="1"/>
    <col min="272" max="273" width="14.453125" style="32" customWidth="1"/>
    <col min="274" max="274" width="13.453125" style="32" customWidth="1"/>
    <col min="275" max="275" width="14.453125" style="32" customWidth="1"/>
    <col min="276" max="276" width="9.54296875" style="32" customWidth="1"/>
    <col min="277" max="512" width="9.453125" style="32"/>
    <col min="513" max="513" width="0" style="32" hidden="1" customWidth="1"/>
    <col min="514" max="514" width="52" style="32" customWidth="1"/>
    <col min="515" max="515" width="0" style="32" hidden="1" customWidth="1"/>
    <col min="516" max="518" width="10.54296875" style="32" customWidth="1"/>
    <col min="519" max="519" width="11.54296875" style="32" customWidth="1"/>
    <col min="520" max="527" width="10.54296875" style="32" customWidth="1"/>
    <col min="528" max="529" width="14.453125" style="32" customWidth="1"/>
    <col min="530" max="530" width="13.453125" style="32" customWidth="1"/>
    <col min="531" max="531" width="14.453125" style="32" customWidth="1"/>
    <col min="532" max="532" width="9.54296875" style="32" customWidth="1"/>
    <col min="533" max="768" width="9.453125" style="32"/>
    <col min="769" max="769" width="0" style="32" hidden="1" customWidth="1"/>
    <col min="770" max="770" width="52" style="32" customWidth="1"/>
    <col min="771" max="771" width="0" style="32" hidden="1" customWidth="1"/>
    <col min="772" max="774" width="10.54296875" style="32" customWidth="1"/>
    <col min="775" max="775" width="11.54296875" style="32" customWidth="1"/>
    <col min="776" max="783" width="10.54296875" style="32" customWidth="1"/>
    <col min="784" max="785" width="14.453125" style="32" customWidth="1"/>
    <col min="786" max="786" width="13.453125" style="32" customWidth="1"/>
    <col min="787" max="787" width="14.453125" style="32" customWidth="1"/>
    <col min="788" max="788" width="9.54296875" style="32" customWidth="1"/>
    <col min="789" max="1024" width="9.453125" style="32"/>
    <col min="1025" max="1025" width="0" style="32" hidden="1" customWidth="1"/>
    <col min="1026" max="1026" width="52" style="32" customWidth="1"/>
    <col min="1027" max="1027" width="0" style="32" hidden="1" customWidth="1"/>
    <col min="1028" max="1030" width="10.54296875" style="32" customWidth="1"/>
    <col min="1031" max="1031" width="11.54296875" style="32" customWidth="1"/>
    <col min="1032" max="1039" width="10.54296875" style="32" customWidth="1"/>
    <col min="1040" max="1041" width="14.453125" style="32" customWidth="1"/>
    <col min="1042" max="1042" width="13.453125" style="32" customWidth="1"/>
    <col min="1043" max="1043" width="14.453125" style="32" customWidth="1"/>
    <col min="1044" max="1044" width="9.54296875" style="32" customWidth="1"/>
    <col min="1045" max="1280" width="9.453125" style="32"/>
    <col min="1281" max="1281" width="0" style="32" hidden="1" customWidth="1"/>
    <col min="1282" max="1282" width="52" style="32" customWidth="1"/>
    <col min="1283" max="1283" width="0" style="32" hidden="1" customWidth="1"/>
    <col min="1284" max="1286" width="10.54296875" style="32" customWidth="1"/>
    <col min="1287" max="1287" width="11.54296875" style="32" customWidth="1"/>
    <col min="1288" max="1295" width="10.54296875" style="32" customWidth="1"/>
    <col min="1296" max="1297" width="14.453125" style="32" customWidth="1"/>
    <col min="1298" max="1298" width="13.453125" style="32" customWidth="1"/>
    <col min="1299" max="1299" width="14.453125" style="32" customWidth="1"/>
    <col min="1300" max="1300" width="9.54296875" style="32" customWidth="1"/>
    <col min="1301" max="1536" width="9.453125" style="32"/>
    <col min="1537" max="1537" width="0" style="32" hidden="1" customWidth="1"/>
    <col min="1538" max="1538" width="52" style="32" customWidth="1"/>
    <col min="1539" max="1539" width="0" style="32" hidden="1" customWidth="1"/>
    <col min="1540" max="1542" width="10.54296875" style="32" customWidth="1"/>
    <col min="1543" max="1543" width="11.54296875" style="32" customWidth="1"/>
    <col min="1544" max="1551" width="10.54296875" style="32" customWidth="1"/>
    <col min="1552" max="1553" width="14.453125" style="32" customWidth="1"/>
    <col min="1554" max="1554" width="13.453125" style="32" customWidth="1"/>
    <col min="1555" max="1555" width="14.453125" style="32" customWidth="1"/>
    <col min="1556" max="1556" width="9.54296875" style="32" customWidth="1"/>
    <col min="1557" max="1792" width="9.453125" style="32"/>
    <col min="1793" max="1793" width="0" style="32" hidden="1" customWidth="1"/>
    <col min="1794" max="1794" width="52" style="32" customWidth="1"/>
    <col min="1795" max="1795" width="0" style="32" hidden="1" customWidth="1"/>
    <col min="1796" max="1798" width="10.54296875" style="32" customWidth="1"/>
    <col min="1799" max="1799" width="11.54296875" style="32" customWidth="1"/>
    <col min="1800" max="1807" width="10.54296875" style="32" customWidth="1"/>
    <col min="1808" max="1809" width="14.453125" style="32" customWidth="1"/>
    <col min="1810" max="1810" width="13.453125" style="32" customWidth="1"/>
    <col min="1811" max="1811" width="14.453125" style="32" customWidth="1"/>
    <col min="1812" max="1812" width="9.54296875" style="32" customWidth="1"/>
    <col min="1813" max="2048" width="9.453125" style="32"/>
    <col min="2049" max="2049" width="0" style="32" hidden="1" customWidth="1"/>
    <col min="2050" max="2050" width="52" style="32" customWidth="1"/>
    <col min="2051" max="2051" width="0" style="32" hidden="1" customWidth="1"/>
    <col min="2052" max="2054" width="10.54296875" style="32" customWidth="1"/>
    <col min="2055" max="2055" width="11.54296875" style="32" customWidth="1"/>
    <col min="2056" max="2063" width="10.54296875" style="32" customWidth="1"/>
    <col min="2064" max="2065" width="14.453125" style="32" customWidth="1"/>
    <col min="2066" max="2066" width="13.453125" style="32" customWidth="1"/>
    <col min="2067" max="2067" width="14.453125" style="32" customWidth="1"/>
    <col min="2068" max="2068" width="9.54296875" style="32" customWidth="1"/>
    <col min="2069" max="2304" width="9.453125" style="32"/>
    <col min="2305" max="2305" width="0" style="32" hidden="1" customWidth="1"/>
    <col min="2306" max="2306" width="52" style="32" customWidth="1"/>
    <col min="2307" max="2307" width="0" style="32" hidden="1" customWidth="1"/>
    <col min="2308" max="2310" width="10.54296875" style="32" customWidth="1"/>
    <col min="2311" max="2311" width="11.54296875" style="32" customWidth="1"/>
    <col min="2312" max="2319" width="10.54296875" style="32" customWidth="1"/>
    <col min="2320" max="2321" width="14.453125" style="32" customWidth="1"/>
    <col min="2322" max="2322" width="13.453125" style="32" customWidth="1"/>
    <col min="2323" max="2323" width="14.453125" style="32" customWidth="1"/>
    <col min="2324" max="2324" width="9.54296875" style="32" customWidth="1"/>
    <col min="2325" max="2560" width="9.453125" style="32"/>
    <col min="2561" max="2561" width="0" style="32" hidden="1" customWidth="1"/>
    <col min="2562" max="2562" width="52" style="32" customWidth="1"/>
    <col min="2563" max="2563" width="0" style="32" hidden="1" customWidth="1"/>
    <col min="2564" max="2566" width="10.54296875" style="32" customWidth="1"/>
    <col min="2567" max="2567" width="11.54296875" style="32" customWidth="1"/>
    <col min="2568" max="2575" width="10.54296875" style="32" customWidth="1"/>
    <col min="2576" max="2577" width="14.453125" style="32" customWidth="1"/>
    <col min="2578" max="2578" width="13.453125" style="32" customWidth="1"/>
    <col min="2579" max="2579" width="14.453125" style="32" customWidth="1"/>
    <col min="2580" max="2580" width="9.54296875" style="32" customWidth="1"/>
    <col min="2581" max="2816" width="9.453125" style="32"/>
    <col min="2817" max="2817" width="0" style="32" hidden="1" customWidth="1"/>
    <col min="2818" max="2818" width="52" style="32" customWidth="1"/>
    <col min="2819" max="2819" width="0" style="32" hidden="1" customWidth="1"/>
    <col min="2820" max="2822" width="10.54296875" style="32" customWidth="1"/>
    <col min="2823" max="2823" width="11.54296875" style="32" customWidth="1"/>
    <col min="2824" max="2831" width="10.54296875" style="32" customWidth="1"/>
    <col min="2832" max="2833" width="14.453125" style="32" customWidth="1"/>
    <col min="2834" max="2834" width="13.453125" style="32" customWidth="1"/>
    <col min="2835" max="2835" width="14.453125" style="32" customWidth="1"/>
    <col min="2836" max="2836" width="9.54296875" style="32" customWidth="1"/>
    <col min="2837" max="3072" width="9.453125" style="32"/>
    <col min="3073" max="3073" width="0" style="32" hidden="1" customWidth="1"/>
    <col min="3074" max="3074" width="52" style="32" customWidth="1"/>
    <col min="3075" max="3075" width="0" style="32" hidden="1" customWidth="1"/>
    <col min="3076" max="3078" width="10.54296875" style="32" customWidth="1"/>
    <col min="3079" max="3079" width="11.54296875" style="32" customWidth="1"/>
    <col min="3080" max="3087" width="10.54296875" style="32" customWidth="1"/>
    <col min="3088" max="3089" width="14.453125" style="32" customWidth="1"/>
    <col min="3090" max="3090" width="13.453125" style="32" customWidth="1"/>
    <col min="3091" max="3091" width="14.453125" style="32" customWidth="1"/>
    <col min="3092" max="3092" width="9.54296875" style="32" customWidth="1"/>
    <col min="3093" max="3328" width="9.453125" style="32"/>
    <col min="3329" max="3329" width="0" style="32" hidden="1" customWidth="1"/>
    <col min="3330" max="3330" width="52" style="32" customWidth="1"/>
    <col min="3331" max="3331" width="0" style="32" hidden="1" customWidth="1"/>
    <col min="3332" max="3334" width="10.54296875" style="32" customWidth="1"/>
    <col min="3335" max="3335" width="11.54296875" style="32" customWidth="1"/>
    <col min="3336" max="3343" width="10.54296875" style="32" customWidth="1"/>
    <col min="3344" max="3345" width="14.453125" style="32" customWidth="1"/>
    <col min="3346" max="3346" width="13.453125" style="32" customWidth="1"/>
    <col min="3347" max="3347" width="14.453125" style="32" customWidth="1"/>
    <col min="3348" max="3348" width="9.54296875" style="32" customWidth="1"/>
    <col min="3349" max="3584" width="9.453125" style="32"/>
    <col min="3585" max="3585" width="0" style="32" hidden="1" customWidth="1"/>
    <col min="3586" max="3586" width="52" style="32" customWidth="1"/>
    <col min="3587" max="3587" width="0" style="32" hidden="1" customWidth="1"/>
    <col min="3588" max="3590" width="10.54296875" style="32" customWidth="1"/>
    <col min="3591" max="3591" width="11.54296875" style="32" customWidth="1"/>
    <col min="3592" max="3599" width="10.54296875" style="32" customWidth="1"/>
    <col min="3600" max="3601" width="14.453125" style="32" customWidth="1"/>
    <col min="3602" max="3602" width="13.453125" style="32" customWidth="1"/>
    <col min="3603" max="3603" width="14.453125" style="32" customWidth="1"/>
    <col min="3604" max="3604" width="9.54296875" style="32" customWidth="1"/>
    <col min="3605" max="3840" width="9.453125" style="32"/>
    <col min="3841" max="3841" width="0" style="32" hidden="1" customWidth="1"/>
    <col min="3842" max="3842" width="52" style="32" customWidth="1"/>
    <col min="3843" max="3843" width="0" style="32" hidden="1" customWidth="1"/>
    <col min="3844" max="3846" width="10.54296875" style="32" customWidth="1"/>
    <col min="3847" max="3847" width="11.54296875" style="32" customWidth="1"/>
    <col min="3848" max="3855" width="10.54296875" style="32" customWidth="1"/>
    <col min="3856" max="3857" width="14.453125" style="32" customWidth="1"/>
    <col min="3858" max="3858" width="13.453125" style="32" customWidth="1"/>
    <col min="3859" max="3859" width="14.453125" style="32" customWidth="1"/>
    <col min="3860" max="3860" width="9.54296875" style="32" customWidth="1"/>
    <col min="3861" max="4096" width="9.453125" style="32"/>
    <col min="4097" max="4097" width="0" style="32" hidden="1" customWidth="1"/>
    <col min="4098" max="4098" width="52" style="32" customWidth="1"/>
    <col min="4099" max="4099" width="0" style="32" hidden="1" customWidth="1"/>
    <col min="4100" max="4102" width="10.54296875" style="32" customWidth="1"/>
    <col min="4103" max="4103" width="11.54296875" style="32" customWidth="1"/>
    <col min="4104" max="4111" width="10.54296875" style="32" customWidth="1"/>
    <col min="4112" max="4113" width="14.453125" style="32" customWidth="1"/>
    <col min="4114" max="4114" width="13.453125" style="32" customWidth="1"/>
    <col min="4115" max="4115" width="14.453125" style="32" customWidth="1"/>
    <col min="4116" max="4116" width="9.54296875" style="32" customWidth="1"/>
    <col min="4117" max="4352" width="9.453125" style="32"/>
    <col min="4353" max="4353" width="0" style="32" hidden="1" customWidth="1"/>
    <col min="4354" max="4354" width="52" style="32" customWidth="1"/>
    <col min="4355" max="4355" width="0" style="32" hidden="1" customWidth="1"/>
    <col min="4356" max="4358" width="10.54296875" style="32" customWidth="1"/>
    <col min="4359" max="4359" width="11.54296875" style="32" customWidth="1"/>
    <col min="4360" max="4367" width="10.54296875" style="32" customWidth="1"/>
    <col min="4368" max="4369" width="14.453125" style="32" customWidth="1"/>
    <col min="4370" max="4370" width="13.453125" style="32" customWidth="1"/>
    <col min="4371" max="4371" width="14.453125" style="32" customWidth="1"/>
    <col min="4372" max="4372" width="9.54296875" style="32" customWidth="1"/>
    <col min="4373" max="4608" width="9.453125" style="32"/>
    <col min="4609" max="4609" width="0" style="32" hidden="1" customWidth="1"/>
    <col min="4610" max="4610" width="52" style="32" customWidth="1"/>
    <col min="4611" max="4611" width="0" style="32" hidden="1" customWidth="1"/>
    <col min="4612" max="4614" width="10.54296875" style="32" customWidth="1"/>
    <col min="4615" max="4615" width="11.54296875" style="32" customWidth="1"/>
    <col min="4616" max="4623" width="10.54296875" style="32" customWidth="1"/>
    <col min="4624" max="4625" width="14.453125" style="32" customWidth="1"/>
    <col min="4626" max="4626" width="13.453125" style="32" customWidth="1"/>
    <col min="4627" max="4627" width="14.453125" style="32" customWidth="1"/>
    <col min="4628" max="4628" width="9.54296875" style="32" customWidth="1"/>
    <col min="4629" max="4864" width="9.453125" style="32"/>
    <col min="4865" max="4865" width="0" style="32" hidden="1" customWidth="1"/>
    <col min="4866" max="4866" width="52" style="32" customWidth="1"/>
    <col min="4867" max="4867" width="0" style="32" hidden="1" customWidth="1"/>
    <col min="4868" max="4870" width="10.54296875" style="32" customWidth="1"/>
    <col min="4871" max="4871" width="11.54296875" style="32" customWidth="1"/>
    <col min="4872" max="4879" width="10.54296875" style="32" customWidth="1"/>
    <col min="4880" max="4881" width="14.453125" style="32" customWidth="1"/>
    <col min="4882" max="4882" width="13.453125" style="32" customWidth="1"/>
    <col min="4883" max="4883" width="14.453125" style="32" customWidth="1"/>
    <col min="4884" max="4884" width="9.54296875" style="32" customWidth="1"/>
    <col min="4885" max="5120" width="9.453125" style="32"/>
    <col min="5121" max="5121" width="0" style="32" hidden="1" customWidth="1"/>
    <col min="5122" max="5122" width="52" style="32" customWidth="1"/>
    <col min="5123" max="5123" width="0" style="32" hidden="1" customWidth="1"/>
    <col min="5124" max="5126" width="10.54296875" style="32" customWidth="1"/>
    <col min="5127" max="5127" width="11.54296875" style="32" customWidth="1"/>
    <col min="5128" max="5135" width="10.54296875" style="32" customWidth="1"/>
    <col min="5136" max="5137" width="14.453125" style="32" customWidth="1"/>
    <col min="5138" max="5138" width="13.453125" style="32" customWidth="1"/>
    <col min="5139" max="5139" width="14.453125" style="32" customWidth="1"/>
    <col min="5140" max="5140" width="9.54296875" style="32" customWidth="1"/>
    <col min="5141" max="5376" width="9.453125" style="32"/>
    <col min="5377" max="5377" width="0" style="32" hidden="1" customWidth="1"/>
    <col min="5378" max="5378" width="52" style="32" customWidth="1"/>
    <col min="5379" max="5379" width="0" style="32" hidden="1" customWidth="1"/>
    <col min="5380" max="5382" width="10.54296875" style="32" customWidth="1"/>
    <col min="5383" max="5383" width="11.54296875" style="32" customWidth="1"/>
    <col min="5384" max="5391" width="10.54296875" style="32" customWidth="1"/>
    <col min="5392" max="5393" width="14.453125" style="32" customWidth="1"/>
    <col min="5394" max="5394" width="13.453125" style="32" customWidth="1"/>
    <col min="5395" max="5395" width="14.453125" style="32" customWidth="1"/>
    <col min="5396" max="5396" width="9.54296875" style="32" customWidth="1"/>
    <col min="5397" max="5632" width="9.453125" style="32"/>
    <col min="5633" max="5633" width="0" style="32" hidden="1" customWidth="1"/>
    <col min="5634" max="5634" width="52" style="32" customWidth="1"/>
    <col min="5635" max="5635" width="0" style="32" hidden="1" customWidth="1"/>
    <col min="5636" max="5638" width="10.54296875" style="32" customWidth="1"/>
    <col min="5639" max="5639" width="11.54296875" style="32" customWidth="1"/>
    <col min="5640" max="5647" width="10.54296875" style="32" customWidth="1"/>
    <col min="5648" max="5649" width="14.453125" style="32" customWidth="1"/>
    <col min="5650" max="5650" width="13.453125" style="32" customWidth="1"/>
    <col min="5651" max="5651" width="14.453125" style="32" customWidth="1"/>
    <col min="5652" max="5652" width="9.54296875" style="32" customWidth="1"/>
    <col min="5653" max="5888" width="9.453125" style="32"/>
    <col min="5889" max="5889" width="0" style="32" hidden="1" customWidth="1"/>
    <col min="5890" max="5890" width="52" style="32" customWidth="1"/>
    <col min="5891" max="5891" width="0" style="32" hidden="1" customWidth="1"/>
    <col min="5892" max="5894" width="10.54296875" style="32" customWidth="1"/>
    <col min="5895" max="5895" width="11.54296875" style="32" customWidth="1"/>
    <col min="5896" max="5903" width="10.54296875" style="32" customWidth="1"/>
    <col min="5904" max="5905" width="14.453125" style="32" customWidth="1"/>
    <col min="5906" max="5906" width="13.453125" style="32" customWidth="1"/>
    <col min="5907" max="5907" width="14.453125" style="32" customWidth="1"/>
    <col min="5908" max="5908" width="9.54296875" style="32" customWidth="1"/>
    <col min="5909" max="6144" width="9.453125" style="32"/>
    <col min="6145" max="6145" width="0" style="32" hidden="1" customWidth="1"/>
    <col min="6146" max="6146" width="52" style="32" customWidth="1"/>
    <col min="6147" max="6147" width="0" style="32" hidden="1" customWidth="1"/>
    <col min="6148" max="6150" width="10.54296875" style="32" customWidth="1"/>
    <col min="6151" max="6151" width="11.54296875" style="32" customWidth="1"/>
    <col min="6152" max="6159" width="10.54296875" style="32" customWidth="1"/>
    <col min="6160" max="6161" width="14.453125" style="32" customWidth="1"/>
    <col min="6162" max="6162" width="13.453125" style="32" customWidth="1"/>
    <col min="6163" max="6163" width="14.453125" style="32" customWidth="1"/>
    <col min="6164" max="6164" width="9.54296875" style="32" customWidth="1"/>
    <col min="6165" max="6400" width="9.453125" style="32"/>
    <col min="6401" max="6401" width="0" style="32" hidden="1" customWidth="1"/>
    <col min="6402" max="6402" width="52" style="32" customWidth="1"/>
    <col min="6403" max="6403" width="0" style="32" hidden="1" customWidth="1"/>
    <col min="6404" max="6406" width="10.54296875" style="32" customWidth="1"/>
    <col min="6407" max="6407" width="11.54296875" style="32" customWidth="1"/>
    <col min="6408" max="6415" width="10.54296875" style="32" customWidth="1"/>
    <col min="6416" max="6417" width="14.453125" style="32" customWidth="1"/>
    <col min="6418" max="6418" width="13.453125" style="32" customWidth="1"/>
    <col min="6419" max="6419" width="14.453125" style="32" customWidth="1"/>
    <col min="6420" max="6420" width="9.54296875" style="32" customWidth="1"/>
    <col min="6421" max="6656" width="9.453125" style="32"/>
    <col min="6657" max="6657" width="0" style="32" hidden="1" customWidth="1"/>
    <col min="6658" max="6658" width="52" style="32" customWidth="1"/>
    <col min="6659" max="6659" width="0" style="32" hidden="1" customWidth="1"/>
    <col min="6660" max="6662" width="10.54296875" style="32" customWidth="1"/>
    <col min="6663" max="6663" width="11.54296875" style="32" customWidth="1"/>
    <col min="6664" max="6671" width="10.54296875" style="32" customWidth="1"/>
    <col min="6672" max="6673" width="14.453125" style="32" customWidth="1"/>
    <col min="6674" max="6674" width="13.453125" style="32" customWidth="1"/>
    <col min="6675" max="6675" width="14.453125" style="32" customWidth="1"/>
    <col min="6676" max="6676" width="9.54296875" style="32" customWidth="1"/>
    <col min="6677" max="6912" width="9.453125" style="32"/>
    <col min="6913" max="6913" width="0" style="32" hidden="1" customWidth="1"/>
    <col min="6914" max="6914" width="52" style="32" customWidth="1"/>
    <col min="6915" max="6915" width="0" style="32" hidden="1" customWidth="1"/>
    <col min="6916" max="6918" width="10.54296875" style="32" customWidth="1"/>
    <col min="6919" max="6919" width="11.54296875" style="32" customWidth="1"/>
    <col min="6920" max="6927" width="10.54296875" style="32" customWidth="1"/>
    <col min="6928" max="6929" width="14.453125" style="32" customWidth="1"/>
    <col min="6930" max="6930" width="13.453125" style="32" customWidth="1"/>
    <col min="6931" max="6931" width="14.453125" style="32" customWidth="1"/>
    <col min="6932" max="6932" width="9.54296875" style="32" customWidth="1"/>
    <col min="6933" max="7168" width="9.453125" style="32"/>
    <col min="7169" max="7169" width="0" style="32" hidden="1" customWidth="1"/>
    <col min="7170" max="7170" width="52" style="32" customWidth="1"/>
    <col min="7171" max="7171" width="0" style="32" hidden="1" customWidth="1"/>
    <col min="7172" max="7174" width="10.54296875" style="32" customWidth="1"/>
    <col min="7175" max="7175" width="11.54296875" style="32" customWidth="1"/>
    <col min="7176" max="7183" width="10.54296875" style="32" customWidth="1"/>
    <col min="7184" max="7185" width="14.453125" style="32" customWidth="1"/>
    <col min="7186" max="7186" width="13.453125" style="32" customWidth="1"/>
    <col min="7187" max="7187" width="14.453125" style="32" customWidth="1"/>
    <col min="7188" max="7188" width="9.54296875" style="32" customWidth="1"/>
    <col min="7189" max="7424" width="9.453125" style="32"/>
    <col min="7425" max="7425" width="0" style="32" hidden="1" customWidth="1"/>
    <col min="7426" max="7426" width="52" style="32" customWidth="1"/>
    <col min="7427" max="7427" width="0" style="32" hidden="1" customWidth="1"/>
    <col min="7428" max="7430" width="10.54296875" style="32" customWidth="1"/>
    <col min="7431" max="7431" width="11.54296875" style="32" customWidth="1"/>
    <col min="7432" max="7439" width="10.54296875" style="32" customWidth="1"/>
    <col min="7440" max="7441" width="14.453125" style="32" customWidth="1"/>
    <col min="7442" max="7442" width="13.453125" style="32" customWidth="1"/>
    <col min="7443" max="7443" width="14.453125" style="32" customWidth="1"/>
    <col min="7444" max="7444" width="9.54296875" style="32" customWidth="1"/>
    <col min="7445" max="7680" width="9.453125" style="32"/>
    <col min="7681" max="7681" width="0" style="32" hidden="1" customWidth="1"/>
    <col min="7682" max="7682" width="52" style="32" customWidth="1"/>
    <col min="7683" max="7683" width="0" style="32" hidden="1" customWidth="1"/>
    <col min="7684" max="7686" width="10.54296875" style="32" customWidth="1"/>
    <col min="7687" max="7687" width="11.54296875" style="32" customWidth="1"/>
    <col min="7688" max="7695" width="10.54296875" style="32" customWidth="1"/>
    <col min="7696" max="7697" width="14.453125" style="32" customWidth="1"/>
    <col min="7698" max="7698" width="13.453125" style="32" customWidth="1"/>
    <col min="7699" max="7699" width="14.453125" style="32" customWidth="1"/>
    <col min="7700" max="7700" width="9.54296875" style="32" customWidth="1"/>
    <col min="7701" max="7936" width="9.453125" style="32"/>
    <col min="7937" max="7937" width="0" style="32" hidden="1" customWidth="1"/>
    <col min="7938" max="7938" width="52" style="32" customWidth="1"/>
    <col min="7939" max="7939" width="0" style="32" hidden="1" customWidth="1"/>
    <col min="7940" max="7942" width="10.54296875" style="32" customWidth="1"/>
    <col min="7943" max="7943" width="11.54296875" style="32" customWidth="1"/>
    <col min="7944" max="7951" width="10.54296875" style="32" customWidth="1"/>
    <col min="7952" max="7953" width="14.453125" style="32" customWidth="1"/>
    <col min="7954" max="7954" width="13.453125" style="32" customWidth="1"/>
    <col min="7955" max="7955" width="14.453125" style="32" customWidth="1"/>
    <col min="7956" max="7956" width="9.54296875" style="32" customWidth="1"/>
    <col min="7957" max="8192" width="9.453125" style="32"/>
    <col min="8193" max="8193" width="0" style="32" hidden="1" customWidth="1"/>
    <col min="8194" max="8194" width="52" style="32" customWidth="1"/>
    <col min="8195" max="8195" width="0" style="32" hidden="1" customWidth="1"/>
    <col min="8196" max="8198" width="10.54296875" style="32" customWidth="1"/>
    <col min="8199" max="8199" width="11.54296875" style="32" customWidth="1"/>
    <col min="8200" max="8207" width="10.54296875" style="32" customWidth="1"/>
    <col min="8208" max="8209" width="14.453125" style="32" customWidth="1"/>
    <col min="8210" max="8210" width="13.453125" style="32" customWidth="1"/>
    <col min="8211" max="8211" width="14.453125" style="32" customWidth="1"/>
    <col min="8212" max="8212" width="9.54296875" style="32" customWidth="1"/>
    <col min="8213" max="8448" width="9.453125" style="32"/>
    <col min="8449" max="8449" width="0" style="32" hidden="1" customWidth="1"/>
    <col min="8450" max="8450" width="52" style="32" customWidth="1"/>
    <col min="8451" max="8451" width="0" style="32" hidden="1" customWidth="1"/>
    <col min="8452" max="8454" width="10.54296875" style="32" customWidth="1"/>
    <col min="8455" max="8455" width="11.54296875" style="32" customWidth="1"/>
    <col min="8456" max="8463" width="10.54296875" style="32" customWidth="1"/>
    <col min="8464" max="8465" width="14.453125" style="32" customWidth="1"/>
    <col min="8466" max="8466" width="13.453125" style="32" customWidth="1"/>
    <col min="8467" max="8467" width="14.453125" style="32" customWidth="1"/>
    <col min="8468" max="8468" width="9.54296875" style="32" customWidth="1"/>
    <col min="8469" max="8704" width="9.453125" style="32"/>
    <col min="8705" max="8705" width="0" style="32" hidden="1" customWidth="1"/>
    <col min="8706" max="8706" width="52" style="32" customWidth="1"/>
    <col min="8707" max="8707" width="0" style="32" hidden="1" customWidth="1"/>
    <col min="8708" max="8710" width="10.54296875" style="32" customWidth="1"/>
    <col min="8711" max="8711" width="11.54296875" style="32" customWidth="1"/>
    <col min="8712" max="8719" width="10.54296875" style="32" customWidth="1"/>
    <col min="8720" max="8721" width="14.453125" style="32" customWidth="1"/>
    <col min="8722" max="8722" width="13.453125" style="32" customWidth="1"/>
    <col min="8723" max="8723" width="14.453125" style="32" customWidth="1"/>
    <col min="8724" max="8724" width="9.54296875" style="32" customWidth="1"/>
    <col min="8725" max="8960" width="9.453125" style="32"/>
    <col min="8961" max="8961" width="0" style="32" hidden="1" customWidth="1"/>
    <col min="8962" max="8962" width="52" style="32" customWidth="1"/>
    <col min="8963" max="8963" width="0" style="32" hidden="1" customWidth="1"/>
    <col min="8964" max="8966" width="10.54296875" style="32" customWidth="1"/>
    <col min="8967" max="8967" width="11.54296875" style="32" customWidth="1"/>
    <col min="8968" max="8975" width="10.54296875" style="32" customWidth="1"/>
    <col min="8976" max="8977" width="14.453125" style="32" customWidth="1"/>
    <col min="8978" max="8978" width="13.453125" style="32" customWidth="1"/>
    <col min="8979" max="8979" width="14.453125" style="32" customWidth="1"/>
    <col min="8980" max="8980" width="9.54296875" style="32" customWidth="1"/>
    <col min="8981" max="9216" width="9.453125" style="32"/>
    <col min="9217" max="9217" width="0" style="32" hidden="1" customWidth="1"/>
    <col min="9218" max="9218" width="52" style="32" customWidth="1"/>
    <col min="9219" max="9219" width="0" style="32" hidden="1" customWidth="1"/>
    <col min="9220" max="9222" width="10.54296875" style="32" customWidth="1"/>
    <col min="9223" max="9223" width="11.54296875" style="32" customWidth="1"/>
    <col min="9224" max="9231" width="10.54296875" style="32" customWidth="1"/>
    <col min="9232" max="9233" width="14.453125" style="32" customWidth="1"/>
    <col min="9234" max="9234" width="13.453125" style="32" customWidth="1"/>
    <col min="9235" max="9235" width="14.453125" style="32" customWidth="1"/>
    <col min="9236" max="9236" width="9.54296875" style="32" customWidth="1"/>
    <col min="9237" max="9472" width="9.453125" style="32"/>
    <col min="9473" max="9473" width="0" style="32" hidden="1" customWidth="1"/>
    <col min="9474" max="9474" width="52" style="32" customWidth="1"/>
    <col min="9475" max="9475" width="0" style="32" hidden="1" customWidth="1"/>
    <col min="9476" max="9478" width="10.54296875" style="32" customWidth="1"/>
    <col min="9479" max="9479" width="11.54296875" style="32" customWidth="1"/>
    <col min="9480" max="9487" width="10.54296875" style="32" customWidth="1"/>
    <col min="9488" max="9489" width="14.453125" style="32" customWidth="1"/>
    <col min="9490" max="9490" width="13.453125" style="32" customWidth="1"/>
    <col min="9491" max="9491" width="14.453125" style="32" customWidth="1"/>
    <col min="9492" max="9492" width="9.54296875" style="32" customWidth="1"/>
    <col min="9493" max="9728" width="9.453125" style="32"/>
    <col min="9729" max="9729" width="0" style="32" hidden="1" customWidth="1"/>
    <col min="9730" max="9730" width="52" style="32" customWidth="1"/>
    <col min="9731" max="9731" width="0" style="32" hidden="1" customWidth="1"/>
    <col min="9732" max="9734" width="10.54296875" style="32" customWidth="1"/>
    <col min="9735" max="9735" width="11.54296875" style="32" customWidth="1"/>
    <col min="9736" max="9743" width="10.54296875" style="32" customWidth="1"/>
    <col min="9744" max="9745" width="14.453125" style="32" customWidth="1"/>
    <col min="9746" max="9746" width="13.453125" style="32" customWidth="1"/>
    <col min="9747" max="9747" width="14.453125" style="32" customWidth="1"/>
    <col min="9748" max="9748" width="9.54296875" style="32" customWidth="1"/>
    <col min="9749" max="9984" width="9.453125" style="32"/>
    <col min="9985" max="9985" width="0" style="32" hidden="1" customWidth="1"/>
    <col min="9986" max="9986" width="52" style="32" customWidth="1"/>
    <col min="9987" max="9987" width="0" style="32" hidden="1" customWidth="1"/>
    <col min="9988" max="9990" width="10.54296875" style="32" customWidth="1"/>
    <col min="9991" max="9991" width="11.54296875" style="32" customWidth="1"/>
    <col min="9992" max="9999" width="10.54296875" style="32" customWidth="1"/>
    <col min="10000" max="10001" width="14.453125" style="32" customWidth="1"/>
    <col min="10002" max="10002" width="13.453125" style="32" customWidth="1"/>
    <col min="10003" max="10003" width="14.453125" style="32" customWidth="1"/>
    <col min="10004" max="10004" width="9.54296875" style="32" customWidth="1"/>
    <col min="10005" max="10240" width="9.453125" style="32"/>
    <col min="10241" max="10241" width="0" style="32" hidden="1" customWidth="1"/>
    <col min="10242" max="10242" width="52" style="32" customWidth="1"/>
    <col min="10243" max="10243" width="0" style="32" hidden="1" customWidth="1"/>
    <col min="10244" max="10246" width="10.54296875" style="32" customWidth="1"/>
    <col min="10247" max="10247" width="11.54296875" style="32" customWidth="1"/>
    <col min="10248" max="10255" width="10.54296875" style="32" customWidth="1"/>
    <col min="10256" max="10257" width="14.453125" style="32" customWidth="1"/>
    <col min="10258" max="10258" width="13.453125" style="32" customWidth="1"/>
    <col min="10259" max="10259" width="14.453125" style="32" customWidth="1"/>
    <col min="10260" max="10260" width="9.54296875" style="32" customWidth="1"/>
    <col min="10261" max="10496" width="9.453125" style="32"/>
    <col min="10497" max="10497" width="0" style="32" hidden="1" customWidth="1"/>
    <col min="10498" max="10498" width="52" style="32" customWidth="1"/>
    <col min="10499" max="10499" width="0" style="32" hidden="1" customWidth="1"/>
    <col min="10500" max="10502" width="10.54296875" style="32" customWidth="1"/>
    <col min="10503" max="10503" width="11.54296875" style="32" customWidth="1"/>
    <col min="10504" max="10511" width="10.54296875" style="32" customWidth="1"/>
    <col min="10512" max="10513" width="14.453125" style="32" customWidth="1"/>
    <col min="10514" max="10514" width="13.453125" style="32" customWidth="1"/>
    <col min="10515" max="10515" width="14.453125" style="32" customWidth="1"/>
    <col min="10516" max="10516" width="9.54296875" style="32" customWidth="1"/>
    <col min="10517" max="10752" width="9.453125" style="32"/>
    <col min="10753" max="10753" width="0" style="32" hidden="1" customWidth="1"/>
    <col min="10754" max="10754" width="52" style="32" customWidth="1"/>
    <col min="10755" max="10755" width="0" style="32" hidden="1" customWidth="1"/>
    <col min="10756" max="10758" width="10.54296875" style="32" customWidth="1"/>
    <col min="10759" max="10759" width="11.54296875" style="32" customWidth="1"/>
    <col min="10760" max="10767" width="10.54296875" style="32" customWidth="1"/>
    <col min="10768" max="10769" width="14.453125" style="32" customWidth="1"/>
    <col min="10770" max="10770" width="13.453125" style="32" customWidth="1"/>
    <col min="10771" max="10771" width="14.453125" style="32" customWidth="1"/>
    <col min="10772" max="10772" width="9.54296875" style="32" customWidth="1"/>
    <col min="10773" max="11008" width="9.453125" style="32"/>
    <col min="11009" max="11009" width="0" style="32" hidden="1" customWidth="1"/>
    <col min="11010" max="11010" width="52" style="32" customWidth="1"/>
    <col min="11011" max="11011" width="0" style="32" hidden="1" customWidth="1"/>
    <col min="11012" max="11014" width="10.54296875" style="32" customWidth="1"/>
    <col min="11015" max="11015" width="11.54296875" style="32" customWidth="1"/>
    <col min="11016" max="11023" width="10.54296875" style="32" customWidth="1"/>
    <col min="11024" max="11025" width="14.453125" style="32" customWidth="1"/>
    <col min="11026" max="11026" width="13.453125" style="32" customWidth="1"/>
    <col min="11027" max="11027" width="14.453125" style="32" customWidth="1"/>
    <col min="11028" max="11028" width="9.54296875" style="32" customWidth="1"/>
    <col min="11029" max="11264" width="9.453125" style="32"/>
    <col min="11265" max="11265" width="0" style="32" hidden="1" customWidth="1"/>
    <col min="11266" max="11266" width="52" style="32" customWidth="1"/>
    <col min="11267" max="11267" width="0" style="32" hidden="1" customWidth="1"/>
    <col min="11268" max="11270" width="10.54296875" style="32" customWidth="1"/>
    <col min="11271" max="11271" width="11.54296875" style="32" customWidth="1"/>
    <col min="11272" max="11279" width="10.54296875" style="32" customWidth="1"/>
    <col min="11280" max="11281" width="14.453125" style="32" customWidth="1"/>
    <col min="11282" max="11282" width="13.453125" style="32" customWidth="1"/>
    <col min="11283" max="11283" width="14.453125" style="32" customWidth="1"/>
    <col min="11284" max="11284" width="9.54296875" style="32" customWidth="1"/>
    <col min="11285" max="11520" width="9.453125" style="32"/>
    <col min="11521" max="11521" width="0" style="32" hidden="1" customWidth="1"/>
    <col min="11522" max="11522" width="52" style="32" customWidth="1"/>
    <col min="11523" max="11523" width="0" style="32" hidden="1" customWidth="1"/>
    <col min="11524" max="11526" width="10.54296875" style="32" customWidth="1"/>
    <col min="11527" max="11527" width="11.54296875" style="32" customWidth="1"/>
    <col min="11528" max="11535" width="10.54296875" style="32" customWidth="1"/>
    <col min="11536" max="11537" width="14.453125" style="32" customWidth="1"/>
    <col min="11538" max="11538" width="13.453125" style="32" customWidth="1"/>
    <col min="11539" max="11539" width="14.453125" style="32" customWidth="1"/>
    <col min="11540" max="11540" width="9.54296875" style="32" customWidth="1"/>
    <col min="11541" max="11776" width="9.453125" style="32"/>
    <col min="11777" max="11777" width="0" style="32" hidden="1" customWidth="1"/>
    <col min="11778" max="11778" width="52" style="32" customWidth="1"/>
    <col min="11779" max="11779" width="0" style="32" hidden="1" customWidth="1"/>
    <col min="11780" max="11782" width="10.54296875" style="32" customWidth="1"/>
    <col min="11783" max="11783" width="11.54296875" style="32" customWidth="1"/>
    <col min="11784" max="11791" width="10.54296875" style="32" customWidth="1"/>
    <col min="11792" max="11793" width="14.453125" style="32" customWidth="1"/>
    <col min="11794" max="11794" width="13.453125" style="32" customWidth="1"/>
    <col min="11795" max="11795" width="14.453125" style="32" customWidth="1"/>
    <col min="11796" max="11796" width="9.54296875" style="32" customWidth="1"/>
    <col min="11797" max="12032" width="9.453125" style="32"/>
    <col min="12033" max="12033" width="0" style="32" hidden="1" customWidth="1"/>
    <col min="12034" max="12034" width="52" style="32" customWidth="1"/>
    <col min="12035" max="12035" width="0" style="32" hidden="1" customWidth="1"/>
    <col min="12036" max="12038" width="10.54296875" style="32" customWidth="1"/>
    <col min="12039" max="12039" width="11.54296875" style="32" customWidth="1"/>
    <col min="12040" max="12047" width="10.54296875" style="32" customWidth="1"/>
    <col min="12048" max="12049" width="14.453125" style="32" customWidth="1"/>
    <col min="12050" max="12050" width="13.453125" style="32" customWidth="1"/>
    <col min="12051" max="12051" width="14.453125" style="32" customWidth="1"/>
    <col min="12052" max="12052" width="9.54296875" style="32" customWidth="1"/>
    <col min="12053" max="12288" width="9.453125" style="32"/>
    <col min="12289" max="12289" width="0" style="32" hidden="1" customWidth="1"/>
    <col min="12290" max="12290" width="52" style="32" customWidth="1"/>
    <col min="12291" max="12291" width="0" style="32" hidden="1" customWidth="1"/>
    <col min="12292" max="12294" width="10.54296875" style="32" customWidth="1"/>
    <col min="12295" max="12295" width="11.54296875" style="32" customWidth="1"/>
    <col min="12296" max="12303" width="10.54296875" style="32" customWidth="1"/>
    <col min="12304" max="12305" width="14.453125" style="32" customWidth="1"/>
    <col min="12306" max="12306" width="13.453125" style="32" customWidth="1"/>
    <col min="12307" max="12307" width="14.453125" style="32" customWidth="1"/>
    <col min="12308" max="12308" width="9.54296875" style="32" customWidth="1"/>
    <col min="12309" max="12544" width="9.453125" style="32"/>
    <col min="12545" max="12545" width="0" style="32" hidden="1" customWidth="1"/>
    <col min="12546" max="12546" width="52" style="32" customWidth="1"/>
    <col min="12547" max="12547" width="0" style="32" hidden="1" customWidth="1"/>
    <col min="12548" max="12550" width="10.54296875" style="32" customWidth="1"/>
    <col min="12551" max="12551" width="11.54296875" style="32" customWidth="1"/>
    <col min="12552" max="12559" width="10.54296875" style="32" customWidth="1"/>
    <col min="12560" max="12561" width="14.453125" style="32" customWidth="1"/>
    <col min="12562" max="12562" width="13.453125" style="32" customWidth="1"/>
    <col min="12563" max="12563" width="14.453125" style="32" customWidth="1"/>
    <col min="12564" max="12564" width="9.54296875" style="32" customWidth="1"/>
    <col min="12565" max="12800" width="9.453125" style="32"/>
    <col min="12801" max="12801" width="0" style="32" hidden="1" customWidth="1"/>
    <col min="12802" max="12802" width="52" style="32" customWidth="1"/>
    <col min="12803" max="12803" width="0" style="32" hidden="1" customWidth="1"/>
    <col min="12804" max="12806" width="10.54296875" style="32" customWidth="1"/>
    <col min="12807" max="12807" width="11.54296875" style="32" customWidth="1"/>
    <col min="12808" max="12815" width="10.54296875" style="32" customWidth="1"/>
    <col min="12816" max="12817" width="14.453125" style="32" customWidth="1"/>
    <col min="12818" max="12818" width="13.453125" style="32" customWidth="1"/>
    <col min="12819" max="12819" width="14.453125" style="32" customWidth="1"/>
    <col min="12820" max="12820" width="9.54296875" style="32" customWidth="1"/>
    <col min="12821" max="13056" width="9.453125" style="32"/>
    <col min="13057" max="13057" width="0" style="32" hidden="1" customWidth="1"/>
    <col min="13058" max="13058" width="52" style="32" customWidth="1"/>
    <col min="13059" max="13059" width="0" style="32" hidden="1" customWidth="1"/>
    <col min="13060" max="13062" width="10.54296875" style="32" customWidth="1"/>
    <col min="13063" max="13063" width="11.54296875" style="32" customWidth="1"/>
    <col min="13064" max="13071" width="10.54296875" style="32" customWidth="1"/>
    <col min="13072" max="13073" width="14.453125" style="32" customWidth="1"/>
    <col min="13074" max="13074" width="13.453125" style="32" customWidth="1"/>
    <col min="13075" max="13075" width="14.453125" style="32" customWidth="1"/>
    <col min="13076" max="13076" width="9.54296875" style="32" customWidth="1"/>
    <col min="13077" max="13312" width="9.453125" style="32"/>
    <col min="13313" max="13313" width="0" style="32" hidden="1" customWidth="1"/>
    <col min="13314" max="13314" width="52" style="32" customWidth="1"/>
    <col min="13315" max="13315" width="0" style="32" hidden="1" customWidth="1"/>
    <col min="13316" max="13318" width="10.54296875" style="32" customWidth="1"/>
    <col min="13319" max="13319" width="11.54296875" style="32" customWidth="1"/>
    <col min="13320" max="13327" width="10.54296875" style="32" customWidth="1"/>
    <col min="13328" max="13329" width="14.453125" style="32" customWidth="1"/>
    <col min="13330" max="13330" width="13.453125" style="32" customWidth="1"/>
    <col min="13331" max="13331" width="14.453125" style="32" customWidth="1"/>
    <col min="13332" max="13332" width="9.54296875" style="32" customWidth="1"/>
    <col min="13333" max="13568" width="9.453125" style="32"/>
    <col min="13569" max="13569" width="0" style="32" hidden="1" customWidth="1"/>
    <col min="13570" max="13570" width="52" style="32" customWidth="1"/>
    <col min="13571" max="13571" width="0" style="32" hidden="1" customWidth="1"/>
    <col min="13572" max="13574" width="10.54296875" style="32" customWidth="1"/>
    <col min="13575" max="13575" width="11.54296875" style="32" customWidth="1"/>
    <col min="13576" max="13583" width="10.54296875" style="32" customWidth="1"/>
    <col min="13584" max="13585" width="14.453125" style="32" customWidth="1"/>
    <col min="13586" max="13586" width="13.453125" style="32" customWidth="1"/>
    <col min="13587" max="13587" width="14.453125" style="32" customWidth="1"/>
    <col min="13588" max="13588" width="9.54296875" style="32" customWidth="1"/>
    <col min="13589" max="13824" width="9.453125" style="32"/>
    <col min="13825" max="13825" width="0" style="32" hidden="1" customWidth="1"/>
    <col min="13826" max="13826" width="52" style="32" customWidth="1"/>
    <col min="13827" max="13827" width="0" style="32" hidden="1" customWidth="1"/>
    <col min="13828" max="13830" width="10.54296875" style="32" customWidth="1"/>
    <col min="13831" max="13831" width="11.54296875" style="32" customWidth="1"/>
    <col min="13832" max="13839" width="10.54296875" style="32" customWidth="1"/>
    <col min="13840" max="13841" width="14.453125" style="32" customWidth="1"/>
    <col min="13842" max="13842" width="13.453125" style="32" customWidth="1"/>
    <col min="13843" max="13843" width="14.453125" style="32" customWidth="1"/>
    <col min="13844" max="13844" width="9.54296875" style="32" customWidth="1"/>
    <col min="13845" max="14080" width="9.453125" style="32"/>
    <col min="14081" max="14081" width="0" style="32" hidden="1" customWidth="1"/>
    <col min="14082" max="14082" width="52" style="32" customWidth="1"/>
    <col min="14083" max="14083" width="0" style="32" hidden="1" customWidth="1"/>
    <col min="14084" max="14086" width="10.54296875" style="32" customWidth="1"/>
    <col min="14087" max="14087" width="11.54296875" style="32" customWidth="1"/>
    <col min="14088" max="14095" width="10.54296875" style="32" customWidth="1"/>
    <col min="14096" max="14097" width="14.453125" style="32" customWidth="1"/>
    <col min="14098" max="14098" width="13.453125" style="32" customWidth="1"/>
    <col min="14099" max="14099" width="14.453125" style="32" customWidth="1"/>
    <col min="14100" max="14100" width="9.54296875" style="32" customWidth="1"/>
    <col min="14101" max="14336" width="9.453125" style="32"/>
    <col min="14337" max="14337" width="0" style="32" hidden="1" customWidth="1"/>
    <col min="14338" max="14338" width="52" style="32" customWidth="1"/>
    <col min="14339" max="14339" width="0" style="32" hidden="1" customWidth="1"/>
    <col min="14340" max="14342" width="10.54296875" style="32" customWidth="1"/>
    <col min="14343" max="14343" width="11.54296875" style="32" customWidth="1"/>
    <col min="14344" max="14351" width="10.54296875" style="32" customWidth="1"/>
    <col min="14352" max="14353" width="14.453125" style="32" customWidth="1"/>
    <col min="14354" max="14354" width="13.453125" style="32" customWidth="1"/>
    <col min="14355" max="14355" width="14.453125" style="32" customWidth="1"/>
    <col min="14356" max="14356" width="9.54296875" style="32" customWidth="1"/>
    <col min="14357" max="14592" width="9.453125" style="32"/>
    <col min="14593" max="14593" width="0" style="32" hidden="1" customWidth="1"/>
    <col min="14594" max="14594" width="52" style="32" customWidth="1"/>
    <col min="14595" max="14595" width="0" style="32" hidden="1" customWidth="1"/>
    <col min="14596" max="14598" width="10.54296875" style="32" customWidth="1"/>
    <col min="14599" max="14599" width="11.54296875" style="32" customWidth="1"/>
    <col min="14600" max="14607" width="10.54296875" style="32" customWidth="1"/>
    <col min="14608" max="14609" width="14.453125" style="32" customWidth="1"/>
    <col min="14610" max="14610" width="13.453125" style="32" customWidth="1"/>
    <col min="14611" max="14611" width="14.453125" style="32" customWidth="1"/>
    <col min="14612" max="14612" width="9.54296875" style="32" customWidth="1"/>
    <col min="14613" max="14848" width="9.453125" style="32"/>
    <col min="14849" max="14849" width="0" style="32" hidden="1" customWidth="1"/>
    <col min="14850" max="14850" width="52" style="32" customWidth="1"/>
    <col min="14851" max="14851" width="0" style="32" hidden="1" customWidth="1"/>
    <col min="14852" max="14854" width="10.54296875" style="32" customWidth="1"/>
    <col min="14855" max="14855" width="11.54296875" style="32" customWidth="1"/>
    <col min="14856" max="14863" width="10.54296875" style="32" customWidth="1"/>
    <col min="14864" max="14865" width="14.453125" style="32" customWidth="1"/>
    <col min="14866" max="14866" width="13.453125" style="32" customWidth="1"/>
    <col min="14867" max="14867" width="14.453125" style="32" customWidth="1"/>
    <col min="14868" max="14868" width="9.54296875" style="32" customWidth="1"/>
    <col min="14869" max="15104" width="9.453125" style="32"/>
    <col min="15105" max="15105" width="0" style="32" hidden="1" customWidth="1"/>
    <col min="15106" max="15106" width="52" style="32" customWidth="1"/>
    <col min="15107" max="15107" width="0" style="32" hidden="1" customWidth="1"/>
    <col min="15108" max="15110" width="10.54296875" style="32" customWidth="1"/>
    <col min="15111" max="15111" width="11.54296875" style="32" customWidth="1"/>
    <col min="15112" max="15119" width="10.54296875" style="32" customWidth="1"/>
    <col min="15120" max="15121" width="14.453125" style="32" customWidth="1"/>
    <col min="15122" max="15122" width="13.453125" style="32" customWidth="1"/>
    <col min="15123" max="15123" width="14.453125" style="32" customWidth="1"/>
    <col min="15124" max="15124" width="9.54296875" style="32" customWidth="1"/>
    <col min="15125" max="15360" width="9.453125" style="32"/>
    <col min="15361" max="15361" width="0" style="32" hidden="1" customWidth="1"/>
    <col min="15362" max="15362" width="52" style="32" customWidth="1"/>
    <col min="15363" max="15363" width="0" style="32" hidden="1" customWidth="1"/>
    <col min="15364" max="15366" width="10.54296875" style="32" customWidth="1"/>
    <col min="15367" max="15367" width="11.54296875" style="32" customWidth="1"/>
    <col min="15368" max="15375" width="10.54296875" style="32" customWidth="1"/>
    <col min="15376" max="15377" width="14.453125" style="32" customWidth="1"/>
    <col min="15378" max="15378" width="13.453125" style="32" customWidth="1"/>
    <col min="15379" max="15379" width="14.453125" style="32" customWidth="1"/>
    <col min="15380" max="15380" width="9.54296875" style="32" customWidth="1"/>
    <col min="15381" max="15616" width="9.453125" style="32"/>
    <col min="15617" max="15617" width="0" style="32" hidden="1" customWidth="1"/>
    <col min="15618" max="15618" width="52" style="32" customWidth="1"/>
    <col min="15619" max="15619" width="0" style="32" hidden="1" customWidth="1"/>
    <col min="15620" max="15622" width="10.54296875" style="32" customWidth="1"/>
    <col min="15623" max="15623" width="11.54296875" style="32" customWidth="1"/>
    <col min="15624" max="15631" width="10.54296875" style="32" customWidth="1"/>
    <col min="15632" max="15633" width="14.453125" style="32" customWidth="1"/>
    <col min="15634" max="15634" width="13.453125" style="32" customWidth="1"/>
    <col min="15635" max="15635" width="14.453125" style="32" customWidth="1"/>
    <col min="15636" max="15636" width="9.54296875" style="32" customWidth="1"/>
    <col min="15637" max="15872" width="9.453125" style="32"/>
    <col min="15873" max="15873" width="0" style="32" hidden="1" customWidth="1"/>
    <col min="15874" max="15874" width="52" style="32" customWidth="1"/>
    <col min="15875" max="15875" width="0" style="32" hidden="1" customWidth="1"/>
    <col min="15876" max="15878" width="10.54296875" style="32" customWidth="1"/>
    <col min="15879" max="15879" width="11.54296875" style="32" customWidth="1"/>
    <col min="15880" max="15887" width="10.54296875" style="32" customWidth="1"/>
    <col min="15888" max="15889" width="14.453125" style="32" customWidth="1"/>
    <col min="15890" max="15890" width="13.453125" style="32" customWidth="1"/>
    <col min="15891" max="15891" width="14.453125" style="32" customWidth="1"/>
    <col min="15892" max="15892" width="9.54296875" style="32" customWidth="1"/>
    <col min="15893" max="16128" width="9.453125" style="32"/>
    <col min="16129" max="16129" width="0" style="32" hidden="1" customWidth="1"/>
    <col min="16130" max="16130" width="52" style="32" customWidth="1"/>
    <col min="16131" max="16131" width="0" style="32" hidden="1" customWidth="1"/>
    <col min="16132" max="16134" width="10.54296875" style="32" customWidth="1"/>
    <col min="16135" max="16135" width="11.54296875" style="32" customWidth="1"/>
    <col min="16136" max="16143" width="10.54296875" style="32" customWidth="1"/>
    <col min="16144" max="16145" width="14.453125" style="32" customWidth="1"/>
    <col min="16146" max="16146" width="13.453125" style="32" customWidth="1"/>
    <col min="16147" max="16147" width="14.453125" style="32" customWidth="1"/>
    <col min="16148" max="16148" width="9.54296875" style="32" customWidth="1"/>
    <col min="16149" max="16383" width="9.453125" style="32"/>
    <col min="16384" max="16384" width="9.453125" style="32" customWidth="1"/>
  </cols>
  <sheetData>
    <row r="1" spans="1:25" s="34" customFormat="1" ht="10.5" customHeight="1" x14ac:dyDescent="0.2">
      <c r="B1" s="33" t="s">
        <v>100</v>
      </c>
      <c r="C1" s="128"/>
    </row>
    <row r="2" spans="1:25" s="35" customFormat="1" ht="5.25" customHeight="1" thickBot="1" x14ac:dyDescent="0.25">
      <c r="C2" s="97"/>
    </row>
    <row r="3" spans="1:25" ht="5.15" hidden="1" customHeight="1" x14ac:dyDescent="0.2">
      <c r="B3" s="36"/>
      <c r="C3" s="129"/>
      <c r="D3" s="37"/>
      <c r="E3" s="37"/>
      <c r="F3" s="37"/>
      <c r="G3" s="37"/>
      <c r="H3" s="37"/>
      <c r="I3" s="37"/>
      <c r="J3" s="37"/>
      <c r="K3" s="37"/>
      <c r="L3" s="37"/>
      <c r="M3" s="37"/>
      <c r="N3" s="37"/>
      <c r="O3" s="35"/>
      <c r="P3" s="35"/>
      <c r="Q3" s="35"/>
      <c r="R3" s="38"/>
      <c r="S3" s="38"/>
      <c r="T3" s="39"/>
    </row>
    <row r="4" spans="1:25" s="37" customFormat="1" ht="5.15" hidden="1" customHeight="1" x14ac:dyDescent="0.2">
      <c r="A4" s="35"/>
      <c r="B4" s="40"/>
      <c r="C4" s="130"/>
      <c r="D4" s="41"/>
      <c r="E4" s="41"/>
      <c r="F4" s="35"/>
      <c r="G4" s="35"/>
      <c r="H4" s="35"/>
      <c r="I4" s="35"/>
      <c r="J4" s="35"/>
      <c r="K4" s="35"/>
      <c r="L4" s="35"/>
      <c r="M4" s="35"/>
      <c r="N4" s="35"/>
      <c r="O4" s="41"/>
      <c r="P4" s="41"/>
      <c r="Q4" s="41"/>
      <c r="R4" s="42"/>
      <c r="S4" s="42"/>
      <c r="T4" s="43"/>
    </row>
    <row r="5" spans="1:25" ht="50.25" customHeight="1" x14ac:dyDescent="0.2">
      <c r="B5" s="44" t="s">
        <v>49</v>
      </c>
      <c r="C5" s="301" t="s">
        <v>213</v>
      </c>
      <c r="D5" s="45" t="s">
        <v>6</v>
      </c>
      <c r="E5" s="45" t="s">
        <v>7</v>
      </c>
      <c r="F5" s="45" t="s">
        <v>8</v>
      </c>
      <c r="G5" s="45" t="s">
        <v>9</v>
      </c>
      <c r="H5" s="45" t="s">
        <v>10</v>
      </c>
      <c r="I5" s="45" t="s">
        <v>11</v>
      </c>
      <c r="J5" s="45" t="s">
        <v>12</v>
      </c>
      <c r="K5" s="45" t="s">
        <v>36</v>
      </c>
      <c r="L5" s="45" t="s">
        <v>37</v>
      </c>
      <c r="M5" s="45" t="s">
        <v>15</v>
      </c>
      <c r="N5" s="45" t="s">
        <v>38</v>
      </c>
      <c r="O5" s="45" t="s">
        <v>17</v>
      </c>
      <c r="P5" s="46" t="s">
        <v>208</v>
      </c>
      <c r="Q5" s="46" t="s">
        <v>76</v>
      </c>
      <c r="R5" s="46" t="s">
        <v>101</v>
      </c>
      <c r="S5" s="46" t="s">
        <v>195</v>
      </c>
      <c r="T5" s="47" t="s">
        <v>50</v>
      </c>
    </row>
    <row r="6" spans="1:25" ht="12" x14ac:dyDescent="0.2">
      <c r="B6" s="48" t="s">
        <v>102</v>
      </c>
      <c r="C6" s="68" t="s">
        <v>1</v>
      </c>
      <c r="D6" s="49"/>
      <c r="E6" s="49"/>
      <c r="F6" s="49"/>
      <c r="G6" s="49"/>
      <c r="H6" s="49"/>
      <c r="I6" s="49"/>
      <c r="J6" s="49"/>
      <c r="K6" s="49"/>
      <c r="L6" s="49"/>
      <c r="M6" s="49"/>
      <c r="N6" s="49"/>
      <c r="O6" s="50"/>
      <c r="P6" s="51"/>
      <c r="Q6" s="52" t="s">
        <v>1</v>
      </c>
      <c r="R6" s="53"/>
      <c r="S6" s="53"/>
      <c r="T6" s="54"/>
    </row>
    <row r="7" spans="1:25" ht="12.75" x14ac:dyDescent="0.2">
      <c r="A7" s="113" t="s">
        <v>80</v>
      </c>
      <c r="B7" s="55" t="s">
        <v>51</v>
      </c>
      <c r="C7" s="53">
        <v>201271.56999999998</v>
      </c>
      <c r="D7" s="49">
        <v>22842.38</v>
      </c>
      <c r="E7" s="49">
        <v>37077.47</v>
      </c>
      <c r="F7" s="49">
        <v>20387.490000000002</v>
      </c>
      <c r="G7" s="49">
        <v>16361.41</v>
      </c>
      <c r="H7" s="49">
        <v>21978.53</v>
      </c>
      <c r="I7" s="49">
        <v>20226.52</v>
      </c>
      <c r="J7" s="49">
        <v>19590.080000000002</v>
      </c>
      <c r="K7" s="49"/>
      <c r="L7" s="49"/>
      <c r="M7" s="49"/>
      <c r="N7" s="49"/>
      <c r="O7" s="56"/>
      <c r="P7" s="49">
        <f>SUM(D7:O7)</f>
        <v>158463.88</v>
      </c>
      <c r="Q7" s="53">
        <f>+C7+P7</f>
        <v>359735.44999999995</v>
      </c>
      <c r="R7" s="57">
        <v>666349</v>
      </c>
      <c r="S7" s="57"/>
      <c r="T7" s="58">
        <f>+Q7/R7</f>
        <v>0.53986041848941013</v>
      </c>
      <c r="Y7" s="113"/>
    </row>
    <row r="8" spans="1:25" ht="24" x14ac:dyDescent="0.2">
      <c r="A8" s="113" t="s">
        <v>94</v>
      </c>
      <c r="B8" s="59" t="s">
        <v>103</v>
      </c>
      <c r="C8" s="61">
        <v>85997.64</v>
      </c>
      <c r="D8" s="60">
        <v>6802.67</v>
      </c>
      <c r="E8" s="49">
        <v>10484.030000000001</v>
      </c>
      <c r="F8" s="60">
        <v>10363.200000000001</v>
      </c>
      <c r="G8" s="60">
        <v>6083.98</v>
      </c>
      <c r="H8" s="60">
        <v>12567.67</v>
      </c>
      <c r="I8" s="60">
        <v>6897.09</v>
      </c>
      <c r="J8" s="60">
        <v>5745.21</v>
      </c>
      <c r="K8" s="60"/>
      <c r="L8" s="60"/>
      <c r="M8" s="60"/>
      <c r="N8" s="60"/>
      <c r="O8" s="56"/>
      <c r="P8" s="60">
        <f>SUM(D8:O8)</f>
        <v>58943.85</v>
      </c>
      <c r="Q8" s="53">
        <f>+C8+P8</f>
        <v>144941.49</v>
      </c>
      <c r="R8" s="57">
        <v>413532</v>
      </c>
      <c r="S8" s="62"/>
      <c r="T8" s="58">
        <f>+Q8/R8</f>
        <v>0.35049643074780185</v>
      </c>
      <c r="Y8" s="113"/>
    </row>
    <row r="9" spans="1:25" ht="12.75" x14ac:dyDescent="0.2">
      <c r="A9" s="113"/>
      <c r="B9" s="63" t="s">
        <v>52</v>
      </c>
      <c r="C9" s="72">
        <f>SUM(C7:C8)</f>
        <v>287269.20999999996</v>
      </c>
      <c r="D9" s="64">
        <f>SUM(D7:D8)</f>
        <v>29645.050000000003</v>
      </c>
      <c r="E9" s="64">
        <f t="shared" ref="E9:S9" si="0">SUM(E7:E8)</f>
        <v>47561.5</v>
      </c>
      <c r="F9" s="64">
        <f t="shared" si="0"/>
        <v>30750.690000000002</v>
      </c>
      <c r="G9" s="64">
        <f t="shared" si="0"/>
        <v>22445.39</v>
      </c>
      <c r="H9" s="64">
        <f t="shared" si="0"/>
        <v>34546.199999999997</v>
      </c>
      <c r="I9" s="64">
        <f t="shared" si="0"/>
        <v>27123.61</v>
      </c>
      <c r="J9" s="64">
        <f t="shared" si="0"/>
        <v>25335.29</v>
      </c>
      <c r="K9" s="64">
        <f t="shared" si="0"/>
        <v>0</v>
      </c>
      <c r="L9" s="64">
        <f t="shared" si="0"/>
        <v>0</v>
      </c>
      <c r="M9" s="64">
        <f t="shared" si="0"/>
        <v>0</v>
      </c>
      <c r="N9" s="64">
        <f t="shared" si="0"/>
        <v>0</v>
      </c>
      <c r="O9" s="65">
        <f t="shared" si="0"/>
        <v>0</v>
      </c>
      <c r="P9" s="64">
        <f t="shared" si="0"/>
        <v>217407.73</v>
      </c>
      <c r="Q9" s="72">
        <f t="shared" si="0"/>
        <v>504676.93999999994</v>
      </c>
      <c r="R9" s="65">
        <f t="shared" si="0"/>
        <v>1079881</v>
      </c>
      <c r="S9" s="65">
        <f t="shared" si="0"/>
        <v>0</v>
      </c>
      <c r="T9" s="66">
        <f>+Q9/R9</f>
        <v>0.46734495745364529</v>
      </c>
      <c r="Y9" s="113"/>
    </row>
    <row r="10" spans="1:25" s="35" customFormat="1" ht="3.75" customHeight="1" x14ac:dyDescent="0.2">
      <c r="A10" s="113"/>
      <c r="B10" s="67"/>
      <c r="C10" s="53"/>
      <c r="D10" s="49"/>
      <c r="E10" s="49"/>
      <c r="F10" s="49"/>
      <c r="G10" s="49"/>
      <c r="H10" s="49"/>
      <c r="I10" s="49"/>
      <c r="J10" s="49"/>
      <c r="K10" s="49"/>
      <c r="L10" s="49"/>
      <c r="M10" s="49"/>
      <c r="N10" s="49"/>
      <c r="O10" s="50"/>
      <c r="P10" s="50"/>
      <c r="Q10" s="68"/>
      <c r="R10" s="68"/>
      <c r="S10" s="68"/>
      <c r="T10" s="69"/>
      <c r="Y10" s="113"/>
    </row>
    <row r="11" spans="1:25" s="35" customFormat="1" ht="12.75" x14ac:dyDescent="0.2">
      <c r="A11" s="113"/>
      <c r="B11" s="48" t="s">
        <v>104</v>
      </c>
      <c r="C11" s="53"/>
      <c r="D11" s="49"/>
      <c r="E11" s="49"/>
      <c r="F11" s="49"/>
      <c r="G11" s="49"/>
      <c r="H11" s="49"/>
      <c r="I11" s="49"/>
      <c r="J11" s="49"/>
      <c r="K11" s="49"/>
      <c r="L11" s="49"/>
      <c r="M11" s="49"/>
      <c r="N11" s="49"/>
      <c r="O11" s="56"/>
      <c r="P11" s="56"/>
      <c r="Q11" s="53"/>
      <c r="R11" s="53"/>
      <c r="S11" s="53"/>
      <c r="T11" s="54"/>
      <c r="Y11" s="113"/>
    </row>
    <row r="12" spans="1:25" ht="12.75" x14ac:dyDescent="0.2">
      <c r="A12" s="113" t="s">
        <v>83</v>
      </c>
      <c r="B12" s="55" t="s">
        <v>105</v>
      </c>
      <c r="C12" s="53">
        <v>259533.25</v>
      </c>
      <c r="D12" s="49">
        <v>14793.98</v>
      </c>
      <c r="E12" s="49">
        <v>67514.66</v>
      </c>
      <c r="F12" s="49">
        <v>16982.2</v>
      </c>
      <c r="G12" s="49">
        <v>19126.349999999999</v>
      </c>
      <c r="H12" s="49">
        <v>26739.22</v>
      </c>
      <c r="I12" s="49">
        <f>18756.03-1754</f>
        <v>17002.03</v>
      </c>
      <c r="J12" s="49">
        <v>17586.669999999984</v>
      </c>
      <c r="K12" s="49"/>
      <c r="L12" s="49"/>
      <c r="M12" s="49"/>
      <c r="N12" s="49"/>
      <c r="O12" s="56"/>
      <c r="P12" s="49">
        <f>SUM(D12:O12)</f>
        <v>179745.11</v>
      </c>
      <c r="Q12" s="53">
        <f>+C12+P12</f>
        <v>439278.36</v>
      </c>
      <c r="R12" s="53">
        <v>3216000</v>
      </c>
      <c r="S12" s="53"/>
      <c r="T12" s="58">
        <f>+Q12/R12</f>
        <v>0.13659152985074627</v>
      </c>
      <c r="Y12" s="113"/>
    </row>
    <row r="13" spans="1:25" ht="12.75" x14ac:dyDescent="0.2">
      <c r="A13" s="113" t="s">
        <v>82</v>
      </c>
      <c r="B13" s="55" t="s">
        <v>65</v>
      </c>
      <c r="C13" s="53">
        <v>363759.35000000009</v>
      </c>
      <c r="D13" s="49">
        <v>19033.22</v>
      </c>
      <c r="E13" s="49">
        <v>208733.66</v>
      </c>
      <c r="F13" s="49">
        <v>-167942.08</v>
      </c>
      <c r="G13" s="49">
        <v>24304.59</v>
      </c>
      <c r="H13" s="49">
        <v>41286.03</v>
      </c>
      <c r="I13" s="49">
        <f>65350.9-37436.77</f>
        <v>27914.130000000005</v>
      </c>
      <c r="J13" s="49">
        <v>28338.829999999987</v>
      </c>
      <c r="K13" s="49"/>
      <c r="L13" s="49"/>
      <c r="M13" s="49"/>
      <c r="N13" s="49"/>
      <c r="O13" s="56"/>
      <c r="P13" s="49">
        <f t="shared" ref="P13:P15" si="1">SUM(D13:O13)</f>
        <v>181668.38</v>
      </c>
      <c r="Q13" s="53">
        <f t="shared" ref="Q13:Q15" si="2">+C13+P13</f>
        <v>545427.7300000001</v>
      </c>
      <c r="R13" s="56">
        <v>11563485</v>
      </c>
      <c r="S13" s="53"/>
      <c r="T13" s="70">
        <f>+Q13/R13</f>
        <v>4.7168109786971668E-2</v>
      </c>
      <c r="Y13" s="113"/>
    </row>
    <row r="14" spans="1:25" s="98" customFormat="1" ht="13.5" x14ac:dyDescent="0.2">
      <c r="A14" s="298" t="s">
        <v>95</v>
      </c>
      <c r="B14" s="55" t="s">
        <v>207</v>
      </c>
      <c r="C14" s="53">
        <v>612655.96</v>
      </c>
      <c r="D14" s="49">
        <v>222375.81</v>
      </c>
      <c r="E14" s="49">
        <v>7819.66</v>
      </c>
      <c r="F14" s="49">
        <v>-1837.09</v>
      </c>
      <c r="G14" s="49">
        <v>935.07</v>
      </c>
      <c r="H14" s="49">
        <v>19.52</v>
      </c>
      <c r="I14" s="49">
        <v>180.62</v>
      </c>
      <c r="J14" s="49">
        <v>215.44</v>
      </c>
      <c r="K14" s="49"/>
      <c r="L14" s="49"/>
      <c r="M14" s="49"/>
      <c r="N14" s="49"/>
      <c r="O14" s="56"/>
      <c r="P14" s="49">
        <f t="shared" si="1"/>
        <v>229709.03</v>
      </c>
      <c r="Q14" s="53">
        <f t="shared" si="2"/>
        <v>842364.99</v>
      </c>
      <c r="R14" s="53">
        <v>1750000</v>
      </c>
      <c r="S14" s="53"/>
      <c r="T14" s="58">
        <f>+Q14/R14</f>
        <v>0.48135142285714283</v>
      </c>
      <c r="Y14" s="298"/>
    </row>
    <row r="15" spans="1:25" ht="12.75" x14ac:dyDescent="0.2">
      <c r="A15" s="113"/>
      <c r="B15" s="55" t="s">
        <v>124</v>
      </c>
      <c r="C15" s="79">
        <v>3141762.6799999997</v>
      </c>
      <c r="D15" s="78">
        <f>-28009.54-72.63</f>
        <v>-28082.170000000002</v>
      </c>
      <c r="E15" s="49">
        <f>471830.17-24146.76</f>
        <v>447683.41</v>
      </c>
      <c r="F15" s="49">
        <f>285254.61-16252</f>
        <v>269002.61</v>
      </c>
      <c r="G15" s="49">
        <f>269847.65-29721.3</f>
        <v>240126.35000000003</v>
      </c>
      <c r="H15" s="49">
        <v>316697.78000000003</v>
      </c>
      <c r="I15" s="49">
        <f>505596.01-77673.81</f>
        <v>427922.2</v>
      </c>
      <c r="J15" s="49">
        <v>391198.92</v>
      </c>
      <c r="K15" s="49"/>
      <c r="L15" s="49"/>
      <c r="M15" s="49"/>
      <c r="N15" s="78"/>
      <c r="O15" s="56"/>
      <c r="P15" s="49">
        <f t="shared" si="1"/>
        <v>2064549.0999999999</v>
      </c>
      <c r="Q15" s="53">
        <f t="shared" si="2"/>
        <v>5206311.7799999993</v>
      </c>
      <c r="R15" s="56">
        <v>19353335</v>
      </c>
      <c r="S15" s="53"/>
      <c r="T15" s="71">
        <f>+Q15/R15</f>
        <v>0.26901367542079951</v>
      </c>
      <c r="Y15" s="113"/>
    </row>
    <row r="16" spans="1:25" ht="12.75" x14ac:dyDescent="0.2">
      <c r="A16" s="113"/>
      <c r="B16" s="63" t="s">
        <v>53</v>
      </c>
      <c r="C16" s="72">
        <f>SUM(C12:C15)</f>
        <v>4377711.24</v>
      </c>
      <c r="D16" s="64">
        <f>SUM(D12:D15)</f>
        <v>228120.84</v>
      </c>
      <c r="E16" s="64">
        <f>SUM(E12:E15)</f>
        <v>731751.3899999999</v>
      </c>
      <c r="F16" s="64">
        <f t="shared" ref="F16:R16" si="3">SUM(F12:F15)</f>
        <v>116205.64000000001</v>
      </c>
      <c r="G16" s="64">
        <f t="shared" si="3"/>
        <v>284492.36000000004</v>
      </c>
      <c r="H16" s="64">
        <f t="shared" si="3"/>
        <v>384742.55000000005</v>
      </c>
      <c r="I16" s="64">
        <f t="shared" si="3"/>
        <v>473018.98000000004</v>
      </c>
      <c r="J16" s="64">
        <f t="shared" si="3"/>
        <v>437339.86</v>
      </c>
      <c r="K16" s="64">
        <f t="shared" si="3"/>
        <v>0</v>
      </c>
      <c r="L16" s="64">
        <f t="shared" si="3"/>
        <v>0</v>
      </c>
      <c r="M16" s="64">
        <f t="shared" si="3"/>
        <v>0</v>
      </c>
      <c r="N16" s="64">
        <f t="shared" si="3"/>
        <v>0</v>
      </c>
      <c r="O16" s="64">
        <f t="shared" si="3"/>
        <v>0</v>
      </c>
      <c r="P16" s="110">
        <f t="shared" si="3"/>
        <v>2655671.62</v>
      </c>
      <c r="Q16" s="72">
        <f t="shared" si="3"/>
        <v>7033382.8599999994</v>
      </c>
      <c r="R16" s="65">
        <f t="shared" si="3"/>
        <v>35882820</v>
      </c>
      <c r="S16" s="65">
        <f>SUM(S12:S15)</f>
        <v>0</v>
      </c>
      <c r="T16" s="71">
        <f>+Q16/R16</f>
        <v>0.19600975787298766</v>
      </c>
      <c r="Y16" s="113"/>
    </row>
    <row r="17" spans="1:25" ht="5.15" customHeight="1" x14ac:dyDescent="0.2">
      <c r="A17" s="113"/>
      <c r="B17" s="40"/>
      <c r="C17" s="53"/>
      <c r="D17" s="49"/>
      <c r="E17" s="49"/>
      <c r="F17" s="49"/>
      <c r="G17" s="49"/>
      <c r="H17" s="49"/>
      <c r="I17" s="49"/>
      <c r="J17" s="49"/>
      <c r="K17" s="49"/>
      <c r="L17" s="49"/>
      <c r="M17" s="49"/>
      <c r="N17" s="49"/>
      <c r="O17" s="50"/>
      <c r="P17" s="56"/>
      <c r="Q17" s="53"/>
      <c r="R17" s="53"/>
      <c r="S17" s="53"/>
      <c r="T17" s="73"/>
      <c r="Y17" s="113"/>
    </row>
    <row r="18" spans="1:25" ht="12.75" x14ac:dyDescent="0.2">
      <c r="A18" s="113"/>
      <c r="B18" s="171" t="s">
        <v>106</v>
      </c>
      <c r="C18" s="53"/>
      <c r="D18" s="49"/>
      <c r="E18" s="49"/>
      <c r="F18" s="49"/>
      <c r="G18" s="49"/>
      <c r="H18" s="49"/>
      <c r="I18" s="49"/>
      <c r="J18" s="49"/>
      <c r="K18" s="49"/>
      <c r="L18" s="49"/>
      <c r="M18" s="49"/>
      <c r="N18" s="49"/>
      <c r="O18" s="56"/>
      <c r="P18" s="56"/>
      <c r="Q18" s="53"/>
      <c r="R18" s="53"/>
      <c r="S18" s="74"/>
      <c r="T18" s="73"/>
      <c r="Y18" s="113"/>
    </row>
    <row r="19" spans="1:25" ht="12.75" x14ac:dyDescent="0.2">
      <c r="A19" s="113" t="s">
        <v>78</v>
      </c>
      <c r="B19" s="55" t="s">
        <v>54</v>
      </c>
      <c r="C19" s="79">
        <v>315886.61000000004</v>
      </c>
      <c r="D19" s="49">
        <v>22028.63</v>
      </c>
      <c r="E19" s="49">
        <v>209397.89</v>
      </c>
      <c r="F19" s="82">
        <v>-163794.75</v>
      </c>
      <c r="G19" s="49">
        <v>26025.96</v>
      </c>
      <c r="H19" s="49">
        <v>42433.37</v>
      </c>
      <c r="I19" s="49">
        <v>28839.67</v>
      </c>
      <c r="J19" s="49">
        <v>29116.26</v>
      </c>
      <c r="K19" s="49"/>
      <c r="L19" s="49"/>
      <c r="M19" s="49"/>
      <c r="N19" s="49"/>
      <c r="O19" s="56"/>
      <c r="P19" s="49">
        <f>SUM(D19:O19)</f>
        <v>194047.03000000003</v>
      </c>
      <c r="Q19" s="53">
        <f>+C19+P19</f>
        <v>509933.64000000007</v>
      </c>
      <c r="R19" s="75">
        <v>1187700</v>
      </c>
      <c r="S19" s="76"/>
      <c r="T19" s="71">
        <f>+Q19/R19</f>
        <v>0.42934549128567828</v>
      </c>
      <c r="Y19" s="113"/>
    </row>
    <row r="20" spans="1:25" ht="12.75" x14ac:dyDescent="0.2">
      <c r="A20" s="113"/>
      <c r="B20" s="63" t="s">
        <v>55</v>
      </c>
      <c r="C20" s="72">
        <f>C19</f>
        <v>315886.61000000004</v>
      </c>
      <c r="D20" s="64">
        <f>D19</f>
        <v>22028.63</v>
      </c>
      <c r="E20" s="64">
        <f>E19</f>
        <v>209397.89</v>
      </c>
      <c r="F20" s="64">
        <f t="shared" ref="F20:R20" si="4">F19</f>
        <v>-163794.75</v>
      </c>
      <c r="G20" s="64">
        <f t="shared" si="4"/>
        <v>26025.96</v>
      </c>
      <c r="H20" s="64">
        <f t="shared" si="4"/>
        <v>42433.37</v>
      </c>
      <c r="I20" s="64">
        <f t="shared" si="4"/>
        <v>28839.67</v>
      </c>
      <c r="J20" s="64">
        <f t="shared" si="4"/>
        <v>29116.26</v>
      </c>
      <c r="K20" s="64">
        <f t="shared" si="4"/>
        <v>0</v>
      </c>
      <c r="L20" s="64">
        <f t="shared" si="4"/>
        <v>0</v>
      </c>
      <c r="M20" s="64">
        <f t="shared" si="4"/>
        <v>0</v>
      </c>
      <c r="N20" s="64">
        <f t="shared" si="4"/>
        <v>0</v>
      </c>
      <c r="O20" s="64">
        <f t="shared" si="4"/>
        <v>0</v>
      </c>
      <c r="P20" s="72">
        <f t="shared" si="4"/>
        <v>194047.03000000003</v>
      </c>
      <c r="Q20" s="65">
        <f t="shared" si="4"/>
        <v>509933.64000000007</v>
      </c>
      <c r="R20" s="65">
        <f t="shared" si="4"/>
        <v>1187700</v>
      </c>
      <c r="S20" s="65">
        <f>S19</f>
        <v>0</v>
      </c>
      <c r="T20" s="80">
        <f>+Q20/R20</f>
        <v>0.42934549128567828</v>
      </c>
      <c r="Y20" s="113"/>
    </row>
    <row r="21" spans="1:25" ht="3" customHeight="1" x14ac:dyDescent="0.25">
      <c r="A21" s="113"/>
      <c r="B21" s="55"/>
      <c r="C21" s="53"/>
      <c r="D21" s="49"/>
      <c r="E21" s="49"/>
      <c r="F21" s="49"/>
      <c r="G21" s="49"/>
      <c r="H21" s="49"/>
      <c r="I21" s="49"/>
      <c r="J21" s="49"/>
      <c r="K21" s="377"/>
      <c r="L21" s="49"/>
      <c r="M21" s="49"/>
      <c r="N21" s="49"/>
      <c r="O21" s="50"/>
      <c r="P21" s="56"/>
      <c r="Q21" s="53"/>
      <c r="R21" s="57"/>
      <c r="S21" s="57"/>
      <c r="T21" s="81"/>
      <c r="Y21" s="113"/>
    </row>
    <row r="22" spans="1:25" ht="12.75" x14ac:dyDescent="0.2">
      <c r="A22" s="113"/>
      <c r="B22" s="48" t="s">
        <v>107</v>
      </c>
      <c r="C22" s="53"/>
      <c r="D22" s="49"/>
      <c r="E22" s="49"/>
      <c r="F22" s="49"/>
      <c r="G22" s="49"/>
      <c r="H22" s="49"/>
      <c r="I22" s="49"/>
      <c r="J22" s="49"/>
      <c r="K22" s="49"/>
      <c r="L22" s="49"/>
      <c r="M22" s="49"/>
      <c r="N22" s="49"/>
      <c r="O22" s="56"/>
      <c r="P22" s="56"/>
      <c r="Q22" s="53"/>
      <c r="R22" s="53"/>
      <c r="S22" s="53"/>
      <c r="T22" s="54"/>
      <c r="Y22" s="113"/>
    </row>
    <row r="23" spans="1:25" ht="12.75" x14ac:dyDescent="0.2">
      <c r="A23" s="113" t="s">
        <v>79</v>
      </c>
      <c r="B23" s="55" t="s">
        <v>108</v>
      </c>
      <c r="C23" s="53">
        <v>1224635.1200000001</v>
      </c>
      <c r="D23" s="49">
        <v>174706.46</v>
      </c>
      <c r="E23" s="49">
        <v>242003.78</v>
      </c>
      <c r="F23" s="82">
        <v>128887.61</v>
      </c>
      <c r="G23" s="49">
        <v>240457.39</v>
      </c>
      <c r="H23" s="49">
        <v>189448.4</v>
      </c>
      <c r="I23" s="49">
        <v>190712.32000000001</v>
      </c>
      <c r="J23" s="49">
        <v>189383.03</v>
      </c>
      <c r="K23" s="49"/>
      <c r="L23" s="49"/>
      <c r="M23" s="49"/>
      <c r="N23" s="49"/>
      <c r="O23" s="56"/>
      <c r="P23" s="49">
        <f>SUM(D23:O23)</f>
        <v>1355598.99</v>
      </c>
      <c r="Q23" s="53">
        <f>+C23+P23</f>
        <v>2580234.1100000003</v>
      </c>
      <c r="R23" s="53">
        <v>26297459</v>
      </c>
      <c r="S23" s="53"/>
      <c r="T23" s="58">
        <f>Q23/R23</f>
        <v>9.8117240528828295E-2</v>
      </c>
      <c r="Y23" s="113"/>
    </row>
    <row r="24" spans="1:25" ht="12.75" x14ac:dyDescent="0.2">
      <c r="A24" s="113" t="s">
        <v>88</v>
      </c>
      <c r="B24" s="55" t="s">
        <v>56</v>
      </c>
      <c r="C24" s="79">
        <v>114274.40000000002</v>
      </c>
      <c r="D24" s="49">
        <v>20515.939999999999</v>
      </c>
      <c r="E24" s="49">
        <v>18430.95</v>
      </c>
      <c r="F24" s="49">
        <v>17564.91</v>
      </c>
      <c r="G24" s="49">
        <v>17865.580000000002</v>
      </c>
      <c r="H24" s="49">
        <v>16507.509999999998</v>
      </c>
      <c r="I24" s="49">
        <v>55061.36</v>
      </c>
      <c r="J24" s="49">
        <v>18755.52</v>
      </c>
      <c r="K24" s="49"/>
      <c r="L24" s="49"/>
      <c r="M24" s="49"/>
      <c r="N24" s="49"/>
      <c r="O24" s="56"/>
      <c r="P24" s="49">
        <f>SUM(D24:O24)</f>
        <v>164701.76999999999</v>
      </c>
      <c r="Q24" s="53">
        <f>+C24+P24</f>
        <v>278976.17000000004</v>
      </c>
      <c r="R24" s="75">
        <v>3749238</v>
      </c>
      <c r="S24" s="75"/>
      <c r="T24" s="71">
        <f>Q24/R24</f>
        <v>7.4408765194420856E-2</v>
      </c>
      <c r="Y24" s="113"/>
    </row>
    <row r="25" spans="1:25" ht="12.75" x14ac:dyDescent="0.2">
      <c r="A25" s="113"/>
      <c r="B25" s="63" t="s">
        <v>57</v>
      </c>
      <c r="C25" s="72">
        <f>SUM(C23:C24)</f>
        <v>1338909.52</v>
      </c>
      <c r="D25" s="64">
        <f>SUM(D23:D24)</f>
        <v>195222.39999999999</v>
      </c>
      <c r="E25" s="64">
        <f>SUM(E23:E24)</f>
        <v>260434.73</v>
      </c>
      <c r="F25" s="64">
        <f t="shared" ref="F25:S25" si="5">SUM(F23:F24)</f>
        <v>146452.51999999999</v>
      </c>
      <c r="G25" s="64">
        <f t="shared" si="5"/>
        <v>258322.97000000003</v>
      </c>
      <c r="H25" s="64">
        <f t="shared" si="5"/>
        <v>205955.91</v>
      </c>
      <c r="I25" s="64">
        <f t="shared" si="5"/>
        <v>245773.68</v>
      </c>
      <c r="J25" s="64">
        <f t="shared" si="5"/>
        <v>208138.55</v>
      </c>
      <c r="K25" s="64">
        <f t="shared" si="5"/>
        <v>0</v>
      </c>
      <c r="L25" s="64">
        <f t="shared" si="5"/>
        <v>0</v>
      </c>
      <c r="M25" s="64">
        <f t="shared" si="5"/>
        <v>0</v>
      </c>
      <c r="N25" s="64">
        <f t="shared" si="5"/>
        <v>0</v>
      </c>
      <c r="O25" s="64">
        <f t="shared" si="5"/>
        <v>0</v>
      </c>
      <c r="P25" s="72">
        <f t="shared" si="5"/>
        <v>1520300.76</v>
      </c>
      <c r="Q25" s="110">
        <f t="shared" si="5"/>
        <v>2859210.2800000003</v>
      </c>
      <c r="R25" s="72">
        <f t="shared" si="5"/>
        <v>30046697</v>
      </c>
      <c r="S25" s="72">
        <f t="shared" si="5"/>
        <v>0</v>
      </c>
      <c r="T25" s="71">
        <f>+Q25/R25</f>
        <v>9.5158888179955367E-2</v>
      </c>
      <c r="Y25" s="113"/>
    </row>
    <row r="26" spans="1:25" ht="3" customHeight="1" x14ac:dyDescent="0.2">
      <c r="A26" s="113"/>
      <c r="B26" s="55"/>
      <c r="C26" s="53"/>
      <c r="D26" s="49"/>
      <c r="E26" s="49"/>
      <c r="F26" s="49"/>
      <c r="G26" s="49"/>
      <c r="H26" s="49"/>
      <c r="I26" s="49"/>
      <c r="J26" s="49"/>
      <c r="K26" s="49"/>
      <c r="L26" s="49"/>
      <c r="M26" s="49"/>
      <c r="N26" s="49"/>
      <c r="O26" s="50"/>
      <c r="P26" s="56"/>
      <c r="Q26" s="53"/>
      <c r="R26" s="53"/>
      <c r="S26" s="53"/>
      <c r="T26" s="73"/>
      <c r="Y26" s="113"/>
    </row>
    <row r="27" spans="1:25" ht="12.75" x14ac:dyDescent="0.2">
      <c r="A27" s="113"/>
      <c r="B27" s="112" t="s">
        <v>109</v>
      </c>
      <c r="C27" s="53"/>
      <c r="D27" s="49"/>
      <c r="E27" s="49"/>
      <c r="F27" s="49"/>
      <c r="G27" s="49"/>
      <c r="H27" s="49"/>
      <c r="I27" s="49"/>
      <c r="J27" s="49"/>
      <c r="K27" s="49"/>
      <c r="L27" s="49"/>
      <c r="M27" s="49"/>
      <c r="N27" s="49"/>
      <c r="O27" s="56"/>
      <c r="P27" s="56"/>
      <c r="Q27" s="53"/>
      <c r="R27" s="53"/>
      <c r="S27" s="53"/>
      <c r="T27" s="73"/>
      <c r="Y27" s="113"/>
    </row>
    <row r="28" spans="1:25" ht="12.75" x14ac:dyDescent="0.2">
      <c r="A28" s="113" t="s">
        <v>81</v>
      </c>
      <c r="B28" s="55" t="s">
        <v>177</v>
      </c>
      <c r="C28" s="53">
        <v>53199.799999999988</v>
      </c>
      <c r="D28" s="49">
        <v>9524.7199999999993</v>
      </c>
      <c r="E28" s="49">
        <v>5554.39</v>
      </c>
      <c r="F28" s="49">
        <v>8739.16</v>
      </c>
      <c r="G28" s="49">
        <v>11238.57</v>
      </c>
      <c r="H28" s="49">
        <v>7355.71</v>
      </c>
      <c r="I28" s="49">
        <v>6841.37</v>
      </c>
      <c r="J28" s="49">
        <v>8365.42</v>
      </c>
      <c r="K28" s="49"/>
      <c r="L28" s="49"/>
      <c r="M28" s="49"/>
      <c r="N28" s="49"/>
      <c r="O28" s="56"/>
      <c r="P28" s="56">
        <f t="shared" ref="P28:P30" si="6">SUM(D28:O28)</f>
        <v>57619.34</v>
      </c>
      <c r="Q28" s="83">
        <f t="shared" ref="Q28:Q30" si="7">+C28+P28</f>
        <v>110819.13999999998</v>
      </c>
      <c r="R28" s="53">
        <v>2458336</v>
      </c>
      <c r="S28" s="53"/>
      <c r="T28" s="84">
        <f>Q28/R28</f>
        <v>4.5078923304218782E-2</v>
      </c>
      <c r="Y28" s="113"/>
    </row>
    <row r="29" spans="1:25" ht="12.75" x14ac:dyDescent="0.2">
      <c r="A29" s="113"/>
      <c r="B29" s="55" t="s">
        <v>110</v>
      </c>
      <c r="C29" s="53">
        <v>48436.31</v>
      </c>
      <c r="D29" s="49">
        <v>347.62</v>
      </c>
      <c r="E29" s="49">
        <v>4847.78</v>
      </c>
      <c r="F29" s="49">
        <v>7731.09</v>
      </c>
      <c r="G29" s="49">
        <v>2663.97</v>
      </c>
      <c r="H29" s="49">
        <v>6515.07</v>
      </c>
      <c r="I29" s="49">
        <v>6404.05</v>
      </c>
      <c r="J29" s="49">
        <v>7607.14</v>
      </c>
      <c r="K29" s="49"/>
      <c r="L29" s="49"/>
      <c r="M29" s="49"/>
      <c r="N29" s="49"/>
      <c r="O29" s="56"/>
      <c r="P29" s="56">
        <f t="shared" si="6"/>
        <v>36116.720000000001</v>
      </c>
      <c r="Q29" s="83">
        <f t="shared" si="7"/>
        <v>84553.03</v>
      </c>
      <c r="R29" s="53">
        <v>2458336</v>
      </c>
      <c r="S29" s="53"/>
      <c r="T29" s="84">
        <f>Q29/R29</f>
        <v>3.439441557215938E-2</v>
      </c>
      <c r="Y29" s="113"/>
    </row>
    <row r="30" spans="1:25" x14ac:dyDescent="0.25">
      <c r="A30" s="175" t="s">
        <v>98</v>
      </c>
      <c r="B30" s="55" t="s">
        <v>111</v>
      </c>
      <c r="C30" s="79">
        <v>45548.18</v>
      </c>
      <c r="D30" s="49">
        <v>2954.74</v>
      </c>
      <c r="E30" s="49">
        <v>2524.7199999999998</v>
      </c>
      <c r="F30" s="49">
        <v>1082</v>
      </c>
      <c r="G30" s="49">
        <v>3787.82</v>
      </c>
      <c r="H30" s="49">
        <v>9723.09</v>
      </c>
      <c r="I30" s="49">
        <v>7717.38</v>
      </c>
      <c r="J30" s="49">
        <v>9936.85</v>
      </c>
      <c r="K30" s="49"/>
      <c r="L30" s="49"/>
      <c r="M30" s="49"/>
      <c r="N30" s="49"/>
      <c r="O30" s="56"/>
      <c r="P30" s="56">
        <f t="shared" si="6"/>
        <v>37726.6</v>
      </c>
      <c r="Q30" s="83">
        <f t="shared" si="7"/>
        <v>83274.78</v>
      </c>
      <c r="R30" s="53">
        <v>3000000</v>
      </c>
      <c r="S30" s="53"/>
      <c r="T30" s="86">
        <f>Q30/R30</f>
        <v>2.775826E-2</v>
      </c>
      <c r="Y30" s="113"/>
    </row>
    <row r="31" spans="1:25" x14ac:dyDescent="0.25">
      <c r="A31" s="113"/>
      <c r="B31" s="63" t="s">
        <v>58</v>
      </c>
      <c r="C31" s="72">
        <f t="shared" ref="C31:S31" si="8">SUM(C28:C30)</f>
        <v>147184.28999999998</v>
      </c>
      <c r="D31" s="64">
        <f t="shared" si="8"/>
        <v>12827.08</v>
      </c>
      <c r="E31" s="64">
        <f t="shared" si="8"/>
        <v>12926.89</v>
      </c>
      <c r="F31" s="64">
        <f t="shared" si="8"/>
        <v>17552.25</v>
      </c>
      <c r="G31" s="64">
        <f t="shared" si="8"/>
        <v>17690.36</v>
      </c>
      <c r="H31" s="64">
        <f t="shared" si="8"/>
        <v>23593.87</v>
      </c>
      <c r="I31" s="64">
        <f t="shared" si="8"/>
        <v>20962.8</v>
      </c>
      <c r="J31" s="64">
        <f t="shared" si="8"/>
        <v>25909.410000000003</v>
      </c>
      <c r="K31" s="64">
        <f t="shared" si="8"/>
        <v>0</v>
      </c>
      <c r="L31" s="64">
        <f t="shared" si="8"/>
        <v>0</v>
      </c>
      <c r="M31" s="64">
        <f t="shared" si="8"/>
        <v>0</v>
      </c>
      <c r="N31" s="64">
        <f t="shared" si="8"/>
        <v>0</v>
      </c>
      <c r="O31" s="65">
        <f t="shared" si="8"/>
        <v>0</v>
      </c>
      <c r="P31" s="65">
        <f t="shared" si="8"/>
        <v>131462.66</v>
      </c>
      <c r="Q31" s="72">
        <f t="shared" si="8"/>
        <v>278646.94999999995</v>
      </c>
      <c r="R31" s="72">
        <f t="shared" si="8"/>
        <v>7916672</v>
      </c>
      <c r="S31" s="72">
        <f t="shared" si="8"/>
        <v>0</v>
      </c>
      <c r="T31" s="87">
        <f>Q31/R31</f>
        <v>3.5197485761693799E-2</v>
      </c>
      <c r="Y31" s="113"/>
    </row>
    <row r="32" spans="1:25" ht="3" customHeight="1" x14ac:dyDescent="0.25">
      <c r="A32" s="113"/>
      <c r="B32" s="55"/>
      <c r="C32" s="53"/>
      <c r="D32" s="49"/>
      <c r="E32" s="49"/>
      <c r="F32" s="49"/>
      <c r="G32" s="49"/>
      <c r="H32" s="49"/>
      <c r="I32" s="49"/>
      <c r="J32" s="49"/>
      <c r="K32" s="49"/>
      <c r="L32" s="49"/>
      <c r="M32" s="49"/>
      <c r="N32" s="49"/>
      <c r="O32" s="50"/>
      <c r="P32" s="56"/>
      <c r="Q32" s="53"/>
      <c r="R32" s="53"/>
      <c r="S32" s="53"/>
      <c r="T32" s="73"/>
      <c r="Y32" s="113"/>
    </row>
    <row r="33" spans="1:25" ht="12.75" customHeight="1" x14ac:dyDescent="0.25">
      <c r="A33" s="113"/>
      <c r="B33" s="171" t="s">
        <v>166</v>
      </c>
      <c r="C33" s="53"/>
      <c r="D33" s="49"/>
      <c r="E33" s="49"/>
      <c r="F33" s="49"/>
      <c r="G33" s="49"/>
      <c r="H33" s="49"/>
      <c r="I33" s="49"/>
      <c r="J33" s="49"/>
      <c r="K33" s="49"/>
      <c r="L33" s="49"/>
      <c r="M33" s="49"/>
      <c r="N33" s="49"/>
      <c r="O33" s="56"/>
      <c r="P33" s="56"/>
      <c r="Q33" s="53"/>
      <c r="R33" s="53"/>
      <c r="S33" s="53"/>
      <c r="T33" s="73"/>
      <c r="Y33" s="113"/>
    </row>
    <row r="34" spans="1:25" x14ac:dyDescent="0.25">
      <c r="A34" s="175" t="s">
        <v>87</v>
      </c>
      <c r="B34" s="55" t="s">
        <v>112</v>
      </c>
      <c r="C34" s="53">
        <v>774400.97</v>
      </c>
      <c r="D34" s="49">
        <v>142377.42000000001</v>
      </c>
      <c r="E34" s="49">
        <v>295831.96000000002</v>
      </c>
      <c r="F34" s="82">
        <v>410664.65</v>
      </c>
      <c r="G34" s="49">
        <v>91550.01</v>
      </c>
      <c r="H34" s="49">
        <v>121499.57</v>
      </c>
      <c r="I34" s="49">
        <v>160164.24</v>
      </c>
      <c r="J34" s="49">
        <v>125995.44</v>
      </c>
      <c r="K34" s="49"/>
      <c r="L34" s="49"/>
      <c r="M34" s="49"/>
      <c r="N34" s="49"/>
      <c r="O34" s="56"/>
      <c r="P34" s="49">
        <f t="shared" ref="P34:P35" si="9">SUM(D34:O34)</f>
        <v>1348083.29</v>
      </c>
      <c r="Q34" s="53">
        <f t="shared" ref="Q34:Q35" si="10">+C34+P34</f>
        <v>2122484.2599999998</v>
      </c>
      <c r="R34" s="53">
        <v>14520981</v>
      </c>
      <c r="S34" s="53"/>
      <c r="T34" s="85">
        <f>Q34/R34</f>
        <v>0.14616672661440711</v>
      </c>
      <c r="Y34" s="113"/>
    </row>
    <row r="35" spans="1:25" x14ac:dyDescent="0.25">
      <c r="A35" s="175"/>
      <c r="B35" s="55" t="s">
        <v>113</v>
      </c>
      <c r="C35" s="339">
        <v>0</v>
      </c>
      <c r="D35" s="337">
        <v>0</v>
      </c>
      <c r="E35" s="337">
        <v>0</v>
      </c>
      <c r="F35" s="382">
        <v>0</v>
      </c>
      <c r="G35" s="337">
        <v>0</v>
      </c>
      <c r="H35" s="337">
        <v>0</v>
      </c>
      <c r="I35" s="337">
        <v>0</v>
      </c>
      <c r="J35" s="337">
        <v>0</v>
      </c>
      <c r="K35" s="49"/>
      <c r="L35" s="49"/>
      <c r="M35" s="49"/>
      <c r="N35" s="49"/>
      <c r="O35" s="49"/>
      <c r="P35" s="339">
        <f t="shared" si="9"/>
        <v>0</v>
      </c>
      <c r="Q35" s="53">
        <f t="shared" si="10"/>
        <v>0</v>
      </c>
      <c r="R35" s="49">
        <v>1200000</v>
      </c>
      <c r="S35" s="53"/>
      <c r="T35" s="87">
        <f>Q35/R35</f>
        <v>0</v>
      </c>
      <c r="Y35" s="113"/>
    </row>
    <row r="36" spans="1:25" x14ac:dyDescent="0.25">
      <c r="A36" s="113"/>
      <c r="B36" s="63" t="s">
        <v>59</v>
      </c>
      <c r="C36" s="72">
        <f>SUM(C34:C35)</f>
        <v>774400.97</v>
      </c>
      <c r="D36" s="64">
        <f>SUM(D34:D35)</f>
        <v>142377.42000000001</v>
      </c>
      <c r="E36" s="64">
        <f>SUM(E34:E35)</f>
        <v>295831.96000000002</v>
      </c>
      <c r="F36" s="64">
        <f t="shared" ref="F36:S36" si="11">SUM(F34:F35)</f>
        <v>410664.65</v>
      </c>
      <c r="G36" s="64">
        <f t="shared" si="11"/>
        <v>91550.01</v>
      </c>
      <c r="H36" s="64">
        <f t="shared" si="11"/>
        <v>121499.57</v>
      </c>
      <c r="I36" s="64">
        <f t="shared" si="11"/>
        <v>160164.24</v>
      </c>
      <c r="J36" s="64">
        <f t="shared" si="11"/>
        <v>125995.44</v>
      </c>
      <c r="K36" s="64">
        <f t="shared" si="11"/>
        <v>0</v>
      </c>
      <c r="L36" s="64">
        <f t="shared" si="11"/>
        <v>0</v>
      </c>
      <c r="M36" s="64">
        <f t="shared" si="11"/>
        <v>0</v>
      </c>
      <c r="N36" s="64">
        <f t="shared" si="11"/>
        <v>0</v>
      </c>
      <c r="O36" s="64">
        <f t="shared" si="11"/>
        <v>0</v>
      </c>
      <c r="P36" s="72">
        <f t="shared" si="11"/>
        <v>1348083.29</v>
      </c>
      <c r="Q36" s="64">
        <f t="shared" si="11"/>
        <v>2122484.2599999998</v>
      </c>
      <c r="R36" s="72">
        <f t="shared" si="11"/>
        <v>15720981</v>
      </c>
      <c r="S36" s="72">
        <f t="shared" si="11"/>
        <v>0</v>
      </c>
      <c r="T36" s="87">
        <f>Q36/R36</f>
        <v>0.13500965747620963</v>
      </c>
      <c r="Y36" s="113"/>
    </row>
    <row r="37" spans="1:25" ht="3" customHeight="1" x14ac:dyDescent="0.25">
      <c r="A37" s="113"/>
      <c r="B37" s="55"/>
      <c r="C37" s="53"/>
      <c r="D37" s="49"/>
      <c r="E37" s="49"/>
      <c r="F37" s="49"/>
      <c r="G37" s="49"/>
      <c r="H37" s="49"/>
      <c r="I37" s="49"/>
      <c r="J37" s="49"/>
      <c r="K37" s="49"/>
      <c r="L37" s="49"/>
      <c r="M37" s="49"/>
      <c r="N37" s="49"/>
      <c r="O37" s="50"/>
      <c r="P37" s="56"/>
      <c r="Q37" s="53"/>
      <c r="R37" s="57"/>
      <c r="S37" s="57"/>
      <c r="T37" s="88"/>
      <c r="Y37" s="113"/>
    </row>
    <row r="38" spans="1:25" ht="12.75" customHeight="1" x14ac:dyDescent="0.25">
      <c r="A38" s="113"/>
      <c r="B38" s="48" t="s">
        <v>114</v>
      </c>
      <c r="C38" s="53"/>
      <c r="D38" s="49"/>
      <c r="E38" s="49"/>
      <c r="F38" s="90"/>
      <c r="G38" s="49"/>
      <c r="H38" s="49"/>
      <c r="I38" s="49"/>
      <c r="J38" s="49"/>
      <c r="K38" s="49"/>
      <c r="L38" s="49"/>
      <c r="M38" s="49"/>
      <c r="N38" s="49"/>
      <c r="O38" s="56"/>
      <c r="P38" s="56"/>
      <c r="Q38" s="53"/>
      <c r="R38" s="53"/>
      <c r="S38" s="53"/>
      <c r="T38" s="85"/>
      <c r="Y38" s="113"/>
    </row>
    <row r="39" spans="1:25" ht="12.75" customHeight="1" x14ac:dyDescent="0.25">
      <c r="A39" s="113"/>
      <c r="B39" s="55" t="s">
        <v>122</v>
      </c>
      <c r="C39" s="53">
        <v>3360000</v>
      </c>
      <c r="D39" s="337">
        <v>0</v>
      </c>
      <c r="E39" s="337">
        <v>0</v>
      </c>
      <c r="F39" s="49">
        <v>140000</v>
      </c>
      <c r="G39" s="337">
        <v>0</v>
      </c>
      <c r="H39" s="337">
        <v>0</v>
      </c>
      <c r="I39" s="49">
        <v>-140000</v>
      </c>
      <c r="J39" s="337">
        <v>0</v>
      </c>
      <c r="K39" s="49"/>
      <c r="L39" s="49"/>
      <c r="M39" s="49"/>
      <c r="N39" s="49"/>
      <c r="O39" s="56"/>
      <c r="P39" s="414">
        <f t="shared" ref="P39:P42" si="12">SUM(D39:O39)</f>
        <v>0</v>
      </c>
      <c r="Q39" s="53">
        <f t="shared" ref="Q39:Q42" si="13">+C39+P39</f>
        <v>3360000</v>
      </c>
      <c r="R39" s="53">
        <v>3500000</v>
      </c>
      <c r="S39" s="53"/>
      <c r="T39" s="85">
        <f>Q39/R39</f>
        <v>0.96</v>
      </c>
      <c r="Y39" s="113"/>
    </row>
    <row r="40" spans="1:25" ht="13.5" x14ac:dyDescent="0.25">
      <c r="A40" s="113" t="s">
        <v>85</v>
      </c>
      <c r="B40" s="55" t="s">
        <v>123</v>
      </c>
      <c r="C40" s="53">
        <v>1085822.0399999998</v>
      </c>
      <c r="D40" s="337">
        <f>100899.18+616.79-625.75+72.63</f>
        <v>100962.84999999999</v>
      </c>
      <c r="E40" s="49">
        <f>59910.76+61.11+23.78</f>
        <v>59995.65</v>
      </c>
      <c r="F40" s="49">
        <v>45450.38</v>
      </c>
      <c r="G40" s="49">
        <v>54020.77</v>
      </c>
      <c r="H40" s="49">
        <f>54406.72+84.79</f>
        <v>54491.51</v>
      </c>
      <c r="I40" s="49">
        <v>53164.34</v>
      </c>
      <c r="J40" s="49">
        <v>83229.83</v>
      </c>
      <c r="K40" s="49"/>
      <c r="L40" s="49"/>
      <c r="M40" s="49"/>
      <c r="N40" s="49"/>
      <c r="O40" s="56"/>
      <c r="P40" s="56">
        <f t="shared" si="12"/>
        <v>451315.33</v>
      </c>
      <c r="Q40" s="53">
        <f t="shared" si="13"/>
        <v>1537137.3699999999</v>
      </c>
      <c r="R40" s="53">
        <v>13000000</v>
      </c>
      <c r="S40" s="53"/>
      <c r="T40" s="85">
        <f>(Q40+Q41)/R40</f>
        <v>0.37091395153846157</v>
      </c>
      <c r="Y40" s="113"/>
    </row>
    <row r="41" spans="1:25" ht="13.5" x14ac:dyDescent="0.25">
      <c r="A41" s="113"/>
      <c r="B41" s="55" t="s">
        <v>217</v>
      </c>
      <c r="C41" s="53">
        <v>2073420.23</v>
      </c>
      <c r="D41" s="337">
        <f>-913.8+625.75</f>
        <v>-288.04999999999995</v>
      </c>
      <c r="E41" s="49">
        <f>28314.36-23.78</f>
        <v>28290.58</v>
      </c>
      <c r="F41" s="49">
        <v>64204.32</v>
      </c>
      <c r="G41" s="49">
        <v>202135.76</v>
      </c>
      <c r="H41" s="49">
        <v>540836.47</v>
      </c>
      <c r="I41" s="49">
        <v>298400.31</v>
      </c>
      <c r="J41" s="49">
        <v>77744.38</v>
      </c>
      <c r="K41" s="49"/>
      <c r="L41" s="49"/>
      <c r="M41" s="49"/>
      <c r="N41" s="49"/>
      <c r="O41" s="56"/>
      <c r="P41" s="56">
        <f t="shared" si="12"/>
        <v>1211323.77</v>
      </c>
      <c r="Q41" s="53">
        <f t="shared" si="13"/>
        <v>3284744</v>
      </c>
      <c r="R41" s="53">
        <v>0</v>
      </c>
      <c r="S41" s="53"/>
      <c r="T41" s="85"/>
      <c r="Y41" s="113"/>
    </row>
    <row r="42" spans="1:25" x14ac:dyDescent="0.25">
      <c r="A42" s="113" t="s">
        <v>84</v>
      </c>
      <c r="B42" s="55" t="s">
        <v>115</v>
      </c>
      <c r="C42" s="79">
        <v>78720.12</v>
      </c>
      <c r="D42" s="337">
        <v>5667.41</v>
      </c>
      <c r="E42" s="49">
        <v>2731.23</v>
      </c>
      <c r="F42" s="49">
        <v>17841.05</v>
      </c>
      <c r="G42" s="49">
        <v>6345.27</v>
      </c>
      <c r="H42" s="49">
        <v>3116.99</v>
      </c>
      <c r="I42" s="49">
        <v>4366.26</v>
      </c>
      <c r="J42" s="49">
        <v>4658.24</v>
      </c>
      <c r="K42" s="49"/>
      <c r="L42" s="49"/>
      <c r="M42" s="49"/>
      <c r="N42" s="49"/>
      <c r="O42" s="56"/>
      <c r="P42" s="56">
        <f t="shared" si="12"/>
        <v>44726.45</v>
      </c>
      <c r="Q42" s="53">
        <f t="shared" si="13"/>
        <v>123446.56999999999</v>
      </c>
      <c r="R42" s="53">
        <v>771993</v>
      </c>
      <c r="S42" s="53"/>
      <c r="T42" s="85">
        <f>Q42/R42</f>
        <v>0.15990633334758217</v>
      </c>
      <c r="Y42" s="113"/>
    </row>
    <row r="43" spans="1:25" x14ac:dyDescent="0.25">
      <c r="A43" s="113"/>
      <c r="B43" s="63" t="s">
        <v>60</v>
      </c>
      <c r="C43" s="72">
        <f t="shared" ref="C43:S43" si="14">SUM(C39:C42)</f>
        <v>6597962.3899999997</v>
      </c>
      <c r="D43" s="64">
        <f t="shared" si="14"/>
        <v>106342.20999999999</v>
      </c>
      <c r="E43" s="64">
        <f t="shared" si="14"/>
        <v>91017.46</v>
      </c>
      <c r="F43" s="64">
        <f t="shared" si="14"/>
        <v>267495.75</v>
      </c>
      <c r="G43" s="64">
        <f t="shared" si="14"/>
        <v>262501.8</v>
      </c>
      <c r="H43" s="64">
        <f t="shared" si="14"/>
        <v>598444.97</v>
      </c>
      <c r="I43" s="64">
        <f t="shared" si="14"/>
        <v>215930.91</v>
      </c>
      <c r="J43" s="64">
        <f t="shared" si="14"/>
        <v>165632.45000000001</v>
      </c>
      <c r="K43" s="64">
        <f t="shared" si="14"/>
        <v>0</v>
      </c>
      <c r="L43" s="64">
        <f t="shared" si="14"/>
        <v>0</v>
      </c>
      <c r="M43" s="64">
        <f t="shared" si="14"/>
        <v>0</v>
      </c>
      <c r="N43" s="64">
        <f t="shared" si="14"/>
        <v>0</v>
      </c>
      <c r="O43" s="64">
        <f t="shared" si="14"/>
        <v>0</v>
      </c>
      <c r="P43" s="72">
        <f t="shared" si="14"/>
        <v>1707365.55</v>
      </c>
      <c r="Q43" s="64">
        <f t="shared" si="14"/>
        <v>8305327.9400000004</v>
      </c>
      <c r="R43" s="110">
        <f t="shared" si="14"/>
        <v>17271993</v>
      </c>
      <c r="S43" s="72">
        <f t="shared" si="14"/>
        <v>0</v>
      </c>
      <c r="T43" s="89">
        <f>Q43/R43</f>
        <v>0.48085521688203559</v>
      </c>
      <c r="Y43" s="113"/>
    </row>
    <row r="44" spans="1:25" ht="5.25" customHeight="1" x14ac:dyDescent="0.25">
      <c r="A44" s="113"/>
      <c r="B44" s="55"/>
      <c r="C44" s="53"/>
      <c r="D44" s="82"/>
      <c r="E44" s="82"/>
      <c r="F44" s="82"/>
      <c r="G44" s="82"/>
      <c r="H44" s="82"/>
      <c r="I44" s="82"/>
      <c r="J44" s="82"/>
      <c r="K44" s="82"/>
      <c r="L44" s="82"/>
      <c r="M44" s="82"/>
      <c r="N44" s="82"/>
      <c r="O44" s="50"/>
      <c r="P44" s="56"/>
      <c r="Q44" s="53"/>
      <c r="R44" s="53"/>
      <c r="S44" s="53"/>
      <c r="T44" s="85"/>
      <c r="Y44" s="113"/>
    </row>
    <row r="45" spans="1:25" x14ac:dyDescent="0.25">
      <c r="A45" s="113"/>
      <c r="B45" s="48" t="s">
        <v>116</v>
      </c>
      <c r="C45" s="53"/>
      <c r="D45" s="49"/>
      <c r="E45" s="49"/>
      <c r="F45" s="49"/>
      <c r="G45" s="49"/>
      <c r="H45" s="49"/>
      <c r="I45" s="49"/>
      <c r="J45" s="49"/>
      <c r="K45" s="49"/>
      <c r="L45" s="49"/>
      <c r="M45" s="49"/>
      <c r="N45" s="49"/>
      <c r="O45" s="56"/>
      <c r="P45" s="56"/>
      <c r="Q45" s="53"/>
      <c r="R45" s="53"/>
      <c r="S45" s="53"/>
      <c r="T45" s="85"/>
      <c r="Y45" s="113"/>
    </row>
    <row r="46" spans="1:25" x14ac:dyDescent="0.25">
      <c r="A46" s="113" t="s">
        <v>89</v>
      </c>
      <c r="B46" s="55" t="s">
        <v>132</v>
      </c>
      <c r="C46" s="53">
        <v>3474596.8400000003</v>
      </c>
      <c r="D46" s="49">
        <v>956854.3</v>
      </c>
      <c r="E46" s="49">
        <v>-35069.230000000003</v>
      </c>
      <c r="F46" s="82">
        <v>249681.72</v>
      </c>
      <c r="G46" s="49">
        <v>234324.98</v>
      </c>
      <c r="H46" s="49">
        <v>235144.74</v>
      </c>
      <c r="I46" s="49">
        <v>246169.01</v>
      </c>
      <c r="J46" s="49">
        <v>251939.46</v>
      </c>
      <c r="K46" s="49"/>
      <c r="L46" s="49"/>
      <c r="M46" s="49"/>
      <c r="N46" s="49"/>
      <c r="O46" s="56"/>
      <c r="P46" s="56">
        <f t="shared" ref="P46:P49" si="15">SUM(D46:O46)</f>
        <v>2139044.98</v>
      </c>
      <c r="Q46" s="53">
        <f t="shared" ref="Q46:Q49" si="16">+C46+P46</f>
        <v>5613641.8200000003</v>
      </c>
      <c r="R46" s="53">
        <v>14407887</v>
      </c>
      <c r="S46" s="53"/>
      <c r="T46" s="85">
        <f>Q46/R46</f>
        <v>0.38962283782486634</v>
      </c>
      <c r="Y46" s="113"/>
    </row>
    <row r="47" spans="1:25" x14ac:dyDescent="0.25">
      <c r="A47" s="113" t="s">
        <v>86</v>
      </c>
      <c r="B47" s="55" t="s">
        <v>117</v>
      </c>
      <c r="C47" s="53">
        <v>1400623.8600000003</v>
      </c>
      <c r="D47" s="49">
        <v>129922.79</v>
      </c>
      <c r="E47" s="49">
        <v>212355.44</v>
      </c>
      <c r="F47" s="82">
        <v>681498.44</v>
      </c>
      <c r="G47" s="49">
        <v>202801.55</v>
      </c>
      <c r="H47" s="49">
        <v>23739.73</v>
      </c>
      <c r="I47" s="49">
        <v>194214.12</v>
      </c>
      <c r="J47" s="49">
        <v>228730.43</v>
      </c>
      <c r="K47" s="49"/>
      <c r="L47" s="49"/>
      <c r="M47" s="49"/>
      <c r="N47" s="49"/>
      <c r="O47" s="56"/>
      <c r="P47" s="56">
        <f t="shared" si="15"/>
        <v>1673262.4999999998</v>
      </c>
      <c r="Q47" s="53">
        <f t="shared" si="16"/>
        <v>3073886.3600000003</v>
      </c>
      <c r="R47" s="53">
        <v>15787400</v>
      </c>
      <c r="S47" s="53"/>
      <c r="T47" s="85">
        <f>Q47/R47</f>
        <v>0.19470504072868239</v>
      </c>
      <c r="Y47" s="113"/>
    </row>
    <row r="48" spans="1:25" x14ac:dyDescent="0.25">
      <c r="A48" s="113"/>
      <c r="B48" s="55" t="s">
        <v>133</v>
      </c>
      <c r="C48" s="53">
        <v>248315.78</v>
      </c>
      <c r="D48" s="49">
        <v>2038.3</v>
      </c>
      <c r="E48" s="49">
        <v>2866.88</v>
      </c>
      <c r="F48" s="82">
        <v>3521.62</v>
      </c>
      <c r="G48" s="49">
        <v>9206.2099999999991</v>
      </c>
      <c r="H48" s="49">
        <v>5618.21</v>
      </c>
      <c r="I48" s="49">
        <v>7272.36</v>
      </c>
      <c r="J48" s="49">
        <v>152030.29999999999</v>
      </c>
      <c r="K48" s="49"/>
      <c r="L48" s="49"/>
      <c r="M48" s="49"/>
      <c r="N48" s="49"/>
      <c r="O48" s="56"/>
      <c r="P48" s="56">
        <f t="shared" si="15"/>
        <v>182553.87999999998</v>
      </c>
      <c r="Q48" s="53">
        <f t="shared" si="16"/>
        <v>430869.66</v>
      </c>
      <c r="R48" s="53">
        <v>7427715</v>
      </c>
      <c r="S48" s="53"/>
      <c r="T48" s="85">
        <f>Q48/R48</f>
        <v>5.8008372696044475E-2</v>
      </c>
      <c r="Y48" s="113"/>
    </row>
    <row r="49" spans="1:25" x14ac:dyDescent="0.25">
      <c r="A49" s="113"/>
      <c r="B49" s="55" t="s">
        <v>118</v>
      </c>
      <c r="C49" s="79">
        <v>262744.89</v>
      </c>
      <c r="D49" s="49">
        <v>42123.86</v>
      </c>
      <c r="E49" s="49">
        <v>44378.57</v>
      </c>
      <c r="F49" s="82">
        <v>56115.38</v>
      </c>
      <c r="G49" s="49">
        <v>57927.360000000001</v>
      </c>
      <c r="H49" s="49">
        <v>58877.97</v>
      </c>
      <c r="I49" s="49">
        <v>95572.49</v>
      </c>
      <c r="J49" s="49">
        <v>99492.27</v>
      </c>
      <c r="K49" s="49"/>
      <c r="L49" s="49"/>
      <c r="M49" s="49"/>
      <c r="N49" s="49"/>
      <c r="O49" s="56"/>
      <c r="P49" s="56">
        <f t="shared" si="15"/>
        <v>454487.9</v>
      </c>
      <c r="Q49" s="53">
        <f t="shared" si="16"/>
        <v>717232.79</v>
      </c>
      <c r="R49" s="53">
        <v>3893342</v>
      </c>
      <c r="S49" s="53"/>
      <c r="T49" s="85">
        <f>Q49/R49</f>
        <v>0.18422034077663868</v>
      </c>
      <c r="Y49" s="113"/>
    </row>
    <row r="50" spans="1:25" x14ac:dyDescent="0.25">
      <c r="A50" s="113"/>
      <c r="B50" s="63" t="s">
        <v>61</v>
      </c>
      <c r="C50" s="79">
        <f>SUM(C46:C49)</f>
        <v>5386281.370000001</v>
      </c>
      <c r="D50" s="64">
        <f>SUM(D46:D49)</f>
        <v>1130939.2500000002</v>
      </c>
      <c r="E50" s="64">
        <f>SUM(E46:E49)</f>
        <v>224531.66</v>
      </c>
      <c r="F50" s="64">
        <f t="shared" ref="F50:R50" si="17">SUM(F46:F49)</f>
        <v>990817.15999999992</v>
      </c>
      <c r="G50" s="64">
        <f t="shared" si="17"/>
        <v>504260.10000000003</v>
      </c>
      <c r="H50" s="64">
        <f t="shared" si="17"/>
        <v>323380.65000000002</v>
      </c>
      <c r="I50" s="64">
        <f t="shared" si="17"/>
        <v>543227.98</v>
      </c>
      <c r="J50" s="64">
        <f t="shared" si="17"/>
        <v>732192.46</v>
      </c>
      <c r="K50" s="64">
        <f t="shared" si="17"/>
        <v>0</v>
      </c>
      <c r="L50" s="64">
        <f t="shared" si="17"/>
        <v>0</v>
      </c>
      <c r="M50" s="64">
        <f t="shared" si="17"/>
        <v>0</v>
      </c>
      <c r="N50" s="64">
        <f t="shared" si="17"/>
        <v>0</v>
      </c>
      <c r="O50" s="64">
        <f t="shared" si="17"/>
        <v>0</v>
      </c>
      <c r="P50" s="110">
        <f t="shared" si="17"/>
        <v>4449349.26</v>
      </c>
      <c r="Q50" s="110">
        <f t="shared" si="17"/>
        <v>9835630.629999999</v>
      </c>
      <c r="R50" s="110">
        <f t="shared" si="17"/>
        <v>41516344</v>
      </c>
      <c r="S50" s="72">
        <f>SUM(S46:S49)</f>
        <v>0</v>
      </c>
      <c r="T50" s="89">
        <f>Q50/R50</f>
        <v>0.23690984519253427</v>
      </c>
      <c r="Y50" s="113"/>
    </row>
    <row r="51" spans="1:25" ht="5.15" customHeight="1" x14ac:dyDescent="0.25">
      <c r="A51" s="113"/>
      <c r="B51" s="91"/>
      <c r="C51" s="53"/>
      <c r="D51" s="49"/>
      <c r="E51" s="49"/>
      <c r="F51" s="49"/>
      <c r="G51" s="49"/>
      <c r="H51" s="49"/>
      <c r="I51" s="49"/>
      <c r="J51" s="49"/>
      <c r="K51" s="49"/>
      <c r="L51" s="49"/>
      <c r="M51" s="49"/>
      <c r="N51" s="49"/>
      <c r="O51" s="50"/>
      <c r="P51" s="56"/>
      <c r="Q51" s="53"/>
      <c r="R51" s="53"/>
      <c r="S51" s="53"/>
      <c r="T51" s="85"/>
      <c r="Y51" s="113"/>
    </row>
    <row r="52" spans="1:25" ht="26.25" customHeight="1" x14ac:dyDescent="0.25">
      <c r="A52" s="113"/>
      <c r="B52" s="48" t="s">
        <v>198</v>
      </c>
      <c r="C52" s="53"/>
      <c r="D52" s="49"/>
      <c r="E52" s="49"/>
      <c r="F52" s="49"/>
      <c r="G52" s="49"/>
      <c r="H52" s="49"/>
      <c r="I52" s="49"/>
      <c r="J52" s="49"/>
      <c r="K52" s="49"/>
      <c r="L52" s="49"/>
      <c r="M52" s="49"/>
      <c r="N52" s="49"/>
      <c r="O52" s="56"/>
      <c r="P52" s="56"/>
      <c r="Q52" s="53"/>
      <c r="R52" s="53"/>
      <c r="S52" s="53"/>
      <c r="T52" s="85"/>
      <c r="Y52" s="113"/>
    </row>
    <row r="53" spans="1:25" ht="13.5" x14ac:dyDescent="0.25">
      <c r="A53" s="113" t="s">
        <v>99</v>
      </c>
      <c r="B53" s="55" t="s">
        <v>205</v>
      </c>
      <c r="C53" s="53">
        <v>326769.25</v>
      </c>
      <c r="D53" s="49">
        <v>25594.16</v>
      </c>
      <c r="E53" s="49">
        <v>76437.460000000006</v>
      </c>
      <c r="F53" s="49">
        <v>6707.03</v>
      </c>
      <c r="G53" s="49">
        <v>29706.27</v>
      </c>
      <c r="H53" s="49">
        <v>41424.120000000003</v>
      </c>
      <c r="I53" s="49">
        <v>40237.410000000003</v>
      </c>
      <c r="J53" s="49">
        <v>41600.839999999997</v>
      </c>
      <c r="K53" s="49"/>
      <c r="L53" s="49"/>
      <c r="M53" s="49"/>
      <c r="N53" s="49"/>
      <c r="O53" s="56"/>
      <c r="P53" s="56">
        <f t="shared" ref="P53:P59" si="18">SUM(D53:O53)</f>
        <v>261707.29</v>
      </c>
      <c r="Q53" s="53">
        <f t="shared" ref="Q53:Q59" si="19">+C53+P53</f>
        <v>588476.54</v>
      </c>
      <c r="R53" s="53">
        <f>3538000+4000000</f>
        <v>7538000</v>
      </c>
      <c r="S53" s="53"/>
      <c r="T53" s="58">
        <f>Q53/R53</f>
        <v>7.8067994162907939E-2</v>
      </c>
      <c r="Y53" s="113"/>
    </row>
    <row r="54" spans="1:25" ht="13.5" x14ac:dyDescent="0.25">
      <c r="A54" s="113" t="s">
        <v>96</v>
      </c>
      <c r="B54" s="55" t="s">
        <v>199</v>
      </c>
      <c r="C54" s="53">
        <v>542610.71</v>
      </c>
      <c r="D54" s="337">
        <v>0</v>
      </c>
      <c r="E54" s="49">
        <v>-917.66</v>
      </c>
      <c r="F54" s="82">
        <v>-44.79</v>
      </c>
      <c r="G54" s="337">
        <v>0</v>
      </c>
      <c r="H54" s="337">
        <v>0</v>
      </c>
      <c r="I54" s="337">
        <v>0</v>
      </c>
      <c r="J54" s="337">
        <v>0</v>
      </c>
      <c r="K54" s="49"/>
      <c r="L54" s="49"/>
      <c r="M54" s="49"/>
      <c r="N54" s="49"/>
      <c r="O54" s="56"/>
      <c r="P54" s="56">
        <f t="shared" si="18"/>
        <v>-962.44999999999993</v>
      </c>
      <c r="Q54" s="53">
        <f t="shared" si="19"/>
        <v>541648.26</v>
      </c>
      <c r="R54" s="53">
        <v>560000</v>
      </c>
      <c r="S54" s="53"/>
      <c r="T54" s="58">
        <f t="shared" ref="T54:T59" si="20">Q54/R54</f>
        <v>0.96722903571428576</v>
      </c>
      <c r="Y54" s="113"/>
    </row>
    <row r="55" spans="1:25" ht="13.5" x14ac:dyDescent="0.25">
      <c r="A55" s="113" t="s">
        <v>93</v>
      </c>
      <c r="B55" s="55" t="s">
        <v>200</v>
      </c>
      <c r="C55" s="53">
        <v>377385.81</v>
      </c>
      <c r="D55" s="49">
        <v>7412.17</v>
      </c>
      <c r="E55" s="49">
        <v>-40928.28</v>
      </c>
      <c r="F55" s="82">
        <v>-504.29</v>
      </c>
      <c r="G55" s="49">
        <v>3122.99</v>
      </c>
      <c r="H55" s="49">
        <v>7245.59</v>
      </c>
      <c r="I55" s="49">
        <v>-1720.6</v>
      </c>
      <c r="J55" s="49">
        <v>1632.32</v>
      </c>
      <c r="K55" s="49"/>
      <c r="L55" s="49"/>
      <c r="M55" s="49"/>
      <c r="N55" s="49"/>
      <c r="O55" s="56"/>
      <c r="P55" s="56">
        <f t="shared" si="18"/>
        <v>-23740.100000000002</v>
      </c>
      <c r="Q55" s="53">
        <f t="shared" si="19"/>
        <v>353645.71</v>
      </c>
      <c r="R55" s="53">
        <f>304500+S55</f>
        <v>377500</v>
      </c>
      <c r="S55" s="53">
        <v>73000</v>
      </c>
      <c r="T55" s="58">
        <f t="shared" si="20"/>
        <v>0.93680982781456956</v>
      </c>
      <c r="Y55" s="113"/>
    </row>
    <row r="56" spans="1:25" ht="13.5" x14ac:dyDescent="0.25">
      <c r="A56" s="113" t="s">
        <v>92</v>
      </c>
      <c r="B56" s="55" t="s">
        <v>201</v>
      </c>
      <c r="C56" s="53">
        <v>14895.220000000001</v>
      </c>
      <c r="D56" s="49">
        <v>1223.28</v>
      </c>
      <c r="E56" s="49">
        <v>45.86</v>
      </c>
      <c r="F56" s="82">
        <v>-1366.43</v>
      </c>
      <c r="G56" s="49">
        <v>50.18</v>
      </c>
      <c r="H56" s="49">
        <v>51.32</v>
      </c>
      <c r="I56" s="49">
        <v>36.090000000000003</v>
      </c>
      <c r="J56" s="49">
        <v>40.659999999999997</v>
      </c>
      <c r="K56" s="49"/>
      <c r="L56" s="49"/>
      <c r="M56" s="49"/>
      <c r="N56" s="49"/>
      <c r="O56" s="56"/>
      <c r="P56" s="56">
        <f t="shared" si="18"/>
        <v>80.959999999999809</v>
      </c>
      <c r="Q56" s="53">
        <f t="shared" si="19"/>
        <v>14976.18</v>
      </c>
      <c r="R56" s="53">
        <v>61000</v>
      </c>
      <c r="S56" s="53"/>
      <c r="T56" s="58">
        <f t="shared" si="20"/>
        <v>0.2455111475409836</v>
      </c>
      <c r="Y56" s="113"/>
    </row>
    <row r="57" spans="1:25" ht="13.5" x14ac:dyDescent="0.25">
      <c r="A57" s="113" t="s">
        <v>91</v>
      </c>
      <c r="B57" s="55" t="s">
        <v>203</v>
      </c>
      <c r="C57" s="53">
        <v>14743.99</v>
      </c>
      <c r="D57" s="49">
        <v>1177.42</v>
      </c>
      <c r="E57" s="337">
        <v>0</v>
      </c>
      <c r="F57" s="82">
        <v>-1414.78</v>
      </c>
      <c r="G57" s="337">
        <v>0</v>
      </c>
      <c r="H57" s="337">
        <v>0</v>
      </c>
      <c r="I57" s="337">
        <v>0</v>
      </c>
      <c r="J57" s="337">
        <v>0</v>
      </c>
      <c r="K57" s="49"/>
      <c r="L57" s="49"/>
      <c r="M57" s="49"/>
      <c r="N57" s="49"/>
      <c r="O57" s="56"/>
      <c r="P57" s="56">
        <f t="shared" si="18"/>
        <v>-237.3599999999999</v>
      </c>
      <c r="Q57" s="53">
        <f t="shared" si="19"/>
        <v>14506.63</v>
      </c>
      <c r="R57" s="53">
        <v>76000</v>
      </c>
      <c r="S57" s="53"/>
      <c r="T57" s="58">
        <f t="shared" si="20"/>
        <v>0.19087671052631577</v>
      </c>
      <c r="Y57" s="113"/>
    </row>
    <row r="58" spans="1:25" ht="13.5" x14ac:dyDescent="0.25">
      <c r="A58" s="113" t="s">
        <v>90</v>
      </c>
      <c r="B58" s="55" t="s">
        <v>206</v>
      </c>
      <c r="C58" s="53">
        <v>496186.71000000008</v>
      </c>
      <c r="D58" s="49">
        <v>19221.009999999998</v>
      </c>
      <c r="E58" s="49">
        <v>8406.58</v>
      </c>
      <c r="F58" s="49">
        <v>13181.34</v>
      </c>
      <c r="G58" s="49">
        <v>3333.42</v>
      </c>
      <c r="H58" s="49">
        <v>9774.42</v>
      </c>
      <c r="I58" s="49">
        <v>14869.87</v>
      </c>
      <c r="J58" s="49">
        <v>36427.93</v>
      </c>
      <c r="K58" s="49"/>
      <c r="L58" s="49"/>
      <c r="M58" s="49"/>
      <c r="N58" s="49"/>
      <c r="O58" s="56"/>
      <c r="P58" s="56">
        <f t="shared" si="18"/>
        <v>105214.56999999998</v>
      </c>
      <c r="Q58" s="53">
        <f t="shared" si="19"/>
        <v>601401.28</v>
      </c>
      <c r="R58" s="53">
        <f>1264000+S58+2528000</f>
        <v>3719000</v>
      </c>
      <c r="S58" s="53">
        <v>-73000</v>
      </c>
      <c r="T58" s="58">
        <f t="shared" si="20"/>
        <v>0.16171048131218071</v>
      </c>
      <c r="Y58" s="113"/>
    </row>
    <row r="59" spans="1:25" ht="13.5" x14ac:dyDescent="0.25">
      <c r="A59" s="113"/>
      <c r="B59" s="55" t="s">
        <v>202</v>
      </c>
      <c r="C59" s="79">
        <v>115976.36000000002</v>
      </c>
      <c r="D59" s="49">
        <v>3165.5</v>
      </c>
      <c r="E59" s="49">
        <v>13065.06</v>
      </c>
      <c r="F59" s="49">
        <v>28954.86</v>
      </c>
      <c r="G59" s="49">
        <v>-20360.87</v>
      </c>
      <c r="H59" s="49">
        <v>85628.56</v>
      </c>
      <c r="I59" s="49">
        <v>48959.67</v>
      </c>
      <c r="J59" s="49">
        <v>31413.29</v>
      </c>
      <c r="K59" s="49"/>
      <c r="L59" s="49"/>
      <c r="M59" s="49"/>
      <c r="N59" s="49"/>
      <c r="O59" s="56"/>
      <c r="P59" s="56">
        <f t="shared" si="18"/>
        <v>190826.07</v>
      </c>
      <c r="Q59" s="53">
        <f t="shared" si="19"/>
        <v>306802.43000000005</v>
      </c>
      <c r="R59" s="53">
        <v>440000</v>
      </c>
      <c r="S59" s="53"/>
      <c r="T59" s="58">
        <f t="shared" si="20"/>
        <v>0.6972782500000001</v>
      </c>
      <c r="Y59" s="113"/>
    </row>
    <row r="60" spans="1:25" s="35" customFormat="1" ht="11.5" x14ac:dyDescent="0.25">
      <c r="B60" s="63" t="s">
        <v>62</v>
      </c>
      <c r="C60" s="72">
        <f>SUM(C53:C59)</f>
        <v>1888568.05</v>
      </c>
      <c r="D60" s="64">
        <f>SUM(D53:D59)</f>
        <v>57793.539999999994</v>
      </c>
      <c r="E60" s="64">
        <f>SUM(E53:E59)</f>
        <v>56109.020000000004</v>
      </c>
      <c r="F60" s="64">
        <f>SUM(F53:F59)</f>
        <v>45512.94</v>
      </c>
      <c r="G60" s="64">
        <f t="shared" ref="G60:Q60" si="21">SUM(G53:G59)</f>
        <v>15851.990000000002</v>
      </c>
      <c r="H60" s="64">
        <f t="shared" si="21"/>
        <v>144124.01</v>
      </c>
      <c r="I60" s="64">
        <f t="shared" si="21"/>
        <v>102382.44</v>
      </c>
      <c r="J60" s="64">
        <f t="shared" si="21"/>
        <v>111115.04000000001</v>
      </c>
      <c r="K60" s="64">
        <f t="shared" si="21"/>
        <v>0</v>
      </c>
      <c r="L60" s="64">
        <f t="shared" si="21"/>
        <v>0</v>
      </c>
      <c r="M60" s="64">
        <f t="shared" si="21"/>
        <v>0</v>
      </c>
      <c r="N60" s="64">
        <f t="shared" si="21"/>
        <v>0</v>
      </c>
      <c r="O60" s="64">
        <f t="shared" si="21"/>
        <v>0</v>
      </c>
      <c r="P60" s="110">
        <f t="shared" si="21"/>
        <v>532888.98</v>
      </c>
      <c r="Q60" s="110">
        <f t="shared" si="21"/>
        <v>2421457.0299999998</v>
      </c>
      <c r="R60" s="72">
        <f>SUM(R53:R59)</f>
        <v>12771500</v>
      </c>
      <c r="S60" s="72">
        <f>SUM(S53:S59)</f>
        <v>0</v>
      </c>
      <c r="T60" s="89">
        <f>Q60/R60</f>
        <v>0.18959848334181575</v>
      </c>
    </row>
    <row r="61" spans="1:25" ht="3" customHeight="1" x14ac:dyDescent="0.25">
      <c r="A61" s="113"/>
      <c r="B61" s="55"/>
      <c r="C61" s="53"/>
      <c r="D61" s="49"/>
      <c r="E61" s="49"/>
      <c r="F61" s="49"/>
      <c r="G61" s="49"/>
      <c r="H61" s="49"/>
      <c r="I61" s="49"/>
      <c r="J61" s="49"/>
      <c r="K61" s="49"/>
      <c r="L61" s="49"/>
      <c r="M61" s="49"/>
      <c r="N61" s="49"/>
      <c r="O61" s="50"/>
      <c r="P61" s="56"/>
      <c r="Q61" s="53"/>
      <c r="R61" s="53"/>
      <c r="S61" s="53"/>
      <c r="T61" s="73"/>
      <c r="Y61" s="113"/>
    </row>
    <row r="62" spans="1:25" ht="11.25" customHeight="1" x14ac:dyDescent="0.25">
      <c r="A62" s="113"/>
      <c r="B62" s="48" t="s">
        <v>119</v>
      </c>
      <c r="C62" s="53"/>
      <c r="D62" s="49"/>
      <c r="E62" s="49"/>
      <c r="F62" s="49"/>
      <c r="G62" s="49"/>
      <c r="H62" s="49"/>
      <c r="I62" s="49"/>
      <c r="J62" s="49"/>
      <c r="K62" s="49"/>
      <c r="L62" s="49"/>
      <c r="M62" s="49"/>
      <c r="N62" s="49"/>
      <c r="O62" s="56"/>
      <c r="P62" s="56"/>
      <c r="Q62" s="53"/>
      <c r="R62" s="53"/>
      <c r="S62" s="53"/>
      <c r="T62" s="73"/>
      <c r="Y62" s="113"/>
    </row>
    <row r="63" spans="1:25" x14ac:dyDescent="0.25">
      <c r="A63" s="175" t="s">
        <v>87</v>
      </c>
      <c r="B63" s="55" t="s">
        <v>236</v>
      </c>
      <c r="C63" s="338">
        <v>0</v>
      </c>
      <c r="D63" s="337">
        <v>0</v>
      </c>
      <c r="E63" s="337">
        <v>0</v>
      </c>
      <c r="F63" s="382">
        <v>0</v>
      </c>
      <c r="G63" s="382">
        <v>0</v>
      </c>
      <c r="H63" s="382">
        <v>0</v>
      </c>
      <c r="I63" s="382">
        <v>0</v>
      </c>
      <c r="J63" s="49"/>
      <c r="K63" s="49"/>
      <c r="L63" s="49"/>
      <c r="M63" s="49"/>
      <c r="N63" s="49"/>
      <c r="O63" s="56"/>
      <c r="P63" s="414">
        <f t="shared" ref="P63:P64" si="22">SUM(D63:O63)</f>
        <v>0</v>
      </c>
      <c r="Q63" s="338">
        <f t="shared" ref="Q63:Q64" si="23">+C63+P63</f>
        <v>0</v>
      </c>
      <c r="R63" s="53">
        <v>11941000</v>
      </c>
      <c r="S63" s="53"/>
      <c r="T63" s="85">
        <f>Q63/R63</f>
        <v>0</v>
      </c>
      <c r="Y63" s="113"/>
    </row>
    <row r="64" spans="1:25" x14ac:dyDescent="0.25">
      <c r="A64" s="113" t="s">
        <v>97</v>
      </c>
      <c r="B64" s="55" t="s">
        <v>120</v>
      </c>
      <c r="C64" s="79">
        <v>211929.19</v>
      </c>
      <c r="D64" s="49">
        <v>17017.75</v>
      </c>
      <c r="E64" s="49">
        <v>18377.72</v>
      </c>
      <c r="F64" s="49">
        <v>16876.39</v>
      </c>
      <c r="G64" s="49">
        <v>15949.85</v>
      </c>
      <c r="H64" s="49">
        <v>21064.81</v>
      </c>
      <c r="I64" s="49">
        <v>19966.25</v>
      </c>
      <c r="J64" s="49">
        <v>24008.27</v>
      </c>
      <c r="K64" s="49"/>
      <c r="L64" s="49"/>
      <c r="M64" s="49"/>
      <c r="N64" s="49"/>
      <c r="O64" s="56"/>
      <c r="P64" s="56">
        <f t="shared" si="22"/>
        <v>133261.04</v>
      </c>
      <c r="Q64" s="53">
        <f t="shared" si="23"/>
        <v>345190.23</v>
      </c>
      <c r="R64" s="75">
        <v>15000000</v>
      </c>
      <c r="S64" s="75"/>
      <c r="T64" s="71">
        <f>Q64/R64</f>
        <v>2.3012682E-2</v>
      </c>
      <c r="Y64" s="113"/>
    </row>
    <row r="65" spans="1:25" x14ac:dyDescent="0.25">
      <c r="A65" s="113"/>
      <c r="B65" s="63" t="s">
        <v>63</v>
      </c>
      <c r="C65" s="72">
        <f t="shared" ref="C65:S67" si="24">SUM(C63:C64)</f>
        <v>211929.19</v>
      </c>
      <c r="D65" s="64">
        <f t="shared" si="24"/>
        <v>17017.75</v>
      </c>
      <c r="E65" s="64">
        <f t="shared" si="24"/>
        <v>18377.72</v>
      </c>
      <c r="F65" s="64">
        <f t="shared" si="24"/>
        <v>16876.39</v>
      </c>
      <c r="G65" s="64">
        <f t="shared" si="24"/>
        <v>15949.85</v>
      </c>
      <c r="H65" s="64">
        <f t="shared" si="24"/>
        <v>21064.81</v>
      </c>
      <c r="I65" s="64">
        <f t="shared" si="24"/>
        <v>19966.25</v>
      </c>
      <c r="J65" s="64">
        <f t="shared" si="24"/>
        <v>24008.27</v>
      </c>
      <c r="K65" s="64">
        <f t="shared" si="24"/>
        <v>0</v>
      </c>
      <c r="L65" s="64">
        <f t="shared" si="24"/>
        <v>0</v>
      </c>
      <c r="M65" s="64">
        <f t="shared" si="24"/>
        <v>0</v>
      </c>
      <c r="N65" s="64">
        <f t="shared" si="24"/>
        <v>0</v>
      </c>
      <c r="O65" s="64">
        <f t="shared" si="24"/>
        <v>0</v>
      </c>
      <c r="P65" s="110">
        <f t="shared" si="24"/>
        <v>133261.04</v>
      </c>
      <c r="Q65" s="72">
        <f t="shared" si="24"/>
        <v>345190.23</v>
      </c>
      <c r="R65" s="72">
        <f t="shared" si="24"/>
        <v>26941000</v>
      </c>
      <c r="S65" s="72">
        <f t="shared" si="24"/>
        <v>0</v>
      </c>
      <c r="T65" s="87">
        <f>Q65/R65</f>
        <v>1.281282172153966E-2</v>
      </c>
      <c r="Y65" s="113"/>
    </row>
    <row r="66" spans="1:25" s="35" customFormat="1" ht="7.5" customHeight="1" x14ac:dyDescent="0.25">
      <c r="B66" s="40"/>
      <c r="C66" s="72"/>
      <c r="D66" s="64"/>
      <c r="E66" s="64"/>
      <c r="F66" s="49"/>
      <c r="G66" s="49"/>
      <c r="H66" s="49"/>
      <c r="I66" s="49"/>
      <c r="J66" s="49"/>
      <c r="K66" s="49"/>
      <c r="L66" s="49"/>
      <c r="M66" s="49"/>
      <c r="N66" s="49"/>
      <c r="O66" s="56"/>
      <c r="P66" s="72"/>
      <c r="Q66" s="72"/>
      <c r="R66" s="53"/>
      <c r="S66" s="53"/>
      <c r="T66" s="85"/>
    </row>
    <row r="67" spans="1:25" s="35" customFormat="1" ht="12" thickBot="1" x14ac:dyDescent="0.3">
      <c r="B67" s="92" t="s">
        <v>165</v>
      </c>
      <c r="C67" s="72">
        <v>882402.07107486797</v>
      </c>
      <c r="D67" s="64">
        <v>67710.528991682208</v>
      </c>
      <c r="E67" s="78">
        <v>67489.722543747383</v>
      </c>
      <c r="F67" s="64">
        <v>67268.916095812572</v>
      </c>
      <c r="G67" s="64">
        <v>67048.109647877747</v>
      </c>
      <c r="H67" s="64">
        <v>66827.303199942922</v>
      </c>
      <c r="I67" s="64">
        <v>66606.496752008083</v>
      </c>
      <c r="J67" s="64">
        <v>65553.051392615234</v>
      </c>
      <c r="K67" s="64"/>
      <c r="L67" s="64"/>
      <c r="M67" s="64"/>
      <c r="N67" s="64"/>
      <c r="O67" s="65"/>
      <c r="P67" s="68">
        <f t="shared" ref="P67" si="25">SUM(D67:O67)</f>
        <v>468504.12862368621</v>
      </c>
      <c r="Q67" s="68">
        <f t="shared" ref="Q67" si="26">+C67+P67</f>
        <v>1350906.1996985541</v>
      </c>
      <c r="R67" s="72">
        <v>0</v>
      </c>
      <c r="S67" s="72">
        <f t="shared" si="24"/>
        <v>0</v>
      </c>
      <c r="T67" s="173" t="s">
        <v>21</v>
      </c>
    </row>
    <row r="68" spans="1:25" s="35" customFormat="1" ht="15" customHeight="1" thickBot="1" x14ac:dyDescent="0.3">
      <c r="B68" s="93" t="s">
        <v>249</v>
      </c>
      <c r="C68" s="172">
        <f>C9+C16+C20+C25+C31+C36+C43+C50+C60+C65+C67</f>
        <v>22208504.911074873</v>
      </c>
      <c r="D68" s="94">
        <f>D9+D16+D20+D25+D31+D36+D43+D50+D60+D65+D67</f>
        <v>2010024.6989916826</v>
      </c>
      <c r="E68" s="94">
        <f>E9+E16+E20+E25+E31+E36+E43+E50+E60+E65+E67</f>
        <v>2015429.9425437471</v>
      </c>
      <c r="F68" s="94">
        <f t="shared" ref="F68:S68" si="27">F9+F16+F20+F25+F31+F36+F43+F50+F60+F65+F67</f>
        <v>1945802.1560958123</v>
      </c>
      <c r="G68" s="94">
        <f t="shared" si="27"/>
        <v>1566138.899647878</v>
      </c>
      <c r="H68" s="94">
        <f t="shared" si="27"/>
        <v>1966613.2131999428</v>
      </c>
      <c r="I68" s="94">
        <f t="shared" si="27"/>
        <v>1903997.0567520079</v>
      </c>
      <c r="J68" s="94">
        <f t="shared" si="27"/>
        <v>1950336.0813926153</v>
      </c>
      <c r="K68" s="94">
        <f t="shared" si="27"/>
        <v>0</v>
      </c>
      <c r="L68" s="94">
        <f t="shared" si="27"/>
        <v>0</v>
      </c>
      <c r="M68" s="94">
        <f t="shared" si="27"/>
        <v>0</v>
      </c>
      <c r="N68" s="94">
        <f t="shared" si="27"/>
        <v>0</v>
      </c>
      <c r="O68" s="94">
        <f t="shared" si="27"/>
        <v>0</v>
      </c>
      <c r="P68" s="94">
        <f t="shared" si="27"/>
        <v>13358342.048623685</v>
      </c>
      <c r="Q68" s="94">
        <f t="shared" si="27"/>
        <v>35566846.959698543</v>
      </c>
      <c r="R68" s="94">
        <f t="shared" si="27"/>
        <v>190335588</v>
      </c>
      <c r="S68" s="94">
        <f t="shared" si="27"/>
        <v>0</v>
      </c>
      <c r="T68" s="174">
        <f>Q68/R68</f>
        <v>0.1868638825425466</v>
      </c>
    </row>
    <row r="69" spans="1:25" ht="8.25" customHeight="1" thickBot="1" x14ac:dyDescent="0.3">
      <c r="B69" s="95"/>
      <c r="C69" s="111"/>
      <c r="D69" s="49"/>
      <c r="E69" s="49"/>
      <c r="F69" s="49"/>
      <c r="G69" s="49"/>
      <c r="H69" s="49"/>
      <c r="I69" s="49"/>
      <c r="J69" s="49"/>
      <c r="K69" s="49"/>
      <c r="L69" s="49"/>
      <c r="M69" s="49"/>
      <c r="N69" s="49"/>
      <c r="O69" s="49"/>
      <c r="P69" s="49"/>
      <c r="Q69" s="49"/>
      <c r="R69" s="49"/>
      <c r="S69" s="49"/>
      <c r="T69" s="49"/>
    </row>
    <row r="70" spans="1:25" ht="32.25" customHeight="1" thickBot="1" x14ac:dyDescent="0.3">
      <c r="B70" s="294" t="s">
        <v>266</v>
      </c>
      <c r="C70" s="397"/>
      <c r="D70" s="172">
        <v>0</v>
      </c>
      <c r="E70" s="49"/>
      <c r="F70" s="49"/>
      <c r="G70" s="49"/>
      <c r="H70" s="49"/>
      <c r="I70" s="49"/>
      <c r="J70" s="49"/>
      <c r="O70" s="49"/>
      <c r="P70" s="49"/>
      <c r="Q70" s="49"/>
      <c r="R70" s="49"/>
      <c r="S70" s="49"/>
      <c r="T70" s="49"/>
    </row>
    <row r="71" spans="1:25" s="35" customFormat="1" ht="1.5" customHeight="1" x14ac:dyDescent="0.25">
      <c r="B71" s="96"/>
      <c r="C71" s="97"/>
      <c r="D71" s="49"/>
      <c r="E71" s="49"/>
      <c r="F71" s="49"/>
      <c r="G71" s="49"/>
      <c r="H71" s="49"/>
      <c r="I71" s="49"/>
      <c r="J71" s="49"/>
      <c r="K71" s="49"/>
      <c r="L71" s="49"/>
      <c r="M71" s="49"/>
      <c r="N71" s="49"/>
      <c r="O71" s="49"/>
      <c r="P71" s="49"/>
      <c r="Q71" s="49"/>
      <c r="R71" s="49"/>
      <c r="S71" s="49"/>
      <c r="T71" s="49"/>
    </row>
    <row r="72" spans="1:25" ht="11.5" x14ac:dyDescent="0.25">
      <c r="B72" s="691" t="s">
        <v>121</v>
      </c>
      <c r="C72" s="692"/>
      <c r="D72" s="692"/>
      <c r="E72" s="692"/>
      <c r="F72" s="692"/>
      <c r="G72" s="692"/>
      <c r="H72" s="692"/>
      <c r="I72" s="692"/>
      <c r="J72" s="692"/>
      <c r="K72" s="692"/>
      <c r="L72" s="692"/>
      <c r="M72" s="692"/>
      <c r="N72" s="692"/>
      <c r="O72" s="692"/>
      <c r="P72" s="692"/>
    </row>
    <row r="73" spans="1:25" ht="11.9" customHeight="1" x14ac:dyDescent="0.25">
      <c r="B73" s="691" t="s">
        <v>126</v>
      </c>
      <c r="C73" s="693"/>
      <c r="D73" s="693"/>
      <c r="E73" s="693"/>
      <c r="F73" s="693"/>
      <c r="G73" s="693"/>
      <c r="H73" s="693"/>
      <c r="I73" s="693"/>
      <c r="J73" s="693"/>
      <c r="K73" s="693"/>
      <c r="L73" s="693"/>
      <c r="M73" s="693"/>
      <c r="N73" s="693"/>
      <c r="O73" s="693"/>
      <c r="P73" s="693"/>
    </row>
    <row r="74" spans="1:25" ht="26.25" customHeight="1" x14ac:dyDescent="0.25">
      <c r="B74" s="691" t="s">
        <v>178</v>
      </c>
      <c r="C74" s="693"/>
      <c r="D74" s="693"/>
      <c r="E74" s="693"/>
      <c r="F74" s="693"/>
      <c r="G74" s="693"/>
      <c r="H74" s="693"/>
      <c r="I74" s="693"/>
      <c r="J74" s="693"/>
      <c r="K74" s="693"/>
      <c r="L74" s="693"/>
      <c r="M74" s="693"/>
      <c r="N74" s="693"/>
      <c r="O74" s="693"/>
      <c r="P74" s="693"/>
    </row>
    <row r="75" spans="1:25" ht="12.65" customHeight="1" x14ac:dyDescent="0.25">
      <c r="B75" s="691" t="s">
        <v>194</v>
      </c>
      <c r="C75" s="691"/>
      <c r="D75" s="691"/>
      <c r="E75" s="691"/>
      <c r="F75" s="691"/>
      <c r="G75" s="691"/>
      <c r="H75" s="691"/>
      <c r="I75" s="691"/>
      <c r="J75" s="691"/>
      <c r="K75" s="691"/>
      <c r="L75" s="691"/>
      <c r="M75" s="691"/>
      <c r="N75" s="691"/>
      <c r="O75" s="691"/>
      <c r="P75" s="691"/>
      <c r="Q75" s="49"/>
    </row>
    <row r="76" spans="1:25" ht="11.9" customHeight="1" x14ac:dyDescent="0.25">
      <c r="B76" s="691" t="s">
        <v>204</v>
      </c>
      <c r="C76" s="691"/>
      <c r="D76" s="691"/>
      <c r="E76" s="691"/>
      <c r="F76" s="691"/>
      <c r="G76" s="691"/>
      <c r="H76" s="691"/>
      <c r="I76" s="691"/>
      <c r="J76" s="691"/>
      <c r="K76" s="691"/>
      <c r="L76" s="691"/>
      <c r="M76" s="691"/>
      <c r="N76" s="691"/>
      <c r="O76" s="691"/>
      <c r="P76" s="691"/>
    </row>
    <row r="77" spans="1:25" ht="11.9" customHeight="1" x14ac:dyDescent="0.25">
      <c r="B77" s="691" t="s">
        <v>237</v>
      </c>
      <c r="C77" s="691"/>
      <c r="D77" s="691"/>
      <c r="E77" s="691"/>
      <c r="F77" s="691"/>
      <c r="G77" s="691"/>
      <c r="H77" s="691"/>
      <c r="I77" s="691"/>
      <c r="J77" s="691"/>
      <c r="K77" s="691"/>
      <c r="L77" s="691"/>
      <c r="M77" s="691"/>
      <c r="N77" s="691"/>
      <c r="O77" s="691"/>
      <c r="P77" s="691"/>
    </row>
    <row r="78" spans="1:25" ht="11.5" x14ac:dyDescent="0.25">
      <c r="B78" s="691" t="s">
        <v>250</v>
      </c>
      <c r="C78" s="691"/>
      <c r="D78" s="691"/>
      <c r="E78" s="691"/>
      <c r="F78" s="691"/>
      <c r="G78" s="691"/>
      <c r="H78" s="691"/>
      <c r="I78" s="691"/>
      <c r="J78" s="691"/>
      <c r="K78" s="691"/>
      <c r="L78" s="691"/>
      <c r="M78" s="691"/>
      <c r="N78" s="691"/>
      <c r="O78" s="691"/>
      <c r="P78" s="691"/>
    </row>
  </sheetData>
  <sheetProtection password="C511" sheet="1" objects="1" scenarios="1"/>
  <mergeCells count="7">
    <mergeCell ref="B72:P72"/>
    <mergeCell ref="B73:P73"/>
    <mergeCell ref="B78:P78"/>
    <mergeCell ref="B77:P77"/>
    <mergeCell ref="B76:P76"/>
    <mergeCell ref="B75:P75"/>
    <mergeCell ref="B74:P74"/>
  </mergeCells>
  <printOptions horizontalCentered="1"/>
  <pageMargins left="0" right="0" top="1.0636363636363599" bottom="0.25" header="0.13" footer="0.1"/>
  <pageSetup scale="53" orientation="landscape" r:id="rId1"/>
  <headerFooter>
    <oddHeader>&amp;C&amp;"Arial,Bold"&amp;K000000Table I-3
Pacific Gas and Electric Company 
Demand Response Programs and Activities
2012-2014 Incremental Cost Funding
July 2013</oddHeader>
    <oddFooter>&amp;L&amp;F&amp;CPage 7 of 11&amp;R&amp;A</oddFooter>
  </headerFooter>
  <ignoredErrors>
    <ignoredError sqref="S9:T67" emptyCellReference="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T40"/>
  <sheetViews>
    <sheetView view="pageLayout" zoomScale="115" zoomScaleNormal="100" zoomScalePageLayoutView="115" workbookViewId="0"/>
  </sheetViews>
  <sheetFormatPr defaultColWidth="9.453125" defaultRowHeight="11.25" customHeight="1" x14ac:dyDescent="0.25"/>
  <cols>
    <col min="1" max="1" width="31.54296875" style="99" customWidth="1"/>
    <col min="2" max="2" width="6.90625" style="419" customWidth="1"/>
    <col min="3" max="3" width="24.54296875" style="415" customWidth="1"/>
    <col min="4" max="4" width="23.08984375" style="422" customWidth="1"/>
    <col min="5" max="5" width="7.54296875" style="410" customWidth="1"/>
    <col min="6" max="6" width="7.54296875" style="252" customWidth="1"/>
    <col min="7" max="7" width="10.90625" style="99" customWidth="1"/>
    <col min="8" max="8" width="10.08984375" style="252" bestFit="1" customWidth="1"/>
    <col min="9" max="9" width="7.453125" style="420" customWidth="1"/>
    <col min="10" max="11" width="7.08984375" style="99" customWidth="1"/>
    <col min="12" max="12" width="8.453125" style="413" customWidth="1"/>
    <col min="13" max="13" width="9.08984375" style="432" customWidth="1"/>
    <col min="14" max="16384" width="9.453125" style="100"/>
  </cols>
  <sheetData>
    <row r="1" spans="1:254" s="472" customFormat="1" ht="36.5" customHeight="1" x14ac:dyDescent="0.25">
      <c r="A1" s="495" t="s">
        <v>243</v>
      </c>
      <c r="B1" s="496" t="s">
        <v>175</v>
      </c>
      <c r="C1" s="495" t="s">
        <v>269</v>
      </c>
      <c r="D1" s="497" t="s">
        <v>275</v>
      </c>
      <c r="E1" s="498" t="s">
        <v>68</v>
      </c>
      <c r="F1" s="499" t="s">
        <v>276</v>
      </c>
      <c r="G1" s="500" t="s">
        <v>243</v>
      </c>
      <c r="H1" s="495" t="s">
        <v>174</v>
      </c>
      <c r="I1" s="501" t="s">
        <v>242</v>
      </c>
      <c r="J1" s="502" t="s">
        <v>244</v>
      </c>
      <c r="K1" s="502" t="s">
        <v>245</v>
      </c>
      <c r="L1" s="503" t="s">
        <v>283</v>
      </c>
      <c r="M1" s="504" t="s">
        <v>277</v>
      </c>
    </row>
    <row r="2" spans="1:254" s="429" customFormat="1" ht="12" customHeight="1" x14ac:dyDescent="0.25">
      <c r="A2" s="421" t="s">
        <v>267</v>
      </c>
      <c r="B2" s="427"/>
      <c r="C2" s="425"/>
      <c r="D2" s="428"/>
      <c r="E2" s="423"/>
      <c r="F2" s="424"/>
      <c r="G2" s="425"/>
      <c r="H2" s="425"/>
      <c r="I2" s="426"/>
      <c r="J2" s="428"/>
      <c r="K2" s="428"/>
      <c r="L2" s="430"/>
      <c r="M2" s="431"/>
    </row>
    <row r="3" spans="1:254" s="457" customFormat="1" ht="10.5" x14ac:dyDescent="0.25">
      <c r="A3" s="433" t="s">
        <v>267</v>
      </c>
      <c r="B3" s="433" t="s">
        <v>259</v>
      </c>
      <c r="C3" s="451" t="s">
        <v>51</v>
      </c>
      <c r="D3" s="434" t="s">
        <v>265</v>
      </c>
      <c r="E3" s="442">
        <v>41457</v>
      </c>
      <c r="F3" s="443">
        <v>1</v>
      </c>
      <c r="G3" s="451" t="s">
        <v>240</v>
      </c>
      <c r="H3" s="452" t="s">
        <v>241</v>
      </c>
      <c r="I3" s="469">
        <v>281</v>
      </c>
      <c r="J3" s="453">
        <v>0.625</v>
      </c>
      <c r="K3" s="453">
        <v>0.79166666666666663</v>
      </c>
      <c r="L3" s="438">
        <v>4</v>
      </c>
      <c r="M3" s="456">
        <v>235.6</v>
      </c>
      <c r="N3" s="440"/>
      <c r="O3" s="440"/>
      <c r="P3" s="440"/>
      <c r="Q3" s="440"/>
      <c r="R3" s="440"/>
    </row>
    <row r="4" spans="1:254" s="440" customFormat="1" ht="21" x14ac:dyDescent="0.25">
      <c r="A4" s="433" t="s">
        <v>267</v>
      </c>
      <c r="B4" s="433" t="s">
        <v>1</v>
      </c>
      <c r="C4" s="434" t="s">
        <v>235</v>
      </c>
      <c r="D4" s="434"/>
      <c r="E4" s="435"/>
      <c r="F4" s="436"/>
      <c r="G4" s="433"/>
      <c r="H4" s="433"/>
      <c r="I4" s="437"/>
      <c r="J4" s="433"/>
      <c r="K4" s="433"/>
      <c r="L4" s="438"/>
      <c r="M4" s="439"/>
    </row>
    <row r="5" spans="1:254" s="467" customFormat="1" ht="11.25" customHeight="1" x14ac:dyDescent="0.25">
      <c r="A5" s="421" t="s">
        <v>268</v>
      </c>
      <c r="B5" s="459"/>
      <c r="C5" s="458"/>
      <c r="D5" s="460"/>
      <c r="E5" s="461"/>
      <c r="F5" s="462"/>
      <c r="G5" s="458"/>
      <c r="H5" s="463"/>
      <c r="I5" s="483"/>
      <c r="J5" s="464"/>
      <c r="K5" s="464"/>
      <c r="L5" s="465"/>
      <c r="M5" s="466"/>
    </row>
    <row r="6" spans="1:254" s="440" customFormat="1" ht="10.5" x14ac:dyDescent="0.25">
      <c r="A6" s="433" t="s">
        <v>268</v>
      </c>
      <c r="B6" s="433" t="s">
        <v>238</v>
      </c>
      <c r="C6" s="441" t="s">
        <v>54</v>
      </c>
      <c r="D6" s="434" t="s">
        <v>262</v>
      </c>
      <c r="E6" s="442">
        <v>41424</v>
      </c>
      <c r="F6" s="443">
        <v>1</v>
      </c>
      <c r="G6" s="441" t="s">
        <v>239</v>
      </c>
      <c r="H6" s="441" t="s">
        <v>241</v>
      </c>
      <c r="I6" s="444">
        <v>315</v>
      </c>
      <c r="J6" s="445">
        <v>0.625</v>
      </c>
      <c r="K6" s="445">
        <v>0.70833333333333337</v>
      </c>
      <c r="L6" s="438">
        <v>2</v>
      </c>
      <c r="M6" s="439">
        <v>34.672237002651102</v>
      </c>
    </row>
    <row r="7" spans="1:254" s="440" customFormat="1" ht="10.5" x14ac:dyDescent="0.25">
      <c r="A7" s="433" t="s">
        <v>268</v>
      </c>
      <c r="B7" s="433" t="s">
        <v>238</v>
      </c>
      <c r="C7" s="441" t="s">
        <v>54</v>
      </c>
      <c r="D7" s="434" t="s">
        <v>262</v>
      </c>
      <c r="E7" s="442">
        <v>41424</v>
      </c>
      <c r="F7" s="443">
        <v>1</v>
      </c>
      <c r="G7" s="441" t="s">
        <v>240</v>
      </c>
      <c r="H7" s="441" t="s">
        <v>241</v>
      </c>
      <c r="I7" s="444">
        <v>1283</v>
      </c>
      <c r="J7" s="445">
        <v>0.625</v>
      </c>
      <c r="K7" s="445">
        <v>0.70833333333333337</v>
      </c>
      <c r="L7" s="438">
        <v>2</v>
      </c>
      <c r="M7" s="439">
        <v>152.64962109619998</v>
      </c>
    </row>
    <row r="8" spans="1:254" s="440" customFormat="1" ht="10.5" x14ac:dyDescent="0.25">
      <c r="A8" s="433" t="s">
        <v>268</v>
      </c>
      <c r="B8" s="433" t="s">
        <v>259</v>
      </c>
      <c r="C8" s="441" t="s">
        <v>54</v>
      </c>
      <c r="D8" s="471" t="s">
        <v>263</v>
      </c>
      <c r="E8" s="442">
        <v>41456</v>
      </c>
      <c r="F8" s="443">
        <v>2</v>
      </c>
      <c r="G8" s="451" t="s">
        <v>239</v>
      </c>
      <c r="H8" s="452" t="s">
        <v>258</v>
      </c>
      <c r="I8" s="469">
        <v>442</v>
      </c>
      <c r="J8" s="453">
        <v>0.625</v>
      </c>
      <c r="K8" s="453">
        <v>0.79166666666666663</v>
      </c>
      <c r="L8" s="438">
        <v>4</v>
      </c>
      <c r="M8" s="454">
        <v>40.4</v>
      </c>
      <c r="N8" s="446"/>
    </row>
    <row r="9" spans="1:254" s="440" customFormat="1" ht="10.5" x14ac:dyDescent="0.25">
      <c r="A9" s="433" t="s">
        <v>268</v>
      </c>
      <c r="B9" s="433" t="s">
        <v>259</v>
      </c>
      <c r="C9" s="441" t="s">
        <v>54</v>
      </c>
      <c r="D9" s="434" t="s">
        <v>262</v>
      </c>
      <c r="E9" s="442">
        <v>41456</v>
      </c>
      <c r="F9" s="443">
        <v>2</v>
      </c>
      <c r="G9" s="451" t="s">
        <v>240</v>
      </c>
      <c r="H9" s="452" t="s">
        <v>258</v>
      </c>
      <c r="I9" s="469">
        <v>1331</v>
      </c>
      <c r="J9" s="453">
        <v>0.625</v>
      </c>
      <c r="K9" s="453">
        <v>0.79166666666666663</v>
      </c>
      <c r="L9" s="438">
        <v>4</v>
      </c>
      <c r="M9" s="454">
        <v>169.19370868265298</v>
      </c>
      <c r="N9" s="446"/>
    </row>
    <row r="10" spans="1:254" s="440" customFormat="1" ht="10.5" x14ac:dyDescent="0.25">
      <c r="A10" s="433" t="s">
        <v>268</v>
      </c>
      <c r="B10" s="433" t="s">
        <v>259</v>
      </c>
      <c r="C10" s="441" t="s">
        <v>54</v>
      </c>
      <c r="D10" s="471" t="s">
        <v>263</v>
      </c>
      <c r="E10" s="442">
        <v>41457</v>
      </c>
      <c r="F10" s="443">
        <v>3</v>
      </c>
      <c r="G10" s="451" t="s">
        <v>239</v>
      </c>
      <c r="H10" s="452" t="s">
        <v>258</v>
      </c>
      <c r="I10" s="469">
        <v>442</v>
      </c>
      <c r="J10" s="455">
        <v>0.58333333333333337</v>
      </c>
      <c r="K10" s="455">
        <v>0.75</v>
      </c>
      <c r="L10" s="438">
        <v>4</v>
      </c>
      <c r="M10" s="454">
        <v>38.480272418070001</v>
      </c>
      <c r="N10" s="446"/>
    </row>
    <row r="11" spans="1:254" s="440" customFormat="1" ht="10.5" x14ac:dyDescent="0.25">
      <c r="A11" s="433" t="s">
        <v>268</v>
      </c>
      <c r="B11" s="433" t="s">
        <v>259</v>
      </c>
      <c r="C11" s="441" t="s">
        <v>54</v>
      </c>
      <c r="D11" s="434" t="s">
        <v>262</v>
      </c>
      <c r="E11" s="442">
        <v>41457</v>
      </c>
      <c r="F11" s="443">
        <v>3</v>
      </c>
      <c r="G11" s="451" t="s">
        <v>240</v>
      </c>
      <c r="H11" s="452" t="s">
        <v>258</v>
      </c>
      <c r="I11" s="469">
        <v>1331</v>
      </c>
      <c r="J11" s="453">
        <v>0.625</v>
      </c>
      <c r="K11" s="453">
        <v>0.79166666666666663</v>
      </c>
      <c r="L11" s="438">
        <v>4</v>
      </c>
      <c r="M11" s="454">
        <v>167.89990480634702</v>
      </c>
      <c r="N11" s="446"/>
    </row>
    <row r="12" spans="1:254" s="440" customFormat="1" ht="10.5" x14ac:dyDescent="0.25">
      <c r="A12" s="433" t="s">
        <v>268</v>
      </c>
      <c r="B12" s="433" t="s">
        <v>259</v>
      </c>
      <c r="C12" s="441" t="s">
        <v>54</v>
      </c>
      <c r="D12" s="471" t="s">
        <v>263</v>
      </c>
      <c r="E12" s="442">
        <v>41458</v>
      </c>
      <c r="F12" s="443">
        <v>4</v>
      </c>
      <c r="G12" s="451" t="s">
        <v>239</v>
      </c>
      <c r="H12" s="452" t="s">
        <v>258</v>
      </c>
      <c r="I12" s="469">
        <v>442</v>
      </c>
      <c r="J12" s="453">
        <v>0.625</v>
      </c>
      <c r="K12" s="453">
        <v>0.79166666666666663</v>
      </c>
      <c r="L12" s="438">
        <v>4</v>
      </c>
      <c r="M12" s="454">
        <v>31.424638816159998</v>
      </c>
      <c r="N12" s="446"/>
    </row>
    <row r="13" spans="1:254" s="440" customFormat="1" ht="21" x14ac:dyDescent="0.25">
      <c r="A13" s="433" t="s">
        <v>268</v>
      </c>
      <c r="B13" s="433" t="s">
        <v>248</v>
      </c>
      <c r="C13" s="441" t="s">
        <v>65</v>
      </c>
      <c r="D13" s="434" t="s">
        <v>253</v>
      </c>
      <c r="E13" s="442">
        <v>41432</v>
      </c>
      <c r="F13" s="443">
        <v>1</v>
      </c>
      <c r="G13" s="441" t="s">
        <v>240</v>
      </c>
      <c r="H13" s="441" t="s">
        <v>247</v>
      </c>
      <c r="I13" s="444">
        <v>37</v>
      </c>
      <c r="J13" s="445">
        <v>0.625</v>
      </c>
      <c r="K13" s="445">
        <v>0.75</v>
      </c>
      <c r="L13" s="438">
        <v>3</v>
      </c>
      <c r="M13" s="439">
        <v>0.9783711719107</v>
      </c>
      <c r="S13" s="446"/>
      <c r="T13" s="446"/>
      <c r="U13" s="446"/>
      <c r="V13" s="446"/>
      <c r="W13" s="446"/>
      <c r="X13" s="446"/>
      <c r="Y13" s="446"/>
      <c r="Z13" s="446"/>
      <c r="AA13" s="446"/>
      <c r="AB13" s="446"/>
      <c r="AC13" s="446"/>
      <c r="AD13" s="446"/>
      <c r="AE13" s="446"/>
      <c r="AF13" s="446"/>
      <c r="AG13" s="447"/>
      <c r="AH13" s="447"/>
      <c r="AI13" s="447"/>
      <c r="AJ13" s="447"/>
      <c r="AK13" s="447"/>
      <c r="AL13" s="447"/>
      <c r="AM13" s="447"/>
      <c r="AN13" s="447"/>
      <c r="AO13" s="447"/>
      <c r="AP13" s="447"/>
      <c r="AQ13" s="447"/>
      <c r="AR13" s="447"/>
      <c r="AS13" s="447"/>
      <c r="AT13" s="447"/>
      <c r="AU13" s="447"/>
      <c r="AV13" s="447"/>
      <c r="AW13" s="448"/>
      <c r="AX13" s="448"/>
      <c r="AY13" s="447"/>
      <c r="AZ13" s="448"/>
      <c r="BA13" s="448"/>
      <c r="BB13" s="449"/>
      <c r="BC13" s="447"/>
      <c r="BD13" s="447"/>
      <c r="BE13" s="450"/>
      <c r="BF13" s="450"/>
      <c r="BG13" s="450"/>
      <c r="BH13" s="450"/>
      <c r="BI13" s="450"/>
      <c r="BJ13" s="450"/>
      <c r="BK13" s="450"/>
      <c r="BL13" s="450"/>
      <c r="BM13" s="450"/>
      <c r="BN13" s="450"/>
      <c r="BO13" s="450"/>
      <c r="BP13" s="450"/>
      <c r="BQ13" s="450"/>
      <c r="BR13" s="450"/>
      <c r="BS13" s="450"/>
      <c r="BT13" s="450"/>
      <c r="BU13" s="450"/>
      <c r="BV13" s="450"/>
      <c r="BW13" s="450"/>
      <c r="BX13" s="450"/>
      <c r="BY13" s="450"/>
      <c r="BZ13" s="450"/>
      <c r="CA13" s="450"/>
      <c r="CB13" s="450"/>
      <c r="CC13" s="450"/>
      <c r="CD13" s="450"/>
      <c r="CE13" s="450"/>
      <c r="CF13" s="450"/>
      <c r="CG13" s="450"/>
      <c r="CH13" s="450"/>
      <c r="CI13" s="450"/>
      <c r="CJ13" s="450"/>
      <c r="CK13" s="450"/>
      <c r="CL13" s="450"/>
      <c r="CM13" s="450"/>
      <c r="CN13" s="450"/>
      <c r="CO13" s="450"/>
      <c r="CP13" s="450"/>
      <c r="CQ13" s="450"/>
      <c r="CR13" s="450"/>
      <c r="CS13" s="450"/>
      <c r="CT13" s="450"/>
      <c r="CU13" s="450"/>
      <c r="CV13" s="450"/>
      <c r="CW13" s="450"/>
      <c r="CX13" s="450"/>
      <c r="CY13" s="450"/>
      <c r="CZ13" s="450"/>
      <c r="DA13" s="450"/>
      <c r="DB13" s="450"/>
      <c r="DC13" s="450"/>
      <c r="DD13" s="450"/>
      <c r="DE13" s="450"/>
      <c r="DF13" s="450"/>
      <c r="DG13" s="450"/>
      <c r="DH13" s="450"/>
      <c r="DI13" s="450"/>
      <c r="DJ13" s="450"/>
      <c r="DK13" s="450"/>
      <c r="DL13" s="450"/>
      <c r="DM13" s="450"/>
      <c r="DN13" s="450"/>
      <c r="DO13" s="450"/>
      <c r="DP13" s="450"/>
      <c r="DQ13" s="450"/>
      <c r="DR13" s="450"/>
      <c r="DS13" s="450"/>
      <c r="DT13" s="450"/>
      <c r="DU13" s="450"/>
      <c r="DV13" s="450"/>
      <c r="DW13" s="450"/>
      <c r="DX13" s="450"/>
      <c r="DY13" s="450"/>
      <c r="DZ13" s="450"/>
      <c r="EA13" s="450"/>
      <c r="EB13" s="450"/>
      <c r="EC13" s="450"/>
      <c r="ED13" s="450"/>
      <c r="EE13" s="450"/>
      <c r="EF13" s="450"/>
      <c r="EG13" s="450"/>
      <c r="EH13" s="450"/>
      <c r="EI13" s="450"/>
      <c r="EJ13" s="450"/>
      <c r="EK13" s="450"/>
      <c r="EL13" s="450"/>
      <c r="EM13" s="450"/>
      <c r="EN13" s="450"/>
      <c r="EO13" s="450"/>
      <c r="EP13" s="450"/>
      <c r="EQ13" s="450"/>
      <c r="ER13" s="450"/>
      <c r="ES13" s="450"/>
      <c r="ET13" s="450"/>
      <c r="EU13" s="450"/>
      <c r="EV13" s="450"/>
      <c r="EW13" s="450"/>
      <c r="EX13" s="450"/>
      <c r="EY13" s="450"/>
      <c r="EZ13" s="450"/>
      <c r="FA13" s="450"/>
      <c r="FB13" s="450"/>
      <c r="FC13" s="450"/>
      <c r="FD13" s="450"/>
      <c r="FE13" s="450"/>
      <c r="FF13" s="450"/>
      <c r="FG13" s="450"/>
      <c r="FH13" s="450"/>
      <c r="FI13" s="450"/>
      <c r="FJ13" s="450"/>
      <c r="FK13" s="450"/>
      <c r="FL13" s="450"/>
      <c r="FM13" s="450"/>
      <c r="FN13" s="450"/>
      <c r="FO13" s="450"/>
      <c r="FP13" s="450"/>
      <c r="FQ13" s="450"/>
      <c r="FR13" s="450"/>
      <c r="FS13" s="450"/>
      <c r="FT13" s="450"/>
      <c r="FU13" s="450"/>
      <c r="FV13" s="450"/>
      <c r="FW13" s="450"/>
      <c r="FX13" s="450"/>
      <c r="FY13" s="450"/>
      <c r="FZ13" s="450"/>
      <c r="GA13" s="450"/>
      <c r="GB13" s="450"/>
      <c r="GC13" s="450"/>
      <c r="GD13" s="450"/>
      <c r="GE13" s="450"/>
      <c r="GF13" s="450"/>
      <c r="GG13" s="450"/>
      <c r="GH13" s="450"/>
      <c r="GI13" s="450"/>
      <c r="GJ13" s="450"/>
      <c r="GK13" s="450"/>
      <c r="GL13" s="450"/>
      <c r="GM13" s="450"/>
      <c r="GN13" s="450"/>
      <c r="GO13" s="450"/>
      <c r="GP13" s="450"/>
      <c r="GQ13" s="450"/>
      <c r="GR13" s="450"/>
      <c r="GS13" s="450"/>
      <c r="GT13" s="450"/>
      <c r="GU13" s="450"/>
      <c r="GV13" s="450"/>
      <c r="GW13" s="450"/>
      <c r="GX13" s="450"/>
      <c r="GY13" s="450"/>
      <c r="GZ13" s="450"/>
      <c r="HA13" s="450"/>
      <c r="HB13" s="450"/>
      <c r="HC13" s="450"/>
      <c r="HD13" s="450"/>
      <c r="HE13" s="450"/>
      <c r="HF13" s="450"/>
      <c r="HG13" s="450"/>
      <c r="HH13" s="450"/>
      <c r="HI13" s="450"/>
      <c r="HJ13" s="450"/>
      <c r="HK13" s="450"/>
      <c r="HL13" s="450"/>
      <c r="HM13" s="450"/>
      <c r="HN13" s="450"/>
      <c r="HO13" s="450"/>
      <c r="HP13" s="450"/>
      <c r="HQ13" s="450"/>
      <c r="HR13" s="450"/>
      <c r="HS13" s="450"/>
      <c r="HT13" s="450"/>
      <c r="HU13" s="450"/>
      <c r="HV13" s="450"/>
      <c r="HW13" s="450"/>
      <c r="HX13" s="450"/>
      <c r="HY13" s="450"/>
      <c r="HZ13" s="450"/>
      <c r="IA13" s="450"/>
      <c r="IB13" s="450"/>
      <c r="IC13" s="450"/>
      <c r="ID13" s="450"/>
      <c r="IE13" s="450"/>
      <c r="IF13" s="450"/>
      <c r="IG13" s="450"/>
      <c r="IH13" s="450"/>
      <c r="II13" s="450"/>
      <c r="IJ13" s="450"/>
      <c r="IK13" s="450"/>
      <c r="IL13" s="450"/>
      <c r="IM13" s="450"/>
      <c r="IN13" s="450"/>
      <c r="IO13" s="450"/>
      <c r="IP13" s="450"/>
      <c r="IQ13" s="450"/>
      <c r="IR13" s="450"/>
      <c r="IS13" s="450"/>
      <c r="IT13" s="450"/>
    </row>
    <row r="14" spans="1:254" s="440" customFormat="1" ht="42" x14ac:dyDescent="0.25">
      <c r="A14" s="433" t="s">
        <v>268</v>
      </c>
      <c r="B14" s="433" t="s">
        <v>259</v>
      </c>
      <c r="C14" s="441" t="s">
        <v>65</v>
      </c>
      <c r="D14" s="434" t="s">
        <v>278</v>
      </c>
      <c r="E14" s="442">
        <v>41456</v>
      </c>
      <c r="F14" s="443">
        <v>2</v>
      </c>
      <c r="G14" s="451" t="s">
        <v>239</v>
      </c>
      <c r="H14" s="452" t="s">
        <v>258</v>
      </c>
      <c r="I14" s="482">
        <v>25</v>
      </c>
      <c r="J14" s="453">
        <v>0.625</v>
      </c>
      <c r="K14" s="453">
        <v>0.79166666666666663</v>
      </c>
      <c r="L14" s="438">
        <v>4</v>
      </c>
      <c r="M14" s="454">
        <v>12.2</v>
      </c>
      <c r="N14" s="446"/>
    </row>
    <row r="15" spans="1:254" s="440" customFormat="1" ht="21" x14ac:dyDescent="0.25">
      <c r="A15" s="433" t="s">
        <v>268</v>
      </c>
      <c r="B15" s="433" t="s">
        <v>259</v>
      </c>
      <c r="C15" s="441" t="s">
        <v>65</v>
      </c>
      <c r="D15" s="434" t="s">
        <v>279</v>
      </c>
      <c r="E15" s="442">
        <v>41456</v>
      </c>
      <c r="F15" s="443">
        <v>2</v>
      </c>
      <c r="G15" s="451" t="s">
        <v>240</v>
      </c>
      <c r="H15" s="452" t="s">
        <v>258</v>
      </c>
      <c r="I15" s="469">
        <v>470</v>
      </c>
      <c r="J15" s="453">
        <v>0.625</v>
      </c>
      <c r="K15" s="453">
        <v>0.79166666666666663</v>
      </c>
      <c r="L15" s="438">
        <v>4</v>
      </c>
      <c r="M15" s="454">
        <v>18.5</v>
      </c>
      <c r="N15" s="446"/>
    </row>
    <row r="16" spans="1:254" s="440" customFormat="1" ht="42" x14ac:dyDescent="0.25">
      <c r="A16" s="433" t="s">
        <v>268</v>
      </c>
      <c r="B16" s="433" t="s">
        <v>259</v>
      </c>
      <c r="C16" s="441" t="s">
        <v>65</v>
      </c>
      <c r="D16" s="434" t="s">
        <v>278</v>
      </c>
      <c r="E16" s="442">
        <v>41457</v>
      </c>
      <c r="F16" s="443">
        <v>3</v>
      </c>
      <c r="G16" s="451" t="s">
        <v>239</v>
      </c>
      <c r="H16" s="452" t="s">
        <v>258</v>
      </c>
      <c r="I16" s="469">
        <v>25</v>
      </c>
      <c r="J16" s="455">
        <v>0.58333333333333337</v>
      </c>
      <c r="K16" s="455">
        <v>0.75</v>
      </c>
      <c r="L16" s="438">
        <v>4</v>
      </c>
      <c r="M16" s="454">
        <v>6.6</v>
      </c>
      <c r="N16" s="446"/>
    </row>
    <row r="17" spans="1:18" s="440" customFormat="1" ht="21" x14ac:dyDescent="0.25">
      <c r="A17" s="433" t="s">
        <v>268</v>
      </c>
      <c r="B17" s="433" t="s">
        <v>259</v>
      </c>
      <c r="C17" s="441" t="s">
        <v>65</v>
      </c>
      <c r="D17" s="434" t="s">
        <v>279</v>
      </c>
      <c r="E17" s="442">
        <v>41457</v>
      </c>
      <c r="F17" s="443">
        <v>3</v>
      </c>
      <c r="G17" s="451" t="s">
        <v>240</v>
      </c>
      <c r="H17" s="452" t="s">
        <v>258</v>
      </c>
      <c r="I17" s="469">
        <v>470</v>
      </c>
      <c r="J17" s="453">
        <v>0.66666666666666663</v>
      </c>
      <c r="K17" s="453">
        <v>0.79166666666666663</v>
      </c>
      <c r="L17" s="438">
        <v>3</v>
      </c>
      <c r="M17" s="454">
        <v>18</v>
      </c>
      <c r="N17" s="446"/>
    </row>
    <row r="18" spans="1:18" s="440" customFormat="1" ht="42" x14ac:dyDescent="0.25">
      <c r="A18" s="433" t="s">
        <v>268</v>
      </c>
      <c r="B18" s="433" t="s">
        <v>259</v>
      </c>
      <c r="C18" s="441" t="s">
        <v>65</v>
      </c>
      <c r="D18" s="434" t="s">
        <v>278</v>
      </c>
      <c r="E18" s="442">
        <v>41458</v>
      </c>
      <c r="F18" s="443">
        <v>4</v>
      </c>
      <c r="G18" s="451" t="s">
        <v>239</v>
      </c>
      <c r="H18" s="452" t="s">
        <v>258</v>
      </c>
      <c r="I18" s="469">
        <v>25</v>
      </c>
      <c r="J18" s="453">
        <v>0.625</v>
      </c>
      <c r="K18" s="453">
        <v>0.79166666666666663</v>
      </c>
      <c r="L18" s="438">
        <v>4</v>
      </c>
      <c r="M18" s="454">
        <v>3.3</v>
      </c>
      <c r="N18" s="446"/>
    </row>
    <row r="19" spans="1:18" s="457" customFormat="1" ht="11.4" customHeight="1" x14ac:dyDescent="0.25">
      <c r="A19" s="433" t="s">
        <v>268</v>
      </c>
      <c r="B19" s="433" t="s">
        <v>248</v>
      </c>
      <c r="C19" s="441" t="s">
        <v>105</v>
      </c>
      <c r="D19" s="434" t="s">
        <v>280</v>
      </c>
      <c r="E19" s="442">
        <v>41432</v>
      </c>
      <c r="F19" s="443">
        <v>1</v>
      </c>
      <c r="G19" s="441" t="s">
        <v>239</v>
      </c>
      <c r="H19" s="441" t="s">
        <v>247</v>
      </c>
      <c r="I19" s="468">
        <v>2</v>
      </c>
      <c r="J19" s="445">
        <v>0.5</v>
      </c>
      <c r="K19" s="445">
        <v>0.83333333333333337</v>
      </c>
      <c r="L19" s="438">
        <v>8</v>
      </c>
      <c r="M19" s="439">
        <v>0.73351070679999997</v>
      </c>
      <c r="N19" s="440"/>
      <c r="O19" s="440"/>
      <c r="P19" s="440"/>
      <c r="Q19" s="440"/>
      <c r="R19" s="440"/>
    </row>
    <row r="20" spans="1:18" s="440" customFormat="1" ht="11.5" x14ac:dyDescent="0.25">
      <c r="A20" s="433" t="s">
        <v>268</v>
      </c>
      <c r="B20" s="433" t="s">
        <v>259</v>
      </c>
      <c r="C20" s="441" t="s">
        <v>105</v>
      </c>
      <c r="D20" s="434" t="s">
        <v>264</v>
      </c>
      <c r="E20" s="442">
        <v>41456</v>
      </c>
      <c r="F20" s="443">
        <v>2</v>
      </c>
      <c r="G20" s="451" t="s">
        <v>239</v>
      </c>
      <c r="H20" s="441" t="s">
        <v>247</v>
      </c>
      <c r="I20" s="470">
        <v>72</v>
      </c>
      <c r="J20" s="455">
        <v>0.5</v>
      </c>
      <c r="K20" s="455">
        <v>0.75</v>
      </c>
      <c r="L20" s="438">
        <v>6</v>
      </c>
      <c r="M20" s="454">
        <v>40.9</v>
      </c>
      <c r="N20" s="446"/>
    </row>
    <row r="21" spans="1:18" s="440" customFormat="1" ht="11.5" x14ac:dyDescent="0.25">
      <c r="A21" s="433" t="s">
        <v>268</v>
      </c>
      <c r="B21" s="433" t="s">
        <v>259</v>
      </c>
      <c r="C21" s="441" t="s">
        <v>105</v>
      </c>
      <c r="D21" s="434" t="s">
        <v>264</v>
      </c>
      <c r="E21" s="442">
        <v>41458</v>
      </c>
      <c r="F21" s="443">
        <v>3</v>
      </c>
      <c r="G21" s="451" t="s">
        <v>239</v>
      </c>
      <c r="H21" s="441" t="s">
        <v>247</v>
      </c>
      <c r="I21" s="469">
        <v>79</v>
      </c>
      <c r="J21" s="455">
        <v>0.5</v>
      </c>
      <c r="K21" s="455">
        <v>0.83333333333333337</v>
      </c>
      <c r="L21" s="438">
        <v>8</v>
      </c>
      <c r="M21" s="454">
        <v>44</v>
      </c>
      <c r="N21" s="446"/>
    </row>
    <row r="22" spans="1:18" s="440" customFormat="1" ht="10.5" x14ac:dyDescent="0.25">
      <c r="A22" s="433" t="s">
        <v>268</v>
      </c>
      <c r="B22" s="433" t="s">
        <v>248</v>
      </c>
      <c r="C22" s="441" t="s">
        <v>260</v>
      </c>
      <c r="D22" s="434" t="s">
        <v>252</v>
      </c>
      <c r="E22" s="442">
        <v>41432</v>
      </c>
      <c r="F22" s="443">
        <v>1</v>
      </c>
      <c r="G22" s="441" t="s">
        <v>239</v>
      </c>
      <c r="H22" s="441" t="s">
        <v>247</v>
      </c>
      <c r="I22" s="444">
        <v>6031</v>
      </c>
      <c r="J22" s="445">
        <v>0.5</v>
      </c>
      <c r="K22" s="445">
        <v>0.75</v>
      </c>
      <c r="L22" s="438">
        <v>6</v>
      </c>
      <c r="M22" s="439">
        <v>44.715402177476541</v>
      </c>
    </row>
    <row r="23" spans="1:18" s="440" customFormat="1" ht="10.5" x14ac:dyDescent="0.25">
      <c r="A23" s="433" t="s">
        <v>268</v>
      </c>
      <c r="B23" s="433" t="s">
        <v>248</v>
      </c>
      <c r="C23" s="441" t="s">
        <v>260</v>
      </c>
      <c r="D23" s="434" t="s">
        <v>252</v>
      </c>
      <c r="E23" s="442">
        <v>41453</v>
      </c>
      <c r="F23" s="443">
        <v>2</v>
      </c>
      <c r="G23" s="441" t="s">
        <v>239</v>
      </c>
      <c r="H23" s="441" t="s">
        <v>247</v>
      </c>
      <c r="I23" s="444">
        <v>6047</v>
      </c>
      <c r="J23" s="445">
        <v>0.5</v>
      </c>
      <c r="K23" s="445">
        <v>0.75</v>
      </c>
      <c r="L23" s="438">
        <v>6</v>
      </c>
      <c r="M23" s="439">
        <v>49.687610318565483</v>
      </c>
    </row>
    <row r="24" spans="1:18" s="440" customFormat="1" ht="11.25" customHeight="1" x14ac:dyDescent="0.25">
      <c r="A24" s="433" t="s">
        <v>268</v>
      </c>
      <c r="B24" s="433" t="s">
        <v>259</v>
      </c>
      <c r="C24" s="441" t="s">
        <v>260</v>
      </c>
      <c r="D24" s="434" t="s">
        <v>252</v>
      </c>
      <c r="E24" s="442">
        <v>41456</v>
      </c>
      <c r="F24" s="443">
        <v>3</v>
      </c>
      <c r="G24" s="441" t="s">
        <v>239</v>
      </c>
      <c r="H24" s="441" t="s">
        <v>247</v>
      </c>
      <c r="I24" s="470">
        <v>6047</v>
      </c>
      <c r="J24" s="455">
        <v>0.5</v>
      </c>
      <c r="K24" s="455">
        <v>0.75</v>
      </c>
      <c r="L24" s="438">
        <v>6</v>
      </c>
      <c r="M24" s="454">
        <v>41.233390391958778</v>
      </c>
    </row>
    <row r="25" spans="1:18" s="440" customFormat="1" ht="11.25" customHeight="1" x14ac:dyDescent="0.25">
      <c r="A25" s="433" t="s">
        <v>268</v>
      </c>
      <c r="B25" s="433" t="s">
        <v>259</v>
      </c>
      <c r="C25" s="441" t="s">
        <v>260</v>
      </c>
      <c r="D25" s="434" t="s">
        <v>252</v>
      </c>
      <c r="E25" s="442">
        <v>41457</v>
      </c>
      <c r="F25" s="443">
        <v>4</v>
      </c>
      <c r="G25" s="451" t="s">
        <v>239</v>
      </c>
      <c r="H25" s="452" t="s">
        <v>247</v>
      </c>
      <c r="I25" s="469">
        <v>6047</v>
      </c>
      <c r="J25" s="455">
        <v>0.5</v>
      </c>
      <c r="K25" s="455">
        <v>0.75</v>
      </c>
      <c r="L25" s="438">
        <v>6</v>
      </c>
      <c r="M25" s="454">
        <v>44.494669864982832</v>
      </c>
    </row>
    <row r="26" spans="1:18" s="440" customFormat="1" ht="11.4" customHeight="1" x14ac:dyDescent="0.25">
      <c r="A26" s="433" t="s">
        <v>268</v>
      </c>
      <c r="B26" s="433" t="s">
        <v>259</v>
      </c>
      <c r="C26" s="441" t="s">
        <v>260</v>
      </c>
      <c r="D26" s="434" t="s">
        <v>252</v>
      </c>
      <c r="E26" s="442">
        <v>41464</v>
      </c>
      <c r="F26" s="443">
        <v>5</v>
      </c>
      <c r="G26" s="451" t="s">
        <v>239</v>
      </c>
      <c r="H26" s="441" t="s">
        <v>247</v>
      </c>
      <c r="I26" s="469">
        <v>6040</v>
      </c>
      <c r="J26" s="455">
        <v>0.5</v>
      </c>
      <c r="K26" s="455">
        <v>0.75</v>
      </c>
      <c r="L26" s="438">
        <v>6</v>
      </c>
      <c r="M26" s="454">
        <v>32.469347515567122</v>
      </c>
    </row>
    <row r="27" spans="1:18" s="440" customFormat="1" ht="11.25" customHeight="1" x14ac:dyDescent="0.25">
      <c r="A27" s="433" t="s">
        <v>268</v>
      </c>
      <c r="B27" s="433" t="s">
        <v>259</v>
      </c>
      <c r="C27" s="441" t="s">
        <v>260</v>
      </c>
      <c r="D27" s="434" t="s">
        <v>252</v>
      </c>
      <c r="E27" s="442">
        <v>41474</v>
      </c>
      <c r="F27" s="443">
        <v>6</v>
      </c>
      <c r="G27" s="451" t="s">
        <v>239</v>
      </c>
      <c r="H27" s="441" t="s">
        <v>247</v>
      </c>
      <c r="I27" s="469">
        <v>6037</v>
      </c>
      <c r="J27" s="455">
        <v>0.5</v>
      </c>
      <c r="K27" s="455">
        <v>0.75</v>
      </c>
      <c r="L27" s="438">
        <v>6</v>
      </c>
      <c r="M27" s="454">
        <v>46.790149109897243</v>
      </c>
    </row>
    <row r="28" spans="1:18" s="440" customFormat="1" ht="10.5" x14ac:dyDescent="0.25">
      <c r="A28" s="433" t="s">
        <v>268</v>
      </c>
      <c r="B28" s="433" t="s">
        <v>248</v>
      </c>
      <c r="C28" s="441" t="s">
        <v>246</v>
      </c>
      <c r="D28" s="434" t="s">
        <v>252</v>
      </c>
      <c r="E28" s="442">
        <v>41432</v>
      </c>
      <c r="F28" s="443">
        <v>1</v>
      </c>
      <c r="G28" s="441" t="s">
        <v>239</v>
      </c>
      <c r="H28" s="441" t="s">
        <v>247</v>
      </c>
      <c r="I28" s="444">
        <v>114438</v>
      </c>
      <c r="J28" s="445">
        <v>0.58333333333333337</v>
      </c>
      <c r="K28" s="445">
        <v>0.79166666666666663</v>
      </c>
      <c r="L28" s="438">
        <v>5</v>
      </c>
      <c r="M28" s="439">
        <v>41.68</v>
      </c>
    </row>
    <row r="29" spans="1:18" s="440" customFormat="1" ht="10.5" x14ac:dyDescent="0.25">
      <c r="A29" s="433" t="s">
        <v>268</v>
      </c>
      <c r="B29" s="433" t="s">
        <v>248</v>
      </c>
      <c r="C29" s="441" t="s">
        <v>246</v>
      </c>
      <c r="D29" s="434" t="s">
        <v>252</v>
      </c>
      <c r="E29" s="442">
        <v>41453</v>
      </c>
      <c r="F29" s="443">
        <v>2</v>
      </c>
      <c r="G29" s="441" t="s">
        <v>239</v>
      </c>
      <c r="H29" s="441" t="s">
        <v>247</v>
      </c>
      <c r="I29" s="444">
        <v>117469</v>
      </c>
      <c r="J29" s="445">
        <v>0.58333333333333337</v>
      </c>
      <c r="K29" s="445">
        <v>0.79166666666666663</v>
      </c>
      <c r="L29" s="438">
        <v>5</v>
      </c>
      <c r="M29" s="439">
        <v>51.419501713983017</v>
      </c>
    </row>
    <row r="30" spans="1:18" s="440" customFormat="1" ht="11.25" customHeight="1" x14ac:dyDescent="0.25">
      <c r="A30" s="433" t="s">
        <v>268</v>
      </c>
      <c r="B30" s="433" t="s">
        <v>259</v>
      </c>
      <c r="C30" s="451" t="s">
        <v>246</v>
      </c>
      <c r="D30" s="434" t="s">
        <v>252</v>
      </c>
      <c r="E30" s="442">
        <v>41456</v>
      </c>
      <c r="F30" s="443">
        <v>3</v>
      </c>
      <c r="G30" s="451" t="s">
        <v>239</v>
      </c>
      <c r="H30" s="441" t="s">
        <v>247</v>
      </c>
      <c r="I30" s="469">
        <v>117831</v>
      </c>
      <c r="J30" s="455">
        <v>0.58333333333333337</v>
      </c>
      <c r="K30" s="455">
        <v>0.79166666666666663</v>
      </c>
      <c r="L30" s="438">
        <v>5</v>
      </c>
      <c r="M30" s="454">
        <v>44.068551654468408</v>
      </c>
    </row>
    <row r="31" spans="1:18" s="440" customFormat="1" ht="11.25" customHeight="1" x14ac:dyDescent="0.25">
      <c r="A31" s="433" t="s">
        <v>268</v>
      </c>
      <c r="B31" s="433" t="s">
        <v>259</v>
      </c>
      <c r="C31" s="451" t="s">
        <v>246</v>
      </c>
      <c r="D31" s="434" t="s">
        <v>252</v>
      </c>
      <c r="E31" s="442">
        <v>41457</v>
      </c>
      <c r="F31" s="443">
        <v>4</v>
      </c>
      <c r="G31" s="451" t="s">
        <v>239</v>
      </c>
      <c r="H31" s="452" t="s">
        <v>247</v>
      </c>
      <c r="I31" s="469">
        <v>117831</v>
      </c>
      <c r="J31" s="455">
        <v>0.58333333333333337</v>
      </c>
      <c r="K31" s="455">
        <v>0.79166666666666663</v>
      </c>
      <c r="L31" s="438">
        <v>5</v>
      </c>
      <c r="M31" s="454">
        <v>47.241449144289831</v>
      </c>
    </row>
    <row r="32" spans="1:18" s="440" customFormat="1" ht="11.25" customHeight="1" x14ac:dyDescent="0.25">
      <c r="A32" s="433" t="s">
        <v>268</v>
      </c>
      <c r="B32" s="433" t="s">
        <v>259</v>
      </c>
      <c r="C32" s="451" t="s">
        <v>246</v>
      </c>
      <c r="D32" s="434" t="s">
        <v>252</v>
      </c>
      <c r="E32" s="442">
        <v>41474</v>
      </c>
      <c r="F32" s="443">
        <v>5</v>
      </c>
      <c r="G32" s="451" t="s">
        <v>239</v>
      </c>
      <c r="H32" s="452" t="s">
        <v>247</v>
      </c>
      <c r="I32" s="469">
        <v>0</v>
      </c>
      <c r="J32" s="455">
        <v>0.58333333333333337</v>
      </c>
      <c r="K32" s="455">
        <v>0.79166666666666663</v>
      </c>
      <c r="L32" s="438">
        <v>5</v>
      </c>
      <c r="M32" s="454">
        <v>32.551838260940904</v>
      </c>
    </row>
    <row r="33" spans="1:15" s="440" customFormat="1" ht="10.5" x14ac:dyDescent="0.25">
      <c r="A33" s="433" t="s">
        <v>268</v>
      </c>
      <c r="B33" s="433" t="s">
        <v>248</v>
      </c>
      <c r="C33" s="441" t="s">
        <v>69</v>
      </c>
      <c r="D33" s="434" t="s">
        <v>255</v>
      </c>
      <c r="E33" s="442">
        <v>41432</v>
      </c>
      <c r="F33" s="443">
        <v>1</v>
      </c>
      <c r="G33" s="441" t="s">
        <v>240</v>
      </c>
      <c r="H33" s="441" t="s">
        <v>254</v>
      </c>
      <c r="I33" s="444">
        <v>35011</v>
      </c>
      <c r="J33" s="445">
        <v>0.79166666666666663</v>
      </c>
      <c r="K33" s="445">
        <v>0.91666666666666663</v>
      </c>
      <c r="L33" s="438">
        <v>3</v>
      </c>
      <c r="M33" s="439"/>
    </row>
    <row r="34" spans="1:15" ht="11.25" customHeight="1" x14ac:dyDescent="0.2">
      <c r="A34" s="433" t="s">
        <v>268</v>
      </c>
      <c r="B34" s="660" t="s">
        <v>259</v>
      </c>
      <c r="C34" s="661" t="s">
        <v>69</v>
      </c>
      <c r="D34" s="662" t="s">
        <v>281</v>
      </c>
      <c r="E34" s="663">
        <v>41456</v>
      </c>
      <c r="F34" s="443">
        <v>2</v>
      </c>
      <c r="G34" s="661" t="s">
        <v>240</v>
      </c>
      <c r="H34" s="661" t="s">
        <v>241</v>
      </c>
      <c r="I34" s="664">
        <v>112282</v>
      </c>
      <c r="J34" s="665">
        <v>0.39583333333333331</v>
      </c>
      <c r="K34" s="665">
        <v>0.83333333333333337</v>
      </c>
      <c r="L34" s="666">
        <v>10.5</v>
      </c>
      <c r="M34" s="666"/>
    </row>
    <row r="35" spans="1:15" ht="11.25" customHeight="1" x14ac:dyDescent="0.2">
      <c r="A35" s="433" t="s">
        <v>268</v>
      </c>
      <c r="B35" s="475" t="s">
        <v>259</v>
      </c>
      <c r="C35" s="476" t="s">
        <v>69</v>
      </c>
      <c r="D35" s="477" t="s">
        <v>270</v>
      </c>
      <c r="E35" s="478">
        <v>41457</v>
      </c>
      <c r="F35" s="667">
        <v>3</v>
      </c>
      <c r="G35" s="476" t="s">
        <v>240</v>
      </c>
      <c r="H35" s="476" t="s">
        <v>254</v>
      </c>
      <c r="I35" s="480">
        <v>6919</v>
      </c>
      <c r="J35" s="481">
        <v>0.78472222222222221</v>
      </c>
      <c r="K35" s="481">
        <v>0.95138888888888884</v>
      </c>
      <c r="L35" s="479">
        <v>4</v>
      </c>
      <c r="M35" s="479"/>
    </row>
    <row r="36" spans="1:15" ht="11.25" customHeight="1" x14ac:dyDescent="0.2">
      <c r="A36" s="433" t="s">
        <v>268</v>
      </c>
      <c r="B36" s="475" t="s">
        <v>259</v>
      </c>
      <c r="C36" s="476" t="s">
        <v>69</v>
      </c>
      <c r="D36" s="477" t="s">
        <v>271</v>
      </c>
      <c r="E36" s="478">
        <v>41458</v>
      </c>
      <c r="F36" s="667">
        <v>4</v>
      </c>
      <c r="G36" s="476" t="s">
        <v>240</v>
      </c>
      <c r="H36" s="476" t="s">
        <v>254</v>
      </c>
      <c r="I36" s="480">
        <v>1182</v>
      </c>
      <c r="J36" s="481">
        <v>0.73958333333333337</v>
      </c>
      <c r="K36" s="481">
        <v>0.90625</v>
      </c>
      <c r="L36" s="479">
        <v>4</v>
      </c>
      <c r="M36" s="479"/>
    </row>
    <row r="37" spans="1:15" ht="11.25" customHeight="1" x14ac:dyDescent="0.2">
      <c r="A37" s="433" t="s">
        <v>268</v>
      </c>
      <c r="B37" s="475" t="s">
        <v>259</v>
      </c>
      <c r="C37" s="476" t="s">
        <v>69</v>
      </c>
      <c r="D37" s="477" t="s">
        <v>272</v>
      </c>
      <c r="E37" s="478">
        <v>41458</v>
      </c>
      <c r="F37" s="667">
        <v>4</v>
      </c>
      <c r="G37" s="476" t="s">
        <v>240</v>
      </c>
      <c r="H37" s="476" t="s">
        <v>254</v>
      </c>
      <c r="I37" s="480">
        <v>4534</v>
      </c>
      <c r="J37" s="481">
        <v>0.74305555555555547</v>
      </c>
      <c r="K37" s="481">
        <v>0.90972222222222221</v>
      </c>
      <c r="L37" s="479">
        <v>4</v>
      </c>
      <c r="M37" s="479"/>
    </row>
    <row r="38" spans="1:15" ht="11" customHeight="1" x14ac:dyDescent="0.25">
      <c r="A38" s="490" t="s">
        <v>273</v>
      </c>
      <c r="B38" s="491"/>
      <c r="C38" s="485"/>
      <c r="D38" s="492"/>
      <c r="E38" s="493"/>
      <c r="F38" s="484"/>
      <c r="G38" s="485"/>
      <c r="H38" s="484"/>
      <c r="I38" s="486"/>
      <c r="J38" s="485"/>
      <c r="K38" s="485"/>
      <c r="L38" s="487"/>
      <c r="M38" s="488"/>
      <c r="N38" s="494"/>
      <c r="O38" s="494"/>
    </row>
    <row r="39" spans="1:15" ht="10.5" customHeight="1" x14ac:dyDescent="0.25">
      <c r="A39" s="490" t="s">
        <v>274</v>
      </c>
      <c r="B39" s="489"/>
      <c r="C39" s="485"/>
      <c r="D39" s="492"/>
      <c r="E39" s="493"/>
      <c r="F39" s="484"/>
      <c r="G39" s="485"/>
      <c r="H39" s="484"/>
      <c r="I39" s="486"/>
      <c r="J39" s="485"/>
      <c r="K39" s="485"/>
      <c r="L39" s="487"/>
      <c r="M39" s="488"/>
    </row>
    <row r="40" spans="1:15" ht="22.5" customHeight="1" x14ac:dyDescent="0.25">
      <c r="A40" s="694" t="s">
        <v>282</v>
      </c>
      <c r="B40" s="695"/>
      <c r="C40" s="695"/>
      <c r="D40" s="695"/>
      <c r="E40" s="695"/>
      <c r="F40" s="695"/>
      <c r="G40" s="695"/>
      <c r="H40" s="695"/>
      <c r="I40" s="695"/>
      <c r="J40" s="695"/>
      <c r="K40" s="695"/>
      <c r="L40" s="695"/>
      <c r="M40" s="695"/>
    </row>
  </sheetData>
  <sheetProtection password="C511" sheet="1" objects="1" scenarios="1"/>
  <protectedRanges>
    <protectedRange password="D9D5" sqref="G6:G7" name="Add Rows"/>
    <protectedRange sqref="G6:G7" name="Enter Event Data"/>
    <protectedRange password="D9D5" sqref="E6:E7" name="Add Rows_1"/>
    <protectedRange sqref="E6:E7" name="Enter Event Data_1"/>
    <protectedRange password="D9D5" sqref="G33 C33 G19 E19 E13 G13 E22:E23 G22:G23 C29 E28:E29 G28:G29 C22:C27 E33" name="Add Rows_3"/>
    <protectedRange sqref="G33 C33 G19 E19 E13 G13 E22:E23 G22:G23 C29 E28:E29 G28:G29 C22:C27 E33" name="Enter Event Data_3"/>
    <protectedRange password="D9D5" sqref="H22:I23 H19:I19 S13:IT13 H13 S22:IT23 I29 H28:H29 H33:I33 S6:IT6 S33:IT33" name="Add Rows_40"/>
    <protectedRange sqref="BB13 S13:AF13 H19:I19 H13 BB22:BB23 S22:AF23 I29 H28:H29 H22:I23 S33:AF33 H33:I33 BB6 S6:AF6 BB33" name="Enter Event Data_4"/>
    <protectedRange password="D9D5" sqref="I13 I28" name="Add Rows_41"/>
    <protectedRange sqref="I13 I28" name="Enter Event Data_5"/>
    <protectedRange password="D9D5" sqref="J13:K13 J28:J29" name="Add Rows_42"/>
    <protectedRange sqref="J13:K13 J28:J29" name="Enter Event Data_6"/>
    <protectedRange password="D9D5" sqref="K28:K29 J22:J23 J33" name="Add Rows_44"/>
    <protectedRange sqref="K28:K29 J22:J23 J33" name="Enter Event Data_8"/>
    <protectedRange password="D9D5" sqref="K22:K23 K33" name="Add Rows_45"/>
    <protectedRange sqref="K22:K23 K33" name="Enter Event Data_9"/>
    <protectedRange password="D9D5" sqref="J19:K19" name="Add Rows_47"/>
    <protectedRange sqref="J19:K19" name="Enter Event Data_11"/>
    <protectedRange password="D9D5" sqref="D22:D27 D29:D33" name="Add Rows_3_3"/>
    <protectedRange sqref="D22:D27 D29:D33" name="Enter Event Data_3_3"/>
    <protectedRange password="D9D5" sqref="C30:C32 C3" name="Add Rows_7"/>
    <protectedRange sqref="C30:C32 C3" name="Enter Event Data_13"/>
    <protectedRange password="D9D5" sqref="D8 D10 D12:D18 D3 D20:D21 D5" name="Add Rows_8"/>
    <protectedRange sqref="D8 D10 D12:D18 D3 D20:D21 D5" name="Enter Event Data_14"/>
    <protectedRange password="D9D5" sqref="E24:E25 E30:E31 E8:E11 E20 E14:E16 E3" name="Add Rows_9"/>
    <protectedRange sqref="E24:E25 E30:E31 E8:E11 E20 E14:E16 E3" name="Enter Event Data_15"/>
    <protectedRange password="D9D5" sqref="G13:G18 G30:G32 G20 G8 G10 G3 G5 G24:G27" name="Add Rows_10"/>
    <protectedRange sqref="G13:G18 G30:G32 G20 G8 G10 G3 G5 G24:G27" name="Enter Event Data_16"/>
    <protectedRange password="D9D5" sqref="H8:I8 H14:I14 H21 H24:I24 H30:I30 I31 H9:H18 H20:I20 H3 H5 H26:H27" name="Add Rows_11"/>
    <protectedRange sqref="H21 H24:I24 H30:I30 I31 H14:I15 H9:H18 H20:I20 H8:I8 H3 H5 H26:H27" name="Enter Event Data_17"/>
    <protectedRange password="D9D5" sqref="J24:K24 J30:K30 J20:K20 J8:K9 J3:K3 J11:K18 J5:K5" name="Add Rows_12"/>
    <protectedRange sqref="J24:K24 J30:K30 J20:K20 J8:K9 J3:K3 J11:K18 J5:K5" name="Enter Event Data_18"/>
    <protectedRange password="D9D5" sqref="M20:M21 M30:M32 M8:M18 M3 M5 M24:M27" name="Add Rows_14"/>
    <protectedRange password="D9D5" sqref="E17" name="Add Rows_16"/>
    <protectedRange sqref="E17" name="Enter Event Data_21"/>
    <protectedRange password="D9D5" sqref="G17" name="Add Rows_17"/>
    <protectedRange sqref="G17" name="Enter Event Data_22"/>
    <protectedRange password="D9D5" sqref="H17" name="Add Rows_18"/>
    <protectedRange sqref="H17" name="Enter Event Data_23"/>
    <protectedRange sqref="I17" name="Enter Event Data_24"/>
    <protectedRange password="D9D5" sqref="J17:K17" name="Add Rows_19"/>
    <protectedRange sqref="J17:K17" name="Enter Event Data_25"/>
    <protectedRange password="D9D5" sqref="M17" name="Add Rows_20"/>
  </protectedRanges>
  <autoFilter ref="A1:L37"/>
  <mergeCells count="1">
    <mergeCell ref="A40:M40"/>
  </mergeCells>
  <printOptions verticalCentered="1"/>
  <pageMargins left="0.25" right="0.25" top="1.25" bottom="0.75" header="0.3" footer="0.3"/>
  <pageSetup scale="77" orientation="landscape" r:id="rId1"/>
  <headerFooter>
    <oddHeader>&amp;C&amp;"Arial,Bold"&amp;K000000Table I-4 
Pacific Gas and Electric Company 
 Interruptible and Price Responsive Programs
Year-to-Date Event Summary 
July 2013</oddHeader>
    <oddFooter>&amp;L&amp;F&amp;CPage 8 of 11&amp;R&amp;A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view="pageLayout" topLeftCell="C5" zoomScale="85" zoomScaleNormal="100" zoomScalePageLayoutView="85" workbookViewId="0">
      <selection activeCell="I5" sqref="I5"/>
    </sheetView>
  </sheetViews>
  <sheetFormatPr defaultColWidth="9.453125" defaultRowHeight="12.5" x14ac:dyDescent="0.25"/>
  <cols>
    <col min="1" max="1" width="35.54296875" style="105" customWidth="1"/>
    <col min="2" max="2" width="13.54296875" style="105" bestFit="1" customWidth="1"/>
    <col min="3" max="7" width="12.453125" style="105" bestFit="1" customWidth="1"/>
    <col min="8" max="8" width="11.54296875" style="105" customWidth="1"/>
    <col min="9" max="10" width="11.54296875" style="105" bestFit="1" customWidth="1"/>
    <col min="11" max="11" width="12.453125" style="105" bestFit="1" customWidth="1"/>
    <col min="12" max="15" width="12.453125" style="105" customWidth="1"/>
    <col min="16" max="16" width="15.54296875" style="105" bestFit="1" customWidth="1"/>
    <col min="17" max="17" width="11.54296875" style="105" bestFit="1" customWidth="1"/>
    <col min="18" max="16384" width="9.453125" style="105"/>
  </cols>
  <sheetData>
    <row r="1" spans="1:18" s="113" customFormat="1" ht="5.25" customHeight="1" x14ac:dyDescent="0.2"/>
    <row r="2" spans="1:18" s="113" customFormat="1" ht="5.15" customHeight="1" thickBot="1" x14ac:dyDescent="0.25"/>
    <row r="3" spans="1:18" ht="12.75" x14ac:dyDescent="0.2">
      <c r="A3" s="101" t="s">
        <v>70</v>
      </c>
      <c r="B3" s="340"/>
      <c r="C3" s="114"/>
      <c r="D3" s="114"/>
      <c r="E3" s="114"/>
      <c r="F3" s="114"/>
      <c r="G3" s="114"/>
      <c r="H3" s="114"/>
      <c r="I3" s="114"/>
      <c r="J3" s="114"/>
      <c r="K3" s="114"/>
      <c r="L3" s="114"/>
      <c r="M3" s="114"/>
      <c r="N3" s="114"/>
      <c r="O3" s="114"/>
      <c r="P3" s="115"/>
    </row>
    <row r="4" spans="1:18" ht="12.75" x14ac:dyDescent="0.2">
      <c r="A4" s="3"/>
      <c r="B4" s="341"/>
      <c r="C4" s="116"/>
      <c r="D4" s="116"/>
      <c r="E4" s="116"/>
      <c r="F4" s="116"/>
      <c r="G4" s="116"/>
      <c r="H4" s="116"/>
      <c r="I4" s="116"/>
      <c r="J4" s="116"/>
      <c r="K4" s="116"/>
      <c r="L4" s="116"/>
      <c r="M4" s="116"/>
      <c r="N4" s="116"/>
      <c r="O4" s="116"/>
      <c r="P4" s="117"/>
    </row>
    <row r="5" spans="1:18" ht="42.65" customHeight="1" x14ac:dyDescent="0.2">
      <c r="A5" s="342" t="s">
        <v>49</v>
      </c>
      <c r="B5" s="351" t="s">
        <v>215</v>
      </c>
      <c r="C5" s="102" t="s">
        <v>6</v>
      </c>
      <c r="D5" s="102" t="s">
        <v>7</v>
      </c>
      <c r="E5" s="102" t="s">
        <v>8</v>
      </c>
      <c r="F5" s="102" t="s">
        <v>9</v>
      </c>
      <c r="G5" s="102" t="s">
        <v>10</v>
      </c>
      <c r="H5" s="102" t="s">
        <v>11</v>
      </c>
      <c r="I5" s="102" t="s">
        <v>12</v>
      </c>
      <c r="J5" s="102" t="s">
        <v>36</v>
      </c>
      <c r="K5" s="102" t="s">
        <v>37</v>
      </c>
      <c r="L5" s="102" t="s">
        <v>15</v>
      </c>
      <c r="M5" s="102" t="s">
        <v>38</v>
      </c>
      <c r="N5" s="102" t="s">
        <v>17</v>
      </c>
      <c r="O5" s="363" t="s">
        <v>71</v>
      </c>
      <c r="P5" s="103" t="s">
        <v>214</v>
      </c>
    </row>
    <row r="6" spans="1:18" ht="12.75" x14ac:dyDescent="0.2">
      <c r="A6" s="2" t="s">
        <v>72</v>
      </c>
      <c r="B6" s="352"/>
      <c r="C6" s="104"/>
      <c r="D6" s="104"/>
      <c r="E6" s="104"/>
      <c r="F6" s="104"/>
      <c r="G6" s="104"/>
      <c r="H6" s="104"/>
      <c r="I6" s="104"/>
      <c r="J6" s="104"/>
      <c r="K6" s="104"/>
      <c r="L6" s="104"/>
      <c r="M6" s="104"/>
      <c r="N6" s="104"/>
      <c r="O6" s="364"/>
      <c r="P6" s="360"/>
    </row>
    <row r="7" spans="1:18" ht="12.75" x14ac:dyDescent="0.2">
      <c r="A7" s="343" t="s">
        <v>66</v>
      </c>
      <c r="B7" s="353">
        <v>0</v>
      </c>
      <c r="C7" s="104">
        <v>0</v>
      </c>
      <c r="D7" s="104">
        <v>0</v>
      </c>
      <c r="E7" s="104">
        <v>0</v>
      </c>
      <c r="F7" s="104">
        <v>0</v>
      </c>
      <c r="G7" s="104">
        <v>0</v>
      </c>
      <c r="H7" s="104">
        <v>0</v>
      </c>
      <c r="I7" s="104">
        <v>0</v>
      </c>
      <c r="J7" s="104"/>
      <c r="K7" s="104"/>
      <c r="L7" s="104"/>
      <c r="M7" s="104"/>
      <c r="N7" s="104"/>
      <c r="O7" s="353">
        <f>SUM(C7:N7)</f>
        <v>0</v>
      </c>
      <c r="P7" s="361">
        <f>B7+O7</f>
        <v>0</v>
      </c>
    </row>
    <row r="8" spans="1:18" ht="14.25" x14ac:dyDescent="0.2">
      <c r="A8" s="343" t="s">
        <v>209</v>
      </c>
      <c r="B8" s="353">
        <v>13510977.865051845</v>
      </c>
      <c r="C8" s="104">
        <v>0</v>
      </c>
      <c r="D8" s="104">
        <v>0</v>
      </c>
      <c r="E8" s="104">
        <v>0</v>
      </c>
      <c r="F8" s="104">
        <v>0</v>
      </c>
      <c r="G8" s="104">
        <v>0</v>
      </c>
      <c r="H8" s="104">
        <v>0</v>
      </c>
      <c r="I8" s="104">
        <v>0</v>
      </c>
      <c r="J8" s="104"/>
      <c r="K8" s="104"/>
      <c r="L8" s="104"/>
      <c r="M8" s="104"/>
      <c r="N8" s="104"/>
      <c r="O8" s="353">
        <f t="shared" ref="O8:O15" si="0">SUM(C8:N8)</f>
        <v>0</v>
      </c>
      <c r="P8" s="361">
        <f t="shared" ref="P8:P15" si="1">B8+O8</f>
        <v>13510977.865051845</v>
      </c>
      <c r="Q8" s="105" t="s">
        <v>1</v>
      </c>
    </row>
    <row r="9" spans="1:18" ht="16.5" x14ac:dyDescent="0.2">
      <c r="A9" s="343" t="s">
        <v>73</v>
      </c>
      <c r="B9" s="353">
        <v>23249246.750000004</v>
      </c>
      <c r="C9" s="104">
        <v>1740082</v>
      </c>
      <c r="D9" s="381">
        <v>1919796.67</v>
      </c>
      <c r="E9" s="398">
        <v>1969335</v>
      </c>
      <c r="F9" s="170">
        <v>2156412.5</v>
      </c>
      <c r="G9" s="104">
        <v>2082785.49</v>
      </c>
      <c r="H9" s="104">
        <v>2140797.0499999998</v>
      </c>
      <c r="I9" s="104">
        <v>1934983.66</v>
      </c>
      <c r="J9" s="170"/>
      <c r="K9" s="104"/>
      <c r="L9" s="268"/>
      <c r="M9" s="271"/>
      <c r="N9" s="106"/>
      <c r="O9" s="353">
        <f t="shared" si="0"/>
        <v>13944192.370000001</v>
      </c>
      <c r="P9" s="361">
        <f t="shared" si="1"/>
        <v>37193439.120000005</v>
      </c>
    </row>
    <row r="10" spans="1:18" ht="12.75" x14ac:dyDescent="0.2">
      <c r="A10" s="344" t="s">
        <v>74</v>
      </c>
      <c r="B10" s="353">
        <v>2101911.5299999998</v>
      </c>
      <c r="C10" s="104">
        <v>0</v>
      </c>
      <c r="D10" s="104">
        <v>0</v>
      </c>
      <c r="E10" s="104">
        <v>0</v>
      </c>
      <c r="F10" s="104">
        <v>0</v>
      </c>
      <c r="G10" s="104">
        <v>49558</v>
      </c>
      <c r="H10" s="104">
        <v>37436.769999999997</v>
      </c>
      <c r="I10" s="104">
        <v>221201.23</v>
      </c>
      <c r="J10" s="104"/>
      <c r="K10" s="104"/>
      <c r="L10" s="104"/>
      <c r="M10" s="104"/>
      <c r="N10" s="104"/>
      <c r="O10" s="353">
        <f t="shared" si="0"/>
        <v>308196</v>
      </c>
      <c r="P10" s="361">
        <f t="shared" si="1"/>
        <v>2410107.5299999998</v>
      </c>
    </row>
    <row r="11" spans="1:18" ht="12.75" customHeight="1" x14ac:dyDescent="0.2">
      <c r="A11" s="344" t="s">
        <v>64</v>
      </c>
      <c r="B11" s="353">
        <v>487016.75</v>
      </c>
      <c r="C11" s="104">
        <v>0</v>
      </c>
      <c r="D11" s="104">
        <v>0</v>
      </c>
      <c r="E11" s="104">
        <v>0</v>
      </c>
      <c r="F11" s="104">
        <v>0</v>
      </c>
      <c r="G11" s="104">
        <v>0</v>
      </c>
      <c r="H11" s="104">
        <v>1754</v>
      </c>
      <c r="I11" s="104">
        <v>295070</v>
      </c>
      <c r="J11" s="104"/>
      <c r="K11" s="104"/>
      <c r="L11" s="104"/>
      <c r="M11" s="104"/>
      <c r="N11" s="104"/>
      <c r="O11" s="353">
        <f t="shared" si="0"/>
        <v>296824</v>
      </c>
      <c r="P11" s="361">
        <f t="shared" si="1"/>
        <v>783840.75</v>
      </c>
      <c r="Q11" s="118"/>
    </row>
    <row r="12" spans="1:18" ht="40.5" x14ac:dyDescent="0.2">
      <c r="A12" s="345" t="s">
        <v>125</v>
      </c>
      <c r="B12" s="353">
        <v>0</v>
      </c>
      <c r="C12" s="104">
        <v>0</v>
      </c>
      <c r="D12" s="104">
        <v>0</v>
      </c>
      <c r="E12" s="104">
        <v>0</v>
      </c>
      <c r="F12" s="176">
        <v>0</v>
      </c>
      <c r="G12" s="176">
        <v>0</v>
      </c>
      <c r="H12" s="176">
        <v>0</v>
      </c>
      <c r="I12" s="176">
        <v>0</v>
      </c>
      <c r="J12" s="176"/>
      <c r="K12" s="176"/>
      <c r="L12" s="176"/>
      <c r="M12" s="176"/>
      <c r="N12" s="104"/>
      <c r="O12" s="353">
        <f t="shared" si="0"/>
        <v>0</v>
      </c>
      <c r="P12" s="361">
        <f t="shared" si="1"/>
        <v>0</v>
      </c>
      <c r="Q12" s="119"/>
    </row>
    <row r="13" spans="1:18" ht="12.75" x14ac:dyDescent="0.2">
      <c r="A13" s="346" t="s">
        <v>77</v>
      </c>
      <c r="B13" s="353">
        <v>0</v>
      </c>
      <c r="C13" s="104">
        <v>0</v>
      </c>
      <c r="D13" s="104">
        <v>0</v>
      </c>
      <c r="E13" s="107">
        <v>0</v>
      </c>
      <c r="F13" s="107">
        <v>0</v>
      </c>
      <c r="G13" s="107">
        <v>0</v>
      </c>
      <c r="H13" s="107">
        <v>0</v>
      </c>
      <c r="I13" s="107">
        <v>0</v>
      </c>
      <c r="J13" s="107"/>
      <c r="K13" s="107"/>
      <c r="L13" s="107"/>
      <c r="M13" s="107"/>
      <c r="N13" s="104"/>
      <c r="O13" s="353">
        <f t="shared" si="0"/>
        <v>0</v>
      </c>
      <c r="P13" s="361">
        <f t="shared" si="1"/>
        <v>0</v>
      </c>
      <c r="Q13" s="119"/>
    </row>
    <row r="14" spans="1:18" ht="12.75" x14ac:dyDescent="0.2">
      <c r="A14" s="346" t="s">
        <v>172</v>
      </c>
      <c r="B14" s="353">
        <v>135968.68</v>
      </c>
      <c r="C14" s="104">
        <v>0</v>
      </c>
      <c r="D14" s="104">
        <v>0</v>
      </c>
      <c r="E14" s="107">
        <v>0</v>
      </c>
      <c r="F14" s="107">
        <v>0</v>
      </c>
      <c r="G14" s="107">
        <v>0</v>
      </c>
      <c r="H14" s="107">
        <v>0</v>
      </c>
      <c r="I14" s="107">
        <v>0</v>
      </c>
      <c r="J14" s="107"/>
      <c r="K14" s="107"/>
      <c r="L14" s="107"/>
      <c r="M14" s="107"/>
      <c r="N14" s="104"/>
      <c r="O14" s="353">
        <f t="shared" si="0"/>
        <v>0</v>
      </c>
      <c r="P14" s="361">
        <f t="shared" si="1"/>
        <v>135968.68</v>
      </c>
      <c r="Q14" s="119"/>
    </row>
    <row r="15" spans="1:18" ht="12.75" x14ac:dyDescent="0.2">
      <c r="A15" s="347" t="s">
        <v>69</v>
      </c>
      <c r="B15" s="354">
        <v>435493.07</v>
      </c>
      <c r="C15" s="104">
        <v>69396.990000000005</v>
      </c>
      <c r="D15" s="104">
        <v>24146.76</v>
      </c>
      <c r="E15" s="104">
        <v>16252</v>
      </c>
      <c r="F15" s="104">
        <v>29721.3</v>
      </c>
      <c r="G15" s="104">
        <v>54547.6</v>
      </c>
      <c r="H15" s="104">
        <v>77673.81</v>
      </c>
      <c r="I15" s="104">
        <v>21046.69</v>
      </c>
      <c r="J15" s="104"/>
      <c r="K15" s="104"/>
      <c r="L15" s="104"/>
      <c r="M15" s="104"/>
      <c r="N15" s="104"/>
      <c r="O15" s="353">
        <f t="shared" si="0"/>
        <v>292785.14999999997</v>
      </c>
      <c r="P15" s="361">
        <f t="shared" si="1"/>
        <v>728278.22</v>
      </c>
      <c r="Q15" s="119"/>
      <c r="R15" s="119"/>
    </row>
    <row r="16" spans="1:18" ht="12.75" x14ac:dyDescent="0.2">
      <c r="A16" s="348" t="s">
        <v>131</v>
      </c>
      <c r="B16" s="355">
        <f t="shared" ref="B16:P16" si="2">SUM(B7:B15)</f>
        <v>39920614.645051852</v>
      </c>
      <c r="C16" s="120">
        <f t="shared" si="2"/>
        <v>1809478.99</v>
      </c>
      <c r="D16" s="120">
        <f t="shared" si="2"/>
        <v>1943943.43</v>
      </c>
      <c r="E16" s="120">
        <f t="shared" si="2"/>
        <v>1985587</v>
      </c>
      <c r="F16" s="120">
        <f t="shared" si="2"/>
        <v>2186133.7999999998</v>
      </c>
      <c r="G16" s="120">
        <f t="shared" si="2"/>
        <v>2186891.0900000003</v>
      </c>
      <c r="H16" s="120">
        <f t="shared" si="2"/>
        <v>2257661.63</v>
      </c>
      <c r="I16" s="120">
        <f t="shared" si="2"/>
        <v>2472301.58</v>
      </c>
      <c r="J16" s="120">
        <f t="shared" si="2"/>
        <v>0</v>
      </c>
      <c r="K16" s="120">
        <f t="shared" si="2"/>
        <v>0</v>
      </c>
      <c r="L16" s="120">
        <f t="shared" si="2"/>
        <v>0</v>
      </c>
      <c r="M16" s="120">
        <f t="shared" si="2"/>
        <v>0</v>
      </c>
      <c r="N16" s="120">
        <f t="shared" si="2"/>
        <v>0</v>
      </c>
      <c r="O16" s="358">
        <f t="shared" ref="O16" si="3">SUM(O7:O15)</f>
        <v>14841997.520000001</v>
      </c>
      <c r="P16" s="362">
        <f t="shared" si="2"/>
        <v>54762612.165051848</v>
      </c>
    </row>
    <row r="17" spans="1:16" ht="12.75" x14ac:dyDescent="0.2">
      <c r="A17" s="344"/>
      <c r="B17" s="356"/>
      <c r="C17" s="121"/>
      <c r="D17" s="121"/>
      <c r="E17" s="121"/>
      <c r="F17" s="121"/>
      <c r="G17" s="121"/>
      <c r="H17" s="121"/>
      <c r="I17" s="121"/>
      <c r="J17" s="121"/>
      <c r="K17" s="121"/>
      <c r="L17" s="121"/>
      <c r="M17" s="121"/>
      <c r="N17" s="121"/>
      <c r="O17" s="365"/>
      <c r="P17" s="122"/>
    </row>
    <row r="18" spans="1:16" ht="13.5" thickBot="1" x14ac:dyDescent="0.25">
      <c r="A18" s="349"/>
      <c r="B18" s="357"/>
      <c r="C18" s="123"/>
      <c r="D18" s="123"/>
      <c r="E18" s="123"/>
      <c r="F18" s="123"/>
      <c r="G18" s="123"/>
      <c r="H18" s="123"/>
      <c r="I18" s="123"/>
      <c r="J18" s="123"/>
      <c r="K18" s="123"/>
      <c r="L18" s="123"/>
      <c r="M18" s="123"/>
      <c r="N18" s="123"/>
      <c r="O18" s="366"/>
      <c r="P18" s="124"/>
    </row>
    <row r="19" spans="1:16" ht="9" customHeight="1" thickBot="1" x14ac:dyDescent="0.25">
      <c r="A19" s="2"/>
      <c r="B19" s="352"/>
      <c r="C19" s="121"/>
      <c r="D19" s="121"/>
      <c r="E19" s="121"/>
      <c r="F19" s="121"/>
      <c r="G19" s="121"/>
      <c r="H19" s="121"/>
      <c r="I19" s="121"/>
      <c r="J19" s="121"/>
      <c r="K19" s="121"/>
      <c r="L19" s="121"/>
      <c r="M19" s="121"/>
      <c r="N19" s="121"/>
      <c r="O19" s="367"/>
      <c r="P19" s="122"/>
    </row>
    <row r="20" spans="1:16" ht="20.25" customHeight="1" thickBot="1" x14ac:dyDescent="0.25">
      <c r="A20" s="350" t="s">
        <v>75</v>
      </c>
      <c r="B20" s="359">
        <v>0</v>
      </c>
      <c r="C20" s="125">
        <v>0</v>
      </c>
      <c r="D20" s="125">
        <v>0</v>
      </c>
      <c r="E20" s="125">
        <v>0</v>
      </c>
      <c r="F20" s="125">
        <v>0</v>
      </c>
      <c r="G20" s="125">
        <v>0</v>
      </c>
      <c r="H20" s="125">
        <v>0</v>
      </c>
      <c r="I20" s="126">
        <v>0</v>
      </c>
      <c r="J20" s="126">
        <v>0</v>
      </c>
      <c r="K20" s="126">
        <v>0</v>
      </c>
      <c r="L20" s="126">
        <v>0</v>
      </c>
      <c r="M20" s="126">
        <v>0</v>
      </c>
      <c r="N20" s="126">
        <v>0</v>
      </c>
      <c r="O20" s="368">
        <f>SUM(C20:N20)</f>
        <v>0</v>
      </c>
      <c r="P20" s="127">
        <f>SUM(C20:N20)</f>
        <v>0</v>
      </c>
    </row>
    <row r="21" spans="1:16" s="32" customFormat="1" ht="15.75" customHeight="1" x14ac:dyDescent="0.25">
      <c r="A21" s="108" t="s">
        <v>251</v>
      </c>
      <c r="B21" s="108"/>
      <c r="C21" s="49"/>
      <c r="D21" s="49"/>
      <c r="E21" s="49"/>
      <c r="F21" s="49"/>
      <c r="G21" s="49"/>
      <c r="H21" s="49"/>
      <c r="I21" s="82"/>
      <c r="J21" s="82"/>
      <c r="K21" s="376"/>
      <c r="L21" s="82"/>
      <c r="M21" s="82"/>
      <c r="N21" s="82"/>
      <c r="O21" s="82"/>
      <c r="P21" s="49"/>
    </row>
    <row r="22" spans="1:16" ht="12.75" x14ac:dyDescent="0.2">
      <c r="A22" s="105" t="s">
        <v>1</v>
      </c>
    </row>
    <row r="23" spans="1:16" x14ac:dyDescent="0.25">
      <c r="A23" s="170" t="s">
        <v>1</v>
      </c>
      <c r="B23" s="170"/>
      <c r="C23" s="119"/>
    </row>
    <row r="24" spans="1:16" x14ac:dyDescent="0.25">
      <c r="A24" s="104" t="s">
        <v>1</v>
      </c>
      <c r="B24" s="104"/>
    </row>
    <row r="25" spans="1:16" x14ac:dyDescent="0.25">
      <c r="A25" s="170" t="s">
        <v>1</v>
      </c>
      <c r="B25" s="170"/>
    </row>
  </sheetData>
  <sheetProtection password="C511" sheet="1" objects="1" scenarios="1"/>
  <printOptions horizontalCentered="1"/>
  <pageMargins left="0" right="0" top="0.93" bottom="0.25" header="0.13" footer="0.1"/>
  <pageSetup scale="62" orientation="landscape" r:id="rId1"/>
  <headerFooter>
    <oddHeader>&amp;C&amp;"Arial,Bold"&amp;K000000Table I-5 
Pacific Gas and Electric Company 
2012-2014 Demand Response Programs 
Total Embedded Cost and Revenues
July 2013</oddHeader>
    <oddFooter>&amp;L&amp;F&amp;CPage 9 of 11&amp;R&amp;A</oddFooter>
  </headerFooter>
  <ignoredErrors>
    <ignoredError sqref="H16:N16"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view="pageLayout" topLeftCell="B1" zoomScale="85" zoomScaleNormal="85" zoomScalePageLayoutView="85" workbookViewId="0">
      <selection activeCell="I2" sqref="I2"/>
    </sheetView>
  </sheetViews>
  <sheetFormatPr defaultRowHeight="13" outlineLevelRow="1" x14ac:dyDescent="0.3"/>
  <cols>
    <col min="1" max="1" width="65.453125" style="205" bestFit="1" customWidth="1"/>
    <col min="2" max="2" width="13.54296875" style="205" customWidth="1"/>
    <col min="3" max="3" width="12.453125" style="202" customWidth="1"/>
    <col min="4" max="4" width="11.54296875" style="205" bestFit="1" customWidth="1"/>
    <col min="5" max="5" width="11" style="205" bestFit="1" customWidth="1"/>
    <col min="6" max="9" width="9.54296875" style="205" bestFit="1" customWidth="1"/>
    <col min="10" max="10" width="11.54296875" style="205" customWidth="1"/>
    <col min="11" max="11" width="10.54296875" style="205" customWidth="1"/>
    <col min="12" max="12" width="9.54296875" style="205" customWidth="1"/>
    <col min="13" max="13" width="9.54296875" style="202" customWidth="1"/>
    <col min="14" max="14" width="9.453125" style="205" bestFit="1" customWidth="1"/>
    <col min="15" max="15" width="11.54296875" style="213" customWidth="1"/>
    <col min="16" max="16" width="13.453125" style="213" hidden="1" customWidth="1"/>
    <col min="17" max="17" width="15.453125" style="213" customWidth="1"/>
    <col min="18" max="18" width="14.453125" style="213" customWidth="1"/>
    <col min="19" max="257" width="9.453125" style="213"/>
    <col min="258" max="258" width="65.453125" style="213" bestFit="1" customWidth="1"/>
    <col min="259" max="259" width="12.453125" style="213" customWidth="1"/>
    <col min="260" max="260" width="11.54296875" style="213" bestFit="1" customWidth="1"/>
    <col min="261" max="261" width="12.54296875" style="213" bestFit="1" customWidth="1"/>
    <col min="262" max="262" width="13.453125" style="213" bestFit="1" customWidth="1"/>
    <col min="263" max="263" width="13.54296875" style="213" customWidth="1"/>
    <col min="264" max="264" width="13.453125" style="213" customWidth="1"/>
    <col min="265" max="265" width="13.453125" style="213" bestFit="1" customWidth="1"/>
    <col min="266" max="266" width="14.54296875" style="213" customWidth="1"/>
    <col min="267" max="270" width="8.54296875" style="213" customWidth="1"/>
    <col min="271" max="271" width="16" style="213" customWidth="1"/>
    <col min="272" max="272" width="0" style="213" hidden="1" customWidth="1"/>
    <col min="273" max="273" width="15.453125" style="213" customWidth="1"/>
    <col min="274" max="274" width="14.453125" style="213" customWidth="1"/>
    <col min="275" max="513" width="9.453125" style="213"/>
    <col min="514" max="514" width="65.453125" style="213" bestFit="1" customWidth="1"/>
    <col min="515" max="515" width="12.453125" style="213" customWidth="1"/>
    <col min="516" max="516" width="11.54296875" style="213" bestFit="1" customWidth="1"/>
    <col min="517" max="517" width="12.54296875" style="213" bestFit="1" customWidth="1"/>
    <col min="518" max="518" width="13.453125" style="213" bestFit="1" customWidth="1"/>
    <col min="519" max="519" width="13.54296875" style="213" customWidth="1"/>
    <col min="520" max="520" width="13.453125" style="213" customWidth="1"/>
    <col min="521" max="521" width="13.453125" style="213" bestFit="1" customWidth="1"/>
    <col min="522" max="522" width="14.54296875" style="213" customWidth="1"/>
    <col min="523" max="526" width="8.54296875" style="213" customWidth="1"/>
    <col min="527" max="527" width="16" style="213" customWidth="1"/>
    <col min="528" max="528" width="0" style="213" hidden="1" customWidth="1"/>
    <col min="529" max="529" width="15.453125" style="213" customWidth="1"/>
    <col min="530" max="530" width="14.453125" style="213" customWidth="1"/>
    <col min="531" max="769" width="9.453125" style="213"/>
    <col min="770" max="770" width="65.453125" style="213" bestFit="1" customWidth="1"/>
    <col min="771" max="771" width="12.453125" style="213" customWidth="1"/>
    <col min="772" max="772" width="11.54296875" style="213" bestFit="1" customWidth="1"/>
    <col min="773" max="773" width="12.54296875" style="213" bestFit="1" customWidth="1"/>
    <col min="774" max="774" width="13.453125" style="213" bestFit="1" customWidth="1"/>
    <col min="775" max="775" width="13.54296875" style="213" customWidth="1"/>
    <col min="776" max="776" width="13.453125" style="213" customWidth="1"/>
    <col min="777" max="777" width="13.453125" style="213" bestFit="1" customWidth="1"/>
    <col min="778" max="778" width="14.54296875" style="213" customWidth="1"/>
    <col min="779" max="782" width="8.54296875" style="213" customWidth="1"/>
    <col min="783" max="783" width="16" style="213" customWidth="1"/>
    <col min="784" max="784" width="0" style="213" hidden="1" customWidth="1"/>
    <col min="785" max="785" width="15.453125" style="213" customWidth="1"/>
    <col min="786" max="786" width="14.453125" style="213" customWidth="1"/>
    <col min="787" max="1025" width="9.453125" style="213"/>
    <col min="1026" max="1026" width="65.453125" style="213" bestFit="1" customWidth="1"/>
    <col min="1027" max="1027" width="12.453125" style="213" customWidth="1"/>
    <col min="1028" max="1028" width="11.54296875" style="213" bestFit="1" customWidth="1"/>
    <col min="1029" max="1029" width="12.54296875" style="213" bestFit="1" customWidth="1"/>
    <col min="1030" max="1030" width="13.453125" style="213" bestFit="1" customWidth="1"/>
    <col min="1031" max="1031" width="13.54296875" style="213" customWidth="1"/>
    <col min="1032" max="1032" width="13.453125" style="213" customWidth="1"/>
    <col min="1033" max="1033" width="13.453125" style="213" bestFit="1" customWidth="1"/>
    <col min="1034" max="1034" width="14.54296875" style="213" customWidth="1"/>
    <col min="1035" max="1038" width="8.54296875" style="213" customWidth="1"/>
    <col min="1039" max="1039" width="16" style="213" customWidth="1"/>
    <col min="1040" max="1040" width="0" style="213" hidden="1" customWidth="1"/>
    <col min="1041" max="1041" width="15.453125" style="213" customWidth="1"/>
    <col min="1042" max="1042" width="14.453125" style="213" customWidth="1"/>
    <col min="1043" max="1281" width="9.453125" style="213"/>
    <col min="1282" max="1282" width="65.453125" style="213" bestFit="1" customWidth="1"/>
    <col min="1283" max="1283" width="12.453125" style="213" customWidth="1"/>
    <col min="1284" max="1284" width="11.54296875" style="213" bestFit="1" customWidth="1"/>
    <col min="1285" max="1285" width="12.54296875" style="213" bestFit="1" customWidth="1"/>
    <col min="1286" max="1286" width="13.453125" style="213" bestFit="1" customWidth="1"/>
    <col min="1287" max="1287" width="13.54296875" style="213" customWidth="1"/>
    <col min="1288" max="1288" width="13.453125" style="213" customWidth="1"/>
    <col min="1289" max="1289" width="13.453125" style="213" bestFit="1" customWidth="1"/>
    <col min="1290" max="1290" width="14.54296875" style="213" customWidth="1"/>
    <col min="1291" max="1294" width="8.54296875" style="213" customWidth="1"/>
    <col min="1295" max="1295" width="16" style="213" customWidth="1"/>
    <col min="1296" max="1296" width="0" style="213" hidden="1" customWidth="1"/>
    <col min="1297" max="1297" width="15.453125" style="213" customWidth="1"/>
    <col min="1298" max="1298" width="14.453125" style="213" customWidth="1"/>
    <col min="1299" max="1537" width="9.453125" style="213"/>
    <col min="1538" max="1538" width="65.453125" style="213" bestFit="1" customWidth="1"/>
    <col min="1539" max="1539" width="12.453125" style="213" customWidth="1"/>
    <col min="1540" max="1540" width="11.54296875" style="213" bestFit="1" customWidth="1"/>
    <col min="1541" max="1541" width="12.54296875" style="213" bestFit="1" customWidth="1"/>
    <col min="1542" max="1542" width="13.453125" style="213" bestFit="1" customWidth="1"/>
    <col min="1543" max="1543" width="13.54296875" style="213" customWidth="1"/>
    <col min="1544" max="1544" width="13.453125" style="213" customWidth="1"/>
    <col min="1545" max="1545" width="13.453125" style="213" bestFit="1" customWidth="1"/>
    <col min="1546" max="1546" width="14.54296875" style="213" customWidth="1"/>
    <col min="1547" max="1550" width="8.54296875" style="213" customWidth="1"/>
    <col min="1551" max="1551" width="16" style="213" customWidth="1"/>
    <col min="1552" max="1552" width="0" style="213" hidden="1" customWidth="1"/>
    <col min="1553" max="1553" width="15.453125" style="213" customWidth="1"/>
    <col min="1554" max="1554" width="14.453125" style="213" customWidth="1"/>
    <col min="1555" max="1793" width="9.453125" style="213"/>
    <col min="1794" max="1794" width="65.453125" style="213" bestFit="1" customWidth="1"/>
    <col min="1795" max="1795" width="12.453125" style="213" customWidth="1"/>
    <col min="1796" max="1796" width="11.54296875" style="213" bestFit="1" customWidth="1"/>
    <col min="1797" max="1797" width="12.54296875" style="213" bestFit="1" customWidth="1"/>
    <col min="1798" max="1798" width="13.453125" style="213" bestFit="1" customWidth="1"/>
    <col min="1799" max="1799" width="13.54296875" style="213" customWidth="1"/>
    <col min="1800" max="1800" width="13.453125" style="213" customWidth="1"/>
    <col min="1801" max="1801" width="13.453125" style="213" bestFit="1" customWidth="1"/>
    <col min="1802" max="1802" width="14.54296875" style="213" customWidth="1"/>
    <col min="1803" max="1806" width="8.54296875" style="213" customWidth="1"/>
    <col min="1807" max="1807" width="16" style="213" customWidth="1"/>
    <col min="1808" max="1808" width="0" style="213" hidden="1" customWidth="1"/>
    <col min="1809" max="1809" width="15.453125" style="213" customWidth="1"/>
    <col min="1810" max="1810" width="14.453125" style="213" customWidth="1"/>
    <col min="1811" max="2049" width="9.453125" style="213"/>
    <col min="2050" max="2050" width="65.453125" style="213" bestFit="1" customWidth="1"/>
    <col min="2051" max="2051" width="12.453125" style="213" customWidth="1"/>
    <col min="2052" max="2052" width="11.54296875" style="213" bestFit="1" customWidth="1"/>
    <col min="2053" max="2053" width="12.54296875" style="213" bestFit="1" customWidth="1"/>
    <col min="2054" max="2054" width="13.453125" style="213" bestFit="1" customWidth="1"/>
    <col min="2055" max="2055" width="13.54296875" style="213" customWidth="1"/>
    <col min="2056" max="2056" width="13.453125" style="213" customWidth="1"/>
    <col min="2057" max="2057" width="13.453125" style="213" bestFit="1" customWidth="1"/>
    <col min="2058" max="2058" width="14.54296875" style="213" customWidth="1"/>
    <col min="2059" max="2062" width="8.54296875" style="213" customWidth="1"/>
    <col min="2063" max="2063" width="16" style="213" customWidth="1"/>
    <col min="2064" max="2064" width="0" style="213" hidden="1" customWidth="1"/>
    <col min="2065" max="2065" width="15.453125" style="213" customWidth="1"/>
    <col min="2066" max="2066" width="14.453125" style="213" customWidth="1"/>
    <col min="2067" max="2305" width="9.453125" style="213"/>
    <col min="2306" max="2306" width="65.453125" style="213" bestFit="1" customWidth="1"/>
    <col min="2307" max="2307" width="12.453125" style="213" customWidth="1"/>
    <col min="2308" max="2308" width="11.54296875" style="213" bestFit="1" customWidth="1"/>
    <col min="2309" max="2309" width="12.54296875" style="213" bestFit="1" customWidth="1"/>
    <col min="2310" max="2310" width="13.453125" style="213" bestFit="1" customWidth="1"/>
    <col min="2311" max="2311" width="13.54296875" style="213" customWidth="1"/>
    <col min="2312" max="2312" width="13.453125" style="213" customWidth="1"/>
    <col min="2313" max="2313" width="13.453125" style="213" bestFit="1" customWidth="1"/>
    <col min="2314" max="2314" width="14.54296875" style="213" customWidth="1"/>
    <col min="2315" max="2318" width="8.54296875" style="213" customWidth="1"/>
    <col min="2319" max="2319" width="16" style="213" customWidth="1"/>
    <col min="2320" max="2320" width="0" style="213" hidden="1" customWidth="1"/>
    <col min="2321" max="2321" width="15.453125" style="213" customWidth="1"/>
    <col min="2322" max="2322" width="14.453125" style="213" customWidth="1"/>
    <col min="2323" max="2561" width="9.453125" style="213"/>
    <col min="2562" max="2562" width="65.453125" style="213" bestFit="1" customWidth="1"/>
    <col min="2563" max="2563" width="12.453125" style="213" customWidth="1"/>
    <col min="2564" max="2564" width="11.54296875" style="213" bestFit="1" customWidth="1"/>
    <col min="2565" max="2565" width="12.54296875" style="213" bestFit="1" customWidth="1"/>
    <col min="2566" max="2566" width="13.453125" style="213" bestFit="1" customWidth="1"/>
    <col min="2567" max="2567" width="13.54296875" style="213" customWidth="1"/>
    <col min="2568" max="2568" width="13.453125" style="213" customWidth="1"/>
    <col min="2569" max="2569" width="13.453125" style="213" bestFit="1" customWidth="1"/>
    <col min="2570" max="2570" width="14.54296875" style="213" customWidth="1"/>
    <col min="2571" max="2574" width="8.54296875" style="213" customWidth="1"/>
    <col min="2575" max="2575" width="16" style="213" customWidth="1"/>
    <col min="2576" max="2576" width="0" style="213" hidden="1" customWidth="1"/>
    <col min="2577" max="2577" width="15.453125" style="213" customWidth="1"/>
    <col min="2578" max="2578" width="14.453125" style="213" customWidth="1"/>
    <col min="2579" max="2817" width="9.453125" style="213"/>
    <col min="2818" max="2818" width="65.453125" style="213" bestFit="1" customWidth="1"/>
    <col min="2819" max="2819" width="12.453125" style="213" customWidth="1"/>
    <col min="2820" max="2820" width="11.54296875" style="213" bestFit="1" customWidth="1"/>
    <col min="2821" max="2821" width="12.54296875" style="213" bestFit="1" customWidth="1"/>
    <col min="2822" max="2822" width="13.453125" style="213" bestFit="1" customWidth="1"/>
    <col min="2823" max="2823" width="13.54296875" style="213" customWidth="1"/>
    <col min="2824" max="2824" width="13.453125" style="213" customWidth="1"/>
    <col min="2825" max="2825" width="13.453125" style="213" bestFit="1" customWidth="1"/>
    <col min="2826" max="2826" width="14.54296875" style="213" customWidth="1"/>
    <col min="2827" max="2830" width="8.54296875" style="213" customWidth="1"/>
    <col min="2831" max="2831" width="16" style="213" customWidth="1"/>
    <col min="2832" max="2832" width="0" style="213" hidden="1" customWidth="1"/>
    <col min="2833" max="2833" width="15.453125" style="213" customWidth="1"/>
    <col min="2834" max="2834" width="14.453125" style="213" customWidth="1"/>
    <col min="2835" max="3073" width="9.453125" style="213"/>
    <col min="3074" max="3074" width="65.453125" style="213" bestFit="1" customWidth="1"/>
    <col min="3075" max="3075" width="12.453125" style="213" customWidth="1"/>
    <col min="3076" max="3076" width="11.54296875" style="213" bestFit="1" customWidth="1"/>
    <col min="3077" max="3077" width="12.54296875" style="213" bestFit="1" customWidth="1"/>
    <col min="3078" max="3078" width="13.453125" style="213" bestFit="1" customWidth="1"/>
    <col min="3079" max="3079" width="13.54296875" style="213" customWidth="1"/>
    <col min="3080" max="3080" width="13.453125" style="213" customWidth="1"/>
    <col min="3081" max="3081" width="13.453125" style="213" bestFit="1" customWidth="1"/>
    <col min="3082" max="3082" width="14.54296875" style="213" customWidth="1"/>
    <col min="3083" max="3086" width="8.54296875" style="213" customWidth="1"/>
    <col min="3087" max="3087" width="16" style="213" customWidth="1"/>
    <col min="3088" max="3088" width="0" style="213" hidden="1" customWidth="1"/>
    <col min="3089" max="3089" width="15.453125" style="213" customWidth="1"/>
    <col min="3090" max="3090" width="14.453125" style="213" customWidth="1"/>
    <col min="3091" max="3329" width="9.453125" style="213"/>
    <col min="3330" max="3330" width="65.453125" style="213" bestFit="1" customWidth="1"/>
    <col min="3331" max="3331" width="12.453125" style="213" customWidth="1"/>
    <col min="3332" max="3332" width="11.54296875" style="213" bestFit="1" customWidth="1"/>
    <col min="3333" max="3333" width="12.54296875" style="213" bestFit="1" customWidth="1"/>
    <col min="3334" max="3334" width="13.453125" style="213" bestFit="1" customWidth="1"/>
    <col min="3335" max="3335" width="13.54296875" style="213" customWidth="1"/>
    <col min="3336" max="3336" width="13.453125" style="213" customWidth="1"/>
    <col min="3337" max="3337" width="13.453125" style="213" bestFit="1" customWidth="1"/>
    <col min="3338" max="3338" width="14.54296875" style="213" customWidth="1"/>
    <col min="3339" max="3342" width="8.54296875" style="213" customWidth="1"/>
    <col min="3343" max="3343" width="16" style="213" customWidth="1"/>
    <col min="3344" max="3344" width="0" style="213" hidden="1" customWidth="1"/>
    <col min="3345" max="3345" width="15.453125" style="213" customWidth="1"/>
    <col min="3346" max="3346" width="14.453125" style="213" customWidth="1"/>
    <col min="3347" max="3585" width="9.453125" style="213"/>
    <col min="3586" max="3586" width="65.453125" style="213" bestFit="1" customWidth="1"/>
    <col min="3587" max="3587" width="12.453125" style="213" customWidth="1"/>
    <col min="3588" max="3588" width="11.54296875" style="213" bestFit="1" customWidth="1"/>
    <col min="3589" max="3589" width="12.54296875" style="213" bestFit="1" customWidth="1"/>
    <col min="3590" max="3590" width="13.453125" style="213" bestFit="1" customWidth="1"/>
    <col min="3591" max="3591" width="13.54296875" style="213" customWidth="1"/>
    <col min="3592" max="3592" width="13.453125" style="213" customWidth="1"/>
    <col min="3593" max="3593" width="13.453125" style="213" bestFit="1" customWidth="1"/>
    <col min="3594" max="3594" width="14.54296875" style="213" customWidth="1"/>
    <col min="3595" max="3598" width="8.54296875" style="213" customWidth="1"/>
    <col min="3599" max="3599" width="16" style="213" customWidth="1"/>
    <col min="3600" max="3600" width="0" style="213" hidden="1" customWidth="1"/>
    <col min="3601" max="3601" width="15.453125" style="213" customWidth="1"/>
    <col min="3602" max="3602" width="14.453125" style="213" customWidth="1"/>
    <col min="3603" max="3841" width="9.453125" style="213"/>
    <col min="3842" max="3842" width="65.453125" style="213" bestFit="1" customWidth="1"/>
    <col min="3843" max="3843" width="12.453125" style="213" customWidth="1"/>
    <col min="3844" max="3844" width="11.54296875" style="213" bestFit="1" customWidth="1"/>
    <col min="3845" max="3845" width="12.54296875" style="213" bestFit="1" customWidth="1"/>
    <col min="3846" max="3846" width="13.453125" style="213" bestFit="1" customWidth="1"/>
    <col min="3847" max="3847" width="13.54296875" style="213" customWidth="1"/>
    <col min="3848" max="3848" width="13.453125" style="213" customWidth="1"/>
    <col min="3849" max="3849" width="13.453125" style="213" bestFit="1" customWidth="1"/>
    <col min="3850" max="3850" width="14.54296875" style="213" customWidth="1"/>
    <col min="3851" max="3854" width="8.54296875" style="213" customWidth="1"/>
    <col min="3855" max="3855" width="16" style="213" customWidth="1"/>
    <col min="3856" max="3856" width="0" style="213" hidden="1" customWidth="1"/>
    <col min="3857" max="3857" width="15.453125" style="213" customWidth="1"/>
    <col min="3858" max="3858" width="14.453125" style="213" customWidth="1"/>
    <col min="3859" max="4097" width="9.453125" style="213"/>
    <col min="4098" max="4098" width="65.453125" style="213" bestFit="1" customWidth="1"/>
    <col min="4099" max="4099" width="12.453125" style="213" customWidth="1"/>
    <col min="4100" max="4100" width="11.54296875" style="213" bestFit="1" customWidth="1"/>
    <col min="4101" max="4101" width="12.54296875" style="213" bestFit="1" customWidth="1"/>
    <col min="4102" max="4102" width="13.453125" style="213" bestFit="1" customWidth="1"/>
    <col min="4103" max="4103" width="13.54296875" style="213" customWidth="1"/>
    <col min="4104" max="4104" width="13.453125" style="213" customWidth="1"/>
    <col min="4105" max="4105" width="13.453125" style="213" bestFit="1" customWidth="1"/>
    <col min="4106" max="4106" width="14.54296875" style="213" customWidth="1"/>
    <col min="4107" max="4110" width="8.54296875" style="213" customWidth="1"/>
    <col min="4111" max="4111" width="16" style="213" customWidth="1"/>
    <col min="4112" max="4112" width="0" style="213" hidden="1" customWidth="1"/>
    <col min="4113" max="4113" width="15.453125" style="213" customWidth="1"/>
    <col min="4114" max="4114" width="14.453125" style="213" customWidth="1"/>
    <col min="4115" max="4353" width="9.453125" style="213"/>
    <col min="4354" max="4354" width="65.453125" style="213" bestFit="1" customWidth="1"/>
    <col min="4355" max="4355" width="12.453125" style="213" customWidth="1"/>
    <col min="4356" max="4356" width="11.54296875" style="213" bestFit="1" customWidth="1"/>
    <col min="4357" max="4357" width="12.54296875" style="213" bestFit="1" customWidth="1"/>
    <col min="4358" max="4358" width="13.453125" style="213" bestFit="1" customWidth="1"/>
    <col min="4359" max="4359" width="13.54296875" style="213" customWidth="1"/>
    <col min="4360" max="4360" width="13.453125" style="213" customWidth="1"/>
    <col min="4361" max="4361" width="13.453125" style="213" bestFit="1" customWidth="1"/>
    <col min="4362" max="4362" width="14.54296875" style="213" customWidth="1"/>
    <col min="4363" max="4366" width="8.54296875" style="213" customWidth="1"/>
    <col min="4367" max="4367" width="16" style="213" customWidth="1"/>
    <col min="4368" max="4368" width="0" style="213" hidden="1" customWidth="1"/>
    <col min="4369" max="4369" width="15.453125" style="213" customWidth="1"/>
    <col min="4370" max="4370" width="14.453125" style="213" customWidth="1"/>
    <col min="4371" max="4609" width="9.453125" style="213"/>
    <col min="4610" max="4610" width="65.453125" style="213" bestFit="1" customWidth="1"/>
    <col min="4611" max="4611" width="12.453125" style="213" customWidth="1"/>
    <col min="4612" max="4612" width="11.54296875" style="213" bestFit="1" customWidth="1"/>
    <col min="4613" max="4613" width="12.54296875" style="213" bestFit="1" customWidth="1"/>
    <col min="4614" max="4614" width="13.453125" style="213" bestFit="1" customWidth="1"/>
    <col min="4615" max="4615" width="13.54296875" style="213" customWidth="1"/>
    <col min="4616" max="4616" width="13.453125" style="213" customWidth="1"/>
    <col min="4617" max="4617" width="13.453125" style="213" bestFit="1" customWidth="1"/>
    <col min="4618" max="4618" width="14.54296875" style="213" customWidth="1"/>
    <col min="4619" max="4622" width="8.54296875" style="213" customWidth="1"/>
    <col min="4623" max="4623" width="16" style="213" customWidth="1"/>
    <col min="4624" max="4624" width="0" style="213" hidden="1" customWidth="1"/>
    <col min="4625" max="4625" width="15.453125" style="213" customWidth="1"/>
    <col min="4626" max="4626" width="14.453125" style="213" customWidth="1"/>
    <col min="4627" max="4865" width="9.453125" style="213"/>
    <col min="4866" max="4866" width="65.453125" style="213" bestFit="1" customWidth="1"/>
    <col min="4867" max="4867" width="12.453125" style="213" customWidth="1"/>
    <col min="4868" max="4868" width="11.54296875" style="213" bestFit="1" customWidth="1"/>
    <col min="4869" max="4869" width="12.54296875" style="213" bestFit="1" customWidth="1"/>
    <col min="4870" max="4870" width="13.453125" style="213" bestFit="1" customWidth="1"/>
    <col min="4871" max="4871" width="13.54296875" style="213" customWidth="1"/>
    <col min="4872" max="4872" width="13.453125" style="213" customWidth="1"/>
    <col min="4873" max="4873" width="13.453125" style="213" bestFit="1" customWidth="1"/>
    <col min="4874" max="4874" width="14.54296875" style="213" customWidth="1"/>
    <col min="4875" max="4878" width="8.54296875" style="213" customWidth="1"/>
    <col min="4879" max="4879" width="16" style="213" customWidth="1"/>
    <col min="4880" max="4880" width="0" style="213" hidden="1" customWidth="1"/>
    <col min="4881" max="4881" width="15.453125" style="213" customWidth="1"/>
    <col min="4882" max="4882" width="14.453125" style="213" customWidth="1"/>
    <col min="4883" max="5121" width="9.453125" style="213"/>
    <col min="5122" max="5122" width="65.453125" style="213" bestFit="1" customWidth="1"/>
    <col min="5123" max="5123" width="12.453125" style="213" customWidth="1"/>
    <col min="5124" max="5124" width="11.54296875" style="213" bestFit="1" customWidth="1"/>
    <col min="5125" max="5125" width="12.54296875" style="213" bestFit="1" customWidth="1"/>
    <col min="5126" max="5126" width="13.453125" style="213" bestFit="1" customWidth="1"/>
    <col min="5127" max="5127" width="13.54296875" style="213" customWidth="1"/>
    <col min="5128" max="5128" width="13.453125" style="213" customWidth="1"/>
    <col min="5129" max="5129" width="13.453125" style="213" bestFit="1" customWidth="1"/>
    <col min="5130" max="5130" width="14.54296875" style="213" customWidth="1"/>
    <col min="5131" max="5134" width="8.54296875" style="213" customWidth="1"/>
    <col min="5135" max="5135" width="16" style="213" customWidth="1"/>
    <col min="5136" max="5136" width="0" style="213" hidden="1" customWidth="1"/>
    <col min="5137" max="5137" width="15.453125" style="213" customWidth="1"/>
    <col min="5138" max="5138" width="14.453125" style="213" customWidth="1"/>
    <col min="5139" max="5377" width="9.453125" style="213"/>
    <col min="5378" max="5378" width="65.453125" style="213" bestFit="1" customWidth="1"/>
    <col min="5379" max="5379" width="12.453125" style="213" customWidth="1"/>
    <col min="5380" max="5380" width="11.54296875" style="213" bestFit="1" customWidth="1"/>
    <col min="5381" max="5381" width="12.54296875" style="213" bestFit="1" customWidth="1"/>
    <col min="5382" max="5382" width="13.453125" style="213" bestFit="1" customWidth="1"/>
    <col min="5383" max="5383" width="13.54296875" style="213" customWidth="1"/>
    <col min="5384" max="5384" width="13.453125" style="213" customWidth="1"/>
    <col min="5385" max="5385" width="13.453125" style="213" bestFit="1" customWidth="1"/>
    <col min="5386" max="5386" width="14.54296875" style="213" customWidth="1"/>
    <col min="5387" max="5390" width="8.54296875" style="213" customWidth="1"/>
    <col min="5391" max="5391" width="16" style="213" customWidth="1"/>
    <col min="5392" max="5392" width="0" style="213" hidden="1" customWidth="1"/>
    <col min="5393" max="5393" width="15.453125" style="213" customWidth="1"/>
    <col min="5394" max="5394" width="14.453125" style="213" customWidth="1"/>
    <col min="5395" max="5633" width="9.453125" style="213"/>
    <col min="5634" max="5634" width="65.453125" style="213" bestFit="1" customWidth="1"/>
    <col min="5635" max="5635" width="12.453125" style="213" customWidth="1"/>
    <col min="5636" max="5636" width="11.54296875" style="213" bestFit="1" customWidth="1"/>
    <col min="5637" max="5637" width="12.54296875" style="213" bestFit="1" customWidth="1"/>
    <col min="5638" max="5638" width="13.453125" style="213" bestFit="1" customWidth="1"/>
    <col min="5639" max="5639" width="13.54296875" style="213" customWidth="1"/>
    <col min="5640" max="5640" width="13.453125" style="213" customWidth="1"/>
    <col min="5641" max="5641" width="13.453125" style="213" bestFit="1" customWidth="1"/>
    <col min="5642" max="5642" width="14.54296875" style="213" customWidth="1"/>
    <col min="5643" max="5646" width="8.54296875" style="213" customWidth="1"/>
    <col min="5647" max="5647" width="16" style="213" customWidth="1"/>
    <col min="5648" max="5648" width="0" style="213" hidden="1" customWidth="1"/>
    <col min="5649" max="5649" width="15.453125" style="213" customWidth="1"/>
    <col min="5650" max="5650" width="14.453125" style="213" customWidth="1"/>
    <col min="5651" max="5889" width="9.453125" style="213"/>
    <col min="5890" max="5890" width="65.453125" style="213" bestFit="1" customWidth="1"/>
    <col min="5891" max="5891" width="12.453125" style="213" customWidth="1"/>
    <col min="5892" max="5892" width="11.54296875" style="213" bestFit="1" customWidth="1"/>
    <col min="5893" max="5893" width="12.54296875" style="213" bestFit="1" customWidth="1"/>
    <col min="5894" max="5894" width="13.453125" style="213" bestFit="1" customWidth="1"/>
    <col min="5895" max="5895" width="13.54296875" style="213" customWidth="1"/>
    <col min="5896" max="5896" width="13.453125" style="213" customWidth="1"/>
    <col min="5897" max="5897" width="13.453125" style="213" bestFit="1" customWidth="1"/>
    <col min="5898" max="5898" width="14.54296875" style="213" customWidth="1"/>
    <col min="5899" max="5902" width="8.54296875" style="213" customWidth="1"/>
    <col min="5903" max="5903" width="16" style="213" customWidth="1"/>
    <col min="5904" max="5904" width="0" style="213" hidden="1" customWidth="1"/>
    <col min="5905" max="5905" width="15.453125" style="213" customWidth="1"/>
    <col min="5906" max="5906" width="14.453125" style="213" customWidth="1"/>
    <col min="5907" max="6145" width="9.453125" style="213"/>
    <col min="6146" max="6146" width="65.453125" style="213" bestFit="1" customWidth="1"/>
    <col min="6147" max="6147" width="12.453125" style="213" customWidth="1"/>
    <col min="6148" max="6148" width="11.54296875" style="213" bestFit="1" customWidth="1"/>
    <col min="6149" max="6149" width="12.54296875" style="213" bestFit="1" customWidth="1"/>
    <col min="6150" max="6150" width="13.453125" style="213" bestFit="1" customWidth="1"/>
    <col min="6151" max="6151" width="13.54296875" style="213" customWidth="1"/>
    <col min="6152" max="6152" width="13.453125" style="213" customWidth="1"/>
    <col min="6153" max="6153" width="13.453125" style="213" bestFit="1" customWidth="1"/>
    <col min="6154" max="6154" width="14.54296875" style="213" customWidth="1"/>
    <col min="6155" max="6158" width="8.54296875" style="213" customWidth="1"/>
    <col min="6159" max="6159" width="16" style="213" customWidth="1"/>
    <col min="6160" max="6160" width="0" style="213" hidden="1" customWidth="1"/>
    <col min="6161" max="6161" width="15.453125" style="213" customWidth="1"/>
    <col min="6162" max="6162" width="14.453125" style="213" customWidth="1"/>
    <col min="6163" max="6401" width="9.453125" style="213"/>
    <col min="6402" max="6402" width="65.453125" style="213" bestFit="1" customWidth="1"/>
    <col min="6403" max="6403" width="12.453125" style="213" customWidth="1"/>
    <col min="6404" max="6404" width="11.54296875" style="213" bestFit="1" customWidth="1"/>
    <col min="6405" max="6405" width="12.54296875" style="213" bestFit="1" customWidth="1"/>
    <col min="6406" max="6406" width="13.453125" style="213" bestFit="1" customWidth="1"/>
    <col min="6407" max="6407" width="13.54296875" style="213" customWidth="1"/>
    <col min="6408" max="6408" width="13.453125" style="213" customWidth="1"/>
    <col min="6409" max="6409" width="13.453125" style="213" bestFit="1" customWidth="1"/>
    <col min="6410" max="6410" width="14.54296875" style="213" customWidth="1"/>
    <col min="6411" max="6414" width="8.54296875" style="213" customWidth="1"/>
    <col min="6415" max="6415" width="16" style="213" customWidth="1"/>
    <col min="6416" max="6416" width="0" style="213" hidden="1" customWidth="1"/>
    <col min="6417" max="6417" width="15.453125" style="213" customWidth="1"/>
    <col min="6418" max="6418" width="14.453125" style="213" customWidth="1"/>
    <col min="6419" max="6657" width="9.453125" style="213"/>
    <col min="6658" max="6658" width="65.453125" style="213" bestFit="1" customWidth="1"/>
    <col min="6659" max="6659" width="12.453125" style="213" customWidth="1"/>
    <col min="6660" max="6660" width="11.54296875" style="213" bestFit="1" customWidth="1"/>
    <col min="6661" max="6661" width="12.54296875" style="213" bestFit="1" customWidth="1"/>
    <col min="6662" max="6662" width="13.453125" style="213" bestFit="1" customWidth="1"/>
    <col min="6663" max="6663" width="13.54296875" style="213" customWidth="1"/>
    <col min="6664" max="6664" width="13.453125" style="213" customWidth="1"/>
    <col min="6665" max="6665" width="13.453125" style="213" bestFit="1" customWidth="1"/>
    <col min="6666" max="6666" width="14.54296875" style="213" customWidth="1"/>
    <col min="6667" max="6670" width="8.54296875" style="213" customWidth="1"/>
    <col min="6671" max="6671" width="16" style="213" customWidth="1"/>
    <col min="6672" max="6672" width="0" style="213" hidden="1" customWidth="1"/>
    <col min="6673" max="6673" width="15.453125" style="213" customWidth="1"/>
    <col min="6674" max="6674" width="14.453125" style="213" customWidth="1"/>
    <col min="6675" max="6913" width="9.453125" style="213"/>
    <col min="6914" max="6914" width="65.453125" style="213" bestFit="1" customWidth="1"/>
    <col min="6915" max="6915" width="12.453125" style="213" customWidth="1"/>
    <col min="6916" max="6916" width="11.54296875" style="213" bestFit="1" customWidth="1"/>
    <col min="6917" max="6917" width="12.54296875" style="213" bestFit="1" customWidth="1"/>
    <col min="6918" max="6918" width="13.453125" style="213" bestFit="1" customWidth="1"/>
    <col min="6919" max="6919" width="13.54296875" style="213" customWidth="1"/>
    <col min="6920" max="6920" width="13.453125" style="213" customWidth="1"/>
    <col min="6921" max="6921" width="13.453125" style="213" bestFit="1" customWidth="1"/>
    <col min="6922" max="6922" width="14.54296875" style="213" customWidth="1"/>
    <col min="6923" max="6926" width="8.54296875" style="213" customWidth="1"/>
    <col min="6927" max="6927" width="16" style="213" customWidth="1"/>
    <col min="6928" max="6928" width="0" style="213" hidden="1" customWidth="1"/>
    <col min="6929" max="6929" width="15.453125" style="213" customWidth="1"/>
    <col min="6930" max="6930" width="14.453125" style="213" customWidth="1"/>
    <col min="6931" max="7169" width="9.453125" style="213"/>
    <col min="7170" max="7170" width="65.453125" style="213" bestFit="1" customWidth="1"/>
    <col min="7171" max="7171" width="12.453125" style="213" customWidth="1"/>
    <col min="7172" max="7172" width="11.54296875" style="213" bestFit="1" customWidth="1"/>
    <col min="7173" max="7173" width="12.54296875" style="213" bestFit="1" customWidth="1"/>
    <col min="7174" max="7174" width="13.453125" style="213" bestFit="1" customWidth="1"/>
    <col min="7175" max="7175" width="13.54296875" style="213" customWidth="1"/>
    <col min="7176" max="7176" width="13.453125" style="213" customWidth="1"/>
    <col min="7177" max="7177" width="13.453125" style="213" bestFit="1" customWidth="1"/>
    <col min="7178" max="7178" width="14.54296875" style="213" customWidth="1"/>
    <col min="7179" max="7182" width="8.54296875" style="213" customWidth="1"/>
    <col min="7183" max="7183" width="16" style="213" customWidth="1"/>
    <col min="7184" max="7184" width="0" style="213" hidden="1" customWidth="1"/>
    <col min="7185" max="7185" width="15.453125" style="213" customWidth="1"/>
    <col min="7186" max="7186" width="14.453125" style="213" customWidth="1"/>
    <col min="7187" max="7425" width="9.453125" style="213"/>
    <col min="7426" max="7426" width="65.453125" style="213" bestFit="1" customWidth="1"/>
    <col min="7427" max="7427" width="12.453125" style="213" customWidth="1"/>
    <col min="7428" max="7428" width="11.54296875" style="213" bestFit="1" customWidth="1"/>
    <col min="7429" max="7429" width="12.54296875" style="213" bestFit="1" customWidth="1"/>
    <col min="7430" max="7430" width="13.453125" style="213" bestFit="1" customWidth="1"/>
    <col min="7431" max="7431" width="13.54296875" style="213" customWidth="1"/>
    <col min="7432" max="7432" width="13.453125" style="213" customWidth="1"/>
    <col min="7433" max="7433" width="13.453125" style="213" bestFit="1" customWidth="1"/>
    <col min="7434" max="7434" width="14.54296875" style="213" customWidth="1"/>
    <col min="7435" max="7438" width="8.54296875" style="213" customWidth="1"/>
    <col min="7439" max="7439" width="16" style="213" customWidth="1"/>
    <col min="7440" max="7440" width="0" style="213" hidden="1" customWidth="1"/>
    <col min="7441" max="7441" width="15.453125" style="213" customWidth="1"/>
    <col min="7442" max="7442" width="14.453125" style="213" customWidth="1"/>
    <col min="7443" max="7681" width="9.453125" style="213"/>
    <col min="7682" max="7682" width="65.453125" style="213" bestFit="1" customWidth="1"/>
    <col min="7683" max="7683" width="12.453125" style="213" customWidth="1"/>
    <col min="7684" max="7684" width="11.54296875" style="213" bestFit="1" customWidth="1"/>
    <col min="7685" max="7685" width="12.54296875" style="213" bestFit="1" customWidth="1"/>
    <col min="7686" max="7686" width="13.453125" style="213" bestFit="1" customWidth="1"/>
    <col min="7687" max="7687" width="13.54296875" style="213" customWidth="1"/>
    <col min="7688" max="7688" width="13.453125" style="213" customWidth="1"/>
    <col min="7689" max="7689" width="13.453125" style="213" bestFit="1" customWidth="1"/>
    <col min="7690" max="7690" width="14.54296875" style="213" customWidth="1"/>
    <col min="7691" max="7694" width="8.54296875" style="213" customWidth="1"/>
    <col min="7695" max="7695" width="16" style="213" customWidth="1"/>
    <col min="7696" max="7696" width="0" style="213" hidden="1" customWidth="1"/>
    <col min="7697" max="7697" width="15.453125" style="213" customWidth="1"/>
    <col min="7698" max="7698" width="14.453125" style="213" customWidth="1"/>
    <col min="7699" max="7937" width="9.453125" style="213"/>
    <col min="7938" max="7938" width="65.453125" style="213" bestFit="1" customWidth="1"/>
    <col min="7939" max="7939" width="12.453125" style="213" customWidth="1"/>
    <col min="7940" max="7940" width="11.54296875" style="213" bestFit="1" customWidth="1"/>
    <col min="7941" max="7941" width="12.54296875" style="213" bestFit="1" customWidth="1"/>
    <col min="7942" max="7942" width="13.453125" style="213" bestFit="1" customWidth="1"/>
    <col min="7943" max="7943" width="13.54296875" style="213" customWidth="1"/>
    <col min="7944" max="7944" width="13.453125" style="213" customWidth="1"/>
    <col min="7945" max="7945" width="13.453125" style="213" bestFit="1" customWidth="1"/>
    <col min="7946" max="7946" width="14.54296875" style="213" customWidth="1"/>
    <col min="7947" max="7950" width="8.54296875" style="213" customWidth="1"/>
    <col min="7951" max="7951" width="16" style="213" customWidth="1"/>
    <col min="7952" max="7952" width="0" style="213" hidden="1" customWidth="1"/>
    <col min="7953" max="7953" width="15.453125" style="213" customWidth="1"/>
    <col min="7954" max="7954" width="14.453125" style="213" customWidth="1"/>
    <col min="7955" max="8193" width="9.453125" style="213"/>
    <col min="8194" max="8194" width="65.453125" style="213" bestFit="1" customWidth="1"/>
    <col min="8195" max="8195" width="12.453125" style="213" customWidth="1"/>
    <col min="8196" max="8196" width="11.54296875" style="213" bestFit="1" customWidth="1"/>
    <col min="8197" max="8197" width="12.54296875" style="213" bestFit="1" customWidth="1"/>
    <col min="8198" max="8198" width="13.453125" style="213" bestFit="1" customWidth="1"/>
    <col min="8199" max="8199" width="13.54296875" style="213" customWidth="1"/>
    <col min="8200" max="8200" width="13.453125" style="213" customWidth="1"/>
    <col min="8201" max="8201" width="13.453125" style="213" bestFit="1" customWidth="1"/>
    <col min="8202" max="8202" width="14.54296875" style="213" customWidth="1"/>
    <col min="8203" max="8206" width="8.54296875" style="213" customWidth="1"/>
    <col min="8207" max="8207" width="16" style="213" customWidth="1"/>
    <col min="8208" max="8208" width="0" style="213" hidden="1" customWidth="1"/>
    <col min="8209" max="8209" width="15.453125" style="213" customWidth="1"/>
    <col min="8210" max="8210" width="14.453125" style="213" customWidth="1"/>
    <col min="8211" max="8449" width="9.453125" style="213"/>
    <col min="8450" max="8450" width="65.453125" style="213" bestFit="1" customWidth="1"/>
    <col min="8451" max="8451" width="12.453125" style="213" customWidth="1"/>
    <col min="8452" max="8452" width="11.54296875" style="213" bestFit="1" customWidth="1"/>
    <col min="8453" max="8453" width="12.54296875" style="213" bestFit="1" customWidth="1"/>
    <col min="8454" max="8454" width="13.453125" style="213" bestFit="1" customWidth="1"/>
    <col min="8455" max="8455" width="13.54296875" style="213" customWidth="1"/>
    <col min="8456" max="8456" width="13.453125" style="213" customWidth="1"/>
    <col min="8457" max="8457" width="13.453125" style="213" bestFit="1" customWidth="1"/>
    <col min="8458" max="8458" width="14.54296875" style="213" customWidth="1"/>
    <col min="8459" max="8462" width="8.54296875" style="213" customWidth="1"/>
    <col min="8463" max="8463" width="16" style="213" customWidth="1"/>
    <col min="8464" max="8464" width="0" style="213" hidden="1" customWidth="1"/>
    <col min="8465" max="8465" width="15.453125" style="213" customWidth="1"/>
    <col min="8466" max="8466" width="14.453125" style="213" customWidth="1"/>
    <col min="8467" max="8705" width="9.453125" style="213"/>
    <col min="8706" max="8706" width="65.453125" style="213" bestFit="1" customWidth="1"/>
    <col min="8707" max="8707" width="12.453125" style="213" customWidth="1"/>
    <col min="8708" max="8708" width="11.54296875" style="213" bestFit="1" customWidth="1"/>
    <col min="8709" max="8709" width="12.54296875" style="213" bestFit="1" customWidth="1"/>
    <col min="8710" max="8710" width="13.453125" style="213" bestFit="1" customWidth="1"/>
    <col min="8711" max="8711" width="13.54296875" style="213" customWidth="1"/>
    <col min="8712" max="8712" width="13.453125" style="213" customWidth="1"/>
    <col min="8713" max="8713" width="13.453125" style="213" bestFit="1" customWidth="1"/>
    <col min="8714" max="8714" width="14.54296875" style="213" customWidth="1"/>
    <col min="8715" max="8718" width="8.54296875" style="213" customWidth="1"/>
    <col min="8719" max="8719" width="16" style="213" customWidth="1"/>
    <col min="8720" max="8720" width="0" style="213" hidden="1" customWidth="1"/>
    <col min="8721" max="8721" width="15.453125" style="213" customWidth="1"/>
    <col min="8722" max="8722" width="14.453125" style="213" customWidth="1"/>
    <col min="8723" max="8961" width="9.453125" style="213"/>
    <col min="8962" max="8962" width="65.453125" style="213" bestFit="1" customWidth="1"/>
    <col min="8963" max="8963" width="12.453125" style="213" customWidth="1"/>
    <col min="8964" max="8964" width="11.54296875" style="213" bestFit="1" customWidth="1"/>
    <col min="8965" max="8965" width="12.54296875" style="213" bestFit="1" customWidth="1"/>
    <col min="8966" max="8966" width="13.453125" style="213" bestFit="1" customWidth="1"/>
    <col min="8967" max="8967" width="13.54296875" style="213" customWidth="1"/>
    <col min="8968" max="8968" width="13.453125" style="213" customWidth="1"/>
    <col min="8969" max="8969" width="13.453125" style="213" bestFit="1" customWidth="1"/>
    <col min="8970" max="8970" width="14.54296875" style="213" customWidth="1"/>
    <col min="8971" max="8974" width="8.54296875" style="213" customWidth="1"/>
    <col min="8975" max="8975" width="16" style="213" customWidth="1"/>
    <col min="8976" max="8976" width="0" style="213" hidden="1" customWidth="1"/>
    <col min="8977" max="8977" width="15.453125" style="213" customWidth="1"/>
    <col min="8978" max="8978" width="14.453125" style="213" customWidth="1"/>
    <col min="8979" max="9217" width="9.453125" style="213"/>
    <col min="9218" max="9218" width="65.453125" style="213" bestFit="1" customWidth="1"/>
    <col min="9219" max="9219" width="12.453125" style="213" customWidth="1"/>
    <col min="9220" max="9220" width="11.54296875" style="213" bestFit="1" customWidth="1"/>
    <col min="9221" max="9221" width="12.54296875" style="213" bestFit="1" customWidth="1"/>
    <col min="9222" max="9222" width="13.453125" style="213" bestFit="1" customWidth="1"/>
    <col min="9223" max="9223" width="13.54296875" style="213" customWidth="1"/>
    <col min="9224" max="9224" width="13.453125" style="213" customWidth="1"/>
    <col min="9225" max="9225" width="13.453125" style="213" bestFit="1" customWidth="1"/>
    <col min="9226" max="9226" width="14.54296875" style="213" customWidth="1"/>
    <col min="9227" max="9230" width="8.54296875" style="213" customWidth="1"/>
    <col min="9231" max="9231" width="16" style="213" customWidth="1"/>
    <col min="9232" max="9232" width="0" style="213" hidden="1" customWidth="1"/>
    <col min="9233" max="9233" width="15.453125" style="213" customWidth="1"/>
    <col min="9234" max="9234" width="14.453125" style="213" customWidth="1"/>
    <col min="9235" max="9473" width="9.453125" style="213"/>
    <col min="9474" max="9474" width="65.453125" style="213" bestFit="1" customWidth="1"/>
    <col min="9475" max="9475" width="12.453125" style="213" customWidth="1"/>
    <col min="9476" max="9476" width="11.54296875" style="213" bestFit="1" customWidth="1"/>
    <col min="9477" max="9477" width="12.54296875" style="213" bestFit="1" customWidth="1"/>
    <col min="9478" max="9478" width="13.453125" style="213" bestFit="1" customWidth="1"/>
    <col min="9479" max="9479" width="13.54296875" style="213" customWidth="1"/>
    <col min="9480" max="9480" width="13.453125" style="213" customWidth="1"/>
    <col min="9481" max="9481" width="13.453125" style="213" bestFit="1" customWidth="1"/>
    <col min="9482" max="9482" width="14.54296875" style="213" customWidth="1"/>
    <col min="9483" max="9486" width="8.54296875" style="213" customWidth="1"/>
    <col min="9487" max="9487" width="16" style="213" customWidth="1"/>
    <col min="9488" max="9488" width="0" style="213" hidden="1" customWidth="1"/>
    <col min="9489" max="9489" width="15.453125" style="213" customWidth="1"/>
    <col min="9490" max="9490" width="14.453125" style="213" customWidth="1"/>
    <col min="9491" max="9729" width="9.453125" style="213"/>
    <col min="9730" max="9730" width="65.453125" style="213" bestFit="1" customWidth="1"/>
    <col min="9731" max="9731" width="12.453125" style="213" customWidth="1"/>
    <col min="9732" max="9732" width="11.54296875" style="213" bestFit="1" customWidth="1"/>
    <col min="9733" max="9733" width="12.54296875" style="213" bestFit="1" customWidth="1"/>
    <col min="9734" max="9734" width="13.453125" style="213" bestFit="1" customWidth="1"/>
    <col min="9735" max="9735" width="13.54296875" style="213" customWidth="1"/>
    <col min="9736" max="9736" width="13.453125" style="213" customWidth="1"/>
    <col min="9737" max="9737" width="13.453125" style="213" bestFit="1" customWidth="1"/>
    <col min="9738" max="9738" width="14.54296875" style="213" customWidth="1"/>
    <col min="9739" max="9742" width="8.54296875" style="213" customWidth="1"/>
    <col min="9743" max="9743" width="16" style="213" customWidth="1"/>
    <col min="9744" max="9744" width="0" style="213" hidden="1" customWidth="1"/>
    <col min="9745" max="9745" width="15.453125" style="213" customWidth="1"/>
    <col min="9746" max="9746" width="14.453125" style="213" customWidth="1"/>
    <col min="9747" max="9985" width="9.453125" style="213"/>
    <col min="9986" max="9986" width="65.453125" style="213" bestFit="1" customWidth="1"/>
    <col min="9987" max="9987" width="12.453125" style="213" customWidth="1"/>
    <col min="9988" max="9988" width="11.54296875" style="213" bestFit="1" customWidth="1"/>
    <col min="9989" max="9989" width="12.54296875" style="213" bestFit="1" customWidth="1"/>
    <col min="9990" max="9990" width="13.453125" style="213" bestFit="1" customWidth="1"/>
    <col min="9991" max="9991" width="13.54296875" style="213" customWidth="1"/>
    <col min="9992" max="9992" width="13.453125" style="213" customWidth="1"/>
    <col min="9993" max="9993" width="13.453125" style="213" bestFit="1" customWidth="1"/>
    <col min="9994" max="9994" width="14.54296875" style="213" customWidth="1"/>
    <col min="9995" max="9998" width="8.54296875" style="213" customWidth="1"/>
    <col min="9999" max="9999" width="16" style="213" customWidth="1"/>
    <col min="10000" max="10000" width="0" style="213" hidden="1" customWidth="1"/>
    <col min="10001" max="10001" width="15.453125" style="213" customWidth="1"/>
    <col min="10002" max="10002" width="14.453125" style="213" customWidth="1"/>
    <col min="10003" max="10241" width="9.453125" style="213"/>
    <col min="10242" max="10242" width="65.453125" style="213" bestFit="1" customWidth="1"/>
    <col min="10243" max="10243" width="12.453125" style="213" customWidth="1"/>
    <col min="10244" max="10244" width="11.54296875" style="213" bestFit="1" customWidth="1"/>
    <col min="10245" max="10245" width="12.54296875" style="213" bestFit="1" customWidth="1"/>
    <col min="10246" max="10246" width="13.453125" style="213" bestFit="1" customWidth="1"/>
    <col min="10247" max="10247" width="13.54296875" style="213" customWidth="1"/>
    <col min="10248" max="10248" width="13.453125" style="213" customWidth="1"/>
    <col min="10249" max="10249" width="13.453125" style="213" bestFit="1" customWidth="1"/>
    <col min="10250" max="10250" width="14.54296875" style="213" customWidth="1"/>
    <col min="10251" max="10254" width="8.54296875" style="213" customWidth="1"/>
    <col min="10255" max="10255" width="16" style="213" customWidth="1"/>
    <col min="10256" max="10256" width="0" style="213" hidden="1" customWidth="1"/>
    <col min="10257" max="10257" width="15.453125" style="213" customWidth="1"/>
    <col min="10258" max="10258" width="14.453125" style="213" customWidth="1"/>
    <col min="10259" max="10497" width="9.453125" style="213"/>
    <col min="10498" max="10498" width="65.453125" style="213" bestFit="1" customWidth="1"/>
    <col min="10499" max="10499" width="12.453125" style="213" customWidth="1"/>
    <col min="10500" max="10500" width="11.54296875" style="213" bestFit="1" customWidth="1"/>
    <col min="10501" max="10501" width="12.54296875" style="213" bestFit="1" customWidth="1"/>
    <col min="10502" max="10502" width="13.453125" style="213" bestFit="1" customWidth="1"/>
    <col min="10503" max="10503" width="13.54296875" style="213" customWidth="1"/>
    <col min="10504" max="10504" width="13.453125" style="213" customWidth="1"/>
    <col min="10505" max="10505" width="13.453125" style="213" bestFit="1" customWidth="1"/>
    <col min="10506" max="10506" width="14.54296875" style="213" customWidth="1"/>
    <col min="10507" max="10510" width="8.54296875" style="213" customWidth="1"/>
    <col min="10511" max="10511" width="16" style="213" customWidth="1"/>
    <col min="10512" max="10512" width="0" style="213" hidden="1" customWidth="1"/>
    <col min="10513" max="10513" width="15.453125" style="213" customWidth="1"/>
    <col min="10514" max="10514" width="14.453125" style="213" customWidth="1"/>
    <col min="10515" max="10753" width="9.453125" style="213"/>
    <col min="10754" max="10754" width="65.453125" style="213" bestFit="1" customWidth="1"/>
    <col min="10755" max="10755" width="12.453125" style="213" customWidth="1"/>
    <col min="10756" max="10756" width="11.54296875" style="213" bestFit="1" customWidth="1"/>
    <col min="10757" max="10757" width="12.54296875" style="213" bestFit="1" customWidth="1"/>
    <col min="10758" max="10758" width="13.453125" style="213" bestFit="1" customWidth="1"/>
    <col min="10759" max="10759" width="13.54296875" style="213" customWidth="1"/>
    <col min="10760" max="10760" width="13.453125" style="213" customWidth="1"/>
    <col min="10761" max="10761" width="13.453125" style="213" bestFit="1" customWidth="1"/>
    <col min="10762" max="10762" width="14.54296875" style="213" customWidth="1"/>
    <col min="10763" max="10766" width="8.54296875" style="213" customWidth="1"/>
    <col min="10767" max="10767" width="16" style="213" customWidth="1"/>
    <col min="10768" max="10768" width="0" style="213" hidden="1" customWidth="1"/>
    <col min="10769" max="10769" width="15.453125" style="213" customWidth="1"/>
    <col min="10770" max="10770" width="14.453125" style="213" customWidth="1"/>
    <col min="10771" max="11009" width="9.453125" style="213"/>
    <col min="11010" max="11010" width="65.453125" style="213" bestFit="1" customWidth="1"/>
    <col min="11011" max="11011" width="12.453125" style="213" customWidth="1"/>
    <col min="11012" max="11012" width="11.54296875" style="213" bestFit="1" customWidth="1"/>
    <col min="11013" max="11013" width="12.54296875" style="213" bestFit="1" customWidth="1"/>
    <col min="11014" max="11014" width="13.453125" style="213" bestFit="1" customWidth="1"/>
    <col min="11015" max="11015" width="13.54296875" style="213" customWidth="1"/>
    <col min="11016" max="11016" width="13.453125" style="213" customWidth="1"/>
    <col min="11017" max="11017" width="13.453125" style="213" bestFit="1" customWidth="1"/>
    <col min="11018" max="11018" width="14.54296875" style="213" customWidth="1"/>
    <col min="11019" max="11022" width="8.54296875" style="213" customWidth="1"/>
    <col min="11023" max="11023" width="16" style="213" customWidth="1"/>
    <col min="11024" max="11024" width="0" style="213" hidden="1" customWidth="1"/>
    <col min="11025" max="11025" width="15.453125" style="213" customWidth="1"/>
    <col min="11026" max="11026" width="14.453125" style="213" customWidth="1"/>
    <col min="11027" max="11265" width="9.453125" style="213"/>
    <col min="11266" max="11266" width="65.453125" style="213" bestFit="1" customWidth="1"/>
    <col min="11267" max="11267" width="12.453125" style="213" customWidth="1"/>
    <col min="11268" max="11268" width="11.54296875" style="213" bestFit="1" customWidth="1"/>
    <col min="11269" max="11269" width="12.54296875" style="213" bestFit="1" customWidth="1"/>
    <col min="11270" max="11270" width="13.453125" style="213" bestFit="1" customWidth="1"/>
    <col min="11271" max="11271" width="13.54296875" style="213" customWidth="1"/>
    <col min="11272" max="11272" width="13.453125" style="213" customWidth="1"/>
    <col min="11273" max="11273" width="13.453125" style="213" bestFit="1" customWidth="1"/>
    <col min="11274" max="11274" width="14.54296875" style="213" customWidth="1"/>
    <col min="11275" max="11278" width="8.54296875" style="213" customWidth="1"/>
    <col min="11279" max="11279" width="16" style="213" customWidth="1"/>
    <col min="11280" max="11280" width="0" style="213" hidden="1" customWidth="1"/>
    <col min="11281" max="11281" width="15.453125" style="213" customWidth="1"/>
    <col min="11282" max="11282" width="14.453125" style="213" customWidth="1"/>
    <col min="11283" max="11521" width="9.453125" style="213"/>
    <col min="11522" max="11522" width="65.453125" style="213" bestFit="1" customWidth="1"/>
    <col min="11523" max="11523" width="12.453125" style="213" customWidth="1"/>
    <col min="11524" max="11524" width="11.54296875" style="213" bestFit="1" customWidth="1"/>
    <col min="11525" max="11525" width="12.54296875" style="213" bestFit="1" customWidth="1"/>
    <col min="11526" max="11526" width="13.453125" style="213" bestFit="1" customWidth="1"/>
    <col min="11527" max="11527" width="13.54296875" style="213" customWidth="1"/>
    <col min="11528" max="11528" width="13.453125" style="213" customWidth="1"/>
    <col min="11529" max="11529" width="13.453125" style="213" bestFit="1" customWidth="1"/>
    <col min="11530" max="11530" width="14.54296875" style="213" customWidth="1"/>
    <col min="11531" max="11534" width="8.54296875" style="213" customWidth="1"/>
    <col min="11535" max="11535" width="16" style="213" customWidth="1"/>
    <col min="11536" max="11536" width="0" style="213" hidden="1" customWidth="1"/>
    <col min="11537" max="11537" width="15.453125" style="213" customWidth="1"/>
    <col min="11538" max="11538" width="14.453125" style="213" customWidth="1"/>
    <col min="11539" max="11777" width="9.453125" style="213"/>
    <col min="11778" max="11778" width="65.453125" style="213" bestFit="1" customWidth="1"/>
    <col min="11779" max="11779" width="12.453125" style="213" customWidth="1"/>
    <col min="11780" max="11780" width="11.54296875" style="213" bestFit="1" customWidth="1"/>
    <col min="11781" max="11781" width="12.54296875" style="213" bestFit="1" customWidth="1"/>
    <col min="11782" max="11782" width="13.453125" style="213" bestFit="1" customWidth="1"/>
    <col min="11783" max="11783" width="13.54296875" style="213" customWidth="1"/>
    <col min="11784" max="11784" width="13.453125" style="213" customWidth="1"/>
    <col min="11785" max="11785" width="13.453125" style="213" bestFit="1" customWidth="1"/>
    <col min="11786" max="11786" width="14.54296875" style="213" customWidth="1"/>
    <col min="11787" max="11790" width="8.54296875" style="213" customWidth="1"/>
    <col min="11791" max="11791" width="16" style="213" customWidth="1"/>
    <col min="11792" max="11792" width="0" style="213" hidden="1" customWidth="1"/>
    <col min="11793" max="11793" width="15.453125" style="213" customWidth="1"/>
    <col min="11794" max="11794" width="14.453125" style="213" customWidth="1"/>
    <col min="11795" max="12033" width="9.453125" style="213"/>
    <col min="12034" max="12034" width="65.453125" style="213" bestFit="1" customWidth="1"/>
    <col min="12035" max="12035" width="12.453125" style="213" customWidth="1"/>
    <col min="12036" max="12036" width="11.54296875" style="213" bestFit="1" customWidth="1"/>
    <col min="12037" max="12037" width="12.54296875" style="213" bestFit="1" customWidth="1"/>
    <col min="12038" max="12038" width="13.453125" style="213" bestFit="1" customWidth="1"/>
    <col min="12039" max="12039" width="13.54296875" style="213" customWidth="1"/>
    <col min="12040" max="12040" width="13.453125" style="213" customWidth="1"/>
    <col min="12041" max="12041" width="13.453125" style="213" bestFit="1" customWidth="1"/>
    <col min="12042" max="12042" width="14.54296875" style="213" customWidth="1"/>
    <col min="12043" max="12046" width="8.54296875" style="213" customWidth="1"/>
    <col min="12047" max="12047" width="16" style="213" customWidth="1"/>
    <col min="12048" max="12048" width="0" style="213" hidden="1" customWidth="1"/>
    <col min="12049" max="12049" width="15.453125" style="213" customWidth="1"/>
    <col min="12050" max="12050" width="14.453125" style="213" customWidth="1"/>
    <col min="12051" max="12289" width="9.453125" style="213"/>
    <col min="12290" max="12290" width="65.453125" style="213" bestFit="1" customWidth="1"/>
    <col min="12291" max="12291" width="12.453125" style="213" customWidth="1"/>
    <col min="12292" max="12292" width="11.54296875" style="213" bestFit="1" customWidth="1"/>
    <col min="12293" max="12293" width="12.54296875" style="213" bestFit="1" customWidth="1"/>
    <col min="12294" max="12294" width="13.453125" style="213" bestFit="1" customWidth="1"/>
    <col min="12295" max="12295" width="13.54296875" style="213" customWidth="1"/>
    <col min="12296" max="12296" width="13.453125" style="213" customWidth="1"/>
    <col min="12297" max="12297" width="13.453125" style="213" bestFit="1" customWidth="1"/>
    <col min="12298" max="12298" width="14.54296875" style="213" customWidth="1"/>
    <col min="12299" max="12302" width="8.54296875" style="213" customWidth="1"/>
    <col min="12303" max="12303" width="16" style="213" customWidth="1"/>
    <col min="12304" max="12304" width="0" style="213" hidden="1" customWidth="1"/>
    <col min="12305" max="12305" width="15.453125" style="213" customWidth="1"/>
    <col min="12306" max="12306" width="14.453125" style="213" customWidth="1"/>
    <col min="12307" max="12545" width="9.453125" style="213"/>
    <col min="12546" max="12546" width="65.453125" style="213" bestFit="1" customWidth="1"/>
    <col min="12547" max="12547" width="12.453125" style="213" customWidth="1"/>
    <col min="12548" max="12548" width="11.54296875" style="213" bestFit="1" customWidth="1"/>
    <col min="12549" max="12549" width="12.54296875" style="213" bestFit="1" customWidth="1"/>
    <col min="12550" max="12550" width="13.453125" style="213" bestFit="1" customWidth="1"/>
    <col min="12551" max="12551" width="13.54296875" style="213" customWidth="1"/>
    <col min="12552" max="12552" width="13.453125" style="213" customWidth="1"/>
    <col min="12553" max="12553" width="13.453125" style="213" bestFit="1" customWidth="1"/>
    <col min="12554" max="12554" width="14.54296875" style="213" customWidth="1"/>
    <col min="12555" max="12558" width="8.54296875" style="213" customWidth="1"/>
    <col min="12559" max="12559" width="16" style="213" customWidth="1"/>
    <col min="12560" max="12560" width="0" style="213" hidden="1" customWidth="1"/>
    <col min="12561" max="12561" width="15.453125" style="213" customWidth="1"/>
    <col min="12562" max="12562" width="14.453125" style="213" customWidth="1"/>
    <col min="12563" max="12801" width="9.453125" style="213"/>
    <col min="12802" max="12802" width="65.453125" style="213" bestFit="1" customWidth="1"/>
    <col min="12803" max="12803" width="12.453125" style="213" customWidth="1"/>
    <col min="12804" max="12804" width="11.54296875" style="213" bestFit="1" customWidth="1"/>
    <col min="12805" max="12805" width="12.54296875" style="213" bestFit="1" customWidth="1"/>
    <col min="12806" max="12806" width="13.453125" style="213" bestFit="1" customWidth="1"/>
    <col min="12807" max="12807" width="13.54296875" style="213" customWidth="1"/>
    <col min="12808" max="12808" width="13.453125" style="213" customWidth="1"/>
    <col min="12809" max="12809" width="13.453125" style="213" bestFit="1" customWidth="1"/>
    <col min="12810" max="12810" width="14.54296875" style="213" customWidth="1"/>
    <col min="12811" max="12814" width="8.54296875" style="213" customWidth="1"/>
    <col min="12815" max="12815" width="16" style="213" customWidth="1"/>
    <col min="12816" max="12816" width="0" style="213" hidden="1" customWidth="1"/>
    <col min="12817" max="12817" width="15.453125" style="213" customWidth="1"/>
    <col min="12818" max="12818" width="14.453125" style="213" customWidth="1"/>
    <col min="12819" max="13057" width="9.453125" style="213"/>
    <col min="13058" max="13058" width="65.453125" style="213" bestFit="1" customWidth="1"/>
    <col min="13059" max="13059" width="12.453125" style="213" customWidth="1"/>
    <col min="13060" max="13060" width="11.54296875" style="213" bestFit="1" customWidth="1"/>
    <col min="13061" max="13061" width="12.54296875" style="213" bestFit="1" customWidth="1"/>
    <col min="13062" max="13062" width="13.453125" style="213" bestFit="1" customWidth="1"/>
    <col min="13063" max="13063" width="13.54296875" style="213" customWidth="1"/>
    <col min="13064" max="13064" width="13.453125" style="213" customWidth="1"/>
    <col min="13065" max="13065" width="13.453125" style="213" bestFit="1" customWidth="1"/>
    <col min="13066" max="13066" width="14.54296875" style="213" customWidth="1"/>
    <col min="13067" max="13070" width="8.54296875" style="213" customWidth="1"/>
    <col min="13071" max="13071" width="16" style="213" customWidth="1"/>
    <col min="13072" max="13072" width="0" style="213" hidden="1" customWidth="1"/>
    <col min="13073" max="13073" width="15.453125" style="213" customWidth="1"/>
    <col min="13074" max="13074" width="14.453125" style="213" customWidth="1"/>
    <col min="13075" max="13313" width="9.453125" style="213"/>
    <col min="13314" max="13314" width="65.453125" style="213" bestFit="1" customWidth="1"/>
    <col min="13315" max="13315" width="12.453125" style="213" customWidth="1"/>
    <col min="13316" max="13316" width="11.54296875" style="213" bestFit="1" customWidth="1"/>
    <col min="13317" max="13317" width="12.54296875" style="213" bestFit="1" customWidth="1"/>
    <col min="13318" max="13318" width="13.453125" style="213" bestFit="1" customWidth="1"/>
    <col min="13319" max="13319" width="13.54296875" style="213" customWidth="1"/>
    <col min="13320" max="13320" width="13.453125" style="213" customWidth="1"/>
    <col min="13321" max="13321" width="13.453125" style="213" bestFit="1" customWidth="1"/>
    <col min="13322" max="13322" width="14.54296875" style="213" customWidth="1"/>
    <col min="13323" max="13326" width="8.54296875" style="213" customWidth="1"/>
    <col min="13327" max="13327" width="16" style="213" customWidth="1"/>
    <col min="13328" max="13328" width="0" style="213" hidden="1" customWidth="1"/>
    <col min="13329" max="13329" width="15.453125" style="213" customWidth="1"/>
    <col min="13330" max="13330" width="14.453125" style="213" customWidth="1"/>
    <col min="13331" max="13569" width="9.453125" style="213"/>
    <col min="13570" max="13570" width="65.453125" style="213" bestFit="1" customWidth="1"/>
    <col min="13571" max="13571" width="12.453125" style="213" customWidth="1"/>
    <col min="13572" max="13572" width="11.54296875" style="213" bestFit="1" customWidth="1"/>
    <col min="13573" max="13573" width="12.54296875" style="213" bestFit="1" customWidth="1"/>
    <col min="13574" max="13574" width="13.453125" style="213" bestFit="1" customWidth="1"/>
    <col min="13575" max="13575" width="13.54296875" style="213" customWidth="1"/>
    <col min="13576" max="13576" width="13.453125" style="213" customWidth="1"/>
    <col min="13577" max="13577" width="13.453125" style="213" bestFit="1" customWidth="1"/>
    <col min="13578" max="13578" width="14.54296875" style="213" customWidth="1"/>
    <col min="13579" max="13582" width="8.54296875" style="213" customWidth="1"/>
    <col min="13583" max="13583" width="16" style="213" customWidth="1"/>
    <col min="13584" max="13584" width="0" style="213" hidden="1" customWidth="1"/>
    <col min="13585" max="13585" width="15.453125" style="213" customWidth="1"/>
    <col min="13586" max="13586" width="14.453125" style="213" customWidth="1"/>
    <col min="13587" max="13825" width="9.453125" style="213"/>
    <col min="13826" max="13826" width="65.453125" style="213" bestFit="1" customWidth="1"/>
    <col min="13827" max="13827" width="12.453125" style="213" customWidth="1"/>
    <col min="13828" max="13828" width="11.54296875" style="213" bestFit="1" customWidth="1"/>
    <col min="13829" max="13829" width="12.54296875" style="213" bestFit="1" customWidth="1"/>
    <col min="13830" max="13830" width="13.453125" style="213" bestFit="1" customWidth="1"/>
    <col min="13831" max="13831" width="13.54296875" style="213" customWidth="1"/>
    <col min="13832" max="13832" width="13.453125" style="213" customWidth="1"/>
    <col min="13833" max="13833" width="13.453125" style="213" bestFit="1" customWidth="1"/>
    <col min="13834" max="13834" width="14.54296875" style="213" customWidth="1"/>
    <col min="13835" max="13838" width="8.54296875" style="213" customWidth="1"/>
    <col min="13839" max="13839" width="16" style="213" customWidth="1"/>
    <col min="13840" max="13840" width="0" style="213" hidden="1" customWidth="1"/>
    <col min="13841" max="13841" width="15.453125" style="213" customWidth="1"/>
    <col min="13842" max="13842" width="14.453125" style="213" customWidth="1"/>
    <col min="13843" max="14081" width="9.453125" style="213"/>
    <col min="14082" max="14082" width="65.453125" style="213" bestFit="1" customWidth="1"/>
    <col min="14083" max="14083" width="12.453125" style="213" customWidth="1"/>
    <col min="14084" max="14084" width="11.54296875" style="213" bestFit="1" customWidth="1"/>
    <col min="14085" max="14085" width="12.54296875" style="213" bestFit="1" customWidth="1"/>
    <col min="14086" max="14086" width="13.453125" style="213" bestFit="1" customWidth="1"/>
    <col min="14087" max="14087" width="13.54296875" style="213" customWidth="1"/>
    <col min="14088" max="14088" width="13.453125" style="213" customWidth="1"/>
    <col min="14089" max="14089" width="13.453125" style="213" bestFit="1" customWidth="1"/>
    <col min="14090" max="14090" width="14.54296875" style="213" customWidth="1"/>
    <col min="14091" max="14094" width="8.54296875" style="213" customWidth="1"/>
    <col min="14095" max="14095" width="16" style="213" customWidth="1"/>
    <col min="14096" max="14096" width="0" style="213" hidden="1" customWidth="1"/>
    <col min="14097" max="14097" width="15.453125" style="213" customWidth="1"/>
    <col min="14098" max="14098" width="14.453125" style="213" customWidth="1"/>
    <col min="14099" max="14337" width="9.453125" style="213"/>
    <col min="14338" max="14338" width="65.453125" style="213" bestFit="1" customWidth="1"/>
    <col min="14339" max="14339" width="12.453125" style="213" customWidth="1"/>
    <col min="14340" max="14340" width="11.54296875" style="213" bestFit="1" customWidth="1"/>
    <col min="14341" max="14341" width="12.54296875" style="213" bestFit="1" customWidth="1"/>
    <col min="14342" max="14342" width="13.453125" style="213" bestFit="1" customWidth="1"/>
    <col min="14343" max="14343" width="13.54296875" style="213" customWidth="1"/>
    <col min="14344" max="14344" width="13.453125" style="213" customWidth="1"/>
    <col min="14345" max="14345" width="13.453125" style="213" bestFit="1" customWidth="1"/>
    <col min="14346" max="14346" width="14.54296875" style="213" customWidth="1"/>
    <col min="14347" max="14350" width="8.54296875" style="213" customWidth="1"/>
    <col min="14351" max="14351" width="16" style="213" customWidth="1"/>
    <col min="14352" max="14352" width="0" style="213" hidden="1" customWidth="1"/>
    <col min="14353" max="14353" width="15.453125" style="213" customWidth="1"/>
    <col min="14354" max="14354" width="14.453125" style="213" customWidth="1"/>
    <col min="14355" max="14593" width="9.453125" style="213"/>
    <col min="14594" max="14594" width="65.453125" style="213" bestFit="1" customWidth="1"/>
    <col min="14595" max="14595" width="12.453125" style="213" customWidth="1"/>
    <col min="14596" max="14596" width="11.54296875" style="213" bestFit="1" customWidth="1"/>
    <col min="14597" max="14597" width="12.54296875" style="213" bestFit="1" customWidth="1"/>
    <col min="14598" max="14598" width="13.453125" style="213" bestFit="1" customWidth="1"/>
    <col min="14599" max="14599" width="13.54296875" style="213" customWidth="1"/>
    <col min="14600" max="14600" width="13.453125" style="213" customWidth="1"/>
    <col min="14601" max="14601" width="13.453125" style="213" bestFit="1" customWidth="1"/>
    <col min="14602" max="14602" width="14.54296875" style="213" customWidth="1"/>
    <col min="14603" max="14606" width="8.54296875" style="213" customWidth="1"/>
    <col min="14607" max="14607" width="16" style="213" customWidth="1"/>
    <col min="14608" max="14608" width="0" style="213" hidden="1" customWidth="1"/>
    <col min="14609" max="14609" width="15.453125" style="213" customWidth="1"/>
    <col min="14610" max="14610" width="14.453125" style="213" customWidth="1"/>
    <col min="14611" max="14849" width="9.453125" style="213"/>
    <col min="14850" max="14850" width="65.453125" style="213" bestFit="1" customWidth="1"/>
    <col min="14851" max="14851" width="12.453125" style="213" customWidth="1"/>
    <col min="14852" max="14852" width="11.54296875" style="213" bestFit="1" customWidth="1"/>
    <col min="14853" max="14853" width="12.54296875" style="213" bestFit="1" customWidth="1"/>
    <col min="14854" max="14854" width="13.453125" style="213" bestFit="1" customWidth="1"/>
    <col min="14855" max="14855" width="13.54296875" style="213" customWidth="1"/>
    <col min="14856" max="14856" width="13.453125" style="213" customWidth="1"/>
    <col min="14857" max="14857" width="13.453125" style="213" bestFit="1" customWidth="1"/>
    <col min="14858" max="14858" width="14.54296875" style="213" customWidth="1"/>
    <col min="14859" max="14862" width="8.54296875" style="213" customWidth="1"/>
    <col min="14863" max="14863" width="16" style="213" customWidth="1"/>
    <col min="14864" max="14864" width="0" style="213" hidden="1" customWidth="1"/>
    <col min="14865" max="14865" width="15.453125" style="213" customWidth="1"/>
    <col min="14866" max="14866" width="14.453125" style="213" customWidth="1"/>
    <col min="14867" max="15105" width="9.453125" style="213"/>
    <col min="15106" max="15106" width="65.453125" style="213" bestFit="1" customWidth="1"/>
    <col min="15107" max="15107" width="12.453125" style="213" customWidth="1"/>
    <col min="15108" max="15108" width="11.54296875" style="213" bestFit="1" customWidth="1"/>
    <col min="15109" max="15109" width="12.54296875" style="213" bestFit="1" customWidth="1"/>
    <col min="15110" max="15110" width="13.453125" style="213" bestFit="1" customWidth="1"/>
    <col min="15111" max="15111" width="13.54296875" style="213" customWidth="1"/>
    <col min="15112" max="15112" width="13.453125" style="213" customWidth="1"/>
    <col min="15113" max="15113" width="13.453125" style="213" bestFit="1" customWidth="1"/>
    <col min="15114" max="15114" width="14.54296875" style="213" customWidth="1"/>
    <col min="15115" max="15118" width="8.54296875" style="213" customWidth="1"/>
    <col min="15119" max="15119" width="16" style="213" customWidth="1"/>
    <col min="15120" max="15120" width="0" style="213" hidden="1" customWidth="1"/>
    <col min="15121" max="15121" width="15.453125" style="213" customWidth="1"/>
    <col min="15122" max="15122" width="14.453125" style="213" customWidth="1"/>
    <col min="15123" max="15361" width="9.453125" style="213"/>
    <col min="15362" max="15362" width="65.453125" style="213" bestFit="1" customWidth="1"/>
    <col min="15363" max="15363" width="12.453125" style="213" customWidth="1"/>
    <col min="15364" max="15364" width="11.54296875" style="213" bestFit="1" customWidth="1"/>
    <col min="15365" max="15365" width="12.54296875" style="213" bestFit="1" customWidth="1"/>
    <col min="15366" max="15366" width="13.453125" style="213" bestFit="1" customWidth="1"/>
    <col min="15367" max="15367" width="13.54296875" style="213" customWidth="1"/>
    <col min="15368" max="15368" width="13.453125" style="213" customWidth="1"/>
    <col min="15369" max="15369" width="13.453125" style="213" bestFit="1" customWidth="1"/>
    <col min="15370" max="15370" width="14.54296875" style="213" customWidth="1"/>
    <col min="15371" max="15374" width="8.54296875" style="213" customWidth="1"/>
    <col min="15375" max="15375" width="16" style="213" customWidth="1"/>
    <col min="15376" max="15376" width="0" style="213" hidden="1" customWidth="1"/>
    <col min="15377" max="15377" width="15.453125" style="213" customWidth="1"/>
    <col min="15378" max="15378" width="14.453125" style="213" customWidth="1"/>
    <col min="15379" max="15617" width="9.453125" style="213"/>
    <col min="15618" max="15618" width="65.453125" style="213" bestFit="1" customWidth="1"/>
    <col min="15619" max="15619" width="12.453125" style="213" customWidth="1"/>
    <col min="15620" max="15620" width="11.54296875" style="213" bestFit="1" customWidth="1"/>
    <col min="15621" max="15621" width="12.54296875" style="213" bestFit="1" customWidth="1"/>
    <col min="15622" max="15622" width="13.453125" style="213" bestFit="1" customWidth="1"/>
    <col min="15623" max="15623" width="13.54296875" style="213" customWidth="1"/>
    <col min="15624" max="15624" width="13.453125" style="213" customWidth="1"/>
    <col min="15625" max="15625" width="13.453125" style="213" bestFit="1" customWidth="1"/>
    <col min="15626" max="15626" width="14.54296875" style="213" customWidth="1"/>
    <col min="15627" max="15630" width="8.54296875" style="213" customWidth="1"/>
    <col min="15631" max="15631" width="16" style="213" customWidth="1"/>
    <col min="15632" max="15632" width="0" style="213" hidden="1" customWidth="1"/>
    <col min="15633" max="15633" width="15.453125" style="213" customWidth="1"/>
    <col min="15634" max="15634" width="14.453125" style="213" customWidth="1"/>
    <col min="15635" max="15873" width="9.453125" style="213"/>
    <col min="15874" max="15874" width="65.453125" style="213" bestFit="1" customWidth="1"/>
    <col min="15875" max="15875" width="12.453125" style="213" customWidth="1"/>
    <col min="15876" max="15876" width="11.54296875" style="213" bestFit="1" customWidth="1"/>
    <col min="15877" max="15877" width="12.54296875" style="213" bestFit="1" customWidth="1"/>
    <col min="15878" max="15878" width="13.453125" style="213" bestFit="1" customWidth="1"/>
    <col min="15879" max="15879" width="13.54296875" style="213" customWidth="1"/>
    <col min="15880" max="15880" width="13.453125" style="213" customWidth="1"/>
    <col min="15881" max="15881" width="13.453125" style="213" bestFit="1" customWidth="1"/>
    <col min="15882" max="15882" width="14.54296875" style="213" customWidth="1"/>
    <col min="15883" max="15886" width="8.54296875" style="213" customWidth="1"/>
    <col min="15887" max="15887" width="16" style="213" customWidth="1"/>
    <col min="15888" max="15888" width="0" style="213" hidden="1" customWidth="1"/>
    <col min="15889" max="15889" width="15.453125" style="213" customWidth="1"/>
    <col min="15890" max="15890" width="14.453125" style="213" customWidth="1"/>
    <col min="15891" max="16129" width="9.453125" style="213"/>
    <col min="16130" max="16130" width="65.453125" style="213" bestFit="1" customWidth="1"/>
    <col min="16131" max="16131" width="12.453125" style="213" customWidth="1"/>
    <col min="16132" max="16132" width="11.54296875" style="213" bestFit="1" customWidth="1"/>
    <col min="16133" max="16133" width="12.54296875" style="213" bestFit="1" customWidth="1"/>
    <col min="16134" max="16134" width="13.453125" style="213" bestFit="1" customWidth="1"/>
    <col min="16135" max="16135" width="13.54296875" style="213" customWidth="1"/>
    <col min="16136" max="16136" width="13.453125" style="213" customWidth="1"/>
    <col min="16137" max="16137" width="13.453125" style="213" bestFit="1" customWidth="1"/>
    <col min="16138" max="16138" width="14.54296875" style="213" customWidth="1"/>
    <col min="16139" max="16142" width="8.54296875" style="213" customWidth="1"/>
    <col min="16143" max="16143" width="16" style="213" customWidth="1"/>
    <col min="16144" max="16144" width="0" style="213" hidden="1" customWidth="1"/>
    <col min="16145" max="16145" width="15.453125" style="213" customWidth="1"/>
    <col min="16146" max="16146" width="14.453125" style="213" customWidth="1"/>
    <col min="16147" max="16384" width="9.453125" style="213"/>
  </cols>
  <sheetData>
    <row r="1" spans="1:18" s="196" customFormat="1" ht="18" customHeight="1" thickBot="1" x14ac:dyDescent="0.4">
      <c r="A1" s="265" t="s">
        <v>173</v>
      </c>
      <c r="B1" s="204" t="s">
        <v>134</v>
      </c>
      <c r="C1" s="193"/>
      <c r="D1" s="193"/>
      <c r="E1" s="193"/>
      <c r="F1" s="193"/>
      <c r="G1" s="193"/>
      <c r="H1" s="193"/>
      <c r="I1" s="193"/>
      <c r="J1" s="193"/>
      <c r="K1" s="193"/>
      <c r="L1" s="193"/>
      <c r="M1" s="193"/>
      <c r="N1" s="194"/>
      <c r="O1" s="700" t="s">
        <v>208</v>
      </c>
      <c r="P1" s="195"/>
      <c r="Q1" s="702" t="s">
        <v>135</v>
      </c>
      <c r="R1" s="702" t="s">
        <v>136</v>
      </c>
    </row>
    <row r="2" spans="1:18" s="196" customFormat="1" ht="52" x14ac:dyDescent="0.3">
      <c r="A2" s="302"/>
      <c r="B2" s="301" t="s">
        <v>197</v>
      </c>
      <c r="C2" s="197" t="s">
        <v>6</v>
      </c>
      <c r="D2" s="197" t="s">
        <v>7</v>
      </c>
      <c r="E2" s="197" t="s">
        <v>8</v>
      </c>
      <c r="F2" s="197" t="s">
        <v>9</v>
      </c>
      <c r="G2" s="197" t="s">
        <v>10</v>
      </c>
      <c r="H2" s="197" t="s">
        <v>11</v>
      </c>
      <c r="I2" s="197" t="s">
        <v>12</v>
      </c>
      <c r="J2" s="197" t="s">
        <v>36</v>
      </c>
      <c r="K2" s="197" t="s">
        <v>37</v>
      </c>
      <c r="L2" s="197" t="s">
        <v>15</v>
      </c>
      <c r="M2" s="197" t="s">
        <v>38</v>
      </c>
      <c r="N2" s="198" t="s">
        <v>17</v>
      </c>
      <c r="O2" s="701"/>
      <c r="P2" s="199" t="s">
        <v>137</v>
      </c>
      <c r="Q2" s="703"/>
      <c r="R2" s="703"/>
    </row>
    <row r="3" spans="1:18" s="202" customFormat="1" ht="15.75" x14ac:dyDescent="0.25">
      <c r="A3" s="227" t="s">
        <v>171</v>
      </c>
      <c r="B3" s="304"/>
      <c r="C3" s="300"/>
      <c r="D3" s="200"/>
      <c r="E3" s="200"/>
      <c r="F3" s="200"/>
      <c r="G3" s="200"/>
      <c r="H3" s="200"/>
      <c r="I3" s="200"/>
      <c r="J3" s="200"/>
      <c r="K3" s="200"/>
      <c r="L3" s="200"/>
      <c r="M3" s="200"/>
      <c r="N3" s="200"/>
      <c r="O3" s="201"/>
      <c r="P3" s="201"/>
      <c r="Q3" s="201"/>
      <c r="R3" s="228"/>
    </row>
    <row r="4" spans="1:18" s="196" customFormat="1" ht="12.75" x14ac:dyDescent="0.2">
      <c r="A4" s="229" t="s">
        <v>138</v>
      </c>
      <c r="B4" s="305">
        <v>0</v>
      </c>
      <c r="C4" s="230">
        <v>0</v>
      </c>
      <c r="D4" s="230">
        <v>0</v>
      </c>
      <c r="E4" s="230">
        <v>0</v>
      </c>
      <c r="F4" s="230">
        <v>0</v>
      </c>
      <c r="G4" s="230">
        <v>0</v>
      </c>
      <c r="H4" s="230">
        <v>0</v>
      </c>
      <c r="I4" s="230">
        <v>0</v>
      </c>
      <c r="J4" s="218"/>
      <c r="K4" s="218"/>
      <c r="L4" s="218"/>
      <c r="M4" s="218"/>
      <c r="N4" s="218"/>
      <c r="O4" s="230">
        <f>SUM(C4:N4)</f>
        <v>0</v>
      </c>
      <c r="P4" s="203" t="e">
        <f>#REF!+O4</f>
        <v>#REF!</v>
      </c>
      <c r="Q4" s="224">
        <f>O4+B4</f>
        <v>0</v>
      </c>
      <c r="R4" s="231"/>
    </row>
    <row r="5" spans="1:18" s="196" customFormat="1" ht="12.75" x14ac:dyDescent="0.2">
      <c r="A5" s="229" t="s">
        <v>139</v>
      </c>
      <c r="B5" s="305">
        <v>3360000</v>
      </c>
      <c r="C5" s="230">
        <v>0</v>
      </c>
      <c r="D5" s="230">
        <v>0</v>
      </c>
      <c r="E5" s="386">
        <v>140000</v>
      </c>
      <c r="F5" s="230">
        <v>0</v>
      </c>
      <c r="G5" s="230">
        <v>0</v>
      </c>
      <c r="H5" s="386">
        <v>-140000</v>
      </c>
      <c r="I5" s="230">
        <v>0</v>
      </c>
      <c r="J5" s="218"/>
      <c r="K5" s="230"/>
      <c r="L5" s="230"/>
      <c r="M5" s="230"/>
      <c r="N5" s="218"/>
      <c r="O5" s="218">
        <f>SUM(C5:N5)</f>
        <v>0</v>
      </c>
      <c r="P5" s="203"/>
      <c r="Q5" s="224">
        <f>O5+B5</f>
        <v>3360000</v>
      </c>
      <c r="R5" s="231"/>
    </row>
    <row r="6" spans="1:18" s="196" customFormat="1" ht="15.75" x14ac:dyDescent="0.25">
      <c r="A6" s="204" t="s">
        <v>140</v>
      </c>
      <c r="B6" s="306"/>
      <c r="C6" s="259">
        <f t="shared" ref="C6:I6" si="0">SUM(C4:C5)</f>
        <v>0</v>
      </c>
      <c r="D6" s="259">
        <f t="shared" si="0"/>
        <v>0</v>
      </c>
      <c r="E6" s="259">
        <f t="shared" si="0"/>
        <v>140000</v>
      </c>
      <c r="F6" s="259">
        <f t="shared" si="0"/>
        <v>0</v>
      </c>
      <c r="G6" s="259">
        <f t="shared" si="0"/>
        <v>0</v>
      </c>
      <c r="H6" s="259">
        <f t="shared" si="0"/>
        <v>-140000</v>
      </c>
      <c r="I6" s="259">
        <f t="shared" si="0"/>
        <v>0</v>
      </c>
      <c r="J6" s="259">
        <f t="shared" ref="J6:Q6" si="1">SUM(J4:J5)</f>
        <v>0</v>
      </c>
      <c r="K6" s="259">
        <f t="shared" si="1"/>
        <v>0</v>
      </c>
      <c r="L6" s="259">
        <f t="shared" si="1"/>
        <v>0</v>
      </c>
      <c r="M6" s="259">
        <f t="shared" si="1"/>
        <v>0</v>
      </c>
      <c r="N6" s="259">
        <f t="shared" si="1"/>
        <v>0</v>
      </c>
      <c r="O6" s="327">
        <f t="shared" si="1"/>
        <v>0</v>
      </c>
      <c r="P6" s="259" t="e">
        <f t="shared" si="1"/>
        <v>#REF!</v>
      </c>
      <c r="Q6" s="259">
        <f t="shared" si="1"/>
        <v>3360000</v>
      </c>
      <c r="R6" s="262">
        <v>3500000</v>
      </c>
    </row>
    <row r="7" spans="1:18" s="196" customFormat="1" ht="8.25" customHeight="1" x14ac:dyDescent="0.2">
      <c r="A7" s="232"/>
      <c r="B7" s="321"/>
      <c r="C7" s="322"/>
      <c r="D7" s="205"/>
      <c r="E7" s="205"/>
      <c r="F7" s="205"/>
      <c r="G7" s="205"/>
      <c r="H7" s="205"/>
      <c r="I7" s="205"/>
      <c r="J7" s="205"/>
      <c r="K7" s="205"/>
      <c r="L7" s="205"/>
      <c r="M7" s="205"/>
      <c r="N7" s="205"/>
      <c r="O7" s="326"/>
      <c r="P7" s="203"/>
      <c r="Q7" s="203"/>
      <c r="R7" s="231"/>
    </row>
    <row r="8" spans="1:18" s="196" customFormat="1" ht="15.75" x14ac:dyDescent="0.25">
      <c r="A8" s="233" t="s">
        <v>170</v>
      </c>
      <c r="B8" s="319"/>
      <c r="C8" s="320"/>
      <c r="D8" s="205"/>
      <c r="E8" s="205"/>
      <c r="F8" s="205"/>
      <c r="G8" s="205"/>
      <c r="H8" s="205"/>
      <c r="I8" s="205"/>
      <c r="J8" s="205"/>
      <c r="K8" s="205"/>
      <c r="L8" s="205"/>
      <c r="M8" s="202"/>
      <c r="N8" s="202"/>
      <c r="O8" s="326"/>
      <c r="P8" s="203"/>
      <c r="Q8" s="203"/>
      <c r="R8" s="231"/>
    </row>
    <row r="9" spans="1:18" s="196" customFormat="1" ht="12.75" x14ac:dyDescent="0.2">
      <c r="A9" s="234" t="s">
        <v>141</v>
      </c>
      <c r="B9" s="307"/>
      <c r="C9" s="206"/>
      <c r="D9" s="206"/>
      <c r="E9" s="206"/>
      <c r="F9" s="206"/>
      <c r="G9" s="206"/>
      <c r="H9" s="206"/>
      <c r="I9" s="206"/>
      <c r="J9" s="206"/>
      <c r="K9" s="206"/>
      <c r="L9" s="206"/>
      <c r="M9" s="206"/>
      <c r="N9" s="206"/>
      <c r="O9" s="328"/>
      <c r="P9" s="207"/>
      <c r="Q9" s="207"/>
      <c r="R9" s="235"/>
    </row>
    <row r="10" spans="1:18" s="196" customFormat="1" ht="12.75" x14ac:dyDescent="0.2">
      <c r="A10" s="236"/>
      <c r="B10" s="321"/>
      <c r="C10" s="322"/>
      <c r="D10" s="202"/>
      <c r="E10" s="202"/>
      <c r="F10" s="202"/>
      <c r="G10" s="202"/>
      <c r="H10" s="202"/>
      <c r="I10" s="202"/>
      <c r="J10" s="202"/>
      <c r="K10" s="202"/>
      <c r="L10" s="202"/>
      <c r="M10" s="202"/>
      <c r="N10" s="202"/>
      <c r="O10" s="326"/>
      <c r="P10" s="203"/>
      <c r="Q10" s="203"/>
      <c r="R10" s="231"/>
    </row>
    <row r="11" spans="1:18" s="196" customFormat="1" ht="12.75" x14ac:dyDescent="0.2">
      <c r="A11" s="237" t="s">
        <v>142</v>
      </c>
      <c r="B11" s="308"/>
      <c r="C11" s="320"/>
      <c r="D11" s="208"/>
      <c r="E11" s="208"/>
      <c r="F11" s="208"/>
      <c r="G11" s="208"/>
      <c r="H11" s="208"/>
      <c r="I11" s="208"/>
      <c r="J11" s="208"/>
      <c r="K11" s="208"/>
      <c r="L11" s="208"/>
      <c r="M11" s="270"/>
      <c r="N11" s="270"/>
      <c r="O11" s="325"/>
      <c r="P11" s="209"/>
      <c r="Q11" s="209"/>
      <c r="R11" s="221"/>
    </row>
    <row r="12" spans="1:18" s="196" customFormat="1" ht="15" x14ac:dyDescent="0.3">
      <c r="A12" s="229" t="s">
        <v>179</v>
      </c>
      <c r="B12" s="305">
        <v>392281.02999999991</v>
      </c>
      <c r="C12" s="224">
        <v>8635.4500000000007</v>
      </c>
      <c r="D12" s="218">
        <v>-40882.42</v>
      </c>
      <c r="E12" s="218">
        <v>-1870.7199999999996</v>
      </c>
      <c r="F12" s="218">
        <v>3173.17</v>
      </c>
      <c r="G12" s="218">
        <v>7296.91</v>
      </c>
      <c r="H12" s="218">
        <v>-1684.51</v>
      </c>
      <c r="I12" s="224">
        <v>1672.98</v>
      </c>
      <c r="J12" s="224"/>
      <c r="K12" s="224"/>
      <c r="L12" s="224"/>
      <c r="M12" s="224"/>
      <c r="N12" s="224"/>
      <c r="O12" s="218">
        <f t="shared" ref="O12:O17" si="2">SUM(C12:N12)</f>
        <v>-23659.139999999996</v>
      </c>
      <c r="P12" s="203"/>
      <c r="Q12" s="224">
        <f t="shared" ref="Q12:Q13" si="3">O12+B12</f>
        <v>368621.8899999999</v>
      </c>
      <c r="R12" s="260">
        <v>438500</v>
      </c>
    </row>
    <row r="13" spans="1:18" s="196" customFormat="1" x14ac:dyDescent="0.3">
      <c r="A13" s="229" t="s">
        <v>143</v>
      </c>
      <c r="B13" s="305">
        <v>0</v>
      </c>
      <c r="C13" s="230">
        <v>0</v>
      </c>
      <c r="D13" s="230">
        <v>0</v>
      </c>
      <c r="E13" s="386">
        <v>0</v>
      </c>
      <c r="F13" s="386">
        <v>0</v>
      </c>
      <c r="G13" s="218">
        <v>0</v>
      </c>
      <c r="H13" s="218">
        <v>0</v>
      </c>
      <c r="I13" s="230">
        <v>0</v>
      </c>
      <c r="J13" s="230"/>
      <c r="K13" s="230"/>
      <c r="L13" s="230"/>
      <c r="M13" s="230"/>
      <c r="N13" s="230"/>
      <c r="O13" s="218">
        <f t="shared" si="2"/>
        <v>0</v>
      </c>
      <c r="P13" s="203"/>
      <c r="Q13" s="224">
        <f t="shared" si="3"/>
        <v>0</v>
      </c>
      <c r="R13" s="704"/>
    </row>
    <row r="14" spans="1:18" s="196" customFormat="1" x14ac:dyDescent="0.3">
      <c r="A14" s="238" t="s">
        <v>144</v>
      </c>
      <c r="B14" s="332" t="s">
        <v>21</v>
      </c>
      <c r="C14" s="332" t="s">
        <v>21</v>
      </c>
      <c r="D14" s="253" t="s">
        <v>21</v>
      </c>
      <c r="E14" s="253" t="s">
        <v>21</v>
      </c>
      <c r="F14" s="253" t="s">
        <v>21</v>
      </c>
      <c r="G14" s="253" t="s">
        <v>21</v>
      </c>
      <c r="H14" s="253" t="s">
        <v>21</v>
      </c>
      <c r="I14" s="253" t="s">
        <v>21</v>
      </c>
      <c r="J14" s="253" t="s">
        <v>21</v>
      </c>
      <c r="K14" s="253" t="s">
        <v>21</v>
      </c>
      <c r="L14" s="253" t="s">
        <v>21</v>
      </c>
      <c r="M14" s="269" t="s">
        <v>21</v>
      </c>
      <c r="N14" s="253" t="s">
        <v>21</v>
      </c>
      <c r="O14" s="329" t="s">
        <v>21</v>
      </c>
      <c r="P14" s="253" t="s">
        <v>21</v>
      </c>
      <c r="Q14" s="253" t="s">
        <v>21</v>
      </c>
      <c r="R14" s="705"/>
    </row>
    <row r="15" spans="1:18" s="196" customFormat="1" x14ac:dyDescent="0.3">
      <c r="A15" s="238" t="s">
        <v>234</v>
      </c>
      <c r="B15" s="305">
        <v>232908.43200000003</v>
      </c>
      <c r="C15" s="218">
        <v>53315.130000000187</v>
      </c>
      <c r="D15" s="218">
        <v>31363.440000000133</v>
      </c>
      <c r="E15" s="218">
        <v>31645.715000000051</v>
      </c>
      <c r="F15" s="218">
        <v>30183.020000000044</v>
      </c>
      <c r="G15" s="218">
        <v>28804.25</v>
      </c>
      <c r="H15" s="218">
        <v>28765.300000000083</v>
      </c>
      <c r="I15" s="218">
        <v>43944.03500000004</v>
      </c>
      <c r="J15" s="218"/>
      <c r="K15" s="218"/>
      <c r="L15" s="218"/>
      <c r="M15" s="218"/>
      <c r="N15" s="218"/>
      <c r="O15" s="218">
        <f t="shared" si="2"/>
        <v>248020.89000000054</v>
      </c>
      <c r="P15" s="203"/>
      <c r="Q15" s="224">
        <f>O15+B15</f>
        <v>480929.32200000057</v>
      </c>
      <c r="R15" s="705"/>
    </row>
    <row r="16" spans="1:18" s="196" customFormat="1" x14ac:dyDescent="0.3">
      <c r="A16" s="238" t="s">
        <v>145</v>
      </c>
      <c r="B16" s="332" t="s">
        <v>21</v>
      </c>
      <c r="C16" s="332" t="s">
        <v>21</v>
      </c>
      <c r="D16" s="253" t="s">
        <v>21</v>
      </c>
      <c r="E16" s="253" t="s">
        <v>21</v>
      </c>
      <c r="F16" s="253" t="s">
        <v>21</v>
      </c>
      <c r="G16" s="253" t="s">
        <v>21</v>
      </c>
      <c r="H16" s="253" t="s">
        <v>21</v>
      </c>
      <c r="I16" s="253" t="s">
        <v>21</v>
      </c>
      <c r="J16" s="253" t="s">
        <v>21</v>
      </c>
      <c r="K16" s="253" t="s">
        <v>21</v>
      </c>
      <c r="L16" s="253" t="s">
        <v>21</v>
      </c>
      <c r="M16" s="269" t="s">
        <v>21</v>
      </c>
      <c r="N16" s="253" t="s">
        <v>21</v>
      </c>
      <c r="O16" s="329" t="s">
        <v>21</v>
      </c>
      <c r="P16" s="253" t="s">
        <v>21</v>
      </c>
      <c r="Q16" s="253" t="s">
        <v>21</v>
      </c>
      <c r="R16" s="705"/>
    </row>
    <row r="17" spans="1:18" s="196" customFormat="1" x14ac:dyDescent="0.3">
      <c r="A17" s="238" t="s">
        <v>120</v>
      </c>
      <c r="B17" s="305">
        <v>116454.21600000001</v>
      </c>
      <c r="C17" s="218">
        <v>21326.052000000076</v>
      </c>
      <c r="D17" s="218">
        <v>12545.376000000055</v>
      </c>
      <c r="E17" s="218">
        <v>12658.28600000002</v>
      </c>
      <c r="F17" s="218">
        <v>12073.208000000019</v>
      </c>
      <c r="G17" s="218">
        <v>11521.7</v>
      </c>
      <c r="H17" s="218">
        <v>11506.120000000034</v>
      </c>
      <c r="I17" s="218">
        <v>17577.61400000002</v>
      </c>
      <c r="J17" s="218"/>
      <c r="K17" s="218"/>
      <c r="L17" s="218"/>
      <c r="M17" s="218"/>
      <c r="N17" s="218"/>
      <c r="O17" s="218">
        <f t="shared" si="2"/>
        <v>99208.356000000233</v>
      </c>
      <c r="P17" s="203"/>
      <c r="Q17" s="224">
        <f>O17+B17</f>
        <v>215662.57200000025</v>
      </c>
      <c r="R17" s="705"/>
    </row>
    <row r="18" spans="1:18" s="196" customFormat="1" x14ac:dyDescent="0.3">
      <c r="A18" s="238" t="s">
        <v>146</v>
      </c>
      <c r="B18" s="332" t="s">
        <v>21</v>
      </c>
      <c r="C18" s="332" t="s">
        <v>21</v>
      </c>
      <c r="D18" s="253" t="s">
        <v>21</v>
      </c>
      <c r="E18" s="253" t="s">
        <v>21</v>
      </c>
      <c r="F18" s="253" t="s">
        <v>21</v>
      </c>
      <c r="G18" s="253" t="s">
        <v>21</v>
      </c>
      <c r="H18" s="253" t="s">
        <v>21</v>
      </c>
      <c r="I18" s="253" t="s">
        <v>21</v>
      </c>
      <c r="J18" s="253" t="s">
        <v>21</v>
      </c>
      <c r="K18" s="253" t="s">
        <v>21</v>
      </c>
      <c r="L18" s="253" t="s">
        <v>21</v>
      </c>
      <c r="M18" s="269" t="s">
        <v>21</v>
      </c>
      <c r="N18" s="253" t="s">
        <v>21</v>
      </c>
      <c r="O18" s="329" t="s">
        <v>21</v>
      </c>
      <c r="P18" s="253" t="s">
        <v>21</v>
      </c>
      <c r="Q18" s="253" t="s">
        <v>21</v>
      </c>
      <c r="R18" s="705"/>
    </row>
    <row r="19" spans="1:18" s="196" customFormat="1" x14ac:dyDescent="0.3">
      <c r="A19" s="238" t="s">
        <v>147</v>
      </c>
      <c r="B19" s="332" t="s">
        <v>21</v>
      </c>
      <c r="C19" s="332" t="s">
        <v>21</v>
      </c>
      <c r="D19" s="253" t="s">
        <v>21</v>
      </c>
      <c r="E19" s="253" t="s">
        <v>21</v>
      </c>
      <c r="F19" s="253" t="s">
        <v>21</v>
      </c>
      <c r="G19" s="253" t="s">
        <v>21</v>
      </c>
      <c r="H19" s="253" t="s">
        <v>21</v>
      </c>
      <c r="I19" s="253" t="s">
        <v>21</v>
      </c>
      <c r="J19" s="253" t="s">
        <v>21</v>
      </c>
      <c r="K19" s="253" t="s">
        <v>21</v>
      </c>
      <c r="L19" s="253" t="s">
        <v>21</v>
      </c>
      <c r="M19" s="269" t="s">
        <v>21</v>
      </c>
      <c r="N19" s="253" t="s">
        <v>21</v>
      </c>
      <c r="O19" s="329" t="s">
        <v>21</v>
      </c>
      <c r="P19" s="253" t="s">
        <v>21</v>
      </c>
      <c r="Q19" s="253" t="s">
        <v>21</v>
      </c>
      <c r="R19" s="705"/>
    </row>
    <row r="20" spans="1:18" s="196" customFormat="1" x14ac:dyDescent="0.3">
      <c r="A20" s="238" t="s">
        <v>233</v>
      </c>
      <c r="B20" s="305">
        <v>349362.64800000004</v>
      </c>
      <c r="C20" s="218">
        <v>31989.07800000011</v>
      </c>
      <c r="D20" s="218">
        <v>18818.064000000079</v>
      </c>
      <c r="E20" s="218">
        <v>18987.429000000033</v>
      </c>
      <c r="F20" s="218">
        <v>18109.812000000027</v>
      </c>
      <c r="G20" s="218">
        <v>17282.55</v>
      </c>
      <c r="H20" s="218">
        <v>17259.180000000048</v>
      </c>
      <c r="I20" s="218">
        <v>26366.421000000024</v>
      </c>
      <c r="J20" s="218"/>
      <c r="K20" s="218"/>
      <c r="L20" s="218"/>
      <c r="M20" s="218"/>
      <c r="N20" s="218"/>
      <c r="O20" s="218">
        <f t="shared" ref="O20:O21" si="4">SUM(C20:N20)</f>
        <v>148812.53400000033</v>
      </c>
      <c r="P20" s="203"/>
      <c r="Q20" s="224">
        <f>O20+B20</f>
        <v>498175.18200000038</v>
      </c>
      <c r="R20" s="705"/>
    </row>
    <row r="21" spans="1:18" s="336" customFormat="1" ht="17.5" x14ac:dyDescent="0.35">
      <c r="A21" s="229" t="s">
        <v>172</v>
      </c>
      <c r="B21" s="305">
        <v>465816.86400000006</v>
      </c>
      <c r="C21" s="218">
        <v>0</v>
      </c>
      <c r="D21" s="218">
        <v>0</v>
      </c>
      <c r="E21" s="386">
        <v>0</v>
      </c>
      <c r="F21" s="386">
        <v>0</v>
      </c>
      <c r="G21" s="386">
        <v>0</v>
      </c>
      <c r="H21" s="218">
        <v>0</v>
      </c>
      <c r="I21" s="218">
        <v>0</v>
      </c>
      <c r="J21" s="218"/>
      <c r="K21" s="375"/>
      <c r="L21" s="218"/>
      <c r="M21" s="218"/>
      <c r="N21" s="218"/>
      <c r="O21" s="218">
        <f t="shared" si="4"/>
        <v>0</v>
      </c>
      <c r="P21" s="203"/>
      <c r="Q21" s="224">
        <f>O21+B21</f>
        <v>465816.86400000006</v>
      </c>
      <c r="R21" s="705"/>
    </row>
    <row r="22" spans="1:18" s="196" customFormat="1" x14ac:dyDescent="0.3">
      <c r="A22" s="229" t="s">
        <v>148</v>
      </c>
      <c r="B22" s="305">
        <v>0</v>
      </c>
      <c r="C22" s="230">
        <v>0</v>
      </c>
      <c r="D22" s="230">
        <v>0</v>
      </c>
      <c r="E22" s="386">
        <v>0</v>
      </c>
      <c r="F22" s="386">
        <v>0</v>
      </c>
      <c r="G22" s="386">
        <v>0</v>
      </c>
      <c r="H22" s="230">
        <v>0</v>
      </c>
      <c r="I22" s="230">
        <v>0</v>
      </c>
      <c r="J22" s="230"/>
      <c r="K22" s="230"/>
      <c r="L22" s="230"/>
      <c r="M22" s="230"/>
      <c r="N22" s="230"/>
      <c r="O22" s="218">
        <f>SUM(C22:N22)</f>
        <v>0</v>
      </c>
      <c r="P22" s="203"/>
      <c r="Q22" s="224">
        <f>O22+B22</f>
        <v>0</v>
      </c>
      <c r="R22" s="705"/>
    </row>
    <row r="23" spans="1:18" s="202" customFormat="1" x14ac:dyDescent="0.3">
      <c r="A23" s="210"/>
      <c r="B23" s="309"/>
      <c r="C23" s="216"/>
      <c r="D23" s="216"/>
      <c r="E23" s="216"/>
      <c r="F23" s="216"/>
      <c r="G23" s="216"/>
      <c r="H23" s="216"/>
      <c r="I23" s="216"/>
      <c r="J23" s="216"/>
      <c r="K23" s="216"/>
      <c r="L23" s="216"/>
      <c r="M23" s="216"/>
      <c r="N23" s="216"/>
      <c r="O23" s="330"/>
      <c r="P23" s="216"/>
      <c r="Q23" s="216"/>
      <c r="R23" s="705"/>
    </row>
    <row r="24" spans="1:18" s="196" customFormat="1" x14ac:dyDescent="0.3">
      <c r="A24" s="210" t="s">
        <v>149</v>
      </c>
      <c r="B24" s="309"/>
      <c r="C24" s="203"/>
      <c r="D24" s="203"/>
      <c r="E24" s="203"/>
      <c r="F24" s="203"/>
      <c r="G24" s="203"/>
      <c r="H24" s="203"/>
      <c r="I24" s="203"/>
      <c r="J24" s="203"/>
      <c r="K24" s="203"/>
      <c r="L24" s="203"/>
      <c r="M24" s="203"/>
      <c r="N24" s="203"/>
      <c r="O24" s="326"/>
      <c r="P24" s="203"/>
      <c r="Q24" s="203"/>
      <c r="R24" s="705"/>
    </row>
    <row r="25" spans="1:18" s="196" customFormat="1" x14ac:dyDescent="0.3">
      <c r="A25" s="239" t="s">
        <v>69</v>
      </c>
      <c r="B25" s="310">
        <f>SUM(B26:B30)</f>
        <v>2073420.2299999997</v>
      </c>
      <c r="C25" s="303">
        <f t="shared" ref="C25:Q25" si="5">SUM(C26:C30)</f>
        <v>-288.05000000001019</v>
      </c>
      <c r="D25" s="251">
        <f t="shared" si="5"/>
        <v>28290.58</v>
      </c>
      <c r="E25" s="251">
        <f t="shared" si="5"/>
        <v>64204.32</v>
      </c>
      <c r="F25" s="251">
        <f t="shared" si="5"/>
        <v>202135.76</v>
      </c>
      <c r="G25" s="251">
        <f t="shared" si="5"/>
        <v>540836.47</v>
      </c>
      <c r="H25" s="251">
        <f t="shared" si="5"/>
        <v>298400.31</v>
      </c>
      <c r="I25" s="251">
        <f t="shared" si="5"/>
        <v>77744.38</v>
      </c>
      <c r="J25" s="251">
        <f t="shared" si="5"/>
        <v>0</v>
      </c>
      <c r="K25" s="251">
        <f t="shared" si="5"/>
        <v>0</v>
      </c>
      <c r="L25" s="251">
        <f t="shared" si="5"/>
        <v>0</v>
      </c>
      <c r="M25" s="251">
        <f t="shared" si="5"/>
        <v>0</v>
      </c>
      <c r="N25" s="251">
        <f t="shared" si="5"/>
        <v>0</v>
      </c>
      <c r="O25" s="251">
        <f t="shared" si="5"/>
        <v>1211323.77</v>
      </c>
      <c r="P25" s="251">
        <f t="shared" si="5"/>
        <v>0</v>
      </c>
      <c r="Q25" s="323">
        <f t="shared" si="5"/>
        <v>3284744</v>
      </c>
      <c r="R25" s="706"/>
    </row>
    <row r="26" spans="1:18" s="196" customFormat="1" x14ac:dyDescent="0.3">
      <c r="A26" s="229" t="s">
        <v>150</v>
      </c>
      <c r="B26" s="311">
        <v>0</v>
      </c>
      <c r="C26" s="254">
        <v>0</v>
      </c>
      <c r="D26" s="254">
        <v>0</v>
      </c>
      <c r="E26" s="254">
        <v>0</v>
      </c>
      <c r="F26" s="254">
        <v>0</v>
      </c>
      <c r="G26" s="254">
        <v>0</v>
      </c>
      <c r="H26" s="254">
        <v>0</v>
      </c>
      <c r="I26" s="254">
        <v>0</v>
      </c>
      <c r="J26" s="255"/>
      <c r="K26" s="255"/>
      <c r="L26" s="255"/>
      <c r="M26" s="255"/>
      <c r="N26" s="255"/>
      <c r="O26" s="254">
        <f t="shared" ref="O26:O30" si="6">SUM(C26:N26)</f>
        <v>0</v>
      </c>
      <c r="P26" s="222"/>
      <c r="Q26" s="224">
        <f t="shared" ref="Q26:Q30" si="7">O26+B26</f>
        <v>0</v>
      </c>
      <c r="R26" s="240"/>
    </row>
    <row r="27" spans="1:18" s="196" customFormat="1" x14ac:dyDescent="0.3">
      <c r="A27" s="229" t="s">
        <v>151</v>
      </c>
      <c r="B27" s="311">
        <v>1792728.88</v>
      </c>
      <c r="C27" s="254">
        <v>-13524.52000000001</v>
      </c>
      <c r="D27" s="254">
        <v>13830.000000000002</v>
      </c>
      <c r="E27" s="254">
        <v>46225.86</v>
      </c>
      <c r="F27" s="254">
        <v>176969.23</v>
      </c>
      <c r="G27" s="254">
        <v>513788.69</v>
      </c>
      <c r="H27" s="254">
        <v>279010.45</v>
      </c>
      <c r="I27" s="254">
        <v>49797.48</v>
      </c>
      <c r="J27" s="255"/>
      <c r="K27" s="255"/>
      <c r="L27" s="255"/>
      <c r="M27" s="255"/>
      <c r="N27" s="255"/>
      <c r="O27" s="254">
        <f t="shared" si="6"/>
        <v>1066097.19</v>
      </c>
      <c r="P27" s="222"/>
      <c r="Q27" s="224">
        <f t="shared" si="7"/>
        <v>2858826.07</v>
      </c>
      <c r="R27" s="240"/>
    </row>
    <row r="28" spans="1:18" s="196" customFormat="1" x14ac:dyDescent="0.3">
      <c r="A28" s="229" t="s">
        <v>152</v>
      </c>
      <c r="B28" s="311">
        <v>243217.34999999995</v>
      </c>
      <c r="C28" s="254">
        <v>12836.47</v>
      </c>
      <c r="D28" s="256">
        <v>12610.579999999998</v>
      </c>
      <c r="E28" s="256">
        <v>16928.46</v>
      </c>
      <c r="F28" s="256">
        <v>15366.53</v>
      </c>
      <c r="G28" s="256">
        <v>20297.78</v>
      </c>
      <c r="H28" s="256">
        <v>14489.859999999999</v>
      </c>
      <c r="I28" s="256">
        <v>26196.899999999998</v>
      </c>
      <c r="J28" s="257"/>
      <c r="K28" s="257"/>
      <c r="L28" s="257"/>
      <c r="M28" s="255"/>
      <c r="N28" s="257"/>
      <c r="O28" s="256">
        <f t="shared" si="6"/>
        <v>118726.57999999999</v>
      </c>
      <c r="P28" s="222"/>
      <c r="Q28" s="224">
        <f t="shared" si="7"/>
        <v>361943.92999999993</v>
      </c>
      <c r="R28" s="240"/>
    </row>
    <row r="29" spans="1:18" s="196" customFormat="1" x14ac:dyDescent="0.3">
      <c r="A29" s="229" t="s">
        <v>153</v>
      </c>
      <c r="B29" s="311">
        <v>0</v>
      </c>
      <c r="C29" s="254">
        <v>0</v>
      </c>
      <c r="D29" s="256">
        <v>0</v>
      </c>
      <c r="E29" s="256">
        <v>0</v>
      </c>
      <c r="F29" s="256">
        <v>0</v>
      </c>
      <c r="G29" s="256">
        <v>0</v>
      </c>
      <c r="H29" s="256">
        <v>0</v>
      </c>
      <c r="I29" s="256">
        <v>0</v>
      </c>
      <c r="J29" s="257"/>
      <c r="K29" s="257"/>
      <c r="L29" s="257"/>
      <c r="M29" s="255"/>
      <c r="N29" s="257"/>
      <c r="O29" s="256">
        <f t="shared" si="6"/>
        <v>0</v>
      </c>
      <c r="P29" s="222"/>
      <c r="Q29" s="224">
        <f t="shared" si="7"/>
        <v>0</v>
      </c>
      <c r="R29" s="240"/>
    </row>
    <row r="30" spans="1:18" s="196" customFormat="1" x14ac:dyDescent="0.3">
      <c r="A30" s="229" t="s">
        <v>154</v>
      </c>
      <c r="B30" s="311">
        <v>37474</v>
      </c>
      <c r="C30" s="254">
        <v>400</v>
      </c>
      <c r="D30" s="256">
        <v>1850</v>
      </c>
      <c r="E30" s="256">
        <v>1050</v>
      </c>
      <c r="F30" s="256">
        <v>9800</v>
      </c>
      <c r="G30" s="256">
        <v>6750</v>
      </c>
      <c r="H30" s="256">
        <v>4900</v>
      </c>
      <c r="I30" s="256">
        <v>1750</v>
      </c>
      <c r="J30" s="257"/>
      <c r="K30" s="257"/>
      <c r="L30" s="257"/>
      <c r="M30" s="255"/>
      <c r="N30" s="257"/>
      <c r="O30" s="256">
        <f t="shared" si="6"/>
        <v>26500</v>
      </c>
      <c r="P30" s="222"/>
      <c r="Q30" s="224">
        <f t="shared" si="7"/>
        <v>63974</v>
      </c>
      <c r="R30" s="240"/>
    </row>
    <row r="31" spans="1:18" s="196" customFormat="1" ht="12.75" hidden="1" outlineLevel="1" x14ac:dyDescent="0.2">
      <c r="A31" s="239" t="s">
        <v>155</v>
      </c>
      <c r="B31" s="312"/>
      <c r="C31" s="696" t="s">
        <v>21</v>
      </c>
      <c r="D31" s="696"/>
      <c r="E31" s="696"/>
      <c r="F31" s="696"/>
      <c r="G31" s="696"/>
      <c r="H31" s="696"/>
      <c r="I31" s="696"/>
      <c r="J31" s="696"/>
      <c r="K31" s="696"/>
      <c r="L31" s="696"/>
      <c r="M31" s="696"/>
      <c r="N31" s="696"/>
      <c r="O31" s="696"/>
      <c r="P31" s="696"/>
      <c r="Q31" s="696"/>
      <c r="R31" s="697"/>
    </row>
    <row r="32" spans="1:18" s="196" customFormat="1" ht="12.75" hidden="1" outlineLevel="1" x14ac:dyDescent="0.2">
      <c r="A32" s="229" t="s">
        <v>150</v>
      </c>
      <c r="B32" s="313"/>
      <c r="C32" s="299"/>
      <c r="D32" s="211"/>
      <c r="E32" s="211"/>
      <c r="F32" s="211"/>
      <c r="G32" s="211"/>
      <c r="H32" s="211"/>
      <c r="I32" s="211"/>
      <c r="J32" s="211"/>
      <c r="K32" s="211"/>
      <c r="L32" s="211"/>
      <c r="M32" s="211"/>
      <c r="N32" s="211"/>
      <c r="O32" s="211"/>
      <c r="P32" s="211"/>
      <c r="Q32" s="211"/>
      <c r="R32" s="241"/>
    </row>
    <row r="33" spans="1:18" s="196" customFormat="1" ht="12.75" hidden="1" outlineLevel="1" x14ac:dyDescent="0.2">
      <c r="A33" s="229" t="s">
        <v>151</v>
      </c>
      <c r="B33" s="313"/>
      <c r="C33" s="299"/>
      <c r="D33" s="211"/>
      <c r="E33" s="211"/>
      <c r="F33" s="211"/>
      <c r="G33" s="211"/>
      <c r="H33" s="211"/>
      <c r="I33" s="211"/>
      <c r="J33" s="211"/>
      <c r="K33" s="211"/>
      <c r="L33" s="211"/>
      <c r="M33" s="211"/>
      <c r="N33" s="211"/>
      <c r="O33" s="211"/>
      <c r="P33" s="211"/>
      <c r="Q33" s="211"/>
      <c r="R33" s="241"/>
    </row>
    <row r="34" spans="1:18" s="196" customFormat="1" ht="12.75" hidden="1" outlineLevel="1" x14ac:dyDescent="0.2">
      <c r="A34" s="229" t="s">
        <v>156</v>
      </c>
      <c r="B34" s="313"/>
      <c r="C34" s="299"/>
      <c r="D34" s="211"/>
      <c r="E34" s="211"/>
      <c r="F34" s="211"/>
      <c r="G34" s="211"/>
      <c r="H34" s="211"/>
      <c r="I34" s="211"/>
      <c r="J34" s="211"/>
      <c r="K34" s="211"/>
      <c r="L34" s="211"/>
      <c r="M34" s="211"/>
      <c r="N34" s="211"/>
      <c r="O34" s="211"/>
      <c r="P34" s="211"/>
      <c r="Q34" s="211"/>
      <c r="R34" s="241"/>
    </row>
    <row r="35" spans="1:18" s="196" customFormat="1" ht="12.75" hidden="1" outlineLevel="1" x14ac:dyDescent="0.2">
      <c r="A35" s="229" t="s">
        <v>153</v>
      </c>
      <c r="B35" s="313"/>
      <c r="C35" s="299"/>
      <c r="D35" s="211"/>
      <c r="E35" s="211"/>
      <c r="F35" s="211"/>
      <c r="G35" s="211"/>
      <c r="H35" s="211"/>
      <c r="I35" s="211"/>
      <c r="J35" s="211"/>
      <c r="K35" s="211"/>
      <c r="L35" s="211"/>
      <c r="M35" s="211"/>
      <c r="N35" s="211"/>
      <c r="O35" s="211"/>
      <c r="P35" s="211"/>
      <c r="Q35" s="211"/>
      <c r="R35" s="241"/>
    </row>
    <row r="36" spans="1:18" s="196" customFormat="1" ht="12.75" hidden="1" outlineLevel="1" x14ac:dyDescent="0.2">
      <c r="A36" s="229" t="s">
        <v>154</v>
      </c>
      <c r="B36" s="313"/>
      <c r="C36" s="299"/>
      <c r="D36" s="211"/>
      <c r="E36" s="211"/>
      <c r="F36" s="211"/>
      <c r="G36" s="211"/>
      <c r="H36" s="211"/>
      <c r="I36" s="211"/>
      <c r="J36" s="211"/>
      <c r="K36" s="211"/>
      <c r="L36" s="211"/>
      <c r="M36" s="211"/>
      <c r="N36" s="211"/>
      <c r="O36" s="211"/>
      <c r="P36" s="211"/>
      <c r="Q36" s="211"/>
      <c r="R36" s="241"/>
    </row>
    <row r="37" spans="1:18" s="196" customFormat="1" ht="12.75" hidden="1" outlineLevel="1" x14ac:dyDescent="0.2">
      <c r="A37" s="239" t="s">
        <v>157</v>
      </c>
      <c r="B37" s="312"/>
      <c r="C37" s="696" t="s">
        <v>21</v>
      </c>
      <c r="D37" s="696"/>
      <c r="E37" s="696"/>
      <c r="F37" s="696"/>
      <c r="G37" s="696"/>
      <c r="H37" s="696"/>
      <c r="I37" s="696"/>
      <c r="J37" s="696"/>
      <c r="K37" s="696"/>
      <c r="L37" s="696"/>
      <c r="M37" s="696"/>
      <c r="N37" s="696"/>
      <c r="O37" s="696"/>
      <c r="P37" s="696"/>
      <c r="Q37" s="696"/>
      <c r="R37" s="697"/>
    </row>
    <row r="38" spans="1:18" s="196" customFormat="1" ht="12.75" hidden="1" outlineLevel="1" x14ac:dyDescent="0.2">
      <c r="A38" s="229" t="s">
        <v>150</v>
      </c>
      <c r="B38" s="313"/>
      <c r="C38" s="299"/>
      <c r="D38" s="211"/>
      <c r="E38" s="211"/>
      <c r="F38" s="211"/>
      <c r="G38" s="211"/>
      <c r="H38" s="211"/>
      <c r="I38" s="211"/>
      <c r="J38" s="211"/>
      <c r="K38" s="211"/>
      <c r="L38" s="211"/>
      <c r="M38" s="211"/>
      <c r="N38" s="211"/>
      <c r="O38" s="211"/>
      <c r="P38" s="211"/>
      <c r="Q38" s="211"/>
      <c r="R38" s="241"/>
    </row>
    <row r="39" spans="1:18" s="196" customFormat="1" ht="12.75" hidden="1" outlineLevel="1" x14ac:dyDescent="0.2">
      <c r="A39" s="229" t="s">
        <v>151</v>
      </c>
      <c r="B39" s="313"/>
      <c r="C39" s="299"/>
      <c r="D39" s="211"/>
      <c r="E39" s="211"/>
      <c r="F39" s="211"/>
      <c r="G39" s="211"/>
      <c r="H39" s="211"/>
      <c r="I39" s="211"/>
      <c r="J39" s="211"/>
      <c r="K39" s="211"/>
      <c r="L39" s="211"/>
      <c r="M39" s="211"/>
      <c r="N39" s="211"/>
      <c r="O39" s="211"/>
      <c r="P39" s="211"/>
      <c r="Q39" s="211"/>
      <c r="R39" s="241"/>
    </row>
    <row r="40" spans="1:18" s="196" customFormat="1" ht="12.75" hidden="1" outlineLevel="1" x14ac:dyDescent="0.2">
      <c r="A40" s="229" t="s">
        <v>156</v>
      </c>
      <c r="B40" s="313"/>
      <c r="C40" s="299"/>
      <c r="D40" s="211"/>
      <c r="E40" s="211"/>
      <c r="F40" s="211"/>
      <c r="G40" s="211"/>
      <c r="H40" s="211"/>
      <c r="I40" s="211"/>
      <c r="J40" s="211"/>
      <c r="K40" s="211"/>
      <c r="L40" s="211"/>
      <c r="M40" s="211"/>
      <c r="N40" s="211"/>
      <c r="O40" s="211"/>
      <c r="P40" s="211"/>
      <c r="Q40" s="211"/>
      <c r="R40" s="241"/>
    </row>
    <row r="41" spans="1:18" s="196" customFormat="1" ht="12.75" hidden="1" outlineLevel="1" x14ac:dyDescent="0.2">
      <c r="A41" s="229" t="s">
        <v>153</v>
      </c>
      <c r="B41" s="313"/>
      <c r="C41" s="299"/>
      <c r="D41" s="211"/>
      <c r="E41" s="211"/>
      <c r="F41" s="211"/>
      <c r="G41" s="211"/>
      <c r="H41" s="211"/>
      <c r="I41" s="211"/>
      <c r="J41" s="211"/>
      <c r="K41" s="211"/>
      <c r="L41" s="211"/>
      <c r="M41" s="211"/>
      <c r="N41" s="211"/>
      <c r="O41" s="211"/>
      <c r="P41" s="211"/>
      <c r="Q41" s="211"/>
      <c r="R41" s="241"/>
    </row>
    <row r="42" spans="1:18" s="196" customFormat="1" ht="12.75" hidden="1" outlineLevel="1" x14ac:dyDescent="0.2">
      <c r="A42" s="229" t="s">
        <v>154</v>
      </c>
      <c r="B42" s="313"/>
      <c r="C42" s="299"/>
      <c r="D42" s="211"/>
      <c r="E42" s="211"/>
      <c r="F42" s="211"/>
      <c r="G42" s="211"/>
      <c r="H42" s="211"/>
      <c r="I42" s="211"/>
      <c r="J42" s="211"/>
      <c r="K42" s="211"/>
      <c r="L42" s="211"/>
      <c r="M42" s="211"/>
      <c r="N42" s="211"/>
      <c r="O42" s="211"/>
      <c r="P42" s="211"/>
      <c r="Q42" s="211"/>
      <c r="R42" s="241"/>
    </row>
    <row r="43" spans="1:18" s="212" customFormat="1" ht="15.5" collapsed="1" x14ac:dyDescent="0.35">
      <c r="A43" s="242" t="s">
        <v>158</v>
      </c>
      <c r="B43" s="314">
        <f t="shared" ref="B43:N43" si="8">SUM(B12+B13+B15+B17+B20+B21+B25)</f>
        <v>3630243.42</v>
      </c>
      <c r="C43" s="223">
        <f t="shared" si="8"/>
        <v>114977.66000000038</v>
      </c>
      <c r="D43" s="223">
        <f t="shared" si="8"/>
        <v>50135.04000000027</v>
      </c>
      <c r="E43" s="223">
        <f t="shared" si="8"/>
        <v>125625.0300000001</v>
      </c>
      <c r="F43" s="223">
        <f t="shared" si="8"/>
        <v>265674.97000000009</v>
      </c>
      <c r="G43" s="223">
        <f t="shared" si="8"/>
        <v>605741.88</v>
      </c>
      <c r="H43" s="223">
        <f t="shared" si="8"/>
        <v>354246.40000000014</v>
      </c>
      <c r="I43" s="223">
        <f t="shared" si="8"/>
        <v>167305.43000000008</v>
      </c>
      <c r="J43" s="223">
        <f t="shared" si="8"/>
        <v>0</v>
      </c>
      <c r="K43" s="223">
        <f t="shared" si="8"/>
        <v>0</v>
      </c>
      <c r="L43" s="223">
        <f t="shared" si="8"/>
        <v>0</v>
      </c>
      <c r="M43" s="223">
        <f t="shared" si="8"/>
        <v>0</v>
      </c>
      <c r="N43" s="223">
        <f t="shared" si="8"/>
        <v>0</v>
      </c>
      <c r="O43" s="223">
        <f>SUM(O12+O13+O15+O17+O20+O21+O25)</f>
        <v>1683706.4100000011</v>
      </c>
      <c r="P43" s="223">
        <f t="shared" ref="P43:Q43" si="9">SUM(P12+P13+P15+P17+P20+P21+P25)</f>
        <v>0</v>
      </c>
      <c r="Q43" s="223">
        <f t="shared" si="9"/>
        <v>5313949.830000001</v>
      </c>
      <c r="R43" s="261">
        <v>14210493</v>
      </c>
    </row>
    <row r="44" spans="1:18" ht="7.5" customHeight="1" x14ac:dyDescent="0.3">
      <c r="A44" s="243"/>
      <c r="B44" s="315"/>
      <c r="C44" s="203"/>
      <c r="D44" s="203"/>
      <c r="E44" s="203"/>
      <c r="F44" s="203"/>
      <c r="G44" s="203"/>
      <c r="H44" s="203"/>
      <c r="I44" s="203"/>
      <c r="J44" s="203"/>
      <c r="K44" s="203"/>
      <c r="L44" s="203"/>
      <c r="M44" s="203"/>
      <c r="N44" s="203"/>
      <c r="O44" s="203"/>
      <c r="P44" s="203"/>
      <c r="Q44" s="203"/>
      <c r="R44" s="231"/>
    </row>
    <row r="45" spans="1:18" ht="15.5" x14ac:dyDescent="0.35">
      <c r="A45" s="244" t="s">
        <v>159</v>
      </c>
      <c r="B45" s="316"/>
      <c r="C45" s="209"/>
      <c r="D45" s="209"/>
      <c r="E45" s="209"/>
      <c r="F45" s="209"/>
      <c r="G45" s="209"/>
      <c r="H45" s="209"/>
      <c r="I45" s="209"/>
      <c r="J45" s="209"/>
      <c r="K45" s="209"/>
      <c r="L45" s="209"/>
      <c r="M45" s="209"/>
      <c r="N45" s="209"/>
      <c r="O45" s="209"/>
      <c r="P45" s="203"/>
      <c r="Q45" s="209"/>
      <c r="R45" s="221"/>
    </row>
    <row r="46" spans="1:18" x14ac:dyDescent="0.3">
      <c r="A46" s="238" t="s">
        <v>150</v>
      </c>
      <c r="B46" s="305">
        <v>37290</v>
      </c>
      <c r="C46" s="218">
        <v>0</v>
      </c>
      <c r="D46" s="218">
        <v>0</v>
      </c>
      <c r="E46" s="218">
        <v>0</v>
      </c>
      <c r="F46" s="218">
        <v>0</v>
      </c>
      <c r="G46" s="218">
        <v>0</v>
      </c>
      <c r="H46" s="218">
        <v>0</v>
      </c>
      <c r="I46" s="218">
        <v>0</v>
      </c>
      <c r="J46" s="224"/>
      <c r="K46" s="224"/>
      <c r="L46" s="224"/>
      <c r="M46" s="224"/>
      <c r="N46" s="224"/>
      <c r="O46" s="218">
        <f t="shared" ref="O46:O50" si="10">SUM(C46:N46)</f>
        <v>0</v>
      </c>
      <c r="P46" s="203"/>
      <c r="Q46" s="224">
        <f t="shared" ref="Q46:Q50" si="11">O46+B46</f>
        <v>37290</v>
      </c>
      <c r="R46" s="231"/>
    </row>
    <row r="47" spans="1:18" x14ac:dyDescent="0.3">
      <c r="A47" s="229" t="s">
        <v>151</v>
      </c>
      <c r="B47" s="305">
        <v>2284479.0999999996</v>
      </c>
      <c r="C47" s="218">
        <v>-11893.529999999842</v>
      </c>
      <c r="D47" s="218">
        <v>15857.360000000226</v>
      </c>
      <c r="E47" s="218">
        <v>65196.590000000004</v>
      </c>
      <c r="F47" s="218">
        <v>178025.36000000002</v>
      </c>
      <c r="G47" s="218">
        <v>514773.15</v>
      </c>
      <c r="H47" s="218">
        <v>282505.28000000003</v>
      </c>
      <c r="I47" s="218">
        <v>50611.880000000005</v>
      </c>
      <c r="J47" s="224"/>
      <c r="K47" s="224"/>
      <c r="L47" s="224"/>
      <c r="M47" s="224"/>
      <c r="N47" s="224"/>
      <c r="O47" s="218">
        <f t="shared" si="10"/>
        <v>1095076.0900000003</v>
      </c>
      <c r="P47" s="203"/>
      <c r="Q47" s="224">
        <f t="shared" si="11"/>
        <v>3379555.19</v>
      </c>
      <c r="R47" s="231"/>
    </row>
    <row r="48" spans="1:18" s="196" customFormat="1" x14ac:dyDescent="0.3">
      <c r="A48" s="229" t="s">
        <v>156</v>
      </c>
      <c r="B48" s="305">
        <v>1234882.3800000001</v>
      </c>
      <c r="C48" s="219">
        <v>126471.19000000021</v>
      </c>
      <c r="D48" s="219">
        <v>32427.680000000044</v>
      </c>
      <c r="E48" s="219">
        <v>59378.440000000097</v>
      </c>
      <c r="F48" s="219">
        <v>77849.610000000088</v>
      </c>
      <c r="G48" s="219">
        <v>83770.600000000006</v>
      </c>
      <c r="H48" s="219">
        <v>66841.12000000017</v>
      </c>
      <c r="I48" s="219">
        <v>114943.55000000008</v>
      </c>
      <c r="J48" s="220"/>
      <c r="K48" s="220"/>
      <c r="L48" s="220"/>
      <c r="M48" s="224"/>
      <c r="N48" s="220"/>
      <c r="O48" s="218">
        <f t="shared" si="10"/>
        <v>561682.19000000076</v>
      </c>
      <c r="P48" s="205"/>
      <c r="Q48" s="224">
        <f t="shared" si="11"/>
        <v>1796564.5700000008</v>
      </c>
      <c r="R48" s="245"/>
    </row>
    <row r="49" spans="1:18" s="196" customFormat="1" x14ac:dyDescent="0.3">
      <c r="A49" s="229" t="s">
        <v>153</v>
      </c>
      <c r="B49" s="305">
        <v>0</v>
      </c>
      <c r="C49" s="218">
        <v>0</v>
      </c>
      <c r="D49" s="219">
        <v>0</v>
      </c>
      <c r="E49" s="219">
        <v>0</v>
      </c>
      <c r="F49" s="219">
        <v>0</v>
      </c>
      <c r="G49" s="219">
        <v>0</v>
      </c>
      <c r="H49" s="219">
        <v>0</v>
      </c>
      <c r="I49" s="219">
        <v>0</v>
      </c>
      <c r="J49" s="220"/>
      <c r="K49" s="220"/>
      <c r="L49" s="220"/>
      <c r="M49" s="224"/>
      <c r="N49" s="220"/>
      <c r="O49" s="218">
        <f t="shared" si="10"/>
        <v>0</v>
      </c>
      <c r="P49" s="205"/>
      <c r="Q49" s="224">
        <f t="shared" si="11"/>
        <v>0</v>
      </c>
      <c r="R49" s="245"/>
    </row>
    <row r="50" spans="1:18" s="196" customFormat="1" x14ac:dyDescent="0.3">
      <c r="A50" s="229" t="s">
        <v>154</v>
      </c>
      <c r="B50" s="305">
        <v>73591.94</v>
      </c>
      <c r="C50" s="218">
        <v>400</v>
      </c>
      <c r="D50" s="219">
        <v>1850</v>
      </c>
      <c r="E50" s="219">
        <v>1050</v>
      </c>
      <c r="F50" s="219">
        <v>9800</v>
      </c>
      <c r="G50" s="219">
        <v>7198.13</v>
      </c>
      <c r="H50" s="219">
        <v>4900</v>
      </c>
      <c r="I50" s="219">
        <v>1750</v>
      </c>
      <c r="J50" s="220"/>
      <c r="K50" s="220"/>
      <c r="L50" s="220"/>
      <c r="M50" s="224"/>
      <c r="N50" s="220"/>
      <c r="O50" s="218">
        <f t="shared" si="10"/>
        <v>26948.13</v>
      </c>
      <c r="P50" s="205"/>
      <c r="Q50" s="224">
        <f t="shared" si="11"/>
        <v>100540.07</v>
      </c>
      <c r="R50" s="245"/>
    </row>
    <row r="51" spans="1:18" s="196" customFormat="1" ht="15.5" x14ac:dyDescent="0.35">
      <c r="A51" s="204" t="s">
        <v>160</v>
      </c>
      <c r="B51" s="317">
        <f>SUM(B46:B50)</f>
        <v>3630243.4199999995</v>
      </c>
      <c r="C51" s="225">
        <f>SUM(C46:C50)</f>
        <v>114977.66000000037</v>
      </c>
      <c r="D51" s="225">
        <f t="shared" ref="D51:N51" si="12">SUM(D46:D50)</f>
        <v>50135.04000000027</v>
      </c>
      <c r="E51" s="225">
        <f t="shared" si="12"/>
        <v>125625.0300000001</v>
      </c>
      <c r="F51" s="225">
        <f t="shared" si="12"/>
        <v>265674.97000000009</v>
      </c>
      <c r="G51" s="225">
        <f t="shared" si="12"/>
        <v>605741.88</v>
      </c>
      <c r="H51" s="225">
        <f t="shared" si="12"/>
        <v>354246.4000000002</v>
      </c>
      <c r="I51" s="225">
        <f t="shared" si="12"/>
        <v>167305.43000000008</v>
      </c>
      <c r="J51" s="225">
        <f t="shared" si="12"/>
        <v>0</v>
      </c>
      <c r="K51" s="225">
        <f t="shared" si="12"/>
        <v>0</v>
      </c>
      <c r="L51" s="225">
        <f t="shared" si="12"/>
        <v>0</v>
      </c>
      <c r="M51" s="225">
        <f t="shared" si="12"/>
        <v>0</v>
      </c>
      <c r="N51" s="225">
        <f t="shared" si="12"/>
        <v>0</v>
      </c>
      <c r="O51" s="225">
        <f>SUM(O46:O50)</f>
        <v>1683706.4100000011</v>
      </c>
      <c r="P51" s="225">
        <f t="shared" ref="P51:Q51" si="13">SUM(P46:P50)</f>
        <v>0</v>
      </c>
      <c r="Q51" s="225">
        <f t="shared" si="13"/>
        <v>5313949.830000001</v>
      </c>
      <c r="R51" s="246"/>
    </row>
    <row r="52" spans="1:18" ht="10.4" customHeight="1" x14ac:dyDescent="0.3">
      <c r="A52" s="247"/>
      <c r="B52" s="318"/>
      <c r="C52" s="214"/>
      <c r="D52" s="214"/>
      <c r="E52" s="214"/>
      <c r="F52" s="214"/>
      <c r="G52" s="214"/>
      <c r="H52" s="214"/>
      <c r="I52" s="214"/>
      <c r="J52" s="214"/>
      <c r="K52" s="214"/>
      <c r="L52" s="214"/>
      <c r="M52" s="214"/>
      <c r="N52" s="214"/>
      <c r="O52" s="324"/>
      <c r="P52" s="226"/>
      <c r="Q52" s="214"/>
      <c r="R52" s="248"/>
    </row>
    <row r="53" spans="1:18" ht="15.5" x14ac:dyDescent="0.35">
      <c r="A53" s="244" t="s">
        <v>161</v>
      </c>
      <c r="B53" s="316"/>
      <c r="C53" s="209"/>
      <c r="D53" s="209"/>
      <c r="E53" s="209"/>
      <c r="F53" s="209"/>
      <c r="G53" s="209"/>
      <c r="H53" s="209"/>
      <c r="I53" s="209"/>
      <c r="J53" s="209"/>
      <c r="K53" s="209"/>
      <c r="L53" s="209"/>
      <c r="M53" s="209"/>
      <c r="N53" s="209"/>
      <c r="O53" s="325"/>
      <c r="P53" s="203"/>
      <c r="Q53" s="209"/>
      <c r="R53" s="221"/>
    </row>
    <row r="54" spans="1:18" s="196" customFormat="1" x14ac:dyDescent="0.3">
      <c r="A54" s="229" t="s">
        <v>231</v>
      </c>
      <c r="B54" s="305">
        <v>233523.4785</v>
      </c>
      <c r="C54" s="224">
        <v>17289.856500000056</v>
      </c>
      <c r="D54" s="224">
        <v>3276.6690000000408</v>
      </c>
      <c r="E54" s="224">
        <v>9213.1065000000162</v>
      </c>
      <c r="F54" s="224">
        <v>9530.8815000000122</v>
      </c>
      <c r="G54" s="224">
        <v>9735.81</v>
      </c>
      <c r="H54" s="224">
        <v>8376.9135000000242</v>
      </c>
      <c r="I54" s="224">
        <v>13434.157500000012</v>
      </c>
      <c r="J54" s="224"/>
      <c r="K54" s="224"/>
      <c r="L54" s="224"/>
      <c r="M54" s="224"/>
      <c r="N54" s="224"/>
      <c r="O54" s="218">
        <f t="shared" ref="O54:O57" si="14">SUM(C54:N54)</f>
        <v>70857.394500000155</v>
      </c>
      <c r="P54" s="203"/>
      <c r="Q54" s="224">
        <f t="shared" ref="Q54:Q57" si="15">O54+B54</f>
        <v>304380.87300000014</v>
      </c>
      <c r="R54" s="231"/>
    </row>
    <row r="55" spans="1:18" s="196" customFormat="1" x14ac:dyDescent="0.3">
      <c r="A55" s="238" t="s">
        <v>232</v>
      </c>
      <c r="B55" s="305">
        <v>1323299.7115000002</v>
      </c>
      <c r="C55" s="224">
        <v>97975.853500000318</v>
      </c>
      <c r="D55" s="224">
        <v>18567.79100000023</v>
      </c>
      <c r="E55" s="224">
        <v>52207.603500000085</v>
      </c>
      <c r="F55" s="224">
        <v>54008.328500000076</v>
      </c>
      <c r="G55" s="224">
        <v>55169.599999999999</v>
      </c>
      <c r="H55" s="224">
        <v>47469.176500000132</v>
      </c>
      <c r="I55" s="224">
        <v>76126.892500000075</v>
      </c>
      <c r="J55" s="224"/>
      <c r="K55" s="224"/>
      <c r="L55" s="224"/>
      <c r="M55" s="224"/>
      <c r="N55" s="224"/>
      <c r="O55" s="218">
        <f t="shared" si="14"/>
        <v>401525.24550000089</v>
      </c>
      <c r="P55" s="203"/>
      <c r="Q55" s="224">
        <f t="shared" si="15"/>
        <v>1724824.9570000011</v>
      </c>
      <c r="R55" s="231"/>
    </row>
    <row r="56" spans="1:18" s="196" customFormat="1" ht="14.25" customHeight="1" x14ac:dyDescent="0.3">
      <c r="A56" s="229" t="s">
        <v>162</v>
      </c>
      <c r="B56" s="305">
        <v>103671.01149999998</v>
      </c>
      <c r="C56" s="224">
        <v>-14.4025000000006</v>
      </c>
      <c r="D56" s="224">
        <v>1414.529</v>
      </c>
      <c r="E56" s="224">
        <v>3210.2160000000003</v>
      </c>
      <c r="F56" s="224">
        <v>10106.788</v>
      </c>
      <c r="G56" s="224">
        <v>27041.82</v>
      </c>
      <c r="H56" s="224">
        <v>14920.015500000001</v>
      </c>
      <c r="I56" s="224">
        <v>3887.2190000000001</v>
      </c>
      <c r="J56" s="224"/>
      <c r="K56" s="224"/>
      <c r="L56" s="224"/>
      <c r="M56" s="224"/>
      <c r="N56" s="224"/>
      <c r="O56" s="218">
        <f t="shared" si="14"/>
        <v>60566.184999999998</v>
      </c>
      <c r="P56" s="203"/>
      <c r="Q56" s="224">
        <f t="shared" si="15"/>
        <v>164237.19649999996</v>
      </c>
      <c r="R56" s="231"/>
    </row>
    <row r="57" spans="1:18" s="196" customFormat="1" x14ac:dyDescent="0.3">
      <c r="A57" s="229" t="s">
        <v>180</v>
      </c>
      <c r="B57" s="305">
        <v>1969749.2184999997</v>
      </c>
      <c r="C57" s="224">
        <v>-273.64750000001004</v>
      </c>
      <c r="D57" s="224">
        <v>26876.050999999999</v>
      </c>
      <c r="E57" s="224">
        <v>60994.103999999992</v>
      </c>
      <c r="F57" s="224">
        <v>192028.97200000001</v>
      </c>
      <c r="G57" s="224">
        <v>513794.65</v>
      </c>
      <c r="H57" s="224">
        <v>283480.29449999996</v>
      </c>
      <c r="I57" s="224">
        <v>73857.160999999993</v>
      </c>
      <c r="J57" s="224"/>
      <c r="K57" s="224"/>
      <c r="L57" s="224"/>
      <c r="M57" s="224"/>
      <c r="N57" s="224"/>
      <c r="O57" s="218">
        <f t="shared" si="14"/>
        <v>1150757.5850000002</v>
      </c>
      <c r="P57" s="205"/>
      <c r="Q57" s="224">
        <f t="shared" si="15"/>
        <v>3120506.8034999999</v>
      </c>
      <c r="R57" s="245"/>
    </row>
    <row r="58" spans="1:18" s="196" customFormat="1" ht="15.5" x14ac:dyDescent="0.35">
      <c r="A58" s="204" t="s">
        <v>163</v>
      </c>
      <c r="B58" s="317">
        <f>SUM(B54:B57)</f>
        <v>3630243.42</v>
      </c>
      <c r="C58" s="225">
        <f>SUM(C54:C57)</f>
        <v>114977.66000000037</v>
      </c>
      <c r="D58" s="225">
        <f t="shared" ref="D58:N58" si="16">SUM(D54:D57)</f>
        <v>50135.04000000027</v>
      </c>
      <c r="E58" s="225">
        <f t="shared" si="16"/>
        <v>125625.03000000009</v>
      </c>
      <c r="F58" s="225">
        <f t="shared" si="16"/>
        <v>265674.97000000009</v>
      </c>
      <c r="G58" s="225">
        <f t="shared" si="16"/>
        <v>605741.88</v>
      </c>
      <c r="H58" s="225">
        <f t="shared" si="16"/>
        <v>354246.40000000014</v>
      </c>
      <c r="I58" s="225">
        <f t="shared" si="16"/>
        <v>167305.43000000008</v>
      </c>
      <c r="J58" s="225">
        <f t="shared" si="16"/>
        <v>0</v>
      </c>
      <c r="K58" s="225">
        <f t="shared" si="16"/>
        <v>0</v>
      </c>
      <c r="L58" s="225">
        <f t="shared" si="16"/>
        <v>0</v>
      </c>
      <c r="M58" s="225">
        <f t="shared" si="16"/>
        <v>0</v>
      </c>
      <c r="N58" s="225">
        <f t="shared" si="16"/>
        <v>0</v>
      </c>
      <c r="O58" s="225">
        <f>SUM(O54:O57)</f>
        <v>1683706.4100000013</v>
      </c>
      <c r="P58" s="225">
        <f t="shared" ref="P58:Q58" si="17">SUM(P54:P57)</f>
        <v>0</v>
      </c>
      <c r="Q58" s="225">
        <f t="shared" si="17"/>
        <v>5313949.830000001</v>
      </c>
      <c r="R58" s="246"/>
    </row>
    <row r="59" spans="1:18" x14ac:dyDescent="0.3">
      <c r="A59" s="215" t="s">
        <v>164</v>
      </c>
      <c r="B59" s="215"/>
      <c r="C59" s="216"/>
      <c r="D59" s="216"/>
      <c r="E59" s="216"/>
      <c r="F59" s="216"/>
      <c r="G59" s="216"/>
      <c r="H59" s="216"/>
      <c r="I59" s="216"/>
      <c r="J59" s="216"/>
      <c r="K59" s="216"/>
      <c r="L59" s="216"/>
      <c r="M59" s="216"/>
      <c r="N59" s="216"/>
      <c r="O59" s="216"/>
      <c r="P59" s="216"/>
      <c r="Q59" s="216"/>
      <c r="R59" s="216"/>
    </row>
    <row r="60" spans="1:18" ht="39.75" customHeight="1" x14ac:dyDescent="0.3">
      <c r="A60" s="698" t="s">
        <v>169</v>
      </c>
      <c r="B60" s="698"/>
      <c r="C60" s="698"/>
      <c r="D60" s="699"/>
      <c r="E60" s="699"/>
      <c r="F60" s="699"/>
      <c r="G60" s="699"/>
      <c r="H60" s="699"/>
      <c r="I60" s="699"/>
      <c r="J60" s="699"/>
      <c r="K60" s="699"/>
      <c r="L60" s="699"/>
      <c r="M60" s="699"/>
      <c r="N60" s="699"/>
      <c r="O60" s="699"/>
      <c r="P60" s="699"/>
      <c r="Q60" s="699"/>
      <c r="R60" s="699"/>
    </row>
    <row r="61" spans="1:18" s="202" customFormat="1" x14ac:dyDescent="0.3">
      <c r="A61" s="217" t="s">
        <v>168</v>
      </c>
      <c r="B61" s="217"/>
      <c r="C61" s="203"/>
      <c r="D61" s="203"/>
      <c r="E61" s="203"/>
      <c r="F61" s="203"/>
      <c r="G61" s="203"/>
      <c r="H61" s="203"/>
      <c r="I61" s="203"/>
      <c r="J61" s="203"/>
      <c r="K61" s="203"/>
      <c r="L61" s="203"/>
      <c r="M61" s="203"/>
      <c r="N61" s="203"/>
      <c r="O61" s="203"/>
      <c r="P61" s="203"/>
      <c r="Q61" s="203"/>
      <c r="R61" s="203"/>
    </row>
    <row r="62" spans="1:18" x14ac:dyDescent="0.3">
      <c r="A62" s="250" t="s">
        <v>167</v>
      </c>
      <c r="B62" s="250"/>
      <c r="C62" s="203"/>
      <c r="D62" s="203"/>
      <c r="E62" s="203"/>
      <c r="F62" s="203"/>
      <c r="G62" s="203"/>
      <c r="H62" s="203"/>
      <c r="I62" s="203"/>
      <c r="J62" s="203"/>
      <c r="K62" s="203"/>
      <c r="L62" s="203"/>
      <c r="M62" s="203"/>
      <c r="N62" s="203"/>
      <c r="O62" s="203"/>
      <c r="P62" s="203"/>
      <c r="Q62" s="203"/>
      <c r="R62" s="203"/>
    </row>
    <row r="63" spans="1:18" x14ac:dyDescent="0.3">
      <c r="A63" s="202" t="s">
        <v>196</v>
      </c>
      <c r="B63" s="202"/>
    </row>
    <row r="64" spans="1:18" x14ac:dyDescent="0.3">
      <c r="A64" s="202"/>
      <c r="B64" s="202"/>
    </row>
  </sheetData>
  <sheetProtection password="C511" sheet="1" objects="1" scenarios="1"/>
  <mergeCells count="7">
    <mergeCell ref="C31:R31"/>
    <mergeCell ref="C37:R37"/>
    <mergeCell ref="A60:R60"/>
    <mergeCell ref="O1:O2"/>
    <mergeCell ref="Q1:Q2"/>
    <mergeCell ref="R1:R2"/>
    <mergeCell ref="R13:R25"/>
  </mergeCells>
  <pageMargins left="0.25" right="0.25" top="0.74039215686274495" bottom="0.35416666666666702" header="0.05" footer="0.05"/>
  <pageSetup scale="55" orientation="landscape" r:id="rId1"/>
  <headerFooter alignWithMargins="0">
    <oddHeader>&amp;C&amp;"Arial,Bold"&amp;K000000Table I-7
Pacific Gas and Electric Company 
2012-2014 Marketing, Education and Outreach 
Actual Expenditures
July 2013</oddHeader>
    <oddFooter>&amp;L&amp;F&amp;CPage 10 of 11&amp;R&amp;A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view="pageLayout" topLeftCell="A9" zoomScaleNormal="100" workbookViewId="0">
      <selection activeCell="A14" sqref="A14"/>
    </sheetView>
  </sheetViews>
  <sheetFormatPr defaultColWidth="9.453125" defaultRowHeight="12.5" x14ac:dyDescent="0.25"/>
  <cols>
    <col min="1" max="1" width="18.54296875" style="276" customWidth="1"/>
    <col min="2" max="2" width="16.54296875" style="279" customWidth="1"/>
    <col min="3" max="3" width="55.54296875" style="279" customWidth="1"/>
    <col min="4" max="4" width="10.54296875" style="279" customWidth="1"/>
    <col min="5" max="5" width="64.54296875" style="279" customWidth="1"/>
    <col min="6" max="16384" width="9.453125" style="273"/>
  </cols>
  <sheetData>
    <row r="1" spans="1:5" ht="12.75" x14ac:dyDescent="0.2">
      <c r="A1" s="710" t="s">
        <v>184</v>
      </c>
      <c r="B1" s="699"/>
      <c r="C1" s="699"/>
      <c r="D1" s="699"/>
      <c r="E1" s="699"/>
    </row>
    <row r="3" spans="1:5" s="272" customFormat="1" ht="12.75" x14ac:dyDescent="0.2">
      <c r="A3" s="275" t="s">
        <v>185</v>
      </c>
      <c r="B3" s="280" t="s">
        <v>189</v>
      </c>
      <c r="C3" s="280"/>
      <c r="D3" s="280"/>
      <c r="E3" s="280"/>
    </row>
    <row r="4" spans="1:5" s="272" customFormat="1" ht="12.75" x14ac:dyDescent="0.2">
      <c r="A4" s="291"/>
      <c r="B4" s="280" t="s">
        <v>186</v>
      </c>
      <c r="C4" s="280"/>
      <c r="D4" s="280"/>
      <c r="E4" s="280"/>
    </row>
    <row r="5" spans="1:5" s="272" customFormat="1" ht="12.75" x14ac:dyDescent="0.2">
      <c r="A5" s="291"/>
      <c r="B5" s="280" t="s">
        <v>187</v>
      </c>
      <c r="C5" s="280"/>
      <c r="D5" s="280"/>
      <c r="E5" s="280"/>
    </row>
    <row r="6" spans="1:5" s="272" customFormat="1" ht="12.75" x14ac:dyDescent="0.2">
      <c r="A6" s="275"/>
      <c r="B6" s="280" t="s">
        <v>188</v>
      </c>
      <c r="C6" s="280"/>
      <c r="D6" s="280"/>
      <c r="E6" s="280"/>
    </row>
    <row r="7" spans="1:5" s="272" customFormat="1" ht="12.75" x14ac:dyDescent="0.2">
      <c r="A7" s="291"/>
      <c r="B7" s="280" t="s">
        <v>190</v>
      </c>
      <c r="C7" s="280"/>
      <c r="D7" s="280"/>
      <c r="E7" s="280"/>
    </row>
    <row r="8" spans="1:5" s="272" customFormat="1" ht="12.75" x14ac:dyDescent="0.2">
      <c r="A8" s="291"/>
      <c r="B8" s="280" t="s">
        <v>191</v>
      </c>
      <c r="C8" s="280"/>
      <c r="D8" s="280"/>
      <c r="E8" s="280"/>
    </row>
    <row r="9" spans="1:5" s="272" customFormat="1" ht="12.75" x14ac:dyDescent="0.2">
      <c r="A9" s="291"/>
      <c r="B9" s="280" t="s">
        <v>192</v>
      </c>
      <c r="C9" s="280"/>
      <c r="D9" s="280"/>
      <c r="E9" s="280"/>
    </row>
    <row r="10" spans="1:5" s="272" customFormat="1" ht="12.75" x14ac:dyDescent="0.2">
      <c r="A10" s="291"/>
      <c r="B10" s="280" t="s">
        <v>193</v>
      </c>
      <c r="C10" s="280"/>
      <c r="D10" s="280"/>
      <c r="E10" s="280"/>
    </row>
    <row r="11" spans="1:5" s="272" customFormat="1" ht="13.5" thickBot="1" x14ac:dyDescent="0.25">
      <c r="A11" s="291"/>
      <c r="B11" s="280"/>
      <c r="C11" s="280"/>
      <c r="D11" s="280"/>
      <c r="E11" s="280"/>
    </row>
    <row r="12" spans="1:5" s="373" customFormat="1" ht="21" customHeight="1" thickBot="1" x14ac:dyDescent="0.25">
      <c r="A12" s="369" t="s">
        <v>67</v>
      </c>
      <c r="B12" s="403" t="s">
        <v>216</v>
      </c>
      <c r="C12" s="370" t="s">
        <v>181</v>
      </c>
      <c r="D12" s="371" t="s">
        <v>182</v>
      </c>
      <c r="E12" s="372" t="s">
        <v>183</v>
      </c>
    </row>
    <row r="13" spans="1:5" ht="24" x14ac:dyDescent="0.2">
      <c r="A13" s="277" t="s">
        <v>102</v>
      </c>
      <c r="B13" s="406">
        <v>0</v>
      </c>
      <c r="C13" s="281" t="s">
        <v>1</v>
      </c>
      <c r="D13" s="282"/>
      <c r="E13" s="283" t="s">
        <v>1</v>
      </c>
    </row>
    <row r="14" spans="1:5" ht="36" x14ac:dyDescent="0.2">
      <c r="A14" s="77" t="s">
        <v>104</v>
      </c>
      <c r="B14" s="406">
        <v>0</v>
      </c>
      <c r="C14" s="284" t="s">
        <v>1</v>
      </c>
      <c r="D14" s="285"/>
      <c r="E14" s="283" t="s">
        <v>1</v>
      </c>
    </row>
    <row r="15" spans="1:5" ht="36" x14ac:dyDescent="0.2">
      <c r="A15" s="277" t="s">
        <v>106</v>
      </c>
      <c r="B15" s="406">
        <v>0</v>
      </c>
      <c r="C15" s="281" t="s">
        <v>1</v>
      </c>
      <c r="D15" s="286"/>
      <c r="E15" s="287" t="s">
        <v>1</v>
      </c>
    </row>
    <row r="16" spans="1:5" s="274" customFormat="1" ht="24" x14ac:dyDescent="0.2">
      <c r="A16" s="278" t="s">
        <v>107</v>
      </c>
      <c r="B16" s="406">
        <v>0</v>
      </c>
      <c r="C16" s="288" t="s">
        <v>1</v>
      </c>
      <c r="D16" s="286"/>
      <c r="E16" s="287" t="s">
        <v>1</v>
      </c>
    </row>
    <row r="17" spans="1:11" s="274" customFormat="1" ht="18" x14ac:dyDescent="0.25">
      <c r="A17" s="278" t="s">
        <v>109</v>
      </c>
      <c r="B17" s="406">
        <v>0</v>
      </c>
      <c r="C17" s="288" t="s">
        <v>1</v>
      </c>
      <c r="D17" s="286"/>
      <c r="E17" s="287" t="s">
        <v>1</v>
      </c>
      <c r="K17" s="374"/>
    </row>
    <row r="18" spans="1:11" s="274" customFormat="1" ht="48" x14ac:dyDescent="0.2">
      <c r="A18" s="278" t="s">
        <v>166</v>
      </c>
      <c r="B18" s="406">
        <v>0</v>
      </c>
      <c r="C18" s="288" t="s">
        <v>1</v>
      </c>
      <c r="D18" s="286"/>
      <c r="E18" s="287" t="s">
        <v>1</v>
      </c>
    </row>
    <row r="19" spans="1:11" s="274" customFormat="1" ht="36" x14ac:dyDescent="0.2">
      <c r="A19" s="278" t="s">
        <v>114</v>
      </c>
      <c r="B19" s="406">
        <v>0</v>
      </c>
      <c r="C19" s="288" t="s">
        <v>1</v>
      </c>
      <c r="D19" s="286"/>
      <c r="E19" s="287" t="s">
        <v>1</v>
      </c>
    </row>
    <row r="20" spans="1:11" s="274" customFormat="1" ht="23" x14ac:dyDescent="0.25">
      <c r="A20" s="278" t="s">
        <v>116</v>
      </c>
      <c r="B20" s="406">
        <v>0</v>
      </c>
      <c r="C20" s="288" t="s">
        <v>1</v>
      </c>
      <c r="D20" s="286"/>
      <c r="E20" s="287" t="s">
        <v>1</v>
      </c>
    </row>
    <row r="21" spans="1:11" s="274" customFormat="1" ht="23" x14ac:dyDescent="0.25">
      <c r="A21" s="295" t="s">
        <v>210</v>
      </c>
      <c r="B21" s="407">
        <v>73000</v>
      </c>
      <c r="C21" s="296" t="s">
        <v>211</v>
      </c>
      <c r="D21" s="297">
        <v>41244</v>
      </c>
      <c r="E21" s="287" t="s">
        <v>212</v>
      </c>
    </row>
    <row r="22" spans="1:11" s="274" customFormat="1" ht="23.5" thickBot="1" x14ac:dyDescent="0.3">
      <c r="A22" s="401" t="s">
        <v>119</v>
      </c>
      <c r="B22" s="408">
        <v>0</v>
      </c>
      <c r="C22" s="288" t="s">
        <v>1</v>
      </c>
      <c r="D22" s="286"/>
      <c r="E22" s="287" t="s">
        <v>1</v>
      </c>
    </row>
    <row r="23" spans="1:11" s="274" customFormat="1" ht="13" thickBot="1" x14ac:dyDescent="0.3">
      <c r="A23" s="402" t="s">
        <v>45</v>
      </c>
      <c r="B23" s="409">
        <f>SUM(B13:B22)</f>
        <v>73000</v>
      </c>
      <c r="C23" s="400"/>
      <c r="D23" s="289"/>
      <c r="E23" s="290"/>
    </row>
    <row r="24" spans="1:11" s="274" customFormat="1" x14ac:dyDescent="0.25">
      <c r="A24" s="711"/>
      <c r="B24" s="708"/>
      <c r="C24" s="708"/>
      <c r="D24" s="708"/>
      <c r="E24" s="708"/>
    </row>
    <row r="25" spans="1:11" s="274" customFormat="1" x14ac:dyDescent="0.25">
      <c r="A25" s="712"/>
      <c r="B25" s="708"/>
      <c r="C25" s="708"/>
      <c r="D25" s="708"/>
      <c r="E25" s="708"/>
    </row>
    <row r="26" spans="1:11" s="274" customFormat="1" x14ac:dyDescent="0.25">
      <c r="A26" s="707"/>
      <c r="B26" s="708"/>
      <c r="C26" s="708"/>
      <c r="D26" s="708"/>
      <c r="E26" s="708"/>
    </row>
    <row r="27" spans="1:11" s="274" customFormat="1" x14ac:dyDescent="0.25">
      <c r="A27" s="707"/>
      <c r="B27" s="708"/>
      <c r="C27" s="708"/>
      <c r="D27" s="708"/>
      <c r="E27" s="708"/>
    </row>
    <row r="28" spans="1:11" s="274" customFormat="1" x14ac:dyDescent="0.25">
      <c r="A28" s="709"/>
      <c r="B28" s="708"/>
      <c r="C28" s="708"/>
      <c r="D28" s="708"/>
      <c r="E28" s="708"/>
    </row>
    <row r="29" spans="1:11" x14ac:dyDescent="0.25">
      <c r="K29" s="379"/>
    </row>
    <row r="30" spans="1:11" x14ac:dyDescent="0.25">
      <c r="K30" s="379"/>
    </row>
  </sheetData>
  <sheetProtection password="C511" sheet="1" objects="1" scenarios="1"/>
  <mergeCells count="6">
    <mergeCell ref="A27:E27"/>
    <mergeCell ref="A28:E28"/>
    <mergeCell ref="A1:E1"/>
    <mergeCell ref="A24:E24"/>
    <mergeCell ref="A25:E25"/>
    <mergeCell ref="A26:E26"/>
  </mergeCells>
  <printOptions horizontalCentered="1"/>
  <pageMargins left="0" right="0" top="0.93" bottom="0.25" header="0.13" footer="0.1"/>
  <pageSetup scale="83" orientation="landscape" r:id="rId1"/>
  <headerFooter>
    <oddHeader>&amp;C&amp;"Arial,Bold"&amp;K000000Pacific Gas and Electric Company 
2012-2014 Fund Shifting Documentation
July 2013</oddHeader>
    <oddFooter>&amp;L&amp;F&amp;CPage 11 of 11&amp;R&amp;A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5A7C31AD6C2E469C9C2F055F88C4AD" ma:contentTypeVersion="0" ma:contentTypeDescription="Create a new document." ma:contentTypeScope="" ma:versionID="9ab4c19e677a814e7c989ca40986430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2.xml><?xml version="1.0" encoding="utf-8"?>
<ds:datastoreItem xmlns:ds="http://schemas.openxmlformats.org/officeDocument/2006/customXml" ds:itemID="{0C1A6D2F-329F-4363-BB71-E9C7CC289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04FFFEA-D033-4BC2-B681-FFA43C216FC9}">
  <ds:schemaRefs>
    <ds:schemaRef ds:uri="http://purl.org/dc/elements/1.1/"/>
    <ds:schemaRef ds:uri="http://purl.org/dc/term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Report Cover</vt:lpstr>
      <vt:lpstr>Cover Page</vt:lpstr>
      <vt:lpstr>Program MW</vt:lpstr>
      <vt:lpstr>Ex Ante LI &amp; Eligibility Stats</vt:lpstr>
      <vt:lpstr>Ex Post LI &amp; Eligibility Stats</vt:lpstr>
      <vt:lpstr>TA-TI Distribution</vt:lpstr>
      <vt:lpstr>DREBA Expenses 2012-14</vt:lpstr>
      <vt:lpstr>Event Summary</vt:lpstr>
      <vt:lpstr>Incentives 2012-14</vt:lpstr>
      <vt:lpstr>ME&amp;O Actual Expenditures</vt:lpstr>
      <vt:lpstr>Fund Shift Log 2012-2014</vt:lpstr>
      <vt:lpstr>'DREBA Expenses 2012-14'!Print_Area</vt:lpstr>
      <vt:lpstr>'Event Summary'!Print_Area</vt:lpstr>
      <vt:lpstr>'Ex Ante LI &amp; Eligibility Stats'!Print_Area</vt:lpstr>
      <vt:lpstr>'Ex Post LI &amp; Eligibility Stats'!Print_Area</vt:lpstr>
      <vt:lpstr>'Fund Shift Log 2012-2014'!Print_Area</vt:lpstr>
      <vt:lpstr>'Incentives 2012-14'!Print_Area</vt:lpstr>
      <vt:lpstr>'ME&amp;O Actual Expenditures'!Print_Area</vt:lpstr>
      <vt:lpstr>'Program MW'!Print_Area</vt:lpstr>
      <vt:lpstr>'TA-TI Distribution'!Print_Area</vt:lpstr>
    </vt:vector>
  </TitlesOfParts>
  <Company>Pacific Gas and Electric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Lerma, Yolanda</dc:creator>
  <cp:lastModifiedBy>Lerma, Yolanda</cp:lastModifiedBy>
  <cp:lastPrinted>2013-08-19T21:09:42Z</cp:lastPrinted>
  <dcterms:created xsi:type="dcterms:W3CDTF">2012-02-10T21:21:31Z</dcterms:created>
  <dcterms:modified xsi:type="dcterms:W3CDTF">2013-08-19T23:43:38Z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0x0101008B5A7C31AD6C2E469C9C2F055F88C4AD</vt:lpwstr>
  </property>
</Properties>
</file>