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05" yWindow="-15" windowWidth="12510" windowHeight="12405" tabRatio="887"/>
  </bookViews>
  <sheets>
    <sheet name="Program MW " sheetId="33" r:id="rId1"/>
    <sheet name="Ex ante LI &amp; Eligibility Stats" sheetId="34" r:id="rId2"/>
    <sheet name="Ex post LI &amp; Eligibility Stats" sheetId="35" r:id="rId3"/>
    <sheet name="TA-TI Distribution" sheetId="36" r:id="rId4"/>
    <sheet name="DRP Expenditures " sheetId="74" r:id="rId5"/>
    <sheet name="Marketing" sheetId="81" r:id="rId6"/>
    <sheet name="Fund Shift Log" sheetId="29" r:id="rId7"/>
    <sheet name="Event Summary" sheetId="57" r:id="rId8"/>
    <sheet name="SDGE Costs - AMDRMA Balance " sheetId="75" r:id="rId9"/>
    <sheet name="SDGE Costs -GRC" sheetId="62" r:id="rId10"/>
  </sheets>
  <externalReferences>
    <externalReference r:id="rId11"/>
    <externalReference r:id="rId12"/>
    <externalReference r:id="rId13"/>
  </externalReferences>
  <definedNames>
    <definedName name="_DAT1" localSheetId="4">#REF!</definedName>
    <definedName name="_DAT1" localSheetId="5">#REF!</definedName>
    <definedName name="_DAT1" localSheetId="8">#REF!</definedName>
    <definedName name="_DAT1">#REF!</definedName>
    <definedName name="_DAT10" localSheetId="4">#REF!</definedName>
    <definedName name="_DAT10" localSheetId="5">#REF!</definedName>
    <definedName name="_DAT10">#REF!</definedName>
    <definedName name="_DAT11" localSheetId="4">#REF!</definedName>
    <definedName name="_DAT11" localSheetId="5">#REF!</definedName>
    <definedName name="_DAT11">#REF!</definedName>
    <definedName name="_DAT12" localSheetId="4">#REF!</definedName>
    <definedName name="_DAT12">#REF!</definedName>
    <definedName name="_DAT13" localSheetId="4">#REF!</definedName>
    <definedName name="_DAT13">#REF!</definedName>
    <definedName name="_DAT14" localSheetId="4">#REF!</definedName>
    <definedName name="_DAT14">#REF!</definedName>
    <definedName name="_DAT15" localSheetId="4">#REF!</definedName>
    <definedName name="_DAT15">#REF!</definedName>
    <definedName name="_DAT16" localSheetId="4">#REF!</definedName>
    <definedName name="_DAT16">#REF!</definedName>
    <definedName name="_DAT17" localSheetId="4">#REF!</definedName>
    <definedName name="_DAT17">#REF!</definedName>
    <definedName name="_DAT2" localSheetId="4">#REF!</definedName>
    <definedName name="_DAT2">#REF!</definedName>
    <definedName name="_DAT3" localSheetId="4">#REF!</definedName>
    <definedName name="_DAT3">#REF!</definedName>
    <definedName name="_DAT4" localSheetId="4">#REF!</definedName>
    <definedName name="_DAT4">#REF!</definedName>
    <definedName name="_DAT5" localSheetId="4">#REF!</definedName>
    <definedName name="_DAT5">#REF!</definedName>
    <definedName name="_DAT6" localSheetId="4">#REF!</definedName>
    <definedName name="_DAT6">#REF!</definedName>
    <definedName name="_DAT7" localSheetId="4">#REF!</definedName>
    <definedName name="_DAT7">#REF!</definedName>
    <definedName name="_DAT8" localSheetId="4">#REF!</definedName>
    <definedName name="_DAT8">#REF!</definedName>
    <definedName name="_DAT9" localSheetId="4">#REF!</definedName>
    <definedName name="_DAT9">#REF!</definedName>
    <definedName name="_xlnm._FilterDatabase" localSheetId="7" hidden="1">'Event Summary'!$A$2:$G$3</definedName>
    <definedName name="Achieve_GRC" localSheetId="4">#REF!</definedName>
    <definedName name="Achieve_GRC" localSheetId="1">#REF!</definedName>
    <definedName name="Achieve_GRC" localSheetId="2">#REF!</definedName>
    <definedName name="Achieve_GRC" localSheetId="0">#REF!</definedName>
    <definedName name="Achieve_GRC" localSheetId="3">#REF!</definedName>
    <definedName name="Achieve_GRC">#REF!</definedName>
    <definedName name="Achieve_Service_Excellenc" localSheetId="4">#REF!</definedName>
    <definedName name="Achieve_Service_Excellenc" localSheetId="1">#REF!</definedName>
    <definedName name="Achieve_Service_Excellenc" localSheetId="2">#REF!</definedName>
    <definedName name="Achieve_Service_Excellenc" localSheetId="0">#REF!</definedName>
    <definedName name="Achieve_Service_Excellenc" localSheetId="3">#REF!</definedName>
    <definedName name="Achieve_Service_Excellenc">#REF!</definedName>
    <definedName name="Achieve_Service_Excellence" localSheetId="4">#REF!</definedName>
    <definedName name="Achieve_Service_Excellence" localSheetId="1">#REF!</definedName>
    <definedName name="Achieve_Service_Excellence" localSheetId="2">#REF!</definedName>
    <definedName name="Achieve_Service_Excellence" localSheetId="0">#REF!</definedName>
    <definedName name="Achieve_Service_Excellence" localSheetId="3">#REF!</definedName>
    <definedName name="Achieve_Service_Excellence">#REF!</definedName>
    <definedName name="Collect_Revenue" localSheetId="4">#REF!</definedName>
    <definedName name="Collect_Revenue" localSheetId="1">#REF!</definedName>
    <definedName name="Collect_Revenue" localSheetId="2">#REF!</definedName>
    <definedName name="Collect_Revenue" localSheetId="0">#REF!</definedName>
    <definedName name="Collect_Revenue" localSheetId="3">#REF!</definedName>
    <definedName name="Collect_Revenue">#REF!</definedName>
    <definedName name="DATA1" localSheetId="4">#REF!</definedName>
    <definedName name="DATA1">#REF!</definedName>
    <definedName name="DATA10" localSheetId="4">#REF!</definedName>
    <definedName name="DATA10">#REF!</definedName>
    <definedName name="DATA11" localSheetId="4">#REF!</definedName>
    <definedName name="DATA11">#REF!</definedName>
    <definedName name="DATA12" localSheetId="4">#REF!</definedName>
    <definedName name="DATA12">#REF!</definedName>
    <definedName name="DATA13" localSheetId="4">#REF!</definedName>
    <definedName name="DATA13">#REF!</definedName>
    <definedName name="DATA14" localSheetId="4">#REF!</definedName>
    <definedName name="DATA14">#REF!</definedName>
    <definedName name="DATA15" localSheetId="4">#REF!</definedName>
    <definedName name="DATA15">#REF!</definedName>
    <definedName name="DATA16" localSheetId="4">#REF!</definedName>
    <definedName name="DATA16">#REF!</definedName>
    <definedName name="DATA17" localSheetId="4">#REF!</definedName>
    <definedName name="DATA17">#REF!</definedName>
    <definedName name="DATA18" localSheetId="4">#REF!</definedName>
    <definedName name="DATA18">#REF!</definedName>
    <definedName name="DATA19" localSheetId="4">#REF!</definedName>
    <definedName name="DATA19">#REF!</definedName>
    <definedName name="DATA2" localSheetId="4">#REF!</definedName>
    <definedName name="DATA2">#REF!</definedName>
    <definedName name="DATA20" localSheetId="4">#REF!</definedName>
    <definedName name="DATA20">#REF!</definedName>
    <definedName name="DATA3" localSheetId="4">#REF!</definedName>
    <definedName name="DATA3">#REF!</definedName>
    <definedName name="DATA4" localSheetId="4">#REF!</definedName>
    <definedName name="DATA4">#REF!</definedName>
    <definedName name="DATA5" localSheetId="4">#REF!</definedName>
    <definedName name="DATA5">#REF!</definedName>
    <definedName name="data5000">'[1]ACTMA Detail'!$N$2:$N$102</definedName>
    <definedName name="DATA6" localSheetId="4">#REF!</definedName>
    <definedName name="DATA6" localSheetId="5">#REF!</definedName>
    <definedName name="DATA6">#REF!</definedName>
    <definedName name="DATA7" localSheetId="4">#REF!</definedName>
    <definedName name="DATA7" localSheetId="5">#REF!</definedName>
    <definedName name="DATA7">#REF!</definedName>
    <definedName name="DATA8" localSheetId="4">#REF!</definedName>
    <definedName name="DATA8" localSheetId="5">#REF!</definedName>
    <definedName name="DATA8">#REF!</definedName>
    <definedName name="DATA9" localSheetId="4">#REF!</definedName>
    <definedName name="DATA9">#REF!</definedName>
    <definedName name="DayTypeList">[2]LOOKUP!$E$2:$E$14</definedName>
    <definedName name="Enhance_Delivery_Channels" localSheetId="4">#REF!</definedName>
    <definedName name="Enhance_Delivery_Channels" localSheetId="1">#REF!</definedName>
    <definedName name="Enhance_Delivery_Channels" localSheetId="2">#REF!</definedName>
    <definedName name="Enhance_Delivery_Channels" localSheetId="0">#REF!</definedName>
    <definedName name="Enhance_Delivery_Channels" localSheetId="3">#REF!</definedName>
    <definedName name="Enhance_Delivery_Channels">#REF!</definedName>
    <definedName name="Ethics_and_Compliance" localSheetId="4">#REF!</definedName>
    <definedName name="Ethics_and_Compliance" localSheetId="1">#REF!</definedName>
    <definedName name="Ethics_and_Compliance" localSheetId="2">#REF!</definedName>
    <definedName name="Ethics_and_Compliance" localSheetId="0">#REF!</definedName>
    <definedName name="Ethics_and_Compliance" localSheetId="3">#REF!</definedName>
    <definedName name="Ethics_and_Compliance">#REF!</definedName>
    <definedName name="Launch_Refine_Market" localSheetId="4">#REF!</definedName>
    <definedName name="Launch_Refine_Market" localSheetId="1">#REF!</definedName>
    <definedName name="Launch_Refine_Market" localSheetId="2">#REF!</definedName>
    <definedName name="Launch_Refine_Market" localSheetId="0">#REF!</definedName>
    <definedName name="Launch_Refine_Market" localSheetId="3">#REF!</definedName>
    <definedName name="Launch_Refine_Market">#REF!</definedName>
    <definedName name="Manage_AMI" localSheetId="4">#REF!</definedName>
    <definedName name="Manage_AMI" localSheetId="1">#REF!</definedName>
    <definedName name="Manage_AMI" localSheetId="2">#REF!</definedName>
    <definedName name="Manage_AMI" localSheetId="0">#REF!</definedName>
    <definedName name="Manage_AMI" localSheetId="3">#REF!</definedName>
    <definedName name="Manage_AMI">#REF!</definedName>
    <definedName name="Meet_Financial_Targets" localSheetId="4">#REF!</definedName>
    <definedName name="Meet_Financial_Targets" localSheetId="1">#REF!</definedName>
    <definedName name="Meet_Financial_Targets" localSheetId="2">#REF!</definedName>
    <definedName name="Meet_Financial_Targets" localSheetId="0">#REF!</definedName>
    <definedName name="Meet_Financial_Targets" localSheetId="3">#REF!</definedName>
    <definedName name="Meet_Financial_Targets">#REF!</definedName>
    <definedName name="nnnnnn">'[1]ACTMA Detail'!$P$2:$P$102</definedName>
    <definedName name="_xlnm.Print_Area" localSheetId="4">'DRP Expenditures '!$A$1:$Z$64</definedName>
    <definedName name="_xlnm.Print_Area" localSheetId="7">'Event Summary'!$A$1:$G$25</definedName>
    <definedName name="_xlnm.Print_Area" localSheetId="1">'Ex ante LI &amp; Eligibility Stats'!$A$1:$P$26</definedName>
    <definedName name="_xlnm.Print_Area" localSheetId="2">'Ex post LI &amp; Eligibility Stats'!$A$1:$O$23</definedName>
    <definedName name="_xlnm.Print_Area" localSheetId="5">Marketing!$A$1:$Q$53</definedName>
    <definedName name="_xlnm.Print_Area" localSheetId="0">'Program MW '!$A$1:$U$54</definedName>
    <definedName name="_xlnm.Print_Area" localSheetId="8">'SDGE Costs - AMDRMA Balance '!$A$1:$R$67</definedName>
    <definedName name="_xlnm.Print_Area" localSheetId="9">'SDGE Costs -GRC'!$A$1:$Q$37</definedName>
    <definedName name="Reliability_Expectations" localSheetId="4">#REF!</definedName>
    <definedName name="Reliability_Expectations" localSheetId="1">#REF!</definedName>
    <definedName name="Reliability_Expectations" localSheetId="2">#REF!</definedName>
    <definedName name="Reliability_Expectations" localSheetId="5">#REF!</definedName>
    <definedName name="Reliability_Expectations" localSheetId="0">#REF!</definedName>
    <definedName name="Reliability_Expectations" localSheetId="3">#REF!</definedName>
    <definedName name="Reliability_Expectations">#REF!</definedName>
    <definedName name="Stabilization_Customer_Base" localSheetId="4">#REF!</definedName>
    <definedName name="Stabilization_Customer_Base" localSheetId="1">#REF!</definedName>
    <definedName name="Stabilization_Customer_Base" localSheetId="2">#REF!</definedName>
    <definedName name="Stabilization_Customer_Base" localSheetId="5">#REF!</definedName>
    <definedName name="Stabilization_Customer_Base" localSheetId="0">#REF!</definedName>
    <definedName name="Stabilization_Customer_Base" localSheetId="3">#REF!</definedName>
    <definedName name="Stabilization_Customer_Base">#REF!</definedName>
    <definedName name="TEST0" localSheetId="4">#REF!</definedName>
    <definedName name="TEST0" localSheetId="5">#REF!</definedName>
    <definedName name="TEST0">#REF!</definedName>
    <definedName name="TEST1" localSheetId="4">#REF!</definedName>
    <definedName name="TEST1">#REF!</definedName>
    <definedName name="TEST10" localSheetId="4">#REF!</definedName>
    <definedName name="TEST10">#REF!</definedName>
    <definedName name="TEST11" localSheetId="4">#REF!</definedName>
    <definedName name="TEST11">#REF!</definedName>
    <definedName name="TEST12" localSheetId="4">#REF!</definedName>
    <definedName name="TEST12">#REF!</definedName>
    <definedName name="TEST13" localSheetId="4">#REF!</definedName>
    <definedName name="TEST13">#REF!</definedName>
    <definedName name="TEST14" localSheetId="4">#REF!</definedName>
    <definedName name="TEST14">#REF!</definedName>
    <definedName name="TEST15" localSheetId="4">#REF!</definedName>
    <definedName name="TEST15">#REF!</definedName>
    <definedName name="TEST16" localSheetId="4">#REF!</definedName>
    <definedName name="TEST16">#REF!</definedName>
    <definedName name="TEST17" localSheetId="4">#REF!</definedName>
    <definedName name="TEST17">#REF!</definedName>
    <definedName name="TEST18" localSheetId="4">#REF!</definedName>
    <definedName name="TEST18">#REF!</definedName>
    <definedName name="TEST19" localSheetId="4">#REF!</definedName>
    <definedName name="TEST19">#REF!</definedName>
    <definedName name="TEST2" localSheetId="4">#REF!</definedName>
    <definedName name="TEST2">#REF!</definedName>
    <definedName name="TEST20" localSheetId="4">#REF!</definedName>
    <definedName name="TEST20">#REF!</definedName>
    <definedName name="TEST21" localSheetId="4">#REF!</definedName>
    <definedName name="TEST21">#REF!</definedName>
    <definedName name="TEST22" localSheetId="4">#REF!</definedName>
    <definedName name="TEST22">#REF!</definedName>
    <definedName name="TEST23" localSheetId="4">#REF!</definedName>
    <definedName name="TEST23">#REF!</definedName>
    <definedName name="TEST24" localSheetId="4">#REF!</definedName>
    <definedName name="TEST24">#REF!</definedName>
    <definedName name="TEST25" localSheetId="4">#REF!</definedName>
    <definedName name="TEST25">#REF!</definedName>
    <definedName name="TEST26" localSheetId="4">#REF!</definedName>
    <definedName name="TEST26">#REF!</definedName>
    <definedName name="TEST27" localSheetId="4">#REF!</definedName>
    <definedName name="TEST27">#REF!</definedName>
    <definedName name="TEST28" localSheetId="4">#REF!</definedName>
    <definedName name="TEST28">#REF!</definedName>
    <definedName name="TEST3" localSheetId="4">#REF!</definedName>
    <definedName name="TEST3">#REF!</definedName>
    <definedName name="TEST4" localSheetId="4">#REF!</definedName>
    <definedName name="TEST4">#REF!</definedName>
    <definedName name="TEST5" localSheetId="4">#REF!</definedName>
    <definedName name="TEST5">#REF!</definedName>
    <definedName name="TEST6" localSheetId="4">#REF!</definedName>
    <definedName name="TEST6">#REF!</definedName>
    <definedName name="TEST7" localSheetId="4">#REF!</definedName>
    <definedName name="TEST7">#REF!</definedName>
    <definedName name="TEST8" localSheetId="4">#REF!</definedName>
    <definedName name="TEST8">#REF!</definedName>
    <definedName name="TEST9" localSheetId="4">#REF!</definedName>
    <definedName name="TEST9">#REF!</definedName>
    <definedName name="TESTHKEY" localSheetId="4">#REF!</definedName>
    <definedName name="TESTHKEY">#REF!</definedName>
    <definedName name="TESTKEYS" localSheetId="4">#REF!</definedName>
    <definedName name="TESTKEYS">#REF!</definedName>
    <definedName name="TESTVKEY" localSheetId="4">#REF!</definedName>
    <definedName name="TESTVKEY">#REF!</definedName>
    <definedName name="Valued_Service_Provider" localSheetId="4">#REF!</definedName>
    <definedName name="Valued_Service_Provider" localSheetId="1">#REF!</definedName>
    <definedName name="Valued_Service_Provider" localSheetId="2">#REF!</definedName>
    <definedName name="Valued_Service_Provider" localSheetId="0">#REF!</definedName>
    <definedName name="Valued_Service_Provider" localSheetId="3">#REF!</definedName>
    <definedName name="Valued_Service_Provider">#REF!</definedName>
    <definedName name="Voice_of_Customer" localSheetId="4">#REF!</definedName>
    <definedName name="Voice_of_Customer" localSheetId="1">#REF!</definedName>
    <definedName name="Voice_of_Customer" localSheetId="2">#REF!</definedName>
    <definedName name="Voice_of_Customer" localSheetId="0">#REF!</definedName>
    <definedName name="Voice_of_Customer" localSheetId="3">#REF!</definedName>
    <definedName name="Voice_of_Customer">#REF!</definedName>
    <definedName name="Z_E5DF83AA_DC53_4EBF_A523_33DA0FE284E8_.wvu.PrintArea" localSheetId="2" hidden="1">'Ex post LI &amp; Eligibility Stats'!$A$1:$O$23</definedName>
    <definedName name="Z_E5DF83AA_DC53_4EBF_A523_33DA0FE284E8_.wvu.PrintArea" localSheetId="0" hidden="1">'Program MW '!$A$1:$Z$53</definedName>
    <definedName name="Z_E5DF83AA_DC53_4EBF_A523_33DA0FE284E8_.wvu.PrintArea" localSheetId="3" hidden="1">'TA-TI Distribution'!#REF!</definedName>
  </definedNames>
  <calcPr calcId="145621"/>
</workbook>
</file>

<file path=xl/calcChain.xml><?xml version="1.0" encoding="utf-8"?>
<calcChain xmlns="http://schemas.openxmlformats.org/spreadsheetml/2006/main">
  <c r="O46" i="81" l="1"/>
  <c r="M46" i="81"/>
  <c r="L46" i="81"/>
  <c r="K46" i="81"/>
  <c r="J46" i="81"/>
  <c r="I46" i="81"/>
  <c r="H46" i="81"/>
  <c r="G46" i="81"/>
  <c r="F46" i="81"/>
  <c r="D46" i="81"/>
  <c r="C46" i="81"/>
  <c r="B46" i="81"/>
  <c r="N45" i="81"/>
  <c r="P45" i="81" s="1"/>
  <c r="P44" i="81"/>
  <c r="N44" i="81"/>
  <c r="E44" i="81"/>
  <c r="E46" i="81" s="1"/>
  <c r="N43" i="81"/>
  <c r="N46" i="81" s="1"/>
  <c r="P42" i="81"/>
  <c r="N42" i="81"/>
  <c r="M39" i="81"/>
  <c r="L39" i="81"/>
  <c r="K39" i="81"/>
  <c r="J39" i="81"/>
  <c r="I39" i="81"/>
  <c r="H39" i="81"/>
  <c r="G39" i="81"/>
  <c r="F39" i="81"/>
  <c r="E39" i="81"/>
  <c r="D39" i="81"/>
  <c r="C39" i="81"/>
  <c r="B39" i="81"/>
  <c r="P38" i="81"/>
  <c r="N38" i="81"/>
  <c r="N37" i="81"/>
  <c r="P37" i="81" s="1"/>
  <c r="P36" i="81"/>
  <c r="N36" i="81"/>
  <c r="N35" i="81"/>
  <c r="P35" i="81" s="1"/>
  <c r="P34" i="81"/>
  <c r="N34" i="81"/>
  <c r="M31" i="81"/>
  <c r="L31" i="81"/>
  <c r="K31" i="81"/>
  <c r="J31" i="81"/>
  <c r="I31" i="81"/>
  <c r="G31" i="81"/>
  <c r="F31" i="81"/>
  <c r="E31" i="81"/>
  <c r="D31" i="81"/>
  <c r="C31" i="81"/>
  <c r="B31" i="81"/>
  <c r="P30" i="81"/>
  <c r="N30" i="81"/>
  <c r="N29" i="81"/>
  <c r="P29" i="81" s="1"/>
  <c r="H29" i="81"/>
  <c r="H31" i="81" s="1"/>
  <c r="N28" i="81"/>
  <c r="P28" i="81" s="1"/>
  <c r="P27" i="81"/>
  <c r="N27" i="81"/>
  <c r="N26" i="81"/>
  <c r="P26" i="81" s="1"/>
  <c r="P22" i="81"/>
  <c r="N22" i="81"/>
  <c r="F22" i="81"/>
  <c r="N21" i="81"/>
  <c r="P21" i="81" s="1"/>
  <c r="P20" i="81"/>
  <c r="N20" i="81"/>
  <c r="N19" i="81"/>
  <c r="P19" i="81" s="1"/>
  <c r="P18" i="81"/>
  <c r="N18" i="81"/>
  <c r="N17" i="81"/>
  <c r="P17" i="81" s="1"/>
  <c r="P16" i="81"/>
  <c r="N16" i="81"/>
  <c r="N15" i="81"/>
  <c r="P15" i="81" s="1"/>
  <c r="P14" i="81"/>
  <c r="N14" i="81"/>
  <c r="N13" i="81"/>
  <c r="P13" i="81" s="1"/>
  <c r="M7" i="81"/>
  <c r="L7" i="81"/>
  <c r="K7" i="81"/>
  <c r="J7" i="81"/>
  <c r="I7" i="81"/>
  <c r="H7" i="81"/>
  <c r="G7" i="81"/>
  <c r="F7" i="81"/>
  <c r="E7" i="81"/>
  <c r="D7" i="81"/>
  <c r="C7" i="81"/>
  <c r="B7" i="81"/>
  <c r="P6" i="81"/>
  <c r="N6" i="81"/>
  <c r="N5" i="81"/>
  <c r="P5" i="81" s="1"/>
  <c r="P7" i="81" s="1"/>
  <c r="P31" i="81" l="1"/>
  <c r="P39" i="81"/>
  <c r="N31" i="81"/>
  <c r="N39" i="81"/>
  <c r="O5" i="81"/>
  <c r="O7" i="81" s="1"/>
  <c r="N7" i="81"/>
  <c r="P43" i="81"/>
  <c r="P46" i="81" s="1"/>
  <c r="I15" i="75" l="1"/>
  <c r="J45" i="74"/>
  <c r="J34" i="74"/>
  <c r="I45" i="74" l="1"/>
  <c r="H15" i="75"/>
  <c r="G15" i="75" l="1"/>
  <c r="G47" i="75"/>
  <c r="H45" i="74"/>
  <c r="F15" i="75" l="1"/>
  <c r="G45" i="74"/>
  <c r="F45" i="74" l="1"/>
  <c r="F13" i="74"/>
  <c r="E15" i="75"/>
  <c r="D60" i="75" l="1"/>
  <c r="C60" i="75"/>
  <c r="O57" i="75"/>
  <c r="O58" i="75" s="1"/>
  <c r="M57" i="75"/>
  <c r="L57" i="75"/>
  <c r="K57" i="75"/>
  <c r="K58" i="75" s="1"/>
  <c r="J57" i="75"/>
  <c r="J58" i="75" s="1"/>
  <c r="I57" i="75"/>
  <c r="H57" i="75"/>
  <c r="G57" i="75"/>
  <c r="F57" i="75"/>
  <c r="F58" i="75" s="1"/>
  <c r="E57" i="75"/>
  <c r="D57" i="75"/>
  <c r="C57" i="75"/>
  <c r="B57" i="75"/>
  <c r="N56" i="75"/>
  <c r="N55" i="75"/>
  <c r="N54" i="75"/>
  <c r="N53" i="75"/>
  <c r="N52" i="75"/>
  <c r="N51" i="75"/>
  <c r="O48" i="75"/>
  <c r="M48" i="75"/>
  <c r="L48" i="75"/>
  <c r="K48" i="75"/>
  <c r="J48" i="75"/>
  <c r="I48" i="75"/>
  <c r="H48" i="75"/>
  <c r="G48" i="75"/>
  <c r="F48" i="75"/>
  <c r="E48" i="75"/>
  <c r="B48" i="75"/>
  <c r="D47" i="75"/>
  <c r="D48" i="75" s="1"/>
  <c r="C47" i="75"/>
  <c r="C48" i="75" s="1"/>
  <c r="N46" i="75"/>
  <c r="O43" i="75"/>
  <c r="M43" i="75"/>
  <c r="M58" i="75" s="1"/>
  <c r="L43" i="75"/>
  <c r="L58" i="75" s="1"/>
  <c r="K43" i="75"/>
  <c r="I43" i="75"/>
  <c r="I58" i="75" s="1"/>
  <c r="H43" i="75"/>
  <c r="G43" i="75"/>
  <c r="F43" i="75"/>
  <c r="E43" i="75"/>
  <c r="D43" i="75"/>
  <c r="C43" i="75"/>
  <c r="N43" i="75" s="1"/>
  <c r="B43" i="75"/>
  <c r="N42" i="75"/>
  <c r="N41" i="75"/>
  <c r="O38" i="75"/>
  <c r="M38" i="75"/>
  <c r="L38" i="75"/>
  <c r="K38" i="75"/>
  <c r="J38" i="75"/>
  <c r="I38" i="75"/>
  <c r="H38" i="75"/>
  <c r="H58" i="75" s="1"/>
  <c r="G38" i="75"/>
  <c r="F38" i="75"/>
  <c r="E38" i="75"/>
  <c r="D38" i="75"/>
  <c r="C38" i="75"/>
  <c r="N37" i="75"/>
  <c r="N36" i="75"/>
  <c r="N35" i="75"/>
  <c r="N34" i="75"/>
  <c r="N33" i="75"/>
  <c r="N32" i="75"/>
  <c r="N31" i="75"/>
  <c r="N30" i="75"/>
  <c r="N29" i="75"/>
  <c r="N28" i="75"/>
  <c r="N27" i="75"/>
  <c r="N26" i="75"/>
  <c r="N25" i="75"/>
  <c r="N24" i="75"/>
  <c r="N23" i="75"/>
  <c r="N22" i="75"/>
  <c r="N21" i="75"/>
  <c r="N20" i="75"/>
  <c r="N19" i="75"/>
  <c r="N18" i="75"/>
  <c r="N17" i="75"/>
  <c r="N16" i="75"/>
  <c r="N15" i="75"/>
  <c r="D15" i="75"/>
  <c r="C15" i="75"/>
  <c r="B15" i="75"/>
  <c r="B38" i="75" s="1"/>
  <c r="N14" i="75"/>
  <c r="N13" i="75"/>
  <c r="N12" i="75"/>
  <c r="N11" i="75"/>
  <c r="N10" i="75"/>
  <c r="N9" i="75"/>
  <c r="N8" i="75"/>
  <c r="N7" i="75"/>
  <c r="R50" i="74"/>
  <c r="Q50" i="74"/>
  <c r="N50" i="74"/>
  <c r="M50" i="74"/>
  <c r="L50" i="74"/>
  <c r="K50" i="74"/>
  <c r="J50" i="74"/>
  <c r="I50" i="74"/>
  <c r="H50" i="74"/>
  <c r="G50" i="74"/>
  <c r="F50" i="74"/>
  <c r="E50" i="74"/>
  <c r="D50" i="74"/>
  <c r="C50" i="74"/>
  <c r="B50" i="74"/>
  <c r="O49" i="74"/>
  <c r="O50" i="74" s="1"/>
  <c r="R46" i="74"/>
  <c r="Q46" i="74"/>
  <c r="N46" i="74"/>
  <c r="M46" i="74"/>
  <c r="L46" i="74"/>
  <c r="K46" i="74"/>
  <c r="J46" i="74"/>
  <c r="I46" i="74"/>
  <c r="H46" i="74"/>
  <c r="G46" i="74"/>
  <c r="F46" i="74"/>
  <c r="E46" i="74"/>
  <c r="B46" i="74"/>
  <c r="E45" i="74"/>
  <c r="D45" i="74"/>
  <c r="D46" i="74" s="1"/>
  <c r="C45" i="74"/>
  <c r="C46" i="74" s="1"/>
  <c r="O44" i="74"/>
  <c r="R41" i="74"/>
  <c r="Q41" i="74"/>
  <c r="N41" i="74"/>
  <c r="M41" i="74"/>
  <c r="L41" i="74"/>
  <c r="K41" i="74"/>
  <c r="J41" i="74"/>
  <c r="I41" i="74"/>
  <c r="H41" i="74"/>
  <c r="G41" i="74"/>
  <c r="F41" i="74"/>
  <c r="E41" i="74"/>
  <c r="D41" i="74"/>
  <c r="C41" i="74"/>
  <c r="B41" i="74"/>
  <c r="O40" i="74"/>
  <c r="P40" i="74" s="1"/>
  <c r="S40" i="74" s="1"/>
  <c r="O39" i="74"/>
  <c r="R36" i="74"/>
  <c r="Q36" i="74"/>
  <c r="N36" i="74"/>
  <c r="M36" i="74"/>
  <c r="L36" i="74"/>
  <c r="K36" i="74"/>
  <c r="J36" i="74"/>
  <c r="I36" i="74"/>
  <c r="H36" i="74"/>
  <c r="G36" i="74"/>
  <c r="F36" i="74"/>
  <c r="E36" i="74"/>
  <c r="D36" i="74"/>
  <c r="C36" i="74"/>
  <c r="B36" i="74"/>
  <c r="O35" i="74"/>
  <c r="P35" i="74" s="1"/>
  <c r="S35" i="74" s="1"/>
  <c r="O34" i="74"/>
  <c r="P34" i="74" s="1"/>
  <c r="S34" i="74" s="1"/>
  <c r="O33" i="74"/>
  <c r="R30" i="74"/>
  <c r="Q30" i="74"/>
  <c r="N30" i="74"/>
  <c r="M30" i="74"/>
  <c r="L30" i="74"/>
  <c r="K30" i="74"/>
  <c r="J30" i="74"/>
  <c r="I30" i="74"/>
  <c r="H30" i="74"/>
  <c r="G30" i="74"/>
  <c r="F30" i="74"/>
  <c r="E30" i="74"/>
  <c r="D30" i="74"/>
  <c r="C30" i="74"/>
  <c r="B30" i="74"/>
  <c r="O29" i="74"/>
  <c r="O28" i="74"/>
  <c r="P28" i="74" s="1"/>
  <c r="R25" i="74"/>
  <c r="Q25" i="74"/>
  <c r="N25" i="74"/>
  <c r="M25" i="74"/>
  <c r="L25" i="74"/>
  <c r="K25" i="74"/>
  <c r="J25" i="74"/>
  <c r="I25" i="74"/>
  <c r="H25" i="74"/>
  <c r="G25" i="74"/>
  <c r="F25" i="74"/>
  <c r="E25" i="74"/>
  <c r="D25" i="74"/>
  <c r="C25" i="74"/>
  <c r="B25" i="74"/>
  <c r="O24" i="74"/>
  <c r="P24" i="74" s="1"/>
  <c r="S24" i="74" s="1"/>
  <c r="O23" i="74"/>
  <c r="P23" i="74" s="1"/>
  <c r="R20" i="74"/>
  <c r="Q20" i="74"/>
  <c r="N20" i="74"/>
  <c r="M20" i="74"/>
  <c r="L20" i="74"/>
  <c r="K20" i="74"/>
  <c r="J20" i="74"/>
  <c r="I20" i="74"/>
  <c r="H20" i="74"/>
  <c r="G20" i="74"/>
  <c r="F20" i="74"/>
  <c r="E20" i="74"/>
  <c r="D20" i="74"/>
  <c r="C20" i="74"/>
  <c r="B20" i="74"/>
  <c r="O19" i="74"/>
  <c r="P19" i="74" s="1"/>
  <c r="S19" i="74" s="1"/>
  <c r="O18" i="74"/>
  <c r="P18" i="74" s="1"/>
  <c r="O17" i="74"/>
  <c r="P17" i="74" s="1"/>
  <c r="S17" i="74" s="1"/>
  <c r="R14" i="74"/>
  <c r="N14" i="74"/>
  <c r="M14" i="74"/>
  <c r="L14" i="74"/>
  <c r="K14" i="74"/>
  <c r="J14" i="74"/>
  <c r="I14" i="74"/>
  <c r="H14" i="74"/>
  <c r="G14" i="74"/>
  <c r="F14" i="74"/>
  <c r="B14" i="74"/>
  <c r="Q13" i="74"/>
  <c r="Q14" i="74" s="1"/>
  <c r="O13" i="74"/>
  <c r="E13" i="74"/>
  <c r="E14" i="74" s="1"/>
  <c r="D13" i="74"/>
  <c r="D14" i="74" s="1"/>
  <c r="C13" i="74"/>
  <c r="C14" i="74" s="1"/>
  <c r="O12" i="74"/>
  <c r="P12" i="74" s="1"/>
  <c r="R9" i="74"/>
  <c r="R53" i="74" s="1"/>
  <c r="Q9" i="74"/>
  <c r="N9" i="74"/>
  <c r="N53" i="74" s="1"/>
  <c r="M9" i="74"/>
  <c r="M53" i="74" s="1"/>
  <c r="L9" i="74"/>
  <c r="L53" i="74" s="1"/>
  <c r="K9" i="74"/>
  <c r="K53" i="74" s="1"/>
  <c r="J9" i="74"/>
  <c r="I9" i="74"/>
  <c r="H9" i="74"/>
  <c r="G9" i="74"/>
  <c r="F9" i="74"/>
  <c r="E9" i="74"/>
  <c r="E53" i="74" s="1"/>
  <c r="D9" i="74"/>
  <c r="D53" i="74" s="1"/>
  <c r="C9" i="74"/>
  <c r="C53" i="74" s="1"/>
  <c r="B9" i="74"/>
  <c r="B53" i="74" s="1"/>
  <c r="O8" i="74"/>
  <c r="P8" i="74" s="1"/>
  <c r="O7" i="74"/>
  <c r="J53" i="74" l="1"/>
  <c r="I53" i="74"/>
  <c r="D58" i="75"/>
  <c r="G58" i="75"/>
  <c r="H53" i="74"/>
  <c r="N57" i="75"/>
  <c r="O41" i="74"/>
  <c r="G53" i="74"/>
  <c r="P49" i="74"/>
  <c r="S49" i="74" s="1"/>
  <c r="O36" i="74"/>
  <c r="O30" i="74"/>
  <c r="O14" i="74"/>
  <c r="F53" i="74"/>
  <c r="O9" i="74"/>
  <c r="P7" i="74"/>
  <c r="P9" i="74" s="1"/>
  <c r="N38" i="75"/>
  <c r="E58" i="75"/>
  <c r="N60" i="75"/>
  <c r="B58" i="75"/>
  <c r="C58" i="75"/>
  <c r="N47" i="75"/>
  <c r="N48" i="75" s="1"/>
  <c r="S12" i="74"/>
  <c r="S18" i="74"/>
  <c r="P20" i="74"/>
  <c r="S20" i="74" s="1"/>
  <c r="S23" i="74"/>
  <c r="S25" i="74" s="1"/>
  <c r="P25" i="74"/>
  <c r="Q53" i="74"/>
  <c r="S28" i="74"/>
  <c r="O25" i="74"/>
  <c r="P13" i="74"/>
  <c r="S13" i="74" s="1"/>
  <c r="P29" i="74"/>
  <c r="S29" i="74" s="1"/>
  <c r="P39" i="74"/>
  <c r="P44" i="74"/>
  <c r="P33" i="74"/>
  <c r="O45" i="74"/>
  <c r="P45" i="74" s="1"/>
  <c r="S45" i="74" s="1"/>
  <c r="O20" i="74"/>
  <c r="S7" i="74" l="1"/>
  <c r="S9" i="74" s="1"/>
  <c r="P50" i="74"/>
  <c r="S50" i="74" s="1"/>
  <c r="O46" i="74"/>
  <c r="O53" i="74" s="1"/>
  <c r="P14" i="74"/>
  <c r="N58" i="75"/>
  <c r="P30" i="74"/>
  <c r="S33" i="74"/>
  <c r="P36" i="74"/>
  <c r="S36" i="74" s="1"/>
  <c r="S30" i="74"/>
  <c r="S39" i="74"/>
  <c r="S41" i="74" s="1"/>
  <c r="P41" i="74"/>
  <c r="P46" i="74"/>
  <c r="S44" i="74"/>
  <c r="S46" i="74" s="1"/>
  <c r="S14" i="74"/>
  <c r="P53" i="74" l="1"/>
  <c r="S53" i="74" s="1"/>
  <c r="D19" i="33"/>
  <c r="C19" i="33"/>
  <c r="F19" i="33"/>
  <c r="G19" i="33"/>
  <c r="I19" i="33"/>
  <c r="J19" i="33"/>
  <c r="L19" i="33"/>
  <c r="M19" i="33"/>
  <c r="O19" i="33"/>
  <c r="P19" i="33"/>
  <c r="R19" i="33"/>
  <c r="S19" i="33"/>
  <c r="C39" i="33"/>
  <c r="D39" i="33"/>
  <c r="F39" i="33"/>
  <c r="G39" i="33"/>
  <c r="I39" i="33"/>
  <c r="J39" i="33"/>
  <c r="L39" i="33"/>
  <c r="M39" i="33"/>
  <c r="O39" i="33"/>
  <c r="P39" i="33"/>
  <c r="R39" i="33"/>
  <c r="S39" i="33"/>
  <c r="L13" i="33" l="1"/>
  <c r="O33" i="33" l="1"/>
  <c r="S40" i="33"/>
  <c r="R40" i="33"/>
  <c r="S38" i="33"/>
  <c r="R38" i="33"/>
  <c r="S37" i="33"/>
  <c r="R37" i="33"/>
  <c r="S36" i="33"/>
  <c r="R36" i="33"/>
  <c r="S35" i="33"/>
  <c r="R35" i="33"/>
  <c r="S34" i="33"/>
  <c r="R34" i="33"/>
  <c r="S33" i="33"/>
  <c r="R33" i="33"/>
  <c r="P40" i="33"/>
  <c r="O40" i="33"/>
  <c r="P38" i="33"/>
  <c r="O38" i="33"/>
  <c r="P37" i="33"/>
  <c r="O37" i="33"/>
  <c r="P36" i="33"/>
  <c r="O36" i="33"/>
  <c r="P35" i="33"/>
  <c r="O35" i="33"/>
  <c r="P34" i="33"/>
  <c r="O34" i="33"/>
  <c r="P33" i="33"/>
  <c r="M40" i="33"/>
  <c r="L40" i="33"/>
  <c r="M38" i="33"/>
  <c r="L38" i="33"/>
  <c r="M37" i="33"/>
  <c r="L37" i="33"/>
  <c r="M36" i="33"/>
  <c r="L36" i="33"/>
  <c r="M35" i="33"/>
  <c r="L35" i="33"/>
  <c r="M34" i="33"/>
  <c r="L34" i="33"/>
  <c r="M33" i="33"/>
  <c r="L33" i="33"/>
  <c r="J40" i="33"/>
  <c r="I40" i="33"/>
  <c r="J38" i="33"/>
  <c r="I38" i="33"/>
  <c r="I33" i="33"/>
  <c r="I34" i="33"/>
  <c r="I35" i="33"/>
  <c r="I36" i="33"/>
  <c r="I37" i="33"/>
  <c r="J37" i="33"/>
  <c r="J36" i="33"/>
  <c r="J35" i="33"/>
  <c r="J34" i="33"/>
  <c r="J33" i="33"/>
  <c r="G40" i="33"/>
  <c r="F40" i="33"/>
  <c r="G38" i="33"/>
  <c r="F38" i="33"/>
  <c r="G37" i="33"/>
  <c r="F37" i="33"/>
  <c r="G36" i="33"/>
  <c r="F36" i="33"/>
  <c r="G35" i="33"/>
  <c r="F35" i="33"/>
  <c r="G34" i="33"/>
  <c r="F34" i="33"/>
  <c r="G33" i="33"/>
  <c r="F33" i="33"/>
  <c r="D40" i="33"/>
  <c r="C40" i="33"/>
  <c r="D38" i="33"/>
  <c r="C38" i="33"/>
  <c r="D37" i="33"/>
  <c r="C37" i="33"/>
  <c r="D36" i="33"/>
  <c r="C36" i="33"/>
  <c r="D35" i="33"/>
  <c r="C35" i="33"/>
  <c r="D34" i="33"/>
  <c r="C34" i="33"/>
  <c r="D33" i="33"/>
  <c r="C33" i="33"/>
  <c r="S30" i="33"/>
  <c r="R30" i="33"/>
  <c r="P30" i="33"/>
  <c r="O30" i="33"/>
  <c r="M30" i="33"/>
  <c r="L30" i="33"/>
  <c r="J30" i="33"/>
  <c r="I30" i="33"/>
  <c r="G30" i="33"/>
  <c r="F30" i="33"/>
  <c r="D30" i="33"/>
  <c r="C30" i="33"/>
  <c r="S20" i="33"/>
  <c r="R20" i="33"/>
  <c r="S18" i="33"/>
  <c r="R18" i="33"/>
  <c r="S17" i="33"/>
  <c r="R17" i="33"/>
  <c r="S16" i="33"/>
  <c r="R16" i="33"/>
  <c r="S15" i="33"/>
  <c r="R15" i="33"/>
  <c r="S14" i="33"/>
  <c r="R14" i="33"/>
  <c r="S13" i="33"/>
  <c r="R13" i="33"/>
  <c r="P20" i="33"/>
  <c r="O20" i="33"/>
  <c r="P18" i="33"/>
  <c r="O18" i="33"/>
  <c r="P17" i="33"/>
  <c r="O17" i="33"/>
  <c r="P16" i="33"/>
  <c r="O16" i="33"/>
  <c r="P15" i="33"/>
  <c r="O15" i="33"/>
  <c r="P14" i="33"/>
  <c r="O14" i="33"/>
  <c r="P13" i="33"/>
  <c r="O13" i="33"/>
  <c r="M20" i="33"/>
  <c r="L20" i="33"/>
  <c r="M18" i="33"/>
  <c r="L18" i="33"/>
  <c r="M17" i="33"/>
  <c r="L17" i="33"/>
  <c r="M16" i="33"/>
  <c r="L16" i="33"/>
  <c r="M15" i="33"/>
  <c r="L15" i="33"/>
  <c r="M14" i="33"/>
  <c r="L14" i="33"/>
  <c r="M13" i="33"/>
  <c r="J20" i="33"/>
  <c r="I20" i="33"/>
  <c r="J18" i="33"/>
  <c r="I18" i="33"/>
  <c r="J17" i="33"/>
  <c r="I17" i="33"/>
  <c r="J16" i="33"/>
  <c r="I16" i="33"/>
  <c r="J15" i="33"/>
  <c r="I15" i="33"/>
  <c r="J14" i="33"/>
  <c r="I14" i="33"/>
  <c r="J13" i="33"/>
  <c r="J10" i="33"/>
  <c r="I13" i="33"/>
  <c r="G20" i="33"/>
  <c r="F20" i="33"/>
  <c r="G18" i="33"/>
  <c r="F18" i="33"/>
  <c r="G17" i="33"/>
  <c r="F17" i="33"/>
  <c r="G16" i="33"/>
  <c r="F16" i="33"/>
  <c r="G15" i="33"/>
  <c r="F15" i="33"/>
  <c r="G14" i="33"/>
  <c r="F14" i="33"/>
  <c r="G13" i="33"/>
  <c r="F13" i="33"/>
  <c r="D20" i="33"/>
  <c r="D18" i="33"/>
  <c r="D17" i="33"/>
  <c r="D16" i="33"/>
  <c r="D15" i="33"/>
  <c r="D14" i="33"/>
  <c r="C20" i="33"/>
  <c r="C18" i="33"/>
  <c r="C17" i="33"/>
  <c r="C16" i="33"/>
  <c r="C15" i="33"/>
  <c r="C14" i="33"/>
  <c r="D13" i="33"/>
  <c r="C13" i="33"/>
  <c r="S10" i="33"/>
  <c r="P10" i="33"/>
  <c r="M10" i="33"/>
  <c r="R10" i="33"/>
  <c r="O10" i="33"/>
  <c r="L10" i="33"/>
  <c r="I10" i="33"/>
  <c r="G10" i="33"/>
  <c r="F10" i="33"/>
  <c r="D10" i="33"/>
  <c r="C10" i="33"/>
  <c r="Q41" i="33"/>
  <c r="Q31" i="33"/>
  <c r="N41" i="33"/>
  <c r="N31" i="33"/>
  <c r="K41" i="33"/>
  <c r="H41" i="33"/>
  <c r="E41" i="33"/>
  <c r="E31" i="33"/>
  <c r="B41" i="33"/>
  <c r="Q21" i="33"/>
  <c r="N21" i="33"/>
  <c r="K21" i="33"/>
  <c r="H21" i="33"/>
  <c r="H11" i="33"/>
  <c r="E21" i="33"/>
  <c r="B21" i="33"/>
  <c r="B11" i="33"/>
  <c r="Q7" i="62"/>
  <c r="Q8" i="62"/>
  <c r="Q9" i="62"/>
  <c r="Q10" i="62"/>
  <c r="Q11" i="62"/>
  <c r="B12" i="62"/>
  <c r="C12" i="62"/>
  <c r="D12" i="62"/>
  <c r="E12" i="62"/>
  <c r="F12" i="62"/>
  <c r="G12" i="62"/>
  <c r="G30" i="62" s="1"/>
  <c r="H12" i="62"/>
  <c r="J12" i="62"/>
  <c r="L12" i="62"/>
  <c r="N12" i="62"/>
  <c r="O12" i="62"/>
  <c r="P12" i="62"/>
  <c r="Q15" i="62"/>
  <c r="B16" i="62"/>
  <c r="C16" i="62"/>
  <c r="D16" i="62"/>
  <c r="E16" i="62"/>
  <c r="F16" i="62"/>
  <c r="G16" i="62"/>
  <c r="H16" i="62"/>
  <c r="J16" i="62"/>
  <c r="L16" i="62"/>
  <c r="N16" i="62"/>
  <c r="O16" i="62"/>
  <c r="P16" i="62"/>
  <c r="Q19" i="62"/>
  <c r="B20" i="62"/>
  <c r="C20" i="62"/>
  <c r="D20" i="62"/>
  <c r="E20" i="62"/>
  <c r="F20" i="62"/>
  <c r="G20" i="62"/>
  <c r="H20" i="62"/>
  <c r="J20" i="62"/>
  <c r="L20" i="62"/>
  <c r="N20" i="62"/>
  <c r="O20" i="62"/>
  <c r="P20" i="62"/>
  <c r="Q23" i="62"/>
  <c r="Q24" i="62"/>
  <c r="Q25" i="62"/>
  <c r="Q26" i="62"/>
  <c r="B27" i="62"/>
  <c r="C27" i="62"/>
  <c r="D27" i="62"/>
  <c r="E27" i="62"/>
  <c r="F27" i="62"/>
  <c r="G27" i="62"/>
  <c r="H27" i="62"/>
  <c r="J27" i="62"/>
  <c r="L27" i="62"/>
  <c r="N27" i="62"/>
  <c r="O27" i="62"/>
  <c r="P27" i="62"/>
  <c r="Q29" i="62"/>
  <c r="E11" i="33"/>
  <c r="N11" i="33"/>
  <c r="K11" i="33"/>
  <c r="Y5" i="36"/>
  <c r="Y8" i="36"/>
  <c r="Y9" i="36"/>
  <c r="Y10" i="36"/>
  <c r="Y13" i="36"/>
  <c r="Y14" i="36"/>
  <c r="Y15" i="36"/>
  <c r="Y16" i="36"/>
  <c r="X11" i="36"/>
  <c r="X18" i="36"/>
  <c r="W11" i="36"/>
  <c r="W18" i="36"/>
  <c r="V11" i="36"/>
  <c r="R25" i="36"/>
  <c r="R27" i="36" s="1"/>
  <c r="U13" i="36"/>
  <c r="U14" i="36"/>
  <c r="U15" i="36"/>
  <c r="U16" i="36"/>
  <c r="T18" i="36"/>
  <c r="S18" i="36"/>
  <c r="U5" i="36"/>
  <c r="U8" i="36"/>
  <c r="U9" i="36"/>
  <c r="U10" i="36"/>
  <c r="T11" i="36"/>
  <c r="S11" i="36"/>
  <c r="R11" i="36"/>
  <c r="N25" i="36"/>
  <c r="N27" i="36" s="1"/>
  <c r="Q13" i="36"/>
  <c r="Q14" i="36"/>
  <c r="Q15" i="36"/>
  <c r="Q16" i="36"/>
  <c r="P18" i="36"/>
  <c r="O18" i="36"/>
  <c r="Q5" i="36"/>
  <c r="Q8" i="36"/>
  <c r="Q9" i="36"/>
  <c r="Q10" i="36"/>
  <c r="P11" i="36"/>
  <c r="O11" i="36"/>
  <c r="N11" i="36"/>
  <c r="D5" i="33"/>
  <c r="D26" i="33" s="1"/>
  <c r="F5" i="33"/>
  <c r="F26" i="33" s="1"/>
  <c r="Q11" i="33"/>
  <c r="C26" i="33"/>
  <c r="B31" i="33"/>
  <c r="H31" i="33"/>
  <c r="K31" i="33"/>
  <c r="L11" i="36"/>
  <c r="L18" i="36"/>
  <c r="K11" i="36"/>
  <c r="J11" i="36"/>
  <c r="H11" i="36"/>
  <c r="G11" i="36"/>
  <c r="D11" i="36"/>
  <c r="D18" i="36"/>
  <c r="C11" i="36"/>
  <c r="C20" i="36" s="1"/>
  <c r="M9" i="36"/>
  <c r="E9" i="36"/>
  <c r="I10" i="36"/>
  <c r="M5" i="36"/>
  <c r="E5" i="36"/>
  <c r="I14" i="36"/>
  <c r="I18" i="36" s="1"/>
  <c r="V52" i="36"/>
  <c r="V54" i="36" s="1"/>
  <c r="R52" i="36"/>
  <c r="R54" i="36"/>
  <c r="N52" i="36"/>
  <c r="N54" i="36" s="1"/>
  <c r="J52" i="36"/>
  <c r="J54" i="36" s="1"/>
  <c r="F52" i="36"/>
  <c r="F54" i="36" s="1"/>
  <c r="B52" i="36"/>
  <c r="B54" i="36" s="1"/>
  <c r="Y32" i="36"/>
  <c r="Y33" i="36"/>
  <c r="Y34" i="36"/>
  <c r="Y35" i="36"/>
  <c r="Y36" i="36"/>
  <c r="Y37" i="36"/>
  <c r="Y40" i="36"/>
  <c r="Y41" i="36"/>
  <c r="Y42" i="36"/>
  <c r="Y43" i="36"/>
  <c r="Y44" i="36"/>
  <c r="X38" i="36"/>
  <c r="X45" i="36"/>
  <c r="W38" i="36"/>
  <c r="W45" i="36"/>
  <c r="U32" i="36"/>
  <c r="U33" i="36"/>
  <c r="U34" i="36"/>
  <c r="U35" i="36"/>
  <c r="U36" i="36"/>
  <c r="U37" i="36"/>
  <c r="U40" i="36"/>
  <c r="U41" i="36"/>
  <c r="U42" i="36"/>
  <c r="U43" i="36"/>
  <c r="U44" i="36"/>
  <c r="T38" i="36"/>
  <c r="T45" i="36"/>
  <c r="T47" i="36" s="1"/>
  <c r="S38" i="36"/>
  <c r="S45" i="36"/>
  <c r="Q32" i="36"/>
  <c r="Q33" i="36"/>
  <c r="Q34" i="36"/>
  <c r="Q35" i="36"/>
  <c r="Q36" i="36"/>
  <c r="Q37" i="36"/>
  <c r="Q40" i="36"/>
  <c r="Q41" i="36"/>
  <c r="Q42" i="36"/>
  <c r="Q43" i="36"/>
  <c r="Q44" i="36"/>
  <c r="P38" i="36"/>
  <c r="P45" i="36"/>
  <c r="P47" i="36" s="1"/>
  <c r="O38" i="36"/>
  <c r="O45" i="36"/>
  <c r="M32" i="36"/>
  <c r="M33" i="36"/>
  <c r="M34" i="36"/>
  <c r="M35" i="36"/>
  <c r="M36" i="36"/>
  <c r="M37" i="36"/>
  <c r="M40" i="36"/>
  <c r="M41" i="36"/>
  <c r="M42" i="36"/>
  <c r="M43" i="36"/>
  <c r="M44" i="36"/>
  <c r="L38" i="36"/>
  <c r="L45" i="36"/>
  <c r="K38" i="36"/>
  <c r="K45" i="36"/>
  <c r="I32" i="36"/>
  <c r="I33" i="36"/>
  <c r="I34" i="36"/>
  <c r="I35" i="36"/>
  <c r="I36" i="36"/>
  <c r="I37" i="36"/>
  <c r="I40" i="36"/>
  <c r="I41" i="36"/>
  <c r="I42" i="36"/>
  <c r="I43" i="36"/>
  <c r="I44" i="36"/>
  <c r="H38" i="36"/>
  <c r="H45" i="36"/>
  <c r="G38" i="36"/>
  <c r="G45" i="36"/>
  <c r="E32" i="36"/>
  <c r="E33" i="36"/>
  <c r="E34" i="36"/>
  <c r="E35" i="36"/>
  <c r="E36" i="36"/>
  <c r="E41" i="36"/>
  <c r="E42" i="36"/>
  <c r="E43" i="36"/>
  <c r="D38" i="36"/>
  <c r="D45" i="36"/>
  <c r="D47" i="36" s="1"/>
  <c r="C38" i="36"/>
  <c r="C45" i="36"/>
  <c r="V25" i="36"/>
  <c r="V27" i="36" s="1"/>
  <c r="J25" i="36"/>
  <c r="J27" i="36" s="1"/>
  <c r="F25" i="36"/>
  <c r="F27" i="36" s="1"/>
  <c r="B25" i="36"/>
  <c r="B27" i="36" s="1"/>
  <c r="M8" i="36"/>
  <c r="M10" i="36"/>
  <c r="M13" i="36"/>
  <c r="M14" i="36"/>
  <c r="M15" i="36"/>
  <c r="M16" i="36"/>
  <c r="K18" i="36"/>
  <c r="I8" i="36"/>
  <c r="I5" i="36"/>
  <c r="I11" i="36" s="1"/>
  <c r="H18" i="36"/>
  <c r="G18" i="36"/>
  <c r="E8" i="36"/>
  <c r="E14" i="36"/>
  <c r="E15" i="36"/>
  <c r="E16" i="36"/>
  <c r="B15" i="29"/>
  <c r="C31" i="33" l="1"/>
  <c r="E30" i="62"/>
  <c r="E11" i="36"/>
  <c r="F30" i="62"/>
  <c r="B42" i="33"/>
  <c r="K42" i="33"/>
  <c r="Y45" i="36"/>
  <c r="M31" i="33"/>
  <c r="L47" i="36"/>
  <c r="J30" i="62"/>
  <c r="E42" i="33"/>
  <c r="D31" i="33"/>
  <c r="S21" i="33"/>
  <c r="Q22" i="33"/>
  <c r="R21" i="33"/>
  <c r="P21" i="33"/>
  <c r="O21" i="33"/>
  <c r="M21" i="33"/>
  <c r="L21" i="33"/>
  <c r="R11" i="33"/>
  <c r="S11" i="33"/>
  <c r="J21" i="33"/>
  <c r="H22" i="33"/>
  <c r="J11" i="33"/>
  <c r="E22" i="33"/>
  <c r="G21" i="33"/>
  <c r="B22" i="33"/>
  <c r="D11" i="33"/>
  <c r="E18" i="36"/>
  <c r="M19" i="36"/>
  <c r="O20" i="36"/>
  <c r="S20" i="36"/>
  <c r="U19" i="36"/>
  <c r="I31" i="33"/>
  <c r="L31" i="33"/>
  <c r="C41" i="33"/>
  <c r="F41" i="33"/>
  <c r="L41" i="33"/>
  <c r="O41" i="33"/>
  <c r="H47" i="36"/>
  <c r="S47" i="36"/>
  <c r="W47" i="36"/>
  <c r="L20" i="36"/>
  <c r="Q11" i="36"/>
  <c r="K22" i="33"/>
  <c r="N22" i="33"/>
  <c r="F11" i="33"/>
  <c r="P11" i="33"/>
  <c r="L11" i="33"/>
  <c r="C21" i="33"/>
  <c r="D21" i="33"/>
  <c r="F21" i="33"/>
  <c r="I21" i="33"/>
  <c r="G31" i="33"/>
  <c r="G41" i="33"/>
  <c r="M11" i="36"/>
  <c r="G47" i="36"/>
  <c r="D20" i="36"/>
  <c r="K20" i="36"/>
  <c r="T20" i="36"/>
  <c r="U18" i="36"/>
  <c r="Y18" i="36"/>
  <c r="L30" i="62"/>
  <c r="Q42" i="33"/>
  <c r="R31" i="33"/>
  <c r="I20" i="36"/>
  <c r="Q16" i="62"/>
  <c r="R41" i="33"/>
  <c r="U46" i="36"/>
  <c r="Y38" i="36"/>
  <c r="W20" i="36"/>
  <c r="M18" i="36"/>
  <c r="M20" i="36" s="1"/>
  <c r="I38" i="36"/>
  <c r="M38" i="36"/>
  <c r="Q45" i="36"/>
  <c r="U45" i="36"/>
  <c r="X47" i="36"/>
  <c r="G20" i="36"/>
  <c r="H42" i="33"/>
  <c r="P20" i="36"/>
  <c r="P30" i="62"/>
  <c r="N30" i="62"/>
  <c r="C30" i="62"/>
  <c r="C47" i="36"/>
  <c r="C11" i="33"/>
  <c r="M46" i="36"/>
  <c r="H20" i="36"/>
  <c r="Q19" i="36"/>
  <c r="H30" i="62"/>
  <c r="F31" i="33"/>
  <c r="J31" i="33"/>
  <c r="S31" i="33"/>
  <c r="D41" i="33"/>
  <c r="J41" i="33"/>
  <c r="I41" i="33"/>
  <c r="S41" i="33"/>
  <c r="O31" i="33"/>
  <c r="P31" i="33"/>
  <c r="M41" i="33"/>
  <c r="P41" i="33"/>
  <c r="N42" i="33"/>
  <c r="Q12" i="62"/>
  <c r="Q38" i="36"/>
  <c r="Y19" i="36"/>
  <c r="O30" i="62"/>
  <c r="M11" i="33"/>
  <c r="G5" i="33"/>
  <c r="G26" i="33" s="1"/>
  <c r="B30" i="62"/>
  <c r="I45" i="36"/>
  <c r="I46" i="36"/>
  <c r="Q46" i="36"/>
  <c r="Q18" i="36"/>
  <c r="Q20" i="36" s="1"/>
  <c r="E45" i="36"/>
  <c r="E38" i="36"/>
  <c r="K47" i="36"/>
  <c r="U38" i="36"/>
  <c r="U11" i="36"/>
  <c r="U20" i="36" s="1"/>
  <c r="Q27" i="62"/>
  <c r="I5" i="33"/>
  <c r="D30" i="62"/>
  <c r="M45" i="36"/>
  <c r="M47" i="36" s="1"/>
  <c r="O47" i="36"/>
  <c r="Y46" i="36"/>
  <c r="X20" i="36"/>
  <c r="Y11" i="36"/>
  <c r="Q20" i="62"/>
  <c r="G11" i="33"/>
  <c r="I11" i="33"/>
  <c r="O11" i="33"/>
  <c r="C42" i="33" l="1"/>
  <c r="S22" i="33"/>
  <c r="O22" i="33"/>
  <c r="U47" i="36"/>
  <c r="Y47" i="36"/>
  <c r="E20" i="36"/>
  <c r="G22" i="33"/>
  <c r="M42" i="33"/>
  <c r="M22" i="33"/>
  <c r="R42" i="33"/>
  <c r="I47" i="36"/>
  <c r="L22" i="33"/>
  <c r="J22" i="33"/>
  <c r="D42" i="33"/>
  <c r="G42" i="33"/>
  <c r="J42" i="33"/>
  <c r="I42" i="33"/>
  <c r="F42" i="33"/>
  <c r="R22" i="33"/>
  <c r="P22" i="33"/>
  <c r="D22" i="33"/>
  <c r="I22" i="33"/>
  <c r="C22" i="33"/>
  <c r="Y20" i="36"/>
  <c r="Q47" i="36"/>
  <c r="O42" i="33"/>
  <c r="F22" i="33"/>
  <c r="L42" i="33"/>
  <c r="S42" i="33"/>
  <c r="E47" i="36"/>
  <c r="P42" i="33"/>
  <c r="Q30" i="62"/>
  <c r="I26" i="33"/>
  <c r="L5" i="33"/>
  <c r="J5" i="33"/>
  <c r="J26" i="33" s="1"/>
  <c r="O5" i="33" l="1"/>
  <c r="L26" i="33"/>
  <c r="M5" i="33"/>
  <c r="M26" i="33" s="1"/>
  <c r="P5" i="33" l="1"/>
  <c r="P26" i="33" s="1"/>
  <c r="O26" i="33"/>
  <c r="R5" i="33"/>
  <c r="R26" i="33" l="1"/>
  <c r="S5" i="33"/>
  <c r="S26" i="33" s="1"/>
</calcChain>
</file>

<file path=xl/sharedStrings.xml><?xml version="1.0" encoding="utf-8"?>
<sst xmlns="http://schemas.openxmlformats.org/spreadsheetml/2006/main" count="724" uniqueCount="277">
  <si>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</si>
  <si>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</si>
  <si>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</si>
  <si>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</si>
  <si>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</si>
  <si>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</si>
  <si>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</si>
  <si>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</si>
  <si>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</si>
  <si>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</si>
  <si>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</si>
  <si>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</si>
  <si>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BIP</t>
  </si>
  <si>
    <t xml:space="preserve"> </t>
  </si>
  <si>
    <t>OBMC</t>
  </si>
  <si>
    <t>Service Accounts</t>
  </si>
  <si>
    <t>Year-to-Date Total Cost</t>
  </si>
  <si>
    <t>Annual Total Cost</t>
  </si>
  <si>
    <t>Cost Item</t>
  </si>
  <si>
    <t>Date</t>
  </si>
  <si>
    <t xml:space="preserve">  Sub-Total Interruptible</t>
  </si>
  <si>
    <t>Programs</t>
  </si>
  <si>
    <t>Interruptible/Reliability</t>
  </si>
  <si>
    <t>Total All Programs</t>
  </si>
  <si>
    <t>Event Beginning:End</t>
  </si>
  <si>
    <t>Notes:</t>
  </si>
  <si>
    <t>Event Trigger(1)</t>
  </si>
  <si>
    <t>Total Incremental Cost</t>
  </si>
  <si>
    <t>SLRP</t>
  </si>
  <si>
    <t xml:space="preserve"> Budget Category 1 Total</t>
  </si>
  <si>
    <t xml:space="preserve"> Budget Category 2 Total</t>
  </si>
  <si>
    <t>Capacity Bidding Program</t>
  </si>
  <si>
    <t>DR Contracts</t>
  </si>
  <si>
    <t>Event No.</t>
  </si>
  <si>
    <t xml:space="preserve">  Sub-Total Price Response</t>
  </si>
  <si>
    <t>Category 2:  Price Responsive Programs</t>
  </si>
  <si>
    <t xml:space="preserve"> Budget Category 4 Total</t>
  </si>
  <si>
    <t xml:space="preserve"> Budget Category 5 Total</t>
  </si>
  <si>
    <t xml:space="preserve"> Budget Category 6 Total</t>
  </si>
  <si>
    <t xml:space="preserve"> Budget Category 7 Total</t>
  </si>
  <si>
    <t xml:space="preserve"> Budget Category 8 Total</t>
  </si>
  <si>
    <t xml:space="preserve"> Budget Category 9 Total</t>
  </si>
  <si>
    <t xml:space="preserve"> Budget Category 10 Total</t>
  </si>
  <si>
    <t>Price Responsive</t>
  </si>
  <si>
    <t>Program</t>
  </si>
  <si>
    <t xml:space="preserve">August </t>
  </si>
  <si>
    <t xml:space="preserve">September </t>
  </si>
  <si>
    <t xml:space="preserve">November </t>
  </si>
  <si>
    <t>Percent Funding</t>
  </si>
  <si>
    <t>3-Year Funding</t>
  </si>
  <si>
    <t>FUND SHIFTING DOCUMENTATION PER DECISION 09-08-027 ORDERING PARAGRAPH 35</t>
  </si>
  <si>
    <t>OP 35:</t>
  </si>
  <si>
    <t>The utilities may shift up to 50% of a program funds to another program's funds to another program within the same budget category.</t>
  </si>
  <si>
    <t>The utilities shall document the amount of and reason for each shift in their monthly demand response reports.</t>
  </si>
  <si>
    <t>Fund Shift</t>
  </si>
  <si>
    <t>Rationale for Fundshift</t>
  </si>
  <si>
    <t>Programs Impacted</t>
  </si>
  <si>
    <t>Program Category</t>
  </si>
  <si>
    <t>Total</t>
  </si>
  <si>
    <t>Provide concise rationale for the fund shift in colum "Rationale for Fund Shift"</t>
  </si>
  <si>
    <t>Fundshift Adjustments (a)</t>
  </si>
  <si>
    <t>(a) See "Fund Shift Log" for explanations.</t>
  </si>
  <si>
    <t>Year-to-Date Program Expenditures</t>
  </si>
  <si>
    <t>Year-to-Date Event Summary</t>
  </si>
  <si>
    <t>General Program</t>
  </si>
  <si>
    <t>PLP</t>
  </si>
  <si>
    <t>BIP - 30 minute option</t>
  </si>
  <si>
    <t>CPP-D</t>
  </si>
  <si>
    <t>Summer Saver Residential</t>
  </si>
  <si>
    <t>Summer Saver Commercial</t>
  </si>
  <si>
    <t xml:space="preserve">CBP - Day-Ahead </t>
  </si>
  <si>
    <t xml:space="preserve">CBP - Day-Of </t>
  </si>
  <si>
    <t>All C &amp; I customers &gt; 100kW</t>
  </si>
  <si>
    <t>All non-residential customers with interval meter</t>
  </si>
  <si>
    <t>n/a</t>
  </si>
  <si>
    <t>Residential customers with AC</t>
  </si>
  <si>
    <t>Commercial Customers &lt; 100kw</t>
  </si>
  <si>
    <t>Programs in General Rate Case</t>
  </si>
  <si>
    <t>Administrative (O&amp;M)</t>
  </si>
  <si>
    <t xml:space="preserve">AL-TOU-CP </t>
  </si>
  <si>
    <t>Peak Generation (RBRP)</t>
  </si>
  <si>
    <t xml:space="preserve">  Total Administrative (O&amp;M)</t>
  </si>
  <si>
    <t>Capital</t>
  </si>
  <si>
    <t>Peak Generation (RBRP) (1)</t>
  </si>
  <si>
    <t xml:space="preserve">  Total Capital</t>
  </si>
  <si>
    <t>Measurement and Evaluation</t>
  </si>
  <si>
    <t xml:space="preserve">Peak Generation (RBRP) </t>
  </si>
  <si>
    <t>Total M&amp;E</t>
  </si>
  <si>
    <t>Customer Incentives</t>
  </si>
  <si>
    <t>AL-TOU-CP (2)</t>
  </si>
  <si>
    <t>Total Customer Incentives</t>
  </si>
  <si>
    <t xml:space="preserve">Revenue from Penalties </t>
  </si>
  <si>
    <t>Total GRC Program Costs</t>
  </si>
  <si>
    <t>(1) Capital costs for meters provided free to customers and charged to the programs.</t>
  </si>
  <si>
    <t>Year-to-Date Cost</t>
  </si>
  <si>
    <t>% of Budget</t>
  </si>
  <si>
    <t>Base Interruptible Program</t>
  </si>
  <si>
    <t>CPP-Emergency</t>
  </si>
  <si>
    <t>Technology Incentives</t>
  </si>
  <si>
    <t>Technology Assistance</t>
  </si>
  <si>
    <t>Customer Education, Awareness &amp; Outreach</t>
  </si>
  <si>
    <t>Emerging Markets/Technologies</t>
  </si>
  <si>
    <t>Celerity **</t>
  </si>
  <si>
    <t>Summer Saver **</t>
  </si>
  <si>
    <t>Permanent Load Shifting</t>
  </si>
  <si>
    <t>RACT</t>
  </si>
  <si>
    <t xml:space="preserve">  Total Administrative (O&amp;M) </t>
  </si>
  <si>
    <t xml:space="preserve">Capital </t>
  </si>
  <si>
    <t>Emerging Markets</t>
  </si>
  <si>
    <t xml:space="preserve">  Total Capital </t>
  </si>
  <si>
    <t xml:space="preserve">Measurement and Evaluation </t>
  </si>
  <si>
    <t xml:space="preserve">Summer Saver </t>
  </si>
  <si>
    <t>General Administration</t>
  </si>
  <si>
    <t xml:space="preserve">Total M&amp;E </t>
  </si>
  <si>
    <t xml:space="preserve">Base Interruptible Program </t>
  </si>
  <si>
    <t xml:space="preserve">Celerity </t>
  </si>
  <si>
    <t xml:space="preserve">Total </t>
  </si>
  <si>
    <t>AMDRMA Account End of Month Balance for WG2</t>
  </si>
  <si>
    <t>** Budgeted under a different proceeding</t>
  </si>
  <si>
    <t>Base Interruptible Program (BIP)</t>
  </si>
  <si>
    <t>Capacity Bidding Program (CBP)</t>
  </si>
  <si>
    <t>Technical Assistance (TA)</t>
  </si>
  <si>
    <t>Technical Incentives (TI)</t>
  </si>
  <si>
    <t>Emerging Technologies (ET)</t>
  </si>
  <si>
    <t>Ex Ante Estimated MW</t>
  </si>
  <si>
    <t>Ex Post Estimated MW</t>
  </si>
  <si>
    <t>Price Response</t>
  </si>
  <si>
    <t>Average Ex Ante Load Impact kW / Customer</t>
  </si>
  <si>
    <t>Eligibility Criteria (Refer to tariff for specifics)</t>
  </si>
  <si>
    <t>Average Ex Post Load Impact kW / Customer</t>
  </si>
  <si>
    <t>Detailed Breakdown of MWs To Date in TA/Auto DR/TI Programs</t>
  </si>
  <si>
    <t>TA Identified MWs</t>
  </si>
  <si>
    <t>Auto DR Verified MWs</t>
  </si>
  <si>
    <t>TI Verified MWs</t>
  </si>
  <si>
    <t>Total Technology MWs</t>
  </si>
  <si>
    <t>CBP</t>
  </si>
  <si>
    <t>-</t>
  </si>
  <si>
    <t xml:space="preserve">  </t>
  </si>
  <si>
    <t>TA (may also be enrolled in TI and AutoDR)</t>
  </si>
  <si>
    <t>Total TA MWs</t>
  </si>
  <si>
    <t>N/A</t>
  </si>
  <si>
    <t>AMP</t>
  </si>
  <si>
    <t>DBP</t>
  </si>
  <si>
    <t>Peak Choice - Best Effort</t>
  </si>
  <si>
    <t>Peak Choice - Committed</t>
  </si>
  <si>
    <t>Represents "Identified MW" from TA Program participants' service accounts from completed TA audits.</t>
  </si>
  <si>
    <t>AutoDR Verified MWs</t>
  </si>
  <si>
    <t>Represents verified i.e.tested MW for service accounts that participate in Auto DR.</t>
  </si>
  <si>
    <t>Represents verified MW for service accounts that participated in Technology Incentives (TI). Customer service accounts must be enrolled in a DR program however not in AutoDR. MW reported in this column are not necessarily the amount enrolled in a DR Program.</t>
  </si>
  <si>
    <t>Represents the sum of verified MWs associated with the service accounts that participated in TI plus Auto DR programs.</t>
  </si>
  <si>
    <t>General Program category</t>
  </si>
  <si>
    <t xml:space="preserve">Represents MW of participants in the TA stage i.e."Identified MW". </t>
  </si>
  <si>
    <t xml:space="preserve">Estimated Average Ex Post Load Impact kW / Customer = Average kW / Customer service account over all actual event hours for the preceeding year when or if events occurred. </t>
  </si>
  <si>
    <t>None</t>
  </si>
  <si>
    <t xml:space="preserve">Load Reduction     kW </t>
  </si>
  <si>
    <t>Program Tolled Hours (Annual)</t>
  </si>
  <si>
    <t>WMP</t>
  </si>
  <si>
    <t>Effective May 23, 2011 The DemandSMART Agreement was mutually terminated.</t>
  </si>
  <si>
    <t>CEAO-IDSM</t>
  </si>
  <si>
    <t>*** General Admin Overhead will be allocated when a final budget is approved.</t>
  </si>
  <si>
    <t>General Admin***</t>
  </si>
  <si>
    <t>Information Technology***</t>
  </si>
  <si>
    <t xml:space="preserve">Effective Dec 31, 2011, Demand Response Wholesale Market Program was terminated. </t>
  </si>
  <si>
    <t>PTR</t>
  </si>
  <si>
    <t>Research</t>
  </si>
  <si>
    <t>Other Local Marketing</t>
  </si>
  <si>
    <t>2012 Expenditures</t>
  </si>
  <si>
    <t>Program-to-Date Total Expenditures 2012-2014</t>
  </si>
  <si>
    <t>Category 1:  Reliability Programs</t>
  </si>
  <si>
    <t>Peak Time Rebate (PTR)</t>
  </si>
  <si>
    <t>Category 4:  Emerging &amp; Enabling Technologies</t>
  </si>
  <si>
    <t>Small Customer Technology Incentives (SCTD)</t>
  </si>
  <si>
    <t xml:space="preserve">Category 5:  Pilots </t>
  </si>
  <si>
    <t>Locational DR</t>
  </si>
  <si>
    <t>New Construction DR</t>
  </si>
  <si>
    <t>Category 6:  Evaluation, Measurement &amp; Verification</t>
  </si>
  <si>
    <t>DRMEC</t>
  </si>
  <si>
    <t>Category 7:  Marketing Education &amp; Outreach</t>
  </si>
  <si>
    <t>Category 8:  DR System Support Activities</t>
  </si>
  <si>
    <t>Regulatory Policy &amp; Program Support</t>
  </si>
  <si>
    <t>IT Infrastructure &amp; System Support</t>
  </si>
  <si>
    <t>Category 9:  Integrated Programs and Activities</t>
  </si>
  <si>
    <t>Customer, Education &amp; Outreach - IDSM</t>
  </si>
  <si>
    <t>Category 10:  Special Projects</t>
  </si>
  <si>
    <t>D.12-04-045</t>
  </si>
  <si>
    <t>SCTD</t>
  </si>
  <si>
    <t>LDR</t>
  </si>
  <si>
    <t>NCDRP</t>
  </si>
  <si>
    <t>Demand Bidding</t>
  </si>
  <si>
    <t>Reliability Programs</t>
  </si>
  <si>
    <t>Demand Bidding Program</t>
  </si>
  <si>
    <t>To fund the Demand Bidding Program per AL. 2370-E</t>
  </si>
  <si>
    <t>Price-Responsive Programs</t>
  </si>
  <si>
    <t>Peak Time Rebate (A)</t>
  </si>
  <si>
    <t>To fund PTR(A) per AL. 2351-E</t>
  </si>
  <si>
    <t>PTR-A</t>
  </si>
  <si>
    <t>;</t>
  </si>
  <si>
    <t>2012- 2014 Funding Cycle Customer Communication, Marketing, and Outreach</t>
  </si>
  <si>
    <t>2012-2014 Total Expenditures</t>
  </si>
  <si>
    <t>Authorized Budget (if Applicable)</t>
  </si>
  <si>
    <t>Carryover Expenditures to Date 2012 - 2014</t>
  </si>
  <si>
    <t xml:space="preserve">I. STATEWIDE MARKETING </t>
  </si>
  <si>
    <t>Statewide ME&amp;O contract</t>
  </si>
  <si>
    <t xml:space="preserve">I. TOTAL STATEWIDE MARKETING </t>
  </si>
  <si>
    <t>II. UTILITY MARKETING BY ACTIVITY * (1)</t>
  </si>
  <si>
    <t>TOTAL AUTHORIZED UTILITY MARKETING BUDGET FOR 2012-2014</t>
  </si>
  <si>
    <t>Technical Incentives</t>
  </si>
  <si>
    <t>Customer Research</t>
  </si>
  <si>
    <t>Collateral- Development, Printing, Distribution etc. (all non-labor costs)</t>
  </si>
  <si>
    <t>Paid Media</t>
  </si>
  <si>
    <t>Other Costs</t>
  </si>
  <si>
    <t>Labor</t>
  </si>
  <si>
    <t>II. TOTAL UTILITY MARKETING BY ACTIVITY</t>
  </si>
  <si>
    <t xml:space="preserve">III. UTILITY MARKETING BY ITEMIZED COST </t>
  </si>
  <si>
    <t xml:space="preserve">III. TOTAL UTILITY MARKETING BY ITEMIZED COST </t>
  </si>
  <si>
    <t>IV. UTILITY MARKETING BY CUSTOMER SEGMENT</t>
  </si>
  <si>
    <t>Agricultrual</t>
  </si>
  <si>
    <t>Large Commercial and Industrial</t>
  </si>
  <si>
    <t>Small and Medium Commercial</t>
  </si>
  <si>
    <t>Residential</t>
  </si>
  <si>
    <t>IV. TOTAL UTILITY MARKETING BY CUSTOMER SEGMENT</t>
  </si>
  <si>
    <t>SAN DIEGO GAS AND ELECTRIC</t>
  </si>
  <si>
    <r>
      <t>PROGRAMS, RATES &amp; ACTIVITES WHICH DO NOT REQUIRE ITEMIZED ACCOUNTING</t>
    </r>
    <r>
      <rPr>
        <b/>
        <vertAlign val="superscript"/>
        <sz val="10"/>
        <rFont val="Calibri"/>
        <family val="2"/>
      </rPr>
      <t xml:space="preserve"> 1,2</t>
    </r>
  </si>
  <si>
    <t>Small Customer Technology Deployment</t>
  </si>
  <si>
    <t>Customer Awareness, Education and Outreach (CEAO - DR)</t>
  </si>
  <si>
    <t xml:space="preserve">Integrated Demand Side Marketing (CEAO - IDSM) </t>
  </si>
  <si>
    <r>
      <t>PROGRAMS &amp; RATES WHICH REQUIRE ITEMIZED ACCOUNTING</t>
    </r>
    <r>
      <rPr>
        <b/>
        <vertAlign val="superscript"/>
        <sz val="10"/>
        <rFont val="Calibri"/>
        <family val="2"/>
      </rPr>
      <t xml:space="preserve"> 3,4  </t>
    </r>
  </si>
  <si>
    <t xml:space="preserve">Reduce Your Use (PTR) </t>
  </si>
  <si>
    <r>
      <t>1</t>
    </r>
    <r>
      <rPr>
        <sz val="9"/>
        <rFont val="Calibri"/>
        <family val="2"/>
      </rPr>
      <t xml:space="preserve"> Programs, Rates &amp; Activities does not include "Marketing My Account/Energy and Integrated Online Audit Tools" - the 2012 ICEAT program is funded through D.09-09-047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</si>
  <si>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Programs, Rates &amp; Activities does not include "Critical Peak Pricing &gt; 200kW" (CPP-D) as program funding is not approved or directed in D.12-04-045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</si>
  <si>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Programs, Rates &amp; Activities does not include SDG&amp;E's Summer Saver program as program funding is not approved or directed in D.12-04-045</t>
    </r>
  </si>
  <si>
    <r>
      <rPr>
        <vertAlign val="superscript"/>
        <sz val="9"/>
        <rFont val="Calibri"/>
        <family val="2"/>
      </rPr>
      <t>4</t>
    </r>
    <r>
      <rPr>
        <sz val="9"/>
        <rFont val="Calibri"/>
        <family val="2"/>
      </rPr>
      <t xml:space="preserve"> Programs, Rates &amp; Activities does not include "Critical Peak Pricing &lt; 200kW" as program funding is not approved or directed in D.12-04-045</t>
    </r>
  </si>
  <si>
    <t>PTR Residential</t>
  </si>
  <si>
    <t>Eligible Accounts as of Aug 31, 2012</t>
  </si>
  <si>
    <t>Non-residential customers &gt; 20kw</t>
  </si>
  <si>
    <t xml:space="preserve">All residential customers </t>
  </si>
  <si>
    <t>Summer Saver</t>
  </si>
  <si>
    <t>Marketing Education &amp; Outreach</t>
  </si>
  <si>
    <t>Flex Alert</t>
  </si>
  <si>
    <t>Customer Eduacation and Outreach</t>
  </si>
  <si>
    <t>To support SDG&amp;E Marketing outreach for Summer 2012</t>
  </si>
  <si>
    <t>PTR Jul-Sept updated for Incentives (12/17/2012)</t>
  </si>
  <si>
    <t>SW-COM-Customer Services (TA)</t>
  </si>
  <si>
    <t>SW-IND-Customer Services (TA)</t>
  </si>
  <si>
    <t>SW-AG-Customer Services (TA)</t>
  </si>
  <si>
    <t>SW-ME&amp;O</t>
  </si>
  <si>
    <t>Local-IDSM-ME&amp;O-Behavioral Programs</t>
  </si>
  <si>
    <t>SW-CALS-Energy Advisor-HEES</t>
  </si>
  <si>
    <t>Local-IDSM-ME&amp;O-Local Marketing</t>
  </si>
  <si>
    <t>small customer technology deployment</t>
  </si>
  <si>
    <t>Year-to Date 2013 Expenditures</t>
  </si>
  <si>
    <r>
      <t xml:space="preserve">IOU Administrative Costs </t>
    </r>
    <r>
      <rPr>
        <vertAlign val="superscript"/>
        <sz val="10"/>
        <rFont val="Calibri"/>
        <family val="2"/>
      </rPr>
      <t>5</t>
    </r>
  </si>
  <si>
    <r>
      <rPr>
        <vertAlign val="superscript"/>
        <sz val="9"/>
        <rFont val="Calibri"/>
        <family val="2"/>
      </rPr>
      <t>5</t>
    </r>
    <r>
      <rPr>
        <sz val="9"/>
        <rFont val="Calibri"/>
        <family val="2"/>
      </rPr>
      <t xml:space="preserve"> Negative dollars in February are due to an accrual reversal.  Still awaiting actual invoice for payment.</t>
    </r>
  </si>
  <si>
    <r>
      <t xml:space="preserve">Flex Alert Network 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</si>
  <si>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Negative dollars in February are due to an accrual reversal.  Still awaiting actual invoice for payment.</t>
    </r>
  </si>
  <si>
    <t xml:space="preserve">DBP </t>
  </si>
  <si>
    <r>
      <t xml:space="preserve">Statewide Marketing - Flex Alert Network (FAN) </t>
    </r>
    <r>
      <rPr>
        <vertAlign val="superscript"/>
        <sz val="10"/>
        <rFont val="Arial"/>
        <family val="2"/>
      </rPr>
      <t>1</t>
    </r>
  </si>
  <si>
    <t xml:space="preserve">Local IDSM </t>
  </si>
  <si>
    <t xml:space="preserve">Estimated Average Ex Ante Load Impact kW/Customer = Average kW / Customer, under 1-in-2 weather conditions, of an event that would occur from 1 - 6 pm on the system peak day of the month, as reported in the load impact reports filed in April 2013. </t>
  </si>
  <si>
    <t>Eligible Accounts</t>
  </si>
  <si>
    <t>Non-residential customers who can provide load reduciton &gt; 5 MW</t>
  </si>
  <si>
    <t>SW-COM-Customer Services</t>
  </si>
  <si>
    <t>SW-IND-Customer Services</t>
  </si>
  <si>
    <t>SW-AG-Customer Services</t>
  </si>
  <si>
    <t>Capacity Bidding Program - Day of</t>
  </si>
  <si>
    <t>Met Price Triggers</t>
  </si>
  <si>
    <t>2pm-6pm</t>
  </si>
  <si>
    <t>Capacity Bidding Program - Day Ahead</t>
  </si>
  <si>
    <t>3pm-7pm</t>
  </si>
  <si>
    <t>Summer Saver Program</t>
  </si>
  <si>
    <t>At discretion of Utility</t>
  </si>
  <si>
    <t>Critical Peak Pricing - Default</t>
  </si>
  <si>
    <t>11am-6pm</t>
  </si>
  <si>
    <t>1pm-5pm</t>
  </si>
  <si>
    <t>12pm-4pm</t>
  </si>
  <si>
    <t xml:space="preserve">Reduce your Use </t>
  </si>
  <si>
    <t>;l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</si>
</sst>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  <numFmt numFmtId="165" formatCode="#,##0.0_);[Red]\(#,##0.0\)"/>
    <numFmt numFmtId="166" formatCode="#,##0.0"/>
    <numFmt numFmtId="167" formatCode="0.0%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_);_(* \(#,##0\);_(* &quot;-&quot;??_);_(@_)"/>
    <numFmt numFmtId="171" formatCode="mm/dd/yy;@"/>
    <numFmt numFmtId="172" formatCode="0.0"/>
    <numFmt numFmtId="173" formatCode="0.0_);[Red]\(0.0\)"/>
    <numFmt numFmtId="174" formatCode="_(* #,##0.0_);_(* \(#,##0.0\);_(* &quot;-&quot;_);_(@_)"/>
    <numFmt numFmtId="175" formatCode="_(&quot;$&quot;* #,##0.0_);_(&quot;$&quot;* \(#,##0.0\);_(&quot;$&quot;* &quot;-&quot;??_);_(@_)"/>
  </numFmts>
  <fonts count="5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color indexed="3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trike/>
      <sz val="10"/>
      <color indexed="8"/>
      <name val="Arial"/>
      <family val="2"/>
    </font>
    <font>
      <strike/>
      <sz val="10"/>
      <color indexed="8"/>
      <name val="Arial"/>
      <family val="2"/>
    </font>
    <font>
      <sz val="9"/>
      <name val="Tahoma"/>
      <family val="2"/>
    </font>
    <font>
      <sz val="10"/>
      <name val="Arial"/>
      <family val="2"/>
    </font>
    <font>
      <sz val="11"/>
      <color indexed="56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vertAlign val="superscript"/>
      <sz val="10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1F497D"/>
      <name val="Calibri"/>
      <family val="2"/>
    </font>
    <font>
      <vertAlign val="superscript"/>
      <sz val="10"/>
      <name val="Calibri"/>
      <family val="2"/>
    </font>
    <font>
      <vertAlign val="superscript"/>
      <sz val="1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4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8" borderId="0" applyNumberFormat="0" applyBorder="0" applyAlignment="0" applyProtection="0"/>
    <xf numFmtId="0" fontId="7" fillId="27" borderId="0" applyNumberFormat="0" applyBorder="0" applyAlignment="0" applyProtection="0"/>
    <xf numFmtId="0" fontId="9" fillId="18" borderId="0" applyNumberFormat="0" applyBorder="0" applyAlignment="0" applyProtection="0"/>
    <xf numFmtId="0" fontId="10" fillId="28" borderId="1" applyNumberFormat="0" applyAlignment="0" applyProtection="0"/>
    <xf numFmtId="0" fontId="11" fillId="19" borderId="2" applyNumberFormat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7" borderId="1" applyNumberFormat="0" applyAlignment="0" applyProtection="0"/>
    <xf numFmtId="0" fontId="19" fillId="0" borderId="6" applyNumberFormat="0" applyFill="0" applyAlignment="0" applyProtection="0"/>
    <xf numFmtId="0" fontId="20" fillId="27" borderId="0" applyNumberFormat="0" applyBorder="0" applyAlignment="0" applyProtection="0"/>
    <xf numFmtId="0" fontId="1" fillId="0" borderId="0"/>
    <xf numFmtId="0" fontId="3" fillId="0" borderId="0"/>
    <xf numFmtId="0" fontId="1" fillId="26" borderId="7" applyNumberFormat="0" applyFont="0" applyAlignment="0" applyProtection="0"/>
    <xf numFmtId="0" fontId="21" fillId="28" borderId="8" applyNumberFormat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2" fillId="33" borderId="9" applyNumberFormat="0" applyProtection="0">
      <alignment vertical="center"/>
    </xf>
    <xf numFmtId="4" fontId="23" fillId="33" borderId="9" applyNumberFormat="0" applyProtection="0">
      <alignment vertical="center"/>
    </xf>
    <xf numFmtId="4" fontId="22" fillId="33" borderId="9" applyNumberFormat="0" applyProtection="0">
      <alignment horizontal="left" vertical="center" indent="1"/>
    </xf>
    <xf numFmtId="0" fontId="22" fillId="33" borderId="9" applyNumberFormat="0" applyProtection="0">
      <alignment horizontal="left" vertical="top" indent="1"/>
    </xf>
    <xf numFmtId="4" fontId="22" fillId="2" borderId="0" applyNumberFormat="0" applyProtection="0">
      <alignment horizontal="left" vertical="center" indent="1"/>
    </xf>
    <xf numFmtId="4" fontId="5" fillId="7" borderId="9" applyNumberFormat="0" applyProtection="0">
      <alignment horizontal="right" vertical="center"/>
    </xf>
    <xf numFmtId="4" fontId="5" fillId="3" borderId="9" applyNumberFormat="0" applyProtection="0">
      <alignment horizontal="right" vertical="center"/>
    </xf>
    <xf numFmtId="4" fontId="5" fillId="34" borderId="9" applyNumberFormat="0" applyProtection="0">
      <alignment horizontal="right" vertical="center"/>
    </xf>
    <xf numFmtId="4" fontId="5" fillId="35" borderId="9" applyNumberFormat="0" applyProtection="0">
      <alignment horizontal="right" vertical="center"/>
    </xf>
    <xf numFmtId="4" fontId="5" fillId="36" borderId="9" applyNumberFormat="0" applyProtection="0">
      <alignment horizontal="right" vertical="center"/>
    </xf>
    <xf numFmtId="4" fontId="5" fillId="37" borderId="9" applyNumberFormat="0" applyProtection="0">
      <alignment horizontal="right" vertical="center"/>
    </xf>
    <xf numFmtId="4" fontId="5" fillId="9" borderId="9" applyNumberFormat="0" applyProtection="0">
      <alignment horizontal="right" vertical="center"/>
    </xf>
    <xf numFmtId="4" fontId="5" fillId="38" borderId="9" applyNumberFormat="0" applyProtection="0">
      <alignment horizontal="right" vertical="center"/>
    </xf>
    <xf numFmtId="4" fontId="5" fillId="39" borderId="9" applyNumberFormat="0" applyProtection="0">
      <alignment horizontal="right" vertical="center"/>
    </xf>
    <xf numFmtId="4" fontId="22" fillId="40" borderId="10" applyNumberFormat="0" applyProtection="0">
      <alignment horizontal="left" vertical="center" indent="1"/>
    </xf>
    <xf numFmtId="4" fontId="5" fillId="41" borderId="0" applyNumberFormat="0" applyProtection="0">
      <alignment horizontal="left" vertical="center" indent="1"/>
    </xf>
    <xf numFmtId="4" fontId="24" fillId="8" borderId="0" applyNumberFormat="0" applyProtection="0">
      <alignment horizontal="left" vertical="center" indent="1"/>
    </xf>
    <xf numFmtId="4" fontId="5" fillId="2" borderId="9" applyNumberFormat="0" applyProtection="0">
      <alignment horizontal="right" vertical="center"/>
    </xf>
    <xf numFmtId="4" fontId="3" fillId="41" borderId="0" applyNumberFormat="0" applyProtection="0">
      <alignment horizontal="left" vertical="center" indent="1"/>
    </xf>
    <xf numFmtId="4" fontId="3" fillId="2" borderId="0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top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top" indent="1"/>
    </xf>
    <xf numFmtId="0" fontId="1" fillId="6" borderId="9" applyNumberFormat="0" applyProtection="0">
      <alignment horizontal="left" vertical="center" indent="1"/>
    </xf>
    <xf numFmtId="0" fontId="1" fillId="6" borderId="9" applyNumberFormat="0" applyProtection="0">
      <alignment horizontal="left" vertical="top" indent="1"/>
    </xf>
    <xf numFmtId="0" fontId="1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top" indent="1"/>
    </xf>
    <xf numFmtId="0" fontId="1" fillId="5" borderId="11" applyNumberFormat="0">
      <protection locked="0"/>
    </xf>
    <xf numFmtId="4" fontId="5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5" fillId="4" borderId="9" applyNumberFormat="0" applyProtection="0">
      <alignment horizontal="left" vertical="center" indent="1"/>
    </xf>
    <xf numFmtId="0" fontId="5" fillId="4" borderId="9" applyNumberFormat="0" applyProtection="0">
      <alignment horizontal="left" vertical="top" indent="1"/>
    </xf>
    <xf numFmtId="4" fontId="5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5" fillId="2" borderId="9" applyNumberFormat="0" applyProtection="0">
      <alignment horizontal="left" vertical="center" indent="1"/>
    </xf>
    <xf numFmtId="0" fontId="5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29" fillId="0" borderId="0" applyNumberFormat="0" applyFill="0" applyBorder="0" applyAlignment="0" applyProtection="0"/>
  </cellStyleXfs>
  <cellXfs count="457">
    <xf numFmtId="0" fontId="0" fillId="0" borderId="0" xfId="0"/>
    <xf numFmtId="0" fontId="0" fillId="0" borderId="0" xfId="0" applyBorder="1"/>
    <xf numFmtId="0" fontId="0" fillId="0" borderId="13" xfId="0" applyBorder="1"/>
    <xf numFmtId="0" fontId="0" fillId="0" borderId="13" xfId="0" applyFill="1" applyBorder="1"/>
    <xf numFmtId="0" fontId="0" fillId="0" borderId="0" xfId="0" applyFill="1"/>
    <xf numFmtId="0" fontId="2" fillId="0" borderId="14" xfId="0" applyFont="1" applyFill="1" applyBorder="1" applyAlignment="1">
      <alignment horizontal="center"/>
    </xf>
    <xf numFmtId="0" fontId="0" fillId="0" borderId="15" xfId="0" applyFill="1" applyBorder="1"/>
    <xf numFmtId="0" fontId="3" fillId="0" borderId="0" xfId="67"/>
    <xf numFmtId="0" fontId="3" fillId="0" borderId="0" xfId="67" applyFont="1"/>
    <xf numFmtId="0" fontId="22" fillId="0" borderId="0" xfId="67" applyFont="1"/>
    <xf numFmtId="0" fontId="22" fillId="0" borderId="0" xfId="67" applyFont="1" applyAlignment="1">
      <alignment horizontal="center"/>
    </xf>
    <xf numFmtId="0" fontId="22" fillId="0" borderId="11" xfId="67" applyFont="1" applyBorder="1" applyAlignment="1">
      <alignment horizontal="center"/>
    </xf>
    <xf numFmtId="0" fontId="3" fillId="0" borderId="11" xfId="67" applyFont="1" applyBorder="1"/>
    <xf numFmtId="6" fontId="3" fillId="0" borderId="11" xfId="67" applyNumberFormat="1" applyFont="1" applyBorder="1"/>
    <xf numFmtId="14" fontId="3" fillId="0" borderId="11" xfId="67" applyNumberFormat="1" applyBorder="1"/>
    <xf numFmtId="0" fontId="3" fillId="0" borderId="11" xfId="67" applyBorder="1"/>
    <xf numFmtId="6" fontId="3" fillId="0" borderId="11" xfId="67" applyNumberFormat="1" applyBorder="1"/>
    <xf numFmtId="0" fontId="22" fillId="0" borderId="11" xfId="67" applyFont="1" applyBorder="1"/>
    <xf numFmtId="6" fontId="22" fillId="0" borderId="11" xfId="67" applyNumberFormat="1" applyFont="1" applyBorder="1"/>
    <xf numFmtId="0" fontId="2" fillId="0" borderId="0" xfId="0" applyFont="1" applyFill="1"/>
    <xf numFmtId="0" fontId="2" fillId="0" borderId="11" xfId="0" applyFont="1" applyFill="1" applyBorder="1" applyAlignment="1">
      <alignment horizontal="center"/>
    </xf>
    <xf numFmtId="0" fontId="1" fillId="0" borderId="0" xfId="0" applyFont="1" applyProtection="1"/>
    <xf numFmtId="0" fontId="1" fillId="0" borderId="16" xfId="0" applyFont="1" applyBorder="1" applyProtection="1"/>
    <xf numFmtId="0" fontId="32" fillId="0" borderId="17" xfId="0" applyFont="1" applyBorder="1" applyAlignment="1" applyProtection="1"/>
    <xf numFmtId="0" fontId="32" fillId="0" borderId="11" xfId="0" applyFont="1" applyBorder="1" applyProtection="1"/>
    <xf numFmtId="0" fontId="32" fillId="0" borderId="18" xfId="0" applyFont="1" applyBorder="1" applyAlignment="1" applyProtection="1">
      <alignment horizontal="center" wrapText="1"/>
    </xf>
    <xf numFmtId="0" fontId="32" fillId="0" borderId="11" xfId="0" applyFont="1" applyBorder="1" applyAlignment="1" applyProtection="1">
      <alignment horizontal="center" wrapText="1"/>
    </xf>
    <xf numFmtId="0" fontId="32" fillId="0" borderId="19" xfId="0" applyFont="1" applyBorder="1" applyAlignment="1" applyProtection="1">
      <alignment horizontal="center" wrapText="1"/>
    </xf>
    <xf numFmtId="0" fontId="32" fillId="0" borderId="20" xfId="0" applyFont="1" applyBorder="1" applyAlignment="1" applyProtection="1">
      <alignment horizontal="center" wrapText="1"/>
    </xf>
    <xf numFmtId="0" fontId="32" fillId="0" borderId="21" xfId="0" applyFont="1" applyBorder="1" applyAlignment="1" applyProtection="1">
      <alignment horizontal="center" wrapText="1"/>
    </xf>
    <xf numFmtId="0" fontId="32" fillId="0" borderId="11" xfId="0" applyFont="1" applyFill="1" applyBorder="1" applyAlignment="1" applyProtection="1">
      <alignment horizontal="left"/>
    </xf>
    <xf numFmtId="0" fontId="32" fillId="0" borderId="18" xfId="0" applyFont="1" applyBorder="1" applyAlignment="1" applyProtection="1">
      <alignment horizontal="center"/>
    </xf>
    <xf numFmtId="0" fontId="32" fillId="0" borderId="19" xfId="0" applyFont="1" applyBorder="1" applyAlignment="1" applyProtection="1">
      <alignment horizontal="center"/>
    </xf>
    <xf numFmtId="3" fontId="34" fillId="0" borderId="17" xfId="0" applyNumberFormat="1" applyFont="1" applyFill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wrapText="1"/>
    </xf>
    <xf numFmtId="38" fontId="34" fillId="0" borderId="17" xfId="0" applyNumberFormat="1" applyFont="1" applyFill="1" applyBorder="1" applyAlignment="1" applyProtection="1">
      <alignment horizontal="center"/>
      <protection locked="0"/>
    </xf>
    <xf numFmtId="3" fontId="1" fillId="0" borderId="13" xfId="0" applyNumberFormat="1" applyFont="1" applyBorder="1" applyAlignment="1" applyProtection="1">
      <alignment wrapText="1"/>
    </xf>
    <xf numFmtId="0" fontId="32" fillId="0" borderId="23" xfId="0" applyFont="1" applyFill="1" applyBorder="1" applyProtection="1"/>
    <xf numFmtId="3" fontId="1" fillId="0" borderId="24" xfId="0" applyNumberFormat="1" applyFont="1" applyFill="1" applyBorder="1" applyAlignment="1" applyProtection="1">
      <alignment horizontal="center"/>
    </xf>
    <xf numFmtId="2" fontId="1" fillId="0" borderId="24" xfId="0" applyNumberFormat="1" applyFont="1" applyFill="1" applyBorder="1" applyAlignment="1" applyProtection="1">
      <alignment horizontal="center"/>
    </xf>
    <xf numFmtId="165" fontId="1" fillId="0" borderId="25" xfId="0" applyNumberFormat="1" applyFont="1" applyFill="1" applyBorder="1" applyAlignment="1" applyProtection="1">
      <alignment horizontal="center"/>
    </xf>
    <xf numFmtId="165" fontId="1" fillId="0" borderId="24" xfId="0" applyNumberFormat="1" applyFont="1" applyFill="1" applyBorder="1" applyAlignment="1" applyProtection="1">
      <alignment horizontal="center"/>
    </xf>
    <xf numFmtId="3" fontId="32" fillId="0" borderId="18" xfId="0" applyNumberFormat="1" applyFont="1" applyFill="1" applyBorder="1" applyAlignment="1" applyProtection="1">
      <alignment horizontal="center" wrapText="1"/>
    </xf>
    <xf numFmtId="0" fontId="32" fillId="0" borderId="26" xfId="0" applyFont="1" applyFill="1" applyBorder="1" applyAlignment="1" applyProtection="1">
      <alignment horizontal="center"/>
    </xf>
    <xf numFmtId="3" fontId="32" fillId="0" borderId="20" xfId="0" applyNumberFormat="1" applyFont="1" applyFill="1" applyBorder="1" applyAlignment="1" applyProtection="1">
      <alignment horizontal="center" wrapText="1"/>
    </xf>
    <xf numFmtId="2" fontId="32" fillId="0" borderId="18" xfId="0" applyNumberFormat="1" applyFont="1" applyFill="1" applyBorder="1" applyAlignment="1" applyProtection="1">
      <alignment horizontal="center" wrapText="1"/>
    </xf>
    <xf numFmtId="0" fontId="32" fillId="0" borderId="19" xfId="0" applyFont="1" applyFill="1" applyBorder="1" applyAlignment="1" applyProtection="1">
      <alignment horizontal="center"/>
    </xf>
    <xf numFmtId="165" fontId="1" fillId="0" borderId="0" xfId="0" applyNumberFormat="1" applyFont="1" applyBorder="1" applyProtection="1"/>
    <xf numFmtId="3" fontId="34" fillId="0" borderId="27" xfId="0" applyNumberFormat="1" applyFont="1" applyFill="1" applyBorder="1" applyAlignment="1" applyProtection="1">
      <alignment horizontal="center"/>
      <protection locked="0"/>
    </xf>
    <xf numFmtId="3" fontId="34" fillId="0" borderId="0" xfId="0" applyNumberFormat="1" applyFont="1" applyFill="1" applyBorder="1" applyAlignment="1" applyProtection="1">
      <alignment horizontal="center"/>
      <protection locked="0"/>
    </xf>
    <xf numFmtId="38" fontId="34" fillId="0" borderId="0" xfId="0" applyNumberFormat="1" applyFont="1" applyFill="1" applyBorder="1" applyAlignment="1" applyProtection="1">
      <alignment horizontal="center"/>
      <protection locked="0"/>
    </xf>
    <xf numFmtId="172" fontId="1" fillId="0" borderId="24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Border="1" applyProtection="1"/>
    <xf numFmtId="0" fontId="32" fillId="0" borderId="28" xfId="0" applyFont="1" applyFill="1" applyBorder="1" applyProtection="1"/>
    <xf numFmtId="166" fontId="1" fillId="0" borderId="29" xfId="0" applyNumberFormat="1" applyFont="1" applyBorder="1" applyAlignment="1" applyProtection="1">
      <alignment horizontal="center"/>
    </xf>
    <xf numFmtId="173" fontId="1" fillId="0" borderId="30" xfId="0" applyNumberFormat="1" applyFont="1" applyFill="1" applyBorder="1" applyAlignment="1" applyProtection="1">
      <alignment horizontal="center"/>
    </xf>
    <xf numFmtId="3" fontId="1" fillId="0" borderId="31" xfId="0" applyNumberFormat="1" applyFont="1" applyBorder="1" applyAlignment="1" applyProtection="1">
      <alignment horizontal="center"/>
    </xf>
    <xf numFmtId="165" fontId="1" fillId="0" borderId="32" xfId="0" applyNumberFormat="1" applyFont="1" applyBorder="1" applyAlignment="1" applyProtection="1">
      <alignment horizontal="center"/>
    </xf>
    <xf numFmtId="165" fontId="1" fillId="0" borderId="32" xfId="0" applyNumberFormat="1" applyFont="1" applyFill="1" applyBorder="1" applyAlignment="1" applyProtection="1">
      <alignment horizontal="center"/>
    </xf>
    <xf numFmtId="0" fontId="32" fillId="0" borderId="0" xfId="0" applyFont="1" applyFill="1" applyBorder="1" applyProtection="1"/>
    <xf numFmtId="3" fontId="1" fillId="0" borderId="0" xfId="0" applyNumberFormat="1" applyFont="1" applyBorder="1" applyAlignment="1" applyProtection="1">
      <alignment horizontal="center"/>
    </xf>
    <xf numFmtId="166" fontId="1" fillId="0" borderId="0" xfId="0" applyNumberFormat="1" applyFont="1" applyBorder="1" applyAlignment="1" applyProtection="1">
      <alignment horizontal="center"/>
    </xf>
    <xf numFmtId="173" fontId="1" fillId="0" borderId="0" xfId="0" applyNumberFormat="1" applyFont="1" applyFill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16" xfId="0" applyFont="1" applyFill="1" applyBorder="1" applyProtection="1"/>
    <xf numFmtId="0" fontId="32" fillId="0" borderId="0" xfId="0" applyFont="1" applyFill="1" applyBorder="1" applyAlignment="1" applyProtection="1"/>
    <xf numFmtId="0" fontId="32" fillId="0" borderId="20" xfId="0" applyFont="1" applyFill="1" applyBorder="1" applyAlignment="1" applyProtection="1">
      <alignment horizontal="center" wrapText="1"/>
    </xf>
    <xf numFmtId="0" fontId="32" fillId="0" borderId="11" xfId="0" applyFont="1" applyFill="1" applyBorder="1" applyAlignment="1" applyProtection="1">
      <alignment horizontal="center" wrapText="1"/>
    </xf>
    <xf numFmtId="0" fontId="32" fillId="0" borderId="19" xfId="0" applyFont="1" applyFill="1" applyBorder="1" applyAlignment="1" applyProtection="1">
      <alignment horizontal="center" wrapText="1"/>
    </xf>
    <xf numFmtId="0" fontId="1" fillId="0" borderId="0" xfId="0" applyFont="1" applyFill="1" applyBorder="1" applyProtection="1"/>
    <xf numFmtId="0" fontId="32" fillId="0" borderId="18" xfId="0" applyFont="1" applyFill="1" applyBorder="1" applyAlignment="1" applyProtection="1">
      <alignment horizontal="center" wrapText="1"/>
    </xf>
    <xf numFmtId="3" fontId="1" fillId="0" borderId="33" xfId="0" applyNumberFormat="1" applyFont="1" applyFill="1" applyBorder="1" applyAlignment="1" applyProtection="1">
      <alignment horizontal="center"/>
    </xf>
    <xf numFmtId="165" fontId="1" fillId="0" borderId="30" xfId="0" applyNumberFormat="1" applyFont="1" applyBorder="1" applyAlignment="1" applyProtection="1">
      <alignment horizontal="center"/>
    </xf>
    <xf numFmtId="3" fontId="1" fillId="0" borderId="31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3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0" fontId="35" fillId="0" borderId="0" xfId="0" applyFont="1" applyProtection="1"/>
    <xf numFmtId="0" fontId="32" fillId="0" borderId="0" xfId="0" applyFont="1" applyAlignment="1" applyProtection="1">
      <alignment wrapText="1"/>
    </xf>
    <xf numFmtId="0" fontId="32" fillId="0" borderId="0" xfId="0" applyFont="1" applyProtection="1"/>
    <xf numFmtId="0" fontId="32" fillId="0" borderId="0" xfId="0" applyFont="1" applyFill="1" applyProtection="1"/>
    <xf numFmtId="0" fontId="36" fillId="0" borderId="0" xfId="0" applyFont="1"/>
    <xf numFmtId="43" fontId="1" fillId="0" borderId="0" xfId="46" applyFont="1" applyFill="1" applyBorder="1" applyAlignment="1">
      <alignment horizontal="left"/>
    </xf>
    <xf numFmtId="0" fontId="2" fillId="0" borderId="34" xfId="0" applyFont="1" applyFill="1" applyBorder="1" applyAlignment="1">
      <alignment horizontal="center"/>
    </xf>
    <xf numFmtId="0" fontId="2" fillId="0" borderId="34" xfId="0" applyFont="1" applyFill="1" applyBorder="1"/>
    <xf numFmtId="0" fontId="22" fillId="0" borderId="0" xfId="0" applyFont="1" applyFill="1"/>
    <xf numFmtId="0" fontId="5" fillId="0" borderId="0" xfId="0" applyFont="1" applyFill="1"/>
    <xf numFmtId="0" fontId="22" fillId="0" borderId="16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 wrapText="1"/>
    </xf>
    <xf numFmtId="0" fontId="5" fillId="0" borderId="11" xfId="0" applyFont="1" applyFill="1" applyBorder="1"/>
    <xf numFmtId="172" fontId="5" fillId="0" borderId="11" xfId="0" applyNumberFormat="1" applyFont="1" applyFill="1" applyBorder="1"/>
    <xf numFmtId="172" fontId="5" fillId="0" borderId="11" xfId="46" applyNumberFormat="1" applyFont="1" applyFill="1" applyBorder="1" applyAlignment="1">
      <alignment horizontal="right"/>
    </xf>
    <xf numFmtId="172" fontId="22" fillId="0" borderId="11" xfId="46" applyNumberFormat="1" applyFont="1" applyFill="1" applyBorder="1" applyAlignment="1">
      <alignment horizontal="right" wrapText="1"/>
    </xf>
    <xf numFmtId="166" fontId="5" fillId="0" borderId="11" xfId="46" applyNumberFormat="1" applyFont="1" applyFill="1" applyBorder="1" applyAlignment="1">
      <alignment horizontal="right"/>
    </xf>
    <xf numFmtId="166" fontId="22" fillId="0" borderId="11" xfId="0" applyNumberFormat="1" applyFont="1" applyFill="1" applyBorder="1"/>
    <xf numFmtId="166" fontId="5" fillId="0" borderId="11" xfId="0" applyNumberFormat="1" applyFont="1" applyFill="1" applyBorder="1"/>
    <xf numFmtId="172" fontId="5" fillId="0" borderId="11" xfId="0" quotePrefix="1" applyNumberFormat="1" applyFont="1" applyFill="1" applyBorder="1" applyAlignment="1">
      <alignment horizontal="center"/>
    </xf>
    <xf numFmtId="166" fontId="5" fillId="0" borderId="11" xfId="46" applyNumberFormat="1" applyFont="1" applyFill="1" applyBorder="1" applyAlignment="1">
      <alignment horizontal="right" wrapText="1"/>
    </xf>
    <xf numFmtId="0" fontId="22" fillId="0" borderId="20" xfId="0" applyFont="1" applyFill="1" applyBorder="1"/>
    <xf numFmtId="172" fontId="22" fillId="0" borderId="20" xfId="0" quotePrefix="1" applyNumberFormat="1" applyFont="1" applyFill="1" applyBorder="1" applyAlignment="1">
      <alignment horizontal="center"/>
    </xf>
    <xf numFmtId="172" fontId="22" fillId="0" borderId="20" xfId="0" applyNumberFormat="1" applyFont="1" applyFill="1" applyBorder="1"/>
    <xf numFmtId="166" fontId="22" fillId="0" borderId="20" xfId="0" applyNumberFormat="1" applyFont="1" applyFill="1" applyBorder="1"/>
    <xf numFmtId="38" fontId="5" fillId="0" borderId="11" xfId="0" applyNumberFormat="1" applyFont="1" applyFill="1" applyBorder="1"/>
    <xf numFmtId="165" fontId="22" fillId="0" borderId="11" xfId="0" applyNumberFormat="1" applyFont="1" applyFill="1" applyBorder="1" applyAlignment="1"/>
    <xf numFmtId="166" fontId="5" fillId="0" borderId="11" xfId="0" applyNumberFormat="1" applyFont="1" applyFill="1" applyBorder="1" applyAlignment="1"/>
    <xf numFmtId="0" fontId="22" fillId="0" borderId="20" xfId="0" applyFont="1" applyFill="1" applyBorder="1" applyAlignment="1">
      <alignment horizontal="center"/>
    </xf>
    <xf numFmtId="166" fontId="22" fillId="0" borderId="11" xfId="0" applyNumberFormat="1" applyFont="1" applyFill="1" applyBorder="1" applyAlignment="1">
      <alignment horizontal="center" wrapText="1"/>
    </xf>
    <xf numFmtId="166" fontId="22" fillId="0" borderId="11" xfId="0" applyNumberFormat="1" applyFont="1" applyFill="1" applyBorder="1" applyAlignment="1">
      <alignment horizontal="center"/>
    </xf>
    <xf numFmtId="166" fontId="22" fillId="0" borderId="20" xfId="0" applyNumberFormat="1" applyFont="1" applyFill="1" applyBorder="1" applyAlignment="1">
      <alignment horizontal="center"/>
    </xf>
    <xf numFmtId="172" fontId="22" fillId="0" borderId="11" xfId="46" applyNumberFormat="1" applyFont="1" applyFill="1" applyBorder="1" applyAlignment="1">
      <alignment horizontal="right"/>
    </xf>
    <xf numFmtId="166" fontId="22" fillId="0" borderId="11" xfId="0" applyNumberFormat="1" applyFont="1" applyFill="1" applyBorder="1" applyAlignment="1"/>
    <xf numFmtId="0" fontId="22" fillId="0" borderId="22" xfId="0" applyFont="1" applyFill="1" applyBorder="1"/>
    <xf numFmtId="0" fontId="22" fillId="0" borderId="27" xfId="0" applyFont="1" applyFill="1" applyBorder="1"/>
    <xf numFmtId="38" fontId="5" fillId="0" borderId="27" xfId="0" applyNumberFormat="1" applyFont="1" applyFill="1" applyBorder="1"/>
    <xf numFmtId="165" fontId="22" fillId="0" borderId="27" xfId="0" applyNumberFormat="1" applyFont="1" applyFill="1" applyBorder="1" applyAlignment="1"/>
    <xf numFmtId="166" fontId="5" fillId="0" borderId="27" xfId="0" applyNumberFormat="1" applyFont="1" applyFill="1" applyBorder="1"/>
    <xf numFmtId="166" fontId="5" fillId="0" borderId="27" xfId="0" applyNumberFormat="1" applyFont="1" applyFill="1" applyBorder="1" applyAlignment="1"/>
    <xf numFmtId="166" fontId="22" fillId="0" borderId="27" xfId="0" applyNumberFormat="1" applyFont="1" applyFill="1" applyBorder="1"/>
    <xf numFmtId="0" fontId="5" fillId="0" borderId="20" xfId="0" applyFont="1" applyFill="1" applyBorder="1"/>
    <xf numFmtId="170" fontId="5" fillId="0" borderId="18" xfId="46" applyNumberFormat="1" applyFont="1" applyFill="1" applyBorder="1" applyAlignment="1">
      <alignment horizontal="right"/>
    </xf>
    <xf numFmtId="169" fontId="22" fillId="0" borderId="18" xfId="46" applyNumberFormat="1" applyFont="1" applyFill="1" applyBorder="1" applyAlignment="1">
      <alignment horizontal="right"/>
    </xf>
    <xf numFmtId="0" fontId="5" fillId="0" borderId="18" xfId="0" applyFont="1" applyFill="1" applyBorder="1"/>
    <xf numFmtId="166" fontId="5" fillId="0" borderId="18" xfId="46" applyNumberFormat="1" applyFont="1" applyFill="1" applyBorder="1" applyAlignment="1">
      <alignment horizontal="right"/>
    </xf>
    <xf numFmtId="166" fontId="5" fillId="0" borderId="18" xfId="0" applyNumberFormat="1" applyFont="1" applyFill="1" applyBorder="1"/>
    <xf numFmtId="166" fontId="5" fillId="0" borderId="19" xfId="0" applyNumberFormat="1" applyFont="1" applyFill="1" applyBorder="1"/>
    <xf numFmtId="0" fontId="5" fillId="0" borderId="11" xfId="0" applyFont="1" applyFill="1" applyBorder="1" applyAlignment="1">
      <alignment wrapText="1" shrinkToFit="1"/>
    </xf>
    <xf numFmtId="170" fontId="5" fillId="0" borderId="11" xfId="46" applyNumberFormat="1" applyFont="1" applyFill="1" applyBorder="1" applyAlignment="1">
      <alignment horizontal="right"/>
    </xf>
    <xf numFmtId="169" fontId="22" fillId="0" borderId="11" xfId="46" applyNumberFormat="1" applyFont="1" applyFill="1" applyBorder="1" applyAlignment="1">
      <alignment horizontal="right"/>
    </xf>
    <xf numFmtId="0" fontId="22" fillId="0" borderId="11" xfId="0" applyFont="1" applyFill="1" applyBorder="1"/>
    <xf numFmtId="172" fontId="22" fillId="0" borderId="11" xfId="0" applyNumberFormat="1" applyFont="1" applyFill="1" applyBorder="1"/>
    <xf numFmtId="166" fontId="22" fillId="0" borderId="11" xfId="46" applyNumberFormat="1" applyFont="1" applyFill="1" applyBorder="1" applyAlignment="1">
      <alignment horizontal="right"/>
    </xf>
    <xf numFmtId="172" fontId="22" fillId="0" borderId="20" xfId="0" applyNumberFormat="1" applyFont="1" applyFill="1" applyBorder="1" applyAlignment="1">
      <alignment horizontal="right"/>
    </xf>
    <xf numFmtId="172" fontId="22" fillId="0" borderId="20" xfId="0" applyNumberFormat="1" applyFont="1" applyFill="1" applyBorder="1" applyAlignment="1">
      <alignment horizontal="center"/>
    </xf>
    <xf numFmtId="0" fontId="22" fillId="0" borderId="0" xfId="0" applyFont="1" applyFill="1" applyBorder="1"/>
    <xf numFmtId="38" fontId="5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16" xfId="0" applyFont="1" applyFill="1" applyBorder="1"/>
    <xf numFmtId="166" fontId="5" fillId="0" borderId="11" xfId="0" quotePrefix="1" applyNumberFormat="1" applyFont="1" applyFill="1" applyBorder="1" applyAlignment="1">
      <alignment horizontal="center"/>
    </xf>
    <xf numFmtId="166" fontId="22" fillId="0" borderId="11" xfId="46" applyNumberFormat="1" applyFont="1" applyFill="1" applyBorder="1" applyAlignment="1">
      <alignment horizontal="right" wrapText="1"/>
    </xf>
    <xf numFmtId="166" fontId="5" fillId="0" borderId="11" xfId="46" applyNumberFormat="1" applyFont="1" applyFill="1" applyBorder="1" applyAlignment="1">
      <alignment horizontal="center"/>
    </xf>
    <xf numFmtId="166" fontId="22" fillId="0" borderId="20" xfId="0" quotePrefix="1" applyNumberFormat="1" applyFont="1" applyFill="1" applyBorder="1" applyAlignment="1">
      <alignment horizontal="center"/>
    </xf>
    <xf numFmtId="166" fontId="22" fillId="0" borderId="27" xfId="0" applyNumberFormat="1" applyFont="1" applyFill="1" applyBorder="1" applyAlignment="1"/>
    <xf numFmtId="166" fontId="5" fillId="0" borderId="20" xfId="0" applyNumberFormat="1" applyFont="1" applyFill="1" applyBorder="1"/>
    <xf numFmtId="166" fontId="22" fillId="0" borderId="18" xfId="46" applyNumberFormat="1" applyFont="1" applyFill="1" applyBorder="1" applyAlignment="1">
      <alignment horizontal="right"/>
    </xf>
    <xf numFmtId="166" fontId="22" fillId="0" borderId="20" xfId="0" applyNumberFormat="1" applyFont="1" applyFill="1" applyBorder="1" applyAlignment="1">
      <alignment horizontal="right"/>
    </xf>
    <xf numFmtId="0" fontId="37" fillId="0" borderId="0" xfId="0" applyFont="1" applyFill="1"/>
    <xf numFmtId="172" fontId="22" fillId="0" borderId="0" xfId="0" applyNumberFormat="1" applyFont="1" applyFill="1" applyBorder="1" applyAlignment="1">
      <alignment horizontal="right"/>
    </xf>
    <xf numFmtId="172" fontId="22" fillId="0" borderId="0" xfId="0" applyNumberFormat="1" applyFont="1" applyFill="1" applyBorder="1" applyAlignment="1">
      <alignment horizontal="center"/>
    </xf>
    <xf numFmtId="0" fontId="37" fillId="0" borderId="0" xfId="0" applyFont="1" applyFill="1" applyBorder="1"/>
    <xf numFmtId="38" fontId="38" fillId="0" borderId="0" xfId="0" applyNumberFormat="1" applyFont="1" applyFill="1" applyBorder="1" applyAlignment="1"/>
    <xf numFmtId="165" fontId="38" fillId="0" borderId="0" xfId="0" applyNumberFormat="1" applyFont="1" applyFill="1" applyBorder="1" applyAlignment="1"/>
    <xf numFmtId="0" fontId="38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left" indent="1"/>
    </xf>
    <xf numFmtId="3" fontId="35" fillId="0" borderId="0" xfId="0" applyNumberFormat="1" applyFont="1" applyProtection="1"/>
    <xf numFmtId="1" fontId="1" fillId="0" borderId="0" xfId="0" applyNumberFormat="1" applyFont="1" applyBorder="1" applyProtection="1"/>
    <xf numFmtId="1" fontId="35" fillId="0" borderId="0" xfId="0" applyNumberFormat="1" applyFont="1" applyProtection="1"/>
    <xf numFmtId="3" fontId="32" fillId="43" borderId="18" xfId="0" applyNumberFormat="1" applyFont="1" applyFill="1" applyBorder="1" applyAlignment="1" applyProtection="1">
      <alignment horizontal="center" wrapText="1"/>
    </xf>
    <xf numFmtId="0" fontId="32" fillId="43" borderId="26" xfId="0" applyFont="1" applyFill="1" applyBorder="1" applyAlignment="1" applyProtection="1">
      <alignment horizontal="center"/>
    </xf>
    <xf numFmtId="43" fontId="39" fillId="43" borderId="0" xfId="46" quotePrefix="1" applyFont="1" applyFill="1" applyBorder="1" applyAlignment="1">
      <alignment horizontal="left"/>
    </xf>
    <xf numFmtId="4" fontId="1" fillId="0" borderId="24" xfId="0" applyNumberFormat="1" applyFont="1" applyFill="1" applyBorder="1" applyAlignment="1" applyProtection="1">
      <alignment horizontal="center"/>
    </xf>
    <xf numFmtId="0" fontId="2" fillId="0" borderId="0" xfId="66" applyFont="1" applyFill="1"/>
    <xf numFmtId="0" fontId="1" fillId="0" borderId="0" xfId="66" applyFill="1"/>
    <xf numFmtId="0" fontId="2" fillId="0" borderId="35" xfId="66" applyFont="1" applyFill="1" applyBorder="1"/>
    <xf numFmtId="0" fontId="2" fillId="0" borderId="36" xfId="66" applyFont="1" applyFill="1" applyBorder="1"/>
    <xf numFmtId="0" fontId="1" fillId="0" borderId="37" xfId="66" applyFill="1" applyBorder="1"/>
    <xf numFmtId="0" fontId="1" fillId="0" borderId="38" xfId="66" applyFill="1" applyBorder="1"/>
    <xf numFmtId="0" fontId="1" fillId="0" borderId="39" xfId="66" applyFill="1" applyBorder="1"/>
    <xf numFmtId="0" fontId="2" fillId="0" borderId="40" xfId="66" applyFont="1" applyFill="1" applyBorder="1"/>
    <xf numFmtId="0" fontId="2" fillId="0" borderId="41" xfId="66" applyFont="1" applyFill="1" applyBorder="1"/>
    <xf numFmtId="0" fontId="1" fillId="0" borderId="14" xfId="66" applyFill="1" applyBorder="1"/>
    <xf numFmtId="0" fontId="1" fillId="0" borderId="18" xfId="66" applyFill="1" applyBorder="1"/>
    <xf numFmtId="0" fontId="1" fillId="0" borderId="19" xfId="66" applyFill="1" applyBorder="1"/>
    <xf numFmtId="0" fontId="2" fillId="0" borderId="42" xfId="66" applyFont="1" applyFill="1" applyBorder="1" applyAlignment="1">
      <alignment horizontal="center"/>
    </xf>
    <xf numFmtId="0" fontId="2" fillId="0" borderId="41" xfId="66" applyFont="1" applyFill="1" applyBorder="1" applyAlignment="1">
      <alignment horizontal="center" wrapText="1"/>
    </xf>
    <xf numFmtId="0" fontId="2" fillId="0" borderId="14" xfId="66" applyFont="1" applyFill="1" applyBorder="1" applyAlignment="1">
      <alignment horizontal="center"/>
    </xf>
    <xf numFmtId="0" fontId="2" fillId="0" borderId="11" xfId="66" applyFont="1" applyFill="1" applyBorder="1" applyAlignment="1">
      <alignment horizontal="center" wrapText="1"/>
    </xf>
    <xf numFmtId="0" fontId="4" fillId="0" borderId="43" xfId="66" applyFont="1" applyFill="1" applyBorder="1" applyAlignment="1">
      <alignment wrapText="1"/>
    </xf>
    <xf numFmtId="0" fontId="4" fillId="0" borderId="44" xfId="66" applyFont="1" applyFill="1" applyBorder="1" applyAlignment="1">
      <alignment wrapText="1"/>
    </xf>
    <xf numFmtId="6" fontId="1" fillId="0" borderId="0" xfId="66" applyNumberFormat="1" applyFill="1" applyBorder="1"/>
    <xf numFmtId="0" fontId="2" fillId="0" borderId="13" xfId="66" applyFont="1" applyFill="1" applyBorder="1" applyAlignment="1">
      <alignment horizontal="center" wrapText="1"/>
    </xf>
    <xf numFmtId="0" fontId="1" fillId="0" borderId="13" xfId="66" applyFill="1" applyBorder="1"/>
    <xf numFmtId="0" fontId="1" fillId="0" borderId="45" xfId="66" applyFill="1" applyBorder="1" applyAlignment="1">
      <alignment horizontal="left" indent="1"/>
    </xf>
    <xf numFmtId="6" fontId="1" fillId="0" borderId="43" xfId="66" applyNumberFormat="1" applyFill="1" applyBorder="1"/>
    <xf numFmtId="6" fontId="1" fillId="0" borderId="0" xfId="66" applyNumberFormat="1" applyFont="1" applyFill="1" applyBorder="1"/>
    <xf numFmtId="6" fontId="1" fillId="0" borderId="13" xfId="66" applyNumberFormat="1" applyFill="1" applyBorder="1"/>
    <xf numFmtId="6" fontId="1" fillId="0" borderId="13" xfId="66" applyNumberFormat="1" applyFont="1" applyFill="1" applyBorder="1" applyAlignment="1">
      <alignment horizontal="right"/>
    </xf>
    <xf numFmtId="167" fontId="1" fillId="0" borderId="13" xfId="66" applyNumberFormat="1" applyFont="1" applyFill="1" applyBorder="1" applyAlignment="1">
      <alignment horizontal="right"/>
    </xf>
    <xf numFmtId="6" fontId="1" fillId="0" borderId="46" xfId="66" applyNumberFormat="1" applyFill="1" applyBorder="1"/>
    <xf numFmtId="0" fontId="2" fillId="0" borderId="47" xfId="66" applyFont="1" applyFill="1" applyBorder="1"/>
    <xf numFmtId="6" fontId="1" fillId="0" borderId="42" xfId="66" applyNumberFormat="1" applyFill="1" applyBorder="1"/>
    <xf numFmtId="6" fontId="1" fillId="0" borderId="18" xfId="66" applyNumberFormat="1" applyFont="1" applyFill="1" applyBorder="1"/>
    <xf numFmtId="6" fontId="1" fillId="0" borderId="11" xfId="66" applyNumberFormat="1" applyFill="1" applyBorder="1"/>
    <xf numFmtId="167" fontId="1" fillId="0" borderId="11" xfId="66" applyNumberFormat="1" applyFont="1" applyFill="1" applyBorder="1" applyAlignment="1">
      <alignment horizontal="right"/>
    </xf>
    <xf numFmtId="0" fontId="1" fillId="0" borderId="0" xfId="66"/>
    <xf numFmtId="0" fontId="1" fillId="0" borderId="43" xfId="66" applyFill="1" applyBorder="1" applyAlignment="1">
      <alignment horizontal="left" indent="1"/>
    </xf>
    <xf numFmtId="0" fontId="2" fillId="0" borderId="42" xfId="66" applyFont="1" applyFill="1" applyBorder="1"/>
    <xf numFmtId="6" fontId="1" fillId="0" borderId="13" xfId="66" applyNumberFormat="1" applyFill="1" applyBorder="1" applyAlignment="1">
      <alignment horizontal="right" vertical="center"/>
    </xf>
    <xf numFmtId="6" fontId="1" fillId="0" borderId="17" xfId="66" applyNumberFormat="1" applyFill="1" applyBorder="1"/>
    <xf numFmtId="167" fontId="1" fillId="0" borderId="11" xfId="66" applyNumberFormat="1" applyFill="1" applyBorder="1"/>
    <xf numFmtId="6" fontId="1" fillId="0" borderId="13" xfId="66" applyNumberFormat="1" applyFont="1" applyFill="1" applyBorder="1"/>
    <xf numFmtId="167" fontId="1" fillId="0" borderId="13" xfId="66" applyNumberFormat="1" applyFill="1" applyBorder="1"/>
    <xf numFmtId="6" fontId="1" fillId="0" borderId="0" xfId="66" applyNumberFormat="1" applyFill="1" applyBorder="1" applyAlignment="1">
      <alignment horizontal="right"/>
    </xf>
    <xf numFmtId="0" fontId="2" fillId="0" borderId="43" xfId="66" applyFont="1" applyFill="1" applyBorder="1" applyAlignment="1">
      <alignment horizontal="left" indent="1"/>
    </xf>
    <xf numFmtId="0" fontId="2" fillId="0" borderId="44" xfId="66" applyFont="1" applyFill="1" applyBorder="1" applyAlignment="1">
      <alignment horizontal="left" indent="1"/>
    </xf>
    <xf numFmtId="0" fontId="2" fillId="0" borderId="42" xfId="66" applyFont="1" applyFill="1" applyBorder="1" applyAlignment="1">
      <alignment wrapText="1"/>
    </xf>
    <xf numFmtId="6" fontId="1" fillId="0" borderId="48" xfId="66" applyNumberFormat="1" applyFont="1" applyFill="1" applyBorder="1" applyAlignment="1">
      <alignment wrapText="1"/>
    </xf>
    <xf numFmtId="6" fontId="1" fillId="0" borderId="24" xfId="66" applyNumberFormat="1" applyFill="1" applyBorder="1"/>
    <xf numFmtId="6" fontId="1" fillId="0" borderId="23" xfId="66" applyNumberFormat="1" applyFill="1" applyBorder="1"/>
    <xf numFmtId="167" fontId="1" fillId="0" borderId="23" xfId="66" applyNumberFormat="1" applyFill="1" applyBorder="1"/>
    <xf numFmtId="0" fontId="2" fillId="0" borderId="43" xfId="66" applyFont="1" applyFill="1" applyBorder="1" applyAlignment="1">
      <alignment wrapText="1"/>
    </xf>
    <xf numFmtId="0" fontId="2" fillId="0" borderId="0" xfId="66" applyFont="1" applyFill="1" applyBorder="1" applyAlignment="1">
      <alignment wrapText="1"/>
    </xf>
    <xf numFmtId="0" fontId="2" fillId="0" borderId="49" xfId="66" applyFont="1" applyBorder="1"/>
    <xf numFmtId="0" fontId="2" fillId="0" borderId="50" xfId="66" applyFont="1" applyBorder="1"/>
    <xf numFmtId="164" fontId="1" fillId="0" borderId="50" xfId="66" applyNumberFormat="1" applyBorder="1"/>
    <xf numFmtId="0" fontId="1" fillId="0" borderId="50" xfId="66" applyFill="1" applyBorder="1"/>
    <xf numFmtId="6" fontId="1" fillId="0" borderId="0" xfId="66" applyNumberFormat="1" applyFill="1"/>
    <xf numFmtId="0" fontId="1" fillId="0" borderId="0" xfId="66" applyNumberFormat="1" applyFill="1" applyAlignment="1">
      <alignment horizontal="left"/>
    </xf>
    <xf numFmtId="0" fontId="1" fillId="0" borderId="0" xfId="66" applyFill="1" applyBorder="1"/>
    <xf numFmtId="44" fontId="1" fillId="0" borderId="0" xfId="50" applyFill="1"/>
    <xf numFmtId="6" fontId="1" fillId="0" borderId="0" xfId="66" applyNumberFormat="1"/>
    <xf numFmtId="6" fontId="1" fillId="0" borderId="0" xfId="66" applyNumberFormat="1" applyBorder="1" applyAlignment="1">
      <alignment horizontal="right"/>
    </xf>
    <xf numFmtId="168" fontId="1" fillId="0" borderId="0" xfId="50" applyNumberFormat="1"/>
    <xf numFmtId="0" fontId="1" fillId="0" borderId="0" xfId="66" applyBorder="1"/>
    <xf numFmtId="168" fontId="1" fillId="0" borderId="0" xfId="50" applyNumberFormat="1" applyFont="1"/>
    <xf numFmtId="6" fontId="1" fillId="0" borderId="0" xfId="66" applyNumberFormat="1" applyFont="1" applyBorder="1"/>
    <xf numFmtId="168" fontId="1" fillId="0" borderId="0" xfId="66" applyNumberFormat="1"/>
    <xf numFmtId="0" fontId="1" fillId="44" borderId="0" xfId="66" applyFont="1" applyFill="1" applyBorder="1"/>
    <xf numFmtId="44" fontId="1" fillId="44" borderId="0" xfId="50" applyFont="1" applyFill="1" applyBorder="1"/>
    <xf numFmtId="0" fontId="2" fillId="45" borderId="35" xfId="66" applyFont="1" applyFill="1" applyBorder="1"/>
    <xf numFmtId="0" fontId="1" fillId="44" borderId="38" xfId="66" applyFont="1" applyFill="1" applyBorder="1"/>
    <xf numFmtId="44" fontId="1" fillId="44" borderId="38" xfId="50" applyFont="1" applyFill="1" applyBorder="1"/>
    <xf numFmtId="0" fontId="1" fillId="44" borderId="51" xfId="66" applyFont="1" applyFill="1" applyBorder="1"/>
    <xf numFmtId="0" fontId="2" fillId="45" borderId="52" xfId="66" applyFont="1" applyFill="1" applyBorder="1" applyAlignment="1">
      <alignment horizontal="center"/>
    </xf>
    <xf numFmtId="0" fontId="2" fillId="44" borderId="18" xfId="66" applyFont="1" applyFill="1" applyBorder="1" applyAlignment="1">
      <alignment horizontal="center"/>
    </xf>
    <xf numFmtId="44" fontId="2" fillId="44" borderId="18" xfId="50" applyFont="1" applyFill="1" applyBorder="1" applyAlignment="1">
      <alignment horizontal="center"/>
    </xf>
    <xf numFmtId="0" fontId="2" fillId="44" borderId="20" xfId="66" applyFont="1" applyFill="1" applyBorder="1" applyAlignment="1">
      <alignment horizontal="center" wrapText="1"/>
    </xf>
    <xf numFmtId="0" fontId="2" fillId="44" borderId="11" xfId="66" applyFont="1" applyFill="1" applyBorder="1" applyAlignment="1">
      <alignment horizontal="center" wrapText="1"/>
    </xf>
    <xf numFmtId="0" fontId="2" fillId="44" borderId="53" xfId="66" applyFont="1" applyFill="1" applyBorder="1" applyAlignment="1">
      <alignment horizontal="center" wrapText="1"/>
    </xf>
    <xf numFmtId="0" fontId="2" fillId="45" borderId="54" xfId="66" applyFont="1" applyFill="1" applyBorder="1" applyAlignment="1">
      <alignment horizontal="center"/>
    </xf>
    <xf numFmtId="0" fontId="2" fillId="44" borderId="0" xfId="66" applyFont="1" applyFill="1" applyBorder="1" applyAlignment="1">
      <alignment horizontal="center"/>
    </xf>
    <xf numFmtId="44" fontId="2" fillId="44" borderId="0" xfId="50" applyFont="1" applyFill="1" applyBorder="1" applyAlignment="1">
      <alignment horizontal="center"/>
    </xf>
    <xf numFmtId="0" fontId="2" fillId="44" borderId="17" xfId="66" applyFont="1" applyFill="1" applyBorder="1" applyAlignment="1">
      <alignment horizontal="center" wrapText="1"/>
    </xf>
    <xf numFmtId="0" fontId="2" fillId="44" borderId="13" xfId="66" applyFont="1" applyFill="1" applyBorder="1" applyAlignment="1">
      <alignment horizontal="center" wrapText="1"/>
    </xf>
    <xf numFmtId="0" fontId="2" fillId="44" borderId="55" xfId="66" applyFont="1" applyFill="1" applyBorder="1" applyAlignment="1">
      <alignment horizontal="center" wrapText="1"/>
    </xf>
    <xf numFmtId="0" fontId="2" fillId="0" borderId="54" xfId="66" applyFont="1" applyFill="1" applyBorder="1" applyAlignment="1">
      <alignment horizontal="center"/>
    </xf>
    <xf numFmtId="0" fontId="2" fillId="0" borderId="17" xfId="66" applyFont="1" applyFill="1" applyBorder="1" applyAlignment="1">
      <alignment horizontal="center" wrapText="1"/>
    </xf>
    <xf numFmtId="0" fontId="1" fillId="0" borderId="54" xfId="66" applyFill="1" applyBorder="1"/>
    <xf numFmtId="164" fontId="1" fillId="44" borderId="0" xfId="66" applyNumberFormat="1" applyFont="1" applyFill="1" applyBorder="1"/>
    <xf numFmtId="164" fontId="1" fillId="0" borderId="0" xfId="66" applyNumberFormat="1" applyFont="1" applyFill="1" applyBorder="1"/>
    <xf numFmtId="164" fontId="1" fillId="0" borderId="17" xfId="66" applyNumberFormat="1" applyFont="1" applyFill="1" applyBorder="1"/>
    <xf numFmtId="164" fontId="1" fillId="44" borderId="13" xfId="66" applyNumberFormat="1" applyFont="1" applyFill="1" applyBorder="1"/>
    <xf numFmtId="167" fontId="1" fillId="44" borderId="55" xfId="71" applyNumberFormat="1" applyFont="1" applyFill="1" applyBorder="1" applyAlignment="1">
      <alignment horizontal="center"/>
    </xf>
    <xf numFmtId="164" fontId="1" fillId="44" borderId="13" xfId="66" applyNumberFormat="1" applyFont="1" applyFill="1" applyBorder="1" applyAlignment="1">
      <alignment horizontal="right"/>
    </xf>
    <xf numFmtId="0" fontId="1" fillId="0" borderId="0" xfId="66" applyFont="1" applyFill="1" applyBorder="1"/>
    <xf numFmtId="164" fontId="1" fillId="0" borderId="13" xfId="66" applyNumberFormat="1" applyFont="1" applyFill="1" applyBorder="1"/>
    <xf numFmtId="0" fontId="2" fillId="0" borderId="52" xfId="66" applyFont="1" applyFill="1" applyBorder="1"/>
    <xf numFmtId="164" fontId="2" fillId="44" borderId="18" xfId="66" applyNumberFormat="1" applyFont="1" applyFill="1" applyBorder="1" applyAlignment="1">
      <alignment horizontal="right"/>
    </xf>
    <xf numFmtId="164" fontId="2" fillId="0" borderId="11" xfId="66" applyNumberFormat="1" applyFont="1" applyFill="1" applyBorder="1" applyAlignment="1">
      <alignment horizontal="right"/>
    </xf>
    <xf numFmtId="167" fontId="2" fillId="44" borderId="53" xfId="71" applyNumberFormat="1" applyFont="1" applyFill="1" applyBorder="1" applyAlignment="1">
      <alignment horizontal="center"/>
    </xf>
    <xf numFmtId="0" fontId="1" fillId="0" borderId="54" xfId="66" applyFont="1" applyFill="1" applyBorder="1"/>
    <xf numFmtId="164" fontId="1" fillId="44" borderId="55" xfId="66" applyNumberFormat="1" applyFont="1" applyFill="1" applyBorder="1"/>
    <xf numFmtId="8" fontId="1" fillId="44" borderId="0" xfId="66" applyNumberFormat="1" applyFont="1" applyFill="1" applyBorder="1"/>
    <xf numFmtId="164" fontId="2" fillId="44" borderId="18" xfId="66" applyNumberFormat="1" applyFont="1" applyFill="1" applyBorder="1"/>
    <xf numFmtId="164" fontId="2" fillId="0" borderId="20" xfId="66" applyNumberFormat="1" applyFont="1" applyFill="1" applyBorder="1"/>
    <xf numFmtId="164" fontId="2" fillId="44" borderId="11" xfId="66" applyNumberFormat="1" applyFont="1" applyFill="1" applyBorder="1"/>
    <xf numFmtId="49" fontId="2" fillId="44" borderId="0" xfId="66" applyNumberFormat="1" applyFont="1" applyFill="1" applyBorder="1" applyAlignment="1">
      <alignment horizontal="center"/>
    </xf>
    <xf numFmtId="164" fontId="1" fillId="44" borderId="17" xfId="66" applyNumberFormat="1" applyFont="1" applyFill="1" applyBorder="1"/>
    <xf numFmtId="0" fontId="2" fillId="0" borderId="52" xfId="66" applyFont="1" applyFill="1" applyBorder="1" applyAlignment="1">
      <alignment horizontal="left" wrapText="1" indent="1"/>
    </xf>
    <xf numFmtId="164" fontId="2" fillId="0" borderId="11" xfId="66" applyNumberFormat="1" applyFont="1" applyFill="1" applyBorder="1"/>
    <xf numFmtId="164" fontId="2" fillId="44" borderId="20" xfId="66" applyNumberFormat="1" applyFont="1" applyFill="1" applyBorder="1"/>
    <xf numFmtId="0" fontId="2" fillId="0" borderId="54" xfId="66" applyFont="1" applyFill="1" applyBorder="1"/>
    <xf numFmtId="164" fontId="2" fillId="44" borderId="19" xfId="66" applyNumberFormat="1" applyFont="1" applyFill="1" applyBorder="1"/>
    <xf numFmtId="164" fontId="2" fillId="0" borderId="18" xfId="66" applyNumberFormat="1" applyFont="1" applyFill="1" applyBorder="1"/>
    <xf numFmtId="0" fontId="2" fillId="0" borderId="52" xfId="66" applyFont="1" applyFill="1" applyBorder="1" applyAlignment="1">
      <alignment wrapText="1"/>
    </xf>
    <xf numFmtId="0" fontId="2" fillId="0" borderId="27" xfId="66" applyFont="1" applyFill="1" applyBorder="1"/>
    <xf numFmtId="164" fontId="2" fillId="44" borderId="27" xfId="66" applyNumberFormat="1" applyFont="1" applyFill="1" applyBorder="1"/>
    <xf numFmtId="164" fontId="2" fillId="44" borderId="0" xfId="66" applyNumberFormat="1" applyFont="1" applyFill="1" applyBorder="1"/>
    <xf numFmtId="44" fontId="2" fillId="44" borderId="0" xfId="50" applyFont="1" applyFill="1" applyBorder="1"/>
    <xf numFmtId="0" fontId="2" fillId="0" borderId="56" xfId="66" applyFont="1" applyFill="1" applyBorder="1" applyAlignment="1">
      <alignment wrapText="1"/>
    </xf>
    <xf numFmtId="164" fontId="2" fillId="44" borderId="57" xfId="66" applyNumberFormat="1" applyFont="1" applyFill="1" applyBorder="1"/>
    <xf numFmtId="164" fontId="2" fillId="44" borderId="50" xfId="66" applyNumberFormat="1" applyFont="1" applyFill="1" applyBorder="1"/>
    <xf numFmtId="164" fontId="2" fillId="0" borderId="57" xfId="66" applyNumberFormat="1" applyFont="1" applyFill="1" applyBorder="1" applyAlignment="1">
      <alignment horizontal="center"/>
    </xf>
    <xf numFmtId="164" fontId="2" fillId="44" borderId="59" xfId="66" applyNumberFormat="1" applyFont="1" applyFill="1" applyBorder="1" applyAlignment="1">
      <alignment horizontal="center"/>
    </xf>
    <xf numFmtId="164" fontId="2" fillId="44" borderId="60" xfId="66" applyNumberFormat="1" applyFont="1" applyFill="1" applyBorder="1" applyAlignment="1">
      <alignment horizontal="center"/>
    </xf>
    <xf numFmtId="0" fontId="31" fillId="0" borderId="0" xfId="66" applyFont="1"/>
    <xf numFmtId="0" fontId="2" fillId="45" borderId="35" xfId="66" applyFont="1" applyFill="1" applyBorder="1" applyAlignment="1">
      <alignment horizontal="center"/>
    </xf>
    <xf numFmtId="0" fontId="2" fillId="0" borderId="37" xfId="66" applyFont="1" applyBorder="1" applyAlignment="1">
      <alignment horizontal="center"/>
    </xf>
    <xf numFmtId="0" fontId="2" fillId="0" borderId="61" xfId="66" applyFont="1" applyBorder="1" applyAlignment="1">
      <alignment horizontal="center" wrapText="1"/>
    </xf>
    <xf numFmtId="0" fontId="33" fillId="0" borderId="54" xfId="66" applyFont="1" applyBorder="1" applyAlignment="1">
      <alignment horizontal="center"/>
    </xf>
    <xf numFmtId="0" fontId="1" fillId="0" borderId="0" xfId="66" applyBorder="1" applyAlignment="1"/>
    <xf numFmtId="0" fontId="1" fillId="0" borderId="55" xfId="66" applyBorder="1" applyAlignment="1"/>
    <xf numFmtId="0" fontId="2" fillId="0" borderId="54" xfId="66" applyFont="1" applyBorder="1" applyAlignment="1">
      <alignment horizontal="center"/>
    </xf>
    <xf numFmtId="0" fontId="1" fillId="0" borderId="54" xfId="66" applyBorder="1"/>
    <xf numFmtId="164" fontId="1" fillId="0" borderId="0" xfId="66" applyNumberFormat="1" applyBorder="1" applyAlignment="1"/>
    <xf numFmtId="164" fontId="1" fillId="0" borderId="0" xfId="66" applyNumberFormat="1" applyFill="1" applyBorder="1" applyAlignment="1"/>
    <xf numFmtId="164" fontId="1" fillId="0" borderId="0" xfId="66" applyNumberFormat="1" applyBorder="1" applyAlignment="1">
      <alignment horizontal="right"/>
    </xf>
    <xf numFmtId="164" fontId="1" fillId="0" borderId="55" xfId="66" applyNumberFormat="1" applyBorder="1" applyAlignment="1"/>
    <xf numFmtId="164" fontId="1" fillId="0" borderId="0" xfId="66" applyNumberFormat="1"/>
    <xf numFmtId="164" fontId="1" fillId="0" borderId="18" xfId="66" applyNumberFormat="1" applyFill="1" applyBorder="1" applyAlignment="1"/>
    <xf numFmtId="164" fontId="1" fillId="0" borderId="53" xfId="66" applyNumberFormat="1" applyFill="1" applyBorder="1" applyAlignment="1"/>
    <xf numFmtId="164" fontId="1" fillId="0" borderId="55" xfId="66" applyNumberFormat="1" applyFill="1" applyBorder="1" applyAlignment="1"/>
    <xf numFmtId="164" fontId="1" fillId="0" borderId="0" xfId="66" applyNumberFormat="1" applyFill="1" applyBorder="1" applyAlignment="1">
      <alignment horizontal="right"/>
    </xf>
    <xf numFmtId="0" fontId="2" fillId="0" borderId="54" xfId="66" applyFont="1" applyFill="1" applyBorder="1" applyAlignment="1">
      <alignment horizontal="left" indent="1"/>
    </xf>
    <xf numFmtId="164" fontId="1" fillId="0" borderId="27" xfId="66" applyNumberFormat="1" applyFill="1" applyBorder="1" applyAlignment="1"/>
    <xf numFmtId="0" fontId="2" fillId="0" borderId="54" xfId="66" applyFont="1" applyFill="1" applyBorder="1" applyAlignment="1">
      <alignment horizontal="center" wrapText="1"/>
    </xf>
    <xf numFmtId="164" fontId="1" fillId="0" borderId="14" xfId="66" applyNumberFormat="1" applyFill="1" applyBorder="1" applyAlignment="1">
      <alignment horizontal="right"/>
    </xf>
    <xf numFmtId="0" fontId="2" fillId="0" borderId="52" xfId="66" applyFont="1" applyFill="1" applyBorder="1" applyAlignment="1">
      <alignment horizontal="left" indent="1"/>
    </xf>
    <xf numFmtId="0" fontId="2" fillId="0" borderId="62" xfId="66" applyFont="1" applyFill="1" applyBorder="1" applyAlignment="1">
      <alignment horizontal="left" indent="1"/>
    </xf>
    <xf numFmtId="164" fontId="1" fillId="0" borderId="63" xfId="66" applyNumberFormat="1" applyFill="1" applyBorder="1" applyAlignment="1"/>
    <xf numFmtId="0" fontId="2" fillId="0" borderId="11" xfId="66" applyFont="1" applyFill="1" applyBorder="1"/>
    <xf numFmtId="164" fontId="1" fillId="45" borderId="18" xfId="66" applyNumberFormat="1" applyFill="1" applyBorder="1" applyAlignment="1"/>
    <xf numFmtId="164" fontId="1" fillId="45" borderId="18" xfId="66" quotePrefix="1" applyNumberFormat="1" applyFill="1" applyBorder="1" applyAlignment="1"/>
    <xf numFmtId="49" fontId="1" fillId="0" borderId="0" xfId="66" applyNumberFormat="1"/>
    <xf numFmtId="164" fontId="1" fillId="45" borderId="18" xfId="66" applyNumberFormat="1" applyFill="1" applyBorder="1" applyAlignment="1">
      <alignment horizontal="right"/>
    </xf>
    <xf numFmtId="164" fontId="1" fillId="45" borderId="19" xfId="66" applyNumberFormat="1" applyFill="1" applyBorder="1" applyAlignment="1">
      <alignment horizontal="right"/>
    </xf>
    <xf numFmtId="164" fontId="1" fillId="45" borderId="53" xfId="66" applyNumberFormat="1" applyFill="1" applyBorder="1" applyAlignment="1">
      <alignment horizontal="right"/>
    </xf>
    <xf numFmtId="164" fontId="1" fillId="45" borderId="0" xfId="66" applyNumberFormat="1" applyFill="1" applyBorder="1" applyAlignment="1"/>
    <xf numFmtId="164" fontId="2" fillId="0" borderId="58" xfId="66" applyNumberFormat="1" applyFont="1" applyFill="1" applyBorder="1" applyAlignment="1"/>
    <xf numFmtId="164" fontId="2" fillId="0" borderId="60" xfId="66" applyNumberFormat="1" applyFont="1" applyFill="1" applyBorder="1" applyAlignment="1"/>
    <xf numFmtId="0" fontId="2" fillId="0" borderId="38" xfId="66" applyFont="1" applyFill="1" applyBorder="1" applyAlignment="1">
      <alignment wrapText="1"/>
    </xf>
    <xf numFmtId="164" fontId="2" fillId="0" borderId="38" xfId="66" applyNumberFormat="1" applyFont="1" applyFill="1" applyBorder="1" applyAlignment="1"/>
    <xf numFmtId="0" fontId="2" fillId="0" borderId="0" xfId="66" applyFont="1" applyBorder="1" applyAlignment="1">
      <alignment wrapText="1"/>
    </xf>
    <xf numFmtId="164" fontId="1" fillId="0" borderId="0" xfId="66" applyNumberFormat="1" applyBorder="1"/>
    <xf numFmtId="40" fontId="1" fillId="0" borderId="32" xfId="0" applyNumberFormat="1" applyFont="1" applyBorder="1" applyAlignment="1" applyProtection="1">
      <alignment horizontal="center"/>
    </xf>
    <xf numFmtId="3" fontId="34" fillId="44" borderId="17" xfId="0" applyNumberFormat="1" applyFont="1" applyFill="1" applyBorder="1" applyAlignment="1" applyProtection="1">
      <alignment horizontal="center"/>
      <protection locked="0"/>
    </xf>
    <xf numFmtId="164" fontId="2" fillId="44" borderId="58" xfId="66" applyNumberFormat="1" applyFont="1" applyFill="1" applyBorder="1"/>
    <xf numFmtId="0" fontId="41" fillId="0" borderId="0" xfId="0" applyFont="1" applyAlignment="1"/>
    <xf numFmtId="174" fontId="2" fillId="44" borderId="58" xfId="66" applyNumberFormat="1" applyFont="1" applyFill="1" applyBorder="1"/>
    <xf numFmtId="164" fontId="1" fillId="44" borderId="0" xfId="50" applyNumberFormat="1" applyFont="1" applyFill="1" applyBorder="1"/>
    <xf numFmtId="169" fontId="2" fillId="44" borderId="58" xfId="48" applyNumberFormat="1" applyFont="1" applyFill="1" applyBorder="1"/>
    <xf numFmtId="0" fontId="27" fillId="0" borderId="0" xfId="66" applyFont="1" applyProtection="1"/>
    <xf numFmtId="1" fontId="27" fillId="0" borderId="0" xfId="66" applyNumberFormat="1" applyFont="1" applyProtection="1"/>
    <xf numFmtId="3" fontId="27" fillId="0" borderId="0" xfId="66" applyNumberFormat="1" applyFont="1" applyProtection="1"/>
    <xf numFmtId="0" fontId="41" fillId="0" borderId="0" xfId="66" applyFont="1" applyAlignment="1"/>
    <xf numFmtId="8" fontId="27" fillId="0" borderId="0" xfId="66" applyNumberFormat="1" applyFont="1" applyProtection="1"/>
    <xf numFmtId="0" fontId="4" fillId="0" borderId="45" xfId="66" applyFont="1" applyFill="1" applyBorder="1" applyAlignment="1">
      <alignment wrapText="1"/>
    </xf>
    <xf numFmtId="6" fontId="1" fillId="0" borderId="64" xfId="66" applyNumberFormat="1" applyFill="1" applyBorder="1"/>
    <xf numFmtId="0" fontId="1" fillId="0" borderId="0" xfId="66" applyNumberFormat="1" applyFont="1" applyFill="1" applyBorder="1" applyAlignment="1">
      <alignment horizontal="left" wrapText="1"/>
    </xf>
    <xf numFmtId="6" fontId="2" fillId="0" borderId="0" xfId="66" applyNumberFormat="1" applyFont="1" applyFill="1" applyBorder="1"/>
    <xf numFmtId="0" fontId="1" fillId="0" borderId="65" xfId="66" applyBorder="1"/>
    <xf numFmtId="164" fontId="27" fillId="0" borderId="0" xfId="66" applyNumberFormat="1" applyFont="1" applyProtection="1"/>
    <xf numFmtId="0" fontId="3" fillId="0" borderId="11" xfId="67" applyFont="1" applyBorder="1" applyAlignment="1">
      <alignment horizontal="left"/>
    </xf>
    <xf numFmtId="0" fontId="43" fillId="0" borderId="0" xfId="66" applyFont="1" applyFill="1" applyBorder="1"/>
    <xf numFmtId="0" fontId="43" fillId="0" borderId="0" xfId="66" applyFont="1"/>
    <xf numFmtId="0" fontId="44" fillId="0" borderId="46" xfId="66" applyFont="1" applyFill="1" applyBorder="1" applyAlignment="1"/>
    <xf numFmtId="0" fontId="45" fillId="46" borderId="20" xfId="66" applyFont="1" applyFill="1" applyBorder="1" applyAlignment="1"/>
    <xf numFmtId="0" fontId="45" fillId="46" borderId="18" xfId="66" applyFont="1" applyFill="1" applyBorder="1" applyAlignment="1"/>
    <xf numFmtId="0" fontId="45" fillId="46" borderId="19" xfId="66" applyFont="1" applyFill="1" applyBorder="1" applyAlignment="1"/>
    <xf numFmtId="0" fontId="43" fillId="0" borderId="27" xfId="66" applyFont="1" applyFill="1" applyBorder="1" applyAlignment="1">
      <alignment horizontal="center" vertical="center"/>
    </xf>
    <xf numFmtId="0" fontId="43" fillId="0" borderId="0" xfId="66" applyFont="1" applyFill="1"/>
    <xf numFmtId="0" fontId="44" fillId="0" borderId="16" xfId="66" applyFont="1" applyFill="1" applyBorder="1" applyAlignment="1"/>
    <xf numFmtId="0" fontId="44" fillId="0" borderId="21" xfId="66" applyFont="1" applyFill="1" applyBorder="1" applyAlignment="1">
      <alignment horizontal="center"/>
    </xf>
    <xf numFmtId="0" fontId="44" fillId="0" borderId="14" xfId="66" applyFont="1" applyFill="1" applyBorder="1" applyAlignment="1">
      <alignment horizontal="center"/>
    </xf>
    <xf numFmtId="0" fontId="44" fillId="0" borderId="16" xfId="66" applyFont="1" applyFill="1" applyBorder="1" applyAlignment="1">
      <alignment horizontal="center"/>
    </xf>
    <xf numFmtId="0" fontId="44" fillId="0" borderId="14" xfId="66" applyFont="1" applyFill="1" applyBorder="1" applyAlignment="1">
      <alignment horizontal="center" vertical="center" wrapText="1"/>
    </xf>
    <xf numFmtId="0" fontId="45" fillId="0" borderId="18" xfId="66" applyFont="1" applyFill="1" applyBorder="1" applyAlignment="1">
      <alignment wrapText="1"/>
    </xf>
    <xf numFmtId="6" fontId="43" fillId="0" borderId="18" xfId="66" applyNumberFormat="1" applyFont="1" applyFill="1" applyBorder="1"/>
    <xf numFmtId="0" fontId="44" fillId="0" borderId="18" xfId="66" applyFont="1" applyFill="1" applyBorder="1" applyAlignment="1">
      <alignment horizontal="center" wrapText="1"/>
    </xf>
    <xf numFmtId="0" fontId="43" fillId="0" borderId="0" xfId="66" applyFont="1" applyFill="1" applyBorder="1" applyAlignment="1">
      <alignment horizontal="left" indent="2"/>
    </xf>
    <xf numFmtId="6" fontId="43" fillId="0" borderId="0" xfId="66" applyNumberFormat="1" applyFont="1" applyFill="1" applyBorder="1"/>
    <xf numFmtId="0" fontId="45" fillId="46" borderId="20" xfId="66" applyFont="1" applyFill="1" applyBorder="1"/>
    <xf numFmtId="6" fontId="44" fillId="46" borderId="18" xfId="66" applyNumberFormat="1" applyFont="1" applyFill="1" applyBorder="1"/>
    <xf numFmtId="0" fontId="43" fillId="0" borderId="0" xfId="66" applyFont="1" applyBorder="1"/>
    <xf numFmtId="0" fontId="45" fillId="0" borderId="0" xfId="66" applyFont="1" applyBorder="1"/>
    <xf numFmtId="0" fontId="43" fillId="0" borderId="0" xfId="66" applyFont="1" applyBorder="1" applyAlignment="1">
      <alignment horizontal="left" indent="2"/>
    </xf>
    <xf numFmtId="0" fontId="43" fillId="47" borderId="0" xfId="66" applyFont="1" applyFill="1" applyBorder="1"/>
    <xf numFmtId="6" fontId="43" fillId="47" borderId="0" xfId="66" applyNumberFormat="1" applyFont="1" applyFill="1" applyBorder="1"/>
    <xf numFmtId="0" fontId="44" fillId="0" borderId="0" xfId="66" applyFont="1" applyBorder="1"/>
    <xf numFmtId="0" fontId="44" fillId="0" borderId="14" xfId="66" applyFont="1" applyFill="1" applyBorder="1" applyAlignment="1">
      <alignment wrapText="1"/>
    </xf>
    <xf numFmtId="0" fontId="43" fillId="0" borderId="14" xfId="66" applyFont="1" applyBorder="1"/>
    <xf numFmtId="0" fontId="43" fillId="0" borderId="14" xfId="66" applyFont="1" applyFill="1" applyBorder="1"/>
    <xf numFmtId="6" fontId="43" fillId="0" borderId="14" xfId="66" applyNumberFormat="1" applyFont="1" applyFill="1" applyBorder="1"/>
    <xf numFmtId="0" fontId="43" fillId="0" borderId="0" xfId="66" applyFont="1" applyFill="1" applyBorder="1" applyAlignment="1">
      <alignment horizontal="left" wrapText="1" indent="2"/>
    </xf>
    <xf numFmtId="0" fontId="43" fillId="0" borderId="0" xfId="66" applyFont="1" applyFill="1" applyAlignment="1">
      <alignment horizontal="left" indent="2"/>
    </xf>
    <xf numFmtId="0" fontId="44" fillId="0" borderId="17" xfId="66" applyFont="1" applyFill="1" applyBorder="1"/>
    <xf numFmtId="6" fontId="44" fillId="0" borderId="0" xfId="66" applyNumberFormat="1" applyFont="1" applyFill="1" applyBorder="1"/>
    <xf numFmtId="0" fontId="44" fillId="0" borderId="0" xfId="66" applyFont="1" applyFill="1" applyBorder="1"/>
    <xf numFmtId="0" fontId="44" fillId="0" borderId="0" xfId="66" applyFont="1" applyFill="1" applyBorder="1" applyAlignment="1">
      <alignment wrapText="1"/>
    </xf>
    <xf numFmtId="0" fontId="45" fillId="48" borderId="18" xfId="66" applyFont="1" applyFill="1" applyBorder="1"/>
    <xf numFmtId="6" fontId="43" fillId="48" borderId="18" xfId="66" applyNumberFormat="1" applyFont="1" applyFill="1" applyBorder="1"/>
    <xf numFmtId="0" fontId="45" fillId="0" borderId="14" xfId="66" applyFont="1" applyFill="1" applyBorder="1"/>
    <xf numFmtId="0" fontId="45" fillId="46" borderId="18" xfId="66" applyFont="1" applyFill="1" applyBorder="1"/>
    <xf numFmtId="0" fontId="43" fillId="46" borderId="18" xfId="66" applyFont="1" applyFill="1" applyBorder="1"/>
    <xf numFmtId="6" fontId="43" fillId="46" borderId="18" xfId="66" applyNumberFormat="1" applyFont="1" applyFill="1" applyBorder="1"/>
    <xf numFmtId="0" fontId="44" fillId="0" borderId="27" xfId="66" applyFont="1" applyFill="1" applyBorder="1"/>
    <xf numFmtId="0" fontId="43" fillId="0" borderId="27" xfId="66" applyFont="1" applyFill="1" applyBorder="1"/>
    <xf numFmtId="0" fontId="43" fillId="46" borderId="0" xfId="66" applyFont="1" applyFill="1" applyBorder="1"/>
    <xf numFmtId="0" fontId="46" fillId="0" borderId="0" xfId="66" applyFont="1" applyFill="1" applyBorder="1"/>
    <xf numFmtId="0" fontId="43" fillId="0" borderId="0" xfId="66" applyFont="1" applyFill="1" applyBorder="1" applyAlignment="1">
      <alignment vertical="top" wrapText="1"/>
    </xf>
    <xf numFmtId="0" fontId="43" fillId="0" borderId="0" xfId="66" applyFont="1" applyFill="1" applyBorder="1" applyAlignment="1">
      <alignment horizontal="left" vertical="top" wrapText="1"/>
    </xf>
    <xf numFmtId="0" fontId="47" fillId="0" borderId="0" xfId="66" applyFont="1" applyFill="1" applyBorder="1"/>
    <xf numFmtId="6" fontId="43" fillId="0" borderId="0" xfId="66" applyNumberFormat="1" applyFont="1" applyFill="1" applyBorder="1" applyAlignment="1">
      <alignment horizontal="right"/>
    </xf>
    <xf numFmtId="6" fontId="43" fillId="0" borderId="0" xfId="66" applyNumberFormat="1" applyFont="1" applyBorder="1"/>
    <xf numFmtId="168" fontId="43" fillId="0" borderId="0" xfId="66" applyNumberFormat="1" applyFont="1" applyBorder="1"/>
    <xf numFmtId="168" fontId="43" fillId="0" borderId="0" xfId="52" applyNumberFormat="1" applyFont="1" applyFill="1" applyBorder="1"/>
    <xf numFmtId="168" fontId="43" fillId="0" borderId="0" xfId="52" applyNumberFormat="1" applyFont="1" applyBorder="1"/>
    <xf numFmtId="43" fontId="39" fillId="43" borderId="46" xfId="46" quotePrefix="1" applyFont="1" applyFill="1" applyBorder="1" applyAlignment="1">
      <alignment horizontal="left"/>
    </xf>
    <xf numFmtId="43" fontId="39" fillId="43" borderId="16" xfId="46" quotePrefix="1" applyFont="1" applyFill="1" applyBorder="1" applyAlignment="1">
      <alignment horizontal="left"/>
    </xf>
    <xf numFmtId="4" fontId="1" fillId="0" borderId="25" xfId="0" applyNumberFormat="1" applyFont="1" applyFill="1" applyBorder="1" applyAlignment="1" applyProtection="1">
      <alignment horizontal="center"/>
    </xf>
    <xf numFmtId="165" fontId="1" fillId="0" borderId="25" xfId="0" applyNumberFormat="1" applyFont="1" applyBorder="1" applyAlignment="1" applyProtection="1">
      <alignment horizontal="center"/>
    </xf>
    <xf numFmtId="172" fontId="40" fillId="49" borderId="11" xfId="0" applyNumberFormat="1" applyFont="1" applyFill="1" applyBorder="1" applyAlignment="1">
      <alignment horizontal="right"/>
    </xf>
    <xf numFmtId="172" fontId="40" fillId="49" borderId="11" xfId="0" applyNumberFormat="1" applyFont="1" applyFill="1" applyBorder="1" applyAlignment="1"/>
    <xf numFmtId="172" fontId="3" fillId="49" borderId="11" xfId="0" applyNumberFormat="1" applyFont="1" applyFill="1" applyBorder="1" applyAlignment="1">
      <alignment horizontal="right"/>
    </xf>
    <xf numFmtId="172" fontId="3" fillId="49" borderId="11" xfId="0" applyNumberFormat="1" applyFont="1" applyFill="1" applyBorder="1" applyAlignment="1"/>
    <xf numFmtId="2" fontId="40" fillId="49" borderId="11" xfId="0" applyNumberFormat="1" applyFont="1" applyFill="1" applyBorder="1" applyAlignment="1">
      <alignment horizontal="right"/>
    </xf>
    <xf numFmtId="172" fontId="3" fillId="49" borderId="13" xfId="0" applyNumberFormat="1" applyFont="1" applyFill="1" applyBorder="1" applyAlignment="1">
      <alignment horizontal="right"/>
    </xf>
    <xf numFmtId="0" fontId="51" fillId="0" borderId="0" xfId="0" applyFont="1" applyFill="1"/>
    <xf numFmtId="3" fontId="51" fillId="50" borderId="11" xfId="0" applyNumberFormat="1" applyFont="1" applyFill="1" applyBorder="1" applyAlignment="1">
      <alignment wrapText="1"/>
    </xf>
    <xf numFmtId="0" fontId="51" fillId="0" borderId="0" xfId="0" applyFont="1"/>
    <xf numFmtId="0" fontId="51" fillId="0" borderId="0" xfId="0" applyFont="1" applyProtection="1"/>
    <xf numFmtId="172" fontId="40" fillId="49" borderId="0" xfId="0" applyNumberFormat="1" applyFont="1" applyFill="1" applyAlignment="1">
      <alignment horizontal="right"/>
    </xf>
    <xf numFmtId="0" fontId="43" fillId="48" borderId="0" xfId="66" applyFont="1" applyFill="1" applyBorder="1"/>
    <xf numFmtId="0" fontId="2" fillId="44" borderId="0" xfId="66" applyFont="1" applyFill="1" applyAlignment="1">
      <alignment horizontal="center"/>
    </xf>
    <xf numFmtId="171" fontId="1" fillId="44" borderId="0" xfId="66" applyNumberFormat="1" applyFont="1" applyFill="1" applyAlignment="1">
      <alignment horizontal="center"/>
    </xf>
    <xf numFmtId="0" fontId="1" fillId="44" borderId="0" xfId="66" applyFont="1" applyFill="1" applyAlignment="1">
      <alignment horizontal="center"/>
    </xf>
    <xf numFmtId="0" fontId="1" fillId="44" borderId="0" xfId="66" applyFont="1" applyFill="1" applyAlignment="1"/>
    <xf numFmtId="0" fontId="1" fillId="44" borderId="0" xfId="66" applyFont="1" applyFill="1"/>
    <xf numFmtId="0" fontId="2" fillId="44" borderId="11" xfId="66" applyFont="1" applyFill="1" applyBorder="1" applyAlignment="1">
      <alignment horizontal="center"/>
    </xf>
    <xf numFmtId="171" fontId="1" fillId="44" borderId="11" xfId="66" applyNumberFormat="1" applyFont="1" applyFill="1" applyBorder="1" applyAlignment="1">
      <alignment horizontal="center"/>
    </xf>
    <xf numFmtId="0" fontId="2" fillId="44" borderId="11" xfId="66" applyFont="1" applyFill="1" applyBorder="1" applyAlignment="1">
      <alignment wrapText="1"/>
    </xf>
    <xf numFmtId="0" fontId="53" fillId="0" borderId="0" xfId="0" applyFont="1"/>
    <xf numFmtId="175" fontId="2" fillId="44" borderId="58" xfId="50" applyNumberFormat="1" applyFont="1" applyFill="1" applyBorder="1"/>
    <xf numFmtId="0" fontId="1" fillId="0" borderId="0" xfId="0" applyFont="1"/>
    <xf numFmtId="0" fontId="1" fillId="44" borderId="11" xfId="66" applyFont="1" applyFill="1" applyBorder="1" applyAlignment="1">
      <alignment horizontal="center"/>
    </xf>
    <xf numFmtId="0" fontId="1" fillId="44" borderId="11" xfId="66" applyFont="1" applyFill="1" applyBorder="1" applyAlignment="1"/>
    <xf numFmtId="3" fontId="1" fillId="44" borderId="11" xfId="66" applyNumberFormat="1" applyFont="1" applyFill="1" applyBorder="1" applyAlignment="1"/>
    <xf numFmtId="0" fontId="1" fillId="44" borderId="15" xfId="66" applyFont="1" applyFill="1" applyBorder="1" applyAlignment="1">
      <alignment horizontal="center"/>
    </xf>
    <xf numFmtId="0" fontId="2" fillId="44" borderId="15" xfId="66" applyFont="1" applyFill="1" applyBorder="1" applyAlignment="1">
      <alignment horizontal="center"/>
    </xf>
    <xf numFmtId="171" fontId="1" fillId="44" borderId="15" xfId="66" applyNumberFormat="1" applyFont="1" applyFill="1" applyBorder="1" applyAlignment="1">
      <alignment horizontal="center"/>
    </xf>
    <xf numFmtId="3" fontId="1" fillId="44" borderId="15" xfId="66" applyNumberFormat="1" applyFont="1" applyFill="1" applyBorder="1" applyAlignment="1"/>
    <xf numFmtId="0" fontId="32" fillId="0" borderId="0" xfId="0" applyFont="1" applyAlignment="1" applyProtection="1">
      <alignment vertical="top" wrapText="1"/>
    </xf>
    <xf numFmtId="0" fontId="0" fillId="0" borderId="0" xfId="0"/>
    <xf numFmtId="0" fontId="2" fillId="0" borderId="0" xfId="0" applyNumberFormat="1" applyFont="1" applyAlignment="1" applyProtection="1">
      <alignment vertical="top" wrapText="1"/>
    </xf>
    <xf numFmtId="0" fontId="0" fillId="0" borderId="0" xfId="0" applyAlignment="1">
      <alignment vertical="top" wrapText="1"/>
    </xf>
    <xf numFmtId="0" fontId="32" fillId="0" borderId="0" xfId="0" applyNumberFormat="1" applyFont="1" applyAlignment="1" applyProtection="1">
      <alignment vertical="top" wrapText="1"/>
    </xf>
    <xf numFmtId="0" fontId="2" fillId="0" borderId="0" xfId="0" applyFont="1" applyFill="1" applyAlignment="1" applyProtection="1">
      <alignment wrapText="1"/>
    </xf>
    <xf numFmtId="0" fontId="2" fillId="0" borderId="11" xfId="0" applyFont="1" applyFill="1" applyBorder="1" applyAlignment="1">
      <alignment horizontal="center"/>
    </xf>
    <xf numFmtId="0" fontId="52" fillId="0" borderId="15" xfId="0" applyFont="1" applyFill="1" applyBorder="1" applyAlignment="1">
      <alignment horizontal="center" wrapText="1"/>
    </xf>
    <xf numFmtId="0" fontId="52" fillId="0" borderId="3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22" fillId="0" borderId="15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/>
    </xf>
    <xf numFmtId="0" fontId="2" fillId="0" borderId="0" xfId="66" applyFont="1" applyFill="1" applyAlignment="1" applyProtection="1">
      <alignment wrapText="1"/>
    </xf>
    <xf numFmtId="0" fontId="50" fillId="0" borderId="0" xfId="66" applyFont="1" applyFill="1" applyBorder="1" applyAlignment="1">
      <alignment horizontal="left" vertical="top" wrapText="1"/>
    </xf>
    <xf numFmtId="0" fontId="49" fillId="0" borderId="0" xfId="66" applyFont="1" applyFill="1" applyBorder="1" applyAlignment="1">
      <alignment horizontal="left" vertical="top" wrapText="1"/>
    </xf>
    <xf numFmtId="0" fontId="44" fillId="0" borderId="22" xfId="66" applyFont="1" applyFill="1" applyBorder="1" applyAlignment="1">
      <alignment horizontal="center" vertical="center" wrapText="1"/>
    </xf>
    <xf numFmtId="0" fontId="44" fillId="0" borderId="21" xfId="66" applyFont="1" applyFill="1" applyBorder="1" applyAlignment="1">
      <alignment horizontal="center" vertical="center" wrapText="1"/>
    </xf>
    <xf numFmtId="0" fontId="44" fillId="0" borderId="15" xfId="66" applyFont="1" applyFill="1" applyBorder="1" applyAlignment="1">
      <alignment horizontal="center" vertical="center" wrapText="1"/>
    </xf>
    <xf numFmtId="0" fontId="44" fillId="0" borderId="34" xfId="66" applyFont="1" applyFill="1" applyBorder="1" applyAlignment="1">
      <alignment horizontal="center" vertical="center" wrapText="1"/>
    </xf>
    <xf numFmtId="0" fontId="1" fillId="0" borderId="0" xfId="66" applyAlignment="1">
      <alignment wrapText="1"/>
    </xf>
  </cellXfs>
  <cellStyles count="11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/>
    <cellStyle name="Accent1 - 40%" xfId="21"/>
    <cellStyle name="Accent1 - 60%" xfId="22"/>
    <cellStyle name="Accent2" xfId="23" builtinId="33" customBuiltin="1"/>
    <cellStyle name="Accent2 - 20%" xfId="24"/>
    <cellStyle name="Accent2 - 40%" xfId="25"/>
    <cellStyle name="Accent2 - 60%" xfId="26"/>
    <cellStyle name="Accent3" xfId="27" builtinId="37" customBuiltin="1"/>
    <cellStyle name="Accent3 - 20%" xfId="28"/>
    <cellStyle name="Accent3 - 40%" xfId="29"/>
    <cellStyle name="Accent3 - 60%" xfId="30"/>
    <cellStyle name="Accent4" xfId="31" builtinId="41" customBuiltin="1"/>
    <cellStyle name="Accent4 - 20%" xfId="32"/>
    <cellStyle name="Accent4 - 40%" xfId="33"/>
    <cellStyle name="Accent4 - 60%" xfId="34"/>
    <cellStyle name="Accent5" xfId="35" builtinId="45" customBuiltin="1"/>
    <cellStyle name="Accent5 - 20%" xfId="36"/>
    <cellStyle name="Accent5 - 40%" xfId="37"/>
    <cellStyle name="Accent5 - 60%" xfId="38"/>
    <cellStyle name="Accent6" xfId="39" builtinId="49" customBuiltin="1"/>
    <cellStyle name="Accent6 - 20%" xfId="40"/>
    <cellStyle name="Accent6 - 40%" xfId="41"/>
    <cellStyle name="Accent6 - 60%" xfId="42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Comma 2" xfId="47"/>
    <cellStyle name="Comma 2 2" xfId="48"/>
    <cellStyle name="Currency 2" xfId="49"/>
    <cellStyle name="Currency 2 2" xfId="50"/>
    <cellStyle name="Currency 3" xfId="51"/>
    <cellStyle name="Currency 3 2" xfId="52"/>
    <cellStyle name="Currency 4" xfId="53"/>
    <cellStyle name="Emphasis 1" xfId="54"/>
    <cellStyle name="Emphasis 2" xfId="55"/>
    <cellStyle name="Emphasis 3" xfId="56"/>
    <cellStyle name="Explanatory Text" xfId="57" builtinId="53" customBuiltin="1"/>
    <cellStyle name="Good" xfId="58" builtinId="26" customBuiltin="1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Input" xfId="63" builtinId="20" customBuiltin="1"/>
    <cellStyle name="Linked Cell" xfId="64" builtinId="24" customBuiltin="1"/>
    <cellStyle name="Neutral" xfId="65" builtinId="28" customBuiltin="1"/>
    <cellStyle name="Normal" xfId="0" builtinId="0"/>
    <cellStyle name="Normal 2" xfId="66"/>
    <cellStyle name="Normal_Funding Shift Table Sample" xfId="67"/>
    <cellStyle name="Note" xfId="68" builtinId="10" customBuiltin="1"/>
    <cellStyle name="Output" xfId="69" builtinId="21" customBuiltin="1"/>
    <cellStyle name="Percent 2" xfId="70"/>
    <cellStyle name="Percent 2 2" xfId="71"/>
    <cellStyle name="SAPBEXaggData" xfId="72"/>
    <cellStyle name="SAPBEXaggDataEmph" xfId="73"/>
    <cellStyle name="SAPBEXaggItem" xfId="74"/>
    <cellStyle name="SAPBEXaggItemX" xfId="75"/>
    <cellStyle name="SAPBEXchaText" xfId="76"/>
    <cellStyle name="SAPBEXexcBad7" xfId="77"/>
    <cellStyle name="SAPBEXexcBad8" xfId="78"/>
    <cellStyle name="SAPBEXexcBad9" xfId="79"/>
    <cellStyle name="SAPBEXexcCritical4" xfId="80"/>
    <cellStyle name="SAPBEXexcCritical5" xfId="81"/>
    <cellStyle name="SAPBEXexcCritical6" xfId="82"/>
    <cellStyle name="SAPBEXexcGood1" xfId="83"/>
    <cellStyle name="SAPBEXexcGood2" xfId="84"/>
    <cellStyle name="SAPBEXexcGood3" xfId="85"/>
    <cellStyle name="SAPBEXfilterDrill" xfId="86"/>
    <cellStyle name="SAPBEXfilterItem" xfId="87"/>
    <cellStyle name="SAPBEXfilterText" xfId="88"/>
    <cellStyle name="SAPBEXformats" xfId="89"/>
    <cellStyle name="SAPBEXheaderItem" xfId="90"/>
    <cellStyle name="SAPBEXheaderText" xfId="91"/>
    <cellStyle name="SAPBEXHLevel0" xfId="92"/>
    <cellStyle name="SAPBEXHLevel0X" xfId="93"/>
    <cellStyle name="SAPBEXHLevel1" xfId="94"/>
    <cellStyle name="SAPBEXHLevel1X" xfId="95"/>
    <cellStyle name="SAPBEXHLevel2" xfId="96"/>
    <cellStyle name="SAPBEXHLevel2X" xfId="97"/>
    <cellStyle name="SAPBEXHLevel3" xfId="98"/>
    <cellStyle name="SAPBEXHLevel3X" xfId="99"/>
    <cellStyle name="SAPBEXinputData" xfId="100"/>
    <cellStyle name="SAPBEXresData" xfId="101"/>
    <cellStyle name="SAPBEXresDataEmph" xfId="102"/>
    <cellStyle name="SAPBEXresItem" xfId="103"/>
    <cellStyle name="SAPBEXresItemX" xfId="104"/>
    <cellStyle name="SAPBEXstdData" xfId="105"/>
    <cellStyle name="SAPBEXstdDataEmph" xfId="106"/>
    <cellStyle name="SAPBEXstdItem" xfId="107"/>
    <cellStyle name="SAPBEXstdItemX" xfId="108"/>
    <cellStyle name="SAPBEXtitle" xfId="109"/>
    <cellStyle name="SAPBEXundefined" xfId="110"/>
    <cellStyle name="Sheet Title" xfId="111"/>
    <cellStyle name="Title" xfId="112" builtinId="15" customBuiltin="1"/>
    <cellStyle name="Total" xfId="113" builtinId="25" customBuiltin="1"/>
    <cellStyle name="Warning Text" xfId="1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14</xdr:col>
      <xdr:colOff>0</xdr:colOff>
      <xdr:row>4</xdr:row>
      <xdr:rowOff>381000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86350" y="600075"/>
          <a:ext cx="930592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2013  Expenditures</a:t>
          </a: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cee/dr/Shared%20Documents/2007%20Budget/Budget%20Forecast%202006-08/DR_ACTMA%20Docs/DR%20ACTMA%20thru%2009%20Sept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Kinjo\AppData\Local\Microsoft\Windows\Temporary%20Internet%20Files\Content.Outlook\XGUO2WB4\BIP%20Study%20Appendix%20FF%20%20Ex-Ante%20Load%20Impact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ugust%202013%20CPUC%20M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MA Pivot"/>
      <sheetName val="ACTMA Detail"/>
    </sheetNames>
    <sheetDataSet>
      <sheetData sheetId="0"/>
      <sheetData sheetId="1">
        <row r="2">
          <cell r="N2" t="str">
            <v>ENERTOUCH INC</v>
          </cell>
          <cell r="P2">
            <v>232323.08</v>
          </cell>
        </row>
        <row r="3">
          <cell r="N3" t="str">
            <v>ENERTOUCH INC</v>
          </cell>
          <cell r="P3">
            <v>180623.66</v>
          </cell>
        </row>
        <row r="4">
          <cell r="N4" t="str">
            <v>CANNON TECHNOLOGIES INC</v>
          </cell>
          <cell r="P4">
            <v>0</v>
          </cell>
        </row>
        <row r="5">
          <cell r="N5" t="str">
            <v>CANNON TECHNOLOGIES INC</v>
          </cell>
          <cell r="P5">
            <v>4132.8</v>
          </cell>
        </row>
        <row r="6">
          <cell r="N6" t="str">
            <v>CANNON TECHNOLOGIES INC</v>
          </cell>
          <cell r="P6">
            <v>0</v>
          </cell>
        </row>
        <row r="7">
          <cell r="N7" t="str">
            <v>CANNON TECHNOLOGIES INC</v>
          </cell>
          <cell r="P7">
            <v>96768</v>
          </cell>
        </row>
        <row r="8">
          <cell r="N8" t="str">
            <v>CANNON TECHNOLOGIES INC</v>
          </cell>
          <cell r="P8">
            <v>72375</v>
          </cell>
        </row>
        <row r="9">
          <cell r="N9" t="str">
            <v>CANNON TECHNOLOGIES INC</v>
          </cell>
          <cell r="P9">
            <v>96768</v>
          </cell>
        </row>
        <row r="10">
          <cell r="N10" t="str">
            <v>CANNON TECHNOLOGIES INC</v>
          </cell>
          <cell r="P10">
            <v>96768</v>
          </cell>
        </row>
        <row r="11">
          <cell r="N11" t="str">
            <v>CANNON TECHNOLOGIES INC</v>
          </cell>
          <cell r="P11">
            <v>-423059.4</v>
          </cell>
        </row>
        <row r="12">
          <cell r="N12" t="str">
            <v>CANNON TECHNOLOGIES INC</v>
          </cell>
          <cell r="P12">
            <v>0</v>
          </cell>
        </row>
        <row r="13">
          <cell r="N13" t="str">
            <v>CANNON TECHNOLOGIES INC</v>
          </cell>
          <cell r="P13">
            <v>72375</v>
          </cell>
        </row>
        <row r="14">
          <cell r="N14" t="str">
            <v>CANNON TECHNOLOGIES INC</v>
          </cell>
          <cell r="P14">
            <v>423059.4</v>
          </cell>
        </row>
        <row r="15">
          <cell r="N15" t="str">
            <v>CANNON TECHNOLOGIES INC</v>
          </cell>
          <cell r="P15">
            <v>4132.8</v>
          </cell>
        </row>
        <row r="16">
          <cell r="N16" t="str">
            <v>CANNON TECHNOLOGIES INC</v>
          </cell>
          <cell r="P16">
            <v>4132.8</v>
          </cell>
        </row>
        <row r="17">
          <cell r="N17" t="str">
            <v>CANNON TECHNOLOGIES INC</v>
          </cell>
          <cell r="P17">
            <v>72375</v>
          </cell>
        </row>
        <row r="18">
          <cell r="N18" t="str">
            <v>CANNON TECHNOLOGIES INC</v>
          </cell>
          <cell r="P18">
            <v>96768</v>
          </cell>
        </row>
        <row r="19">
          <cell r="N19" t="str">
            <v>CANNON TECHNOLOGIES INC</v>
          </cell>
          <cell r="P19">
            <v>72375</v>
          </cell>
        </row>
        <row r="20">
          <cell r="N20" t="str">
            <v>CANNON TECHNOLOGIES INC</v>
          </cell>
          <cell r="P20">
            <v>1935.36</v>
          </cell>
        </row>
        <row r="21">
          <cell r="N21" t="str">
            <v>CANNON TECHNOLOGIES INC</v>
          </cell>
          <cell r="P21">
            <v>1935.36</v>
          </cell>
        </row>
        <row r="22">
          <cell r="N22" t="str">
            <v>CANNON TECHNOLOGIES INC</v>
          </cell>
          <cell r="P22">
            <v>82.66</v>
          </cell>
        </row>
        <row r="23">
          <cell r="N23" t="str">
            <v>CANNON TECHNOLOGIES INC</v>
          </cell>
          <cell r="P23">
            <v>1935.36</v>
          </cell>
        </row>
        <row r="24">
          <cell r="N24" t="str">
            <v>CANNON TECHNOLOGIES INC</v>
          </cell>
          <cell r="P24">
            <v>1447.5</v>
          </cell>
        </row>
        <row r="25">
          <cell r="N25" t="str">
            <v>CANNON TECHNOLOGIES INC</v>
          </cell>
          <cell r="P25">
            <v>-82.66</v>
          </cell>
        </row>
        <row r="26">
          <cell r="N26" t="str">
            <v>CANNON TECHNOLOGIES INC</v>
          </cell>
          <cell r="P26">
            <v>1447.5</v>
          </cell>
        </row>
        <row r="27">
          <cell r="N27" t="str">
            <v>CANNON TECHNOLOGIES INC</v>
          </cell>
          <cell r="P27">
            <v>82.66</v>
          </cell>
        </row>
        <row r="28">
          <cell r="N28" t="str">
            <v>CANNON TECHNOLOGIES INC</v>
          </cell>
          <cell r="P28">
            <v>1447.5</v>
          </cell>
        </row>
        <row r="29">
          <cell r="N29" t="str">
            <v>CANNON TECHNOLOGIES INC</v>
          </cell>
          <cell r="P29">
            <v>82.66</v>
          </cell>
        </row>
        <row r="30">
          <cell r="N30" t="str">
            <v>CANNON TECHNOLOGIES INC</v>
          </cell>
          <cell r="P30">
            <v>1935.36</v>
          </cell>
        </row>
        <row r="31">
          <cell r="N31" t="str">
            <v>CANNON TECHNOLOGIES INC</v>
          </cell>
          <cell r="P31">
            <v>82.66</v>
          </cell>
        </row>
        <row r="32">
          <cell r="N32" t="str">
            <v>CANNON TECHNOLOGIES INC</v>
          </cell>
          <cell r="P32">
            <v>1447.5</v>
          </cell>
        </row>
        <row r="33">
          <cell r="N33" t="str">
            <v/>
          </cell>
          <cell r="P33">
            <v>0</v>
          </cell>
        </row>
        <row r="34">
          <cell r="N34" t="str">
            <v/>
          </cell>
          <cell r="P34">
            <v>0</v>
          </cell>
        </row>
        <row r="35">
          <cell r="N35" t="str">
            <v/>
          </cell>
          <cell r="P35">
            <v>0</v>
          </cell>
        </row>
        <row r="36">
          <cell r="N36" t="str">
            <v/>
          </cell>
          <cell r="P36">
            <v>0</v>
          </cell>
        </row>
        <row r="37">
          <cell r="N37" t="str">
            <v/>
          </cell>
          <cell r="P37">
            <v>0</v>
          </cell>
        </row>
        <row r="38">
          <cell r="N38" t="str">
            <v/>
          </cell>
          <cell r="P38">
            <v>0</v>
          </cell>
        </row>
        <row r="39">
          <cell r="N39" t="str">
            <v/>
          </cell>
          <cell r="P39">
            <v>0</v>
          </cell>
        </row>
        <row r="40">
          <cell r="N40" t="str">
            <v>CORESTAFF SERVICES LP</v>
          </cell>
          <cell r="P40">
            <v>0</v>
          </cell>
        </row>
        <row r="41">
          <cell r="N41" t="str">
            <v>CORESTAFF SERVICES LP</v>
          </cell>
          <cell r="P41">
            <v>0</v>
          </cell>
        </row>
        <row r="42">
          <cell r="N42" t="str">
            <v>CORESTAFF SERVICES LP</v>
          </cell>
          <cell r="P42">
            <v>0</v>
          </cell>
        </row>
        <row r="43">
          <cell r="N43" t="str">
            <v>CORESTAFF SERVICES LP</v>
          </cell>
          <cell r="P43">
            <v>0</v>
          </cell>
        </row>
        <row r="44">
          <cell r="N44" t="str">
            <v>CORESTAFF SERVICES LP</v>
          </cell>
          <cell r="P44">
            <v>0</v>
          </cell>
        </row>
        <row r="45">
          <cell r="N45" t="str">
            <v>CORESTAFF SERVICES LP</v>
          </cell>
          <cell r="P45">
            <v>0</v>
          </cell>
        </row>
        <row r="46">
          <cell r="N46" t="str">
            <v/>
          </cell>
          <cell r="P46">
            <v>0</v>
          </cell>
        </row>
        <row r="47">
          <cell r="N47" t="str">
            <v/>
          </cell>
          <cell r="P47">
            <v>4</v>
          </cell>
        </row>
        <row r="48">
          <cell r="N48" t="str">
            <v>CANNON TECHNOLOGIES INC</v>
          </cell>
          <cell r="P48">
            <v>6500</v>
          </cell>
        </row>
        <row r="49">
          <cell r="N49" t="str">
            <v>CANNON TECHNOLOGIES INC</v>
          </cell>
          <cell r="P49">
            <v>1700</v>
          </cell>
        </row>
        <row r="50">
          <cell r="N50" t="str">
            <v>CANNON TECHNOLOGIES INC</v>
          </cell>
          <cell r="P50">
            <v>-1447.5</v>
          </cell>
        </row>
        <row r="51">
          <cell r="N51" t="str">
            <v>ENERTOUCH INC</v>
          </cell>
          <cell r="P51">
            <v>10678</v>
          </cell>
        </row>
        <row r="52">
          <cell r="N52" t="str">
            <v>CANNON TECHNOLOGIES INC</v>
          </cell>
          <cell r="P52">
            <v>1447.5</v>
          </cell>
        </row>
        <row r="53">
          <cell r="N53" t="str">
            <v>ENERTOUCH INC</v>
          </cell>
          <cell r="P53">
            <v>10272</v>
          </cell>
        </row>
        <row r="54">
          <cell r="N54" t="str">
            <v>ENERTOUCH INC</v>
          </cell>
          <cell r="P54">
            <v>27698.54</v>
          </cell>
        </row>
        <row r="55">
          <cell r="N55" t="str">
            <v>ENERTOUCH INC</v>
          </cell>
          <cell r="P55">
            <v>16523.47</v>
          </cell>
        </row>
        <row r="56">
          <cell r="N56" t="str">
            <v>CORESTAFF SERVICES LP</v>
          </cell>
          <cell r="P56">
            <v>0</v>
          </cell>
        </row>
        <row r="57">
          <cell r="N57" t="str">
            <v>CORESTAFF SERVICES LP</v>
          </cell>
          <cell r="P57">
            <v>0</v>
          </cell>
        </row>
        <row r="58">
          <cell r="N58" t="str">
            <v>CORESTAFF SERVICES LP</v>
          </cell>
          <cell r="P58">
            <v>0</v>
          </cell>
        </row>
        <row r="59">
          <cell r="N59" t="str">
            <v>CORESTAFF SERVICES LP</v>
          </cell>
          <cell r="P59">
            <v>0</v>
          </cell>
        </row>
        <row r="60">
          <cell r="N60" t="str">
            <v>CORESTAFF SERVICES LP</v>
          </cell>
          <cell r="P60">
            <v>0</v>
          </cell>
        </row>
        <row r="61">
          <cell r="N61" t="str">
            <v>YATES ADVERTISING</v>
          </cell>
          <cell r="P61">
            <v>25500</v>
          </cell>
        </row>
        <row r="62">
          <cell r="N62" t="str">
            <v>YATES ADVERTISING</v>
          </cell>
          <cell r="P62">
            <v>14250</v>
          </cell>
        </row>
        <row r="63">
          <cell r="N63" t="str">
            <v>YATES ADVERTISING</v>
          </cell>
          <cell r="P63">
            <v>28436.41</v>
          </cell>
        </row>
        <row r="64">
          <cell r="N64" t="str">
            <v>YATES ADVERTISING</v>
          </cell>
          <cell r="P64">
            <v>38400</v>
          </cell>
        </row>
        <row r="65">
          <cell r="N65" t="str">
            <v>YATES ADVERTISING</v>
          </cell>
          <cell r="P65">
            <v>12826.5</v>
          </cell>
        </row>
        <row r="66">
          <cell r="N66" t="str">
            <v>YATES ADVERTISING</v>
          </cell>
          <cell r="P66">
            <v>813.75</v>
          </cell>
        </row>
        <row r="67">
          <cell r="N67" t="str">
            <v>YATES ADVERTISING</v>
          </cell>
          <cell r="P67">
            <v>33766.75</v>
          </cell>
        </row>
        <row r="68">
          <cell r="N68" t="str">
            <v>YATES ADVERTISING</v>
          </cell>
          <cell r="P68">
            <v>61289.79</v>
          </cell>
        </row>
        <row r="69">
          <cell r="N69" t="str">
            <v>YATES ADVERTISING</v>
          </cell>
          <cell r="P69">
            <v>7950</v>
          </cell>
        </row>
        <row r="70">
          <cell r="N70" t="str">
            <v>YATES ADVERTISING</v>
          </cell>
          <cell r="P70">
            <v>10481.25</v>
          </cell>
        </row>
        <row r="71">
          <cell r="N71" t="str">
            <v>HUGHES UTILITIES LTD</v>
          </cell>
          <cell r="P71">
            <v>1000</v>
          </cell>
        </row>
        <row r="72">
          <cell r="N72" t="str">
            <v>TRANSCONTINENTAL DIRECT USA IN</v>
          </cell>
          <cell r="P72">
            <v>169882.63</v>
          </cell>
        </row>
        <row r="73">
          <cell r="N73" t="str">
            <v>CORESTAFF SERVICES LP</v>
          </cell>
          <cell r="P73">
            <v>0</v>
          </cell>
        </row>
        <row r="74">
          <cell r="N74" t="str">
            <v>CORESTAFF SERVICES LP</v>
          </cell>
          <cell r="P74">
            <v>0</v>
          </cell>
        </row>
        <row r="75">
          <cell r="N75" t="str">
            <v>CORESTAFF SERVICES LP</v>
          </cell>
          <cell r="P75">
            <v>0</v>
          </cell>
        </row>
        <row r="76">
          <cell r="N76" t="str">
            <v>CORESTAFF SERVICES LP</v>
          </cell>
          <cell r="P76">
            <v>0</v>
          </cell>
        </row>
        <row r="77">
          <cell r="N77" t="str">
            <v>CORESTAFF SERVICES LP</v>
          </cell>
          <cell r="P77">
            <v>0</v>
          </cell>
        </row>
        <row r="78">
          <cell r="N78" t="str">
            <v>CORESTAFF SERVICES LP</v>
          </cell>
          <cell r="P78">
            <v>0</v>
          </cell>
        </row>
        <row r="79">
          <cell r="N79" t="str">
            <v/>
          </cell>
          <cell r="P79">
            <v>0</v>
          </cell>
        </row>
        <row r="80">
          <cell r="N80" t="str">
            <v>TRANSCONTINENTAL DIRECT USA IN</v>
          </cell>
          <cell r="P80">
            <v>165430</v>
          </cell>
        </row>
        <row r="81">
          <cell r="N81" t="str">
            <v>US POSTMASTER</v>
          </cell>
          <cell r="P81">
            <v>0</v>
          </cell>
        </row>
        <row r="82">
          <cell r="N82" t="str">
            <v/>
          </cell>
          <cell r="P82">
            <v>0</v>
          </cell>
        </row>
        <row r="83">
          <cell r="N83" t="str">
            <v/>
          </cell>
          <cell r="P83">
            <v>0</v>
          </cell>
        </row>
        <row r="84">
          <cell r="N84" t="str">
            <v/>
          </cell>
          <cell r="P84">
            <v>8</v>
          </cell>
        </row>
        <row r="85">
          <cell r="N85" t="str">
            <v/>
          </cell>
          <cell r="P85">
            <v>0</v>
          </cell>
        </row>
        <row r="86">
          <cell r="N86" t="str">
            <v/>
          </cell>
          <cell r="P86">
            <v>0</v>
          </cell>
        </row>
        <row r="87">
          <cell r="N87" t="str">
            <v/>
          </cell>
          <cell r="P87">
            <v>0</v>
          </cell>
        </row>
        <row r="88">
          <cell r="N88" t="str">
            <v/>
          </cell>
          <cell r="P88">
            <v>0</v>
          </cell>
        </row>
        <row r="89">
          <cell r="N89" t="str">
            <v/>
          </cell>
          <cell r="P89">
            <v>1</v>
          </cell>
        </row>
        <row r="90">
          <cell r="N90" t="str">
            <v/>
          </cell>
          <cell r="P90">
            <v>1</v>
          </cell>
        </row>
        <row r="91">
          <cell r="N91" t="str">
            <v/>
          </cell>
          <cell r="P91">
            <v>1</v>
          </cell>
        </row>
        <row r="92">
          <cell r="N92" t="str">
            <v/>
          </cell>
          <cell r="P92">
            <v>1</v>
          </cell>
        </row>
        <row r="93">
          <cell r="N93" t="str">
            <v/>
          </cell>
          <cell r="P93">
            <v>1</v>
          </cell>
        </row>
        <row r="94">
          <cell r="N94" t="str">
            <v/>
          </cell>
          <cell r="P94">
            <v>1</v>
          </cell>
        </row>
        <row r="95">
          <cell r="N95" t="str">
            <v/>
          </cell>
          <cell r="P95">
            <v>1</v>
          </cell>
        </row>
        <row r="96">
          <cell r="N96" t="str">
            <v/>
          </cell>
          <cell r="P96">
            <v>1</v>
          </cell>
        </row>
        <row r="97">
          <cell r="N97" t="str">
            <v/>
          </cell>
          <cell r="P97">
            <v>2</v>
          </cell>
        </row>
        <row r="98">
          <cell r="N98" t="str">
            <v/>
          </cell>
          <cell r="P98">
            <v>1</v>
          </cell>
        </row>
        <row r="99">
          <cell r="N99" t="str">
            <v/>
          </cell>
          <cell r="P99">
            <v>1</v>
          </cell>
        </row>
        <row r="100">
          <cell r="N100" t="str">
            <v/>
          </cell>
          <cell r="P100">
            <v>1</v>
          </cell>
        </row>
        <row r="101">
          <cell r="N101" t="str">
            <v/>
          </cell>
          <cell r="P101">
            <v>1</v>
          </cell>
        </row>
        <row r="102">
          <cell r="N102" t="str">
            <v/>
          </cell>
          <cell r="P102">
            <v>2442.12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-OUTPUTS"/>
      <sheetName val="LOOKUP"/>
      <sheetName val="DATA"/>
      <sheetName val="ENROLLMENT"/>
    </sheetNames>
    <sheetDataSet>
      <sheetData sheetId="0" refreshError="1"/>
      <sheetData sheetId="1">
        <row r="2">
          <cell r="E2" t="str">
            <v>Typical Event Day</v>
          </cell>
        </row>
        <row r="3">
          <cell r="E3" t="str">
            <v>January Monthly Peak</v>
          </cell>
        </row>
        <row r="4">
          <cell r="E4" t="str">
            <v>February Monthly Peak</v>
          </cell>
        </row>
        <row r="5">
          <cell r="E5" t="str">
            <v>March Monthly Peak</v>
          </cell>
        </row>
        <row r="6">
          <cell r="E6" t="str">
            <v>April Monthly Peak</v>
          </cell>
        </row>
        <row r="7">
          <cell r="E7" t="str">
            <v>May Monthly Peak</v>
          </cell>
        </row>
        <row r="8">
          <cell r="E8" t="str">
            <v>June Monthly Peak</v>
          </cell>
        </row>
        <row r="9">
          <cell r="E9" t="str">
            <v>July Monthly Peak</v>
          </cell>
        </row>
        <row r="10">
          <cell r="E10" t="str">
            <v>August Monthly Peak</v>
          </cell>
        </row>
        <row r="11">
          <cell r="E11" t="str">
            <v>September Monthly Peak</v>
          </cell>
        </row>
        <row r="12">
          <cell r="E12" t="str">
            <v>October Monthly Peak</v>
          </cell>
        </row>
        <row r="13">
          <cell r="E13" t="str">
            <v>November Monthly Peak</v>
          </cell>
        </row>
        <row r="14">
          <cell r="E14" t="str">
            <v>December Monthly Peak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ing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57"/>
  <sheetViews>
    <sheetView showGridLines="0" tabSelected="1" view="pageBreakPreview" zoomScaleNormal="100" zoomScaleSheetLayoutView="100" workbookViewId="0">
      <pane xSplit="1" topLeftCell="B1" activePane="topRight" state="frozen"/>
      <selection activeCell="A14" sqref="A14"/>
      <selection pane="topRight" activeCell="E41" sqref="E41"/>
    </sheetView>
  </sheetViews>
  <sheetFormatPr defaultRowHeight="12.75" x14ac:dyDescent="0.2"/>
  <cols>
    <col min="1" max="1" width="36.28515625" style="21" customWidth="1"/>
    <col min="2" max="2" width="9.42578125" style="21" bestFit="1" customWidth="1"/>
    <col min="3" max="3" width="11.5703125" style="21" customWidth="1"/>
    <col min="4" max="4" width="14" style="21" bestFit="1" customWidth="1"/>
    <col min="5" max="5" width="12" style="21" customWidth="1"/>
    <col min="6" max="6" width="9.140625" style="21"/>
    <col min="7" max="7" width="9.85546875" style="21" bestFit="1" customWidth="1"/>
    <col min="8" max="8" width="9.140625" style="21" bestFit="1"/>
    <col min="9" max="9" width="11.5703125" style="21" bestFit="1" customWidth="1"/>
    <col min="10" max="10" width="7.7109375" style="21" bestFit="1" customWidth="1"/>
    <col min="11" max="16" width="12.5703125" style="21" customWidth="1"/>
    <col min="17" max="17" width="10.7109375" style="21" customWidth="1"/>
    <col min="18" max="18" width="11" style="21" customWidth="1"/>
    <col min="19" max="19" width="11.28515625" style="21" customWidth="1"/>
    <col min="20" max="20" width="14.140625" style="21" hidden="1" customWidth="1"/>
    <col min="21" max="21" width="9.7109375" style="21" customWidth="1"/>
    <col min="22" max="22" width="11.42578125" style="21" customWidth="1"/>
    <col min="23" max="23" width="11" style="21" customWidth="1"/>
    <col min="24" max="25" width="9.7109375" style="21" customWidth="1"/>
    <col min="26" max="26" width="12.85546875" style="21" customWidth="1"/>
    <col min="27" max="27" width="8.85546875" style="21" bestFit="1" customWidth="1"/>
    <col min="28" max="28" width="10.5703125" style="21" customWidth="1"/>
    <col min="29" max="29" width="9.85546875" style="21" bestFit="1" customWidth="1"/>
    <col min="30" max="30" width="11.140625" style="21" customWidth="1"/>
    <col min="31" max="31" width="9.85546875" style="21" bestFit="1" customWidth="1"/>
    <col min="32" max="32" width="10.85546875" style="21" customWidth="1"/>
    <col min="33" max="33" width="12.140625" style="21" bestFit="1" customWidth="1"/>
    <col min="34" max="34" width="12.140625" style="21" customWidth="1"/>
    <col min="35" max="35" width="9.5703125" style="21" bestFit="1" customWidth="1"/>
    <col min="36" max="36" width="11.140625" style="21" customWidth="1"/>
    <col min="37" max="37" width="11.7109375" style="21" bestFit="1" customWidth="1"/>
    <col min="38" max="38" width="11.7109375" style="21" customWidth="1"/>
    <col min="39" max="16384" width="9.140625" style="21"/>
  </cols>
  <sheetData>
    <row r="1" spans="1:31" x14ac:dyDescent="0.2">
      <c r="E1" s="86"/>
    </row>
    <row r="3" spans="1:31" ht="14.25" customHeight="1" x14ac:dyDescent="0.2"/>
    <row r="4" spans="1:31" ht="14.25" customHeight="1" x14ac:dyDescent="0.2"/>
    <row r="5" spans="1:31" hidden="1" x14ac:dyDescent="0.2">
      <c r="C5" s="21">
        <v>2</v>
      </c>
      <c r="D5" s="21">
        <f>C5</f>
        <v>2</v>
      </c>
      <c r="F5" s="21">
        <f>C5+1</f>
        <v>3</v>
      </c>
      <c r="G5" s="21">
        <f>F5</f>
        <v>3</v>
      </c>
      <c r="I5" s="21">
        <f>F5+1</f>
        <v>4</v>
      </c>
      <c r="J5" s="21">
        <f>I5</f>
        <v>4</v>
      </c>
      <c r="L5" s="21">
        <f>I5+1</f>
        <v>5</v>
      </c>
      <c r="M5" s="21">
        <f>L5</f>
        <v>5</v>
      </c>
      <c r="O5" s="21">
        <f>L5+1</f>
        <v>6</v>
      </c>
      <c r="P5" s="21">
        <f>O5</f>
        <v>6</v>
      </c>
      <c r="R5" s="21">
        <f>O5+1</f>
        <v>7</v>
      </c>
      <c r="S5" s="21">
        <f>R5</f>
        <v>7</v>
      </c>
    </row>
    <row r="6" spans="1:31" x14ac:dyDescent="0.2">
      <c r="C6" s="5"/>
    </row>
    <row r="7" spans="1:31" ht="15" customHeight="1" x14ac:dyDescent="0.2">
      <c r="A7" s="22"/>
      <c r="B7" s="20"/>
      <c r="C7" s="87" t="s">
        <v>0</v>
      </c>
      <c r="D7" s="20"/>
      <c r="E7" s="20"/>
      <c r="F7" s="20" t="s">
        <v>1</v>
      </c>
      <c r="G7" s="20"/>
      <c r="H7" s="20"/>
      <c r="I7" s="20" t="s">
        <v>2</v>
      </c>
      <c r="J7" s="20"/>
      <c r="K7" s="20"/>
      <c r="L7" s="20" t="s">
        <v>3</v>
      </c>
      <c r="M7" s="20"/>
      <c r="N7" s="20"/>
      <c r="O7" s="20" t="s">
        <v>4</v>
      </c>
      <c r="P7" s="20"/>
      <c r="Q7" s="20"/>
      <c r="R7" s="20" t="s">
        <v>5</v>
      </c>
      <c r="S7" s="20"/>
      <c r="T7" s="23"/>
    </row>
    <row r="8" spans="1:31" ht="41.25" customHeight="1" x14ac:dyDescent="0.2">
      <c r="A8" s="24" t="s">
        <v>21</v>
      </c>
      <c r="B8" s="25" t="s">
        <v>15</v>
      </c>
      <c r="C8" s="26" t="s">
        <v>124</v>
      </c>
      <c r="D8" s="27" t="s">
        <v>125</v>
      </c>
      <c r="E8" s="25" t="s">
        <v>15</v>
      </c>
      <c r="F8" s="26" t="s">
        <v>124</v>
      </c>
      <c r="G8" s="27" t="s">
        <v>125</v>
      </c>
      <c r="H8" s="28" t="s">
        <v>15</v>
      </c>
      <c r="I8" s="26" t="s">
        <v>124</v>
      </c>
      <c r="J8" s="27" t="s">
        <v>125</v>
      </c>
      <c r="K8" s="29" t="s">
        <v>15</v>
      </c>
      <c r="L8" s="26" t="s">
        <v>124</v>
      </c>
      <c r="M8" s="27" t="s">
        <v>125</v>
      </c>
      <c r="N8" s="29" t="s">
        <v>15</v>
      </c>
      <c r="O8" s="26" t="s">
        <v>124</v>
      </c>
      <c r="P8" s="27" t="s">
        <v>125</v>
      </c>
      <c r="Q8" s="28" t="s">
        <v>15</v>
      </c>
      <c r="R8" s="26" t="s">
        <v>124</v>
      </c>
      <c r="S8" s="27" t="s">
        <v>125</v>
      </c>
      <c r="T8" s="27" t="s">
        <v>233</v>
      </c>
    </row>
    <row r="9" spans="1:31" ht="12.75" customHeight="1" x14ac:dyDescent="0.2">
      <c r="A9" s="30" t="s">
        <v>22</v>
      </c>
      <c r="B9" s="25"/>
      <c r="C9" s="25"/>
      <c r="D9" s="31"/>
      <c r="E9" s="28"/>
      <c r="F9" s="25"/>
      <c r="G9" s="31"/>
      <c r="H9" s="28"/>
      <c r="I9" s="25"/>
      <c r="J9" s="25"/>
      <c r="K9" s="28"/>
      <c r="L9" s="25"/>
      <c r="M9" s="32"/>
      <c r="N9" s="28"/>
      <c r="O9" s="25"/>
      <c r="P9" s="32"/>
      <c r="Q9" s="28"/>
      <c r="R9" s="25"/>
      <c r="S9" s="32"/>
      <c r="T9" s="32"/>
    </row>
    <row r="10" spans="1:31" x14ac:dyDescent="0.2">
      <c r="A10" s="2" t="s">
        <v>66</v>
      </c>
      <c r="B10" s="35">
        <v>7</v>
      </c>
      <c r="C10" s="164">
        <f>B10*(INDEX('Ex ante LI &amp; Eligibility Stats'!$A$5:$M$14,MATCH('Program MW '!$A10,'Ex ante LI &amp; Eligibility Stats'!$A$5:$A$14,0),MATCH('Program MW '!C$7,'Ex ante LI &amp; Eligibility Stats'!$A$5:$M$5,0))/1000)</f>
        <v>0.66426054545454549</v>
      </c>
      <c r="D10" s="164">
        <f>B10*(INDEX('Ex post LI &amp; Eligibility Stats'!$A$6:$N$15,MATCH($A10,'Ex post LI &amp; Eligibility Stats'!$A$6:$A$15,0),MATCH('Program MW '!C$7,'Ex post LI &amp; Eligibility Stats'!$A$6:$N$6,0))/1000)</f>
        <v>0.50909090909090915</v>
      </c>
      <c r="E10" s="33">
        <v>7</v>
      </c>
      <c r="F10" s="164">
        <f>E10*(INDEX('Ex ante LI &amp; Eligibility Stats'!$A$5:$M$14,MATCH('Program MW '!$A10,'Ex ante LI &amp; Eligibility Stats'!$A$5:$A$14,0),MATCH('Program MW '!F$7,'Ex ante LI &amp; Eligibility Stats'!$A$5:$M$5,0))/1000)</f>
        <v>0.61629279090909095</v>
      </c>
      <c r="G10" s="164">
        <f>E10*(INDEX('Ex post LI &amp; Eligibility Stats'!$A$6:$N$15,MATCH($A10,'Ex post LI &amp; Eligibility Stats'!$A$6:$A$15,0),MATCH('Program MW '!F$7,'Ex post LI &amp; Eligibility Stats'!$A$6:$N$6,0))/1000)</f>
        <v>0.50909090909090915</v>
      </c>
      <c r="H10" s="33">
        <v>7</v>
      </c>
      <c r="I10" s="164">
        <f>H10*(INDEX('Ex ante LI &amp; Eligibility Stats'!$A$5:$M$14,MATCH('Program MW '!$A10,'Ex ante LI &amp; Eligibility Stats'!$A$5:$A$14,0),MATCH('Program MW '!I$7,'Ex ante LI &amp; Eligibility Stats'!$A$5:$M$5,0))/1000)</f>
        <v>0.676086090909091</v>
      </c>
      <c r="J10" s="164">
        <f>H10*(INDEX('Ex post LI &amp; Eligibility Stats'!$A$6:$N$15,MATCH($A10,'Ex post LI &amp; Eligibility Stats'!$A$6:$A$15,0),MATCH('Program MW '!I$7,'Ex post LI &amp; Eligibility Stats'!$A$6:$N$6,0))/1000)</f>
        <v>0.50909090909090915</v>
      </c>
      <c r="K10" s="33">
        <v>7</v>
      </c>
      <c r="L10" s="164">
        <f>K10*(INDEX('Ex ante LI &amp; Eligibility Stats'!$A$5:$M$14,MATCH('Program MW '!$A10,'Ex ante LI &amp; Eligibility Stats'!$A$5:$A$14,0),MATCH('Program MW '!L$7,'Ex ante LI &amp; Eligibility Stats'!$A$5:$M$5,0))/1000)</f>
        <v>0.51421529090909091</v>
      </c>
      <c r="M10" s="164">
        <f>K10*(INDEX('Ex post LI &amp; Eligibility Stats'!$A$6:$N$15,MATCH($A10,'Ex post LI &amp; Eligibility Stats'!$A$6:$A$15,0),MATCH('Program MW '!L$7,'Ex post LI &amp; Eligibility Stats'!$A$6:$N$6,0))/1000)</f>
        <v>0.50909090909090915</v>
      </c>
      <c r="N10" s="33">
        <v>7</v>
      </c>
      <c r="O10" s="164">
        <f>N10*(INDEX('Ex ante LI &amp; Eligibility Stats'!$A$5:$M$14,MATCH('Program MW '!$A10,'Ex ante LI &amp; Eligibility Stats'!$A$5:$A$14,0),MATCH('Program MW '!O$7,'Ex ante LI &amp; Eligibility Stats'!$A$5:$M$5,0))/1000)</f>
        <v>0.57047734545454543</v>
      </c>
      <c r="P10" s="164">
        <f>N10*(INDEX('Ex post LI &amp; Eligibility Stats'!$A$6:$N$15,MATCH($A10,'Ex post LI &amp; Eligibility Stats'!$A$6:$A$15,0),MATCH('Program MW '!O$7,'Ex post LI &amp; Eligibility Stats'!$A$6:$N$6,0))/1000)</f>
        <v>0.50909090909090915</v>
      </c>
      <c r="Q10" s="33">
        <v>7</v>
      </c>
      <c r="R10" s="164">
        <f>Q10*(INDEX('Ex ante LI &amp; Eligibility Stats'!$A$5:$M$14,MATCH('Program MW '!$A10,'Ex ante LI &amp; Eligibility Stats'!$A$5:$A$14,0),MATCH('Program MW '!R$7,'Ex ante LI &amp; Eligibility Stats'!$A$5:$M$5,0))/1000)</f>
        <v>0.45657735454545445</v>
      </c>
      <c r="S10" s="164">
        <f>Q10*(INDEX('Ex post LI &amp; Eligibility Stats'!$A$6:$N$15,MATCH($A10,'Ex post LI &amp; Eligibility Stats'!$A$6:$A$15,0),MATCH('Program MW '!R$7,'Ex post LI &amp; Eligibility Stats'!$A$6:$N$6,0))/1000)</f>
        <v>0.50909090909090915</v>
      </c>
      <c r="T10" s="36">
        <v>5276</v>
      </c>
      <c r="U10"/>
      <c r="V10"/>
      <c r="W10"/>
      <c r="X10"/>
    </row>
    <row r="11" spans="1:31" ht="14.25" customHeight="1" thickBot="1" x14ac:dyDescent="0.25">
      <c r="A11" s="37" t="s">
        <v>20</v>
      </c>
      <c r="B11" s="38">
        <f t="shared" ref="B11:S11" si="0">SUM(B10:B10)</f>
        <v>7</v>
      </c>
      <c r="C11" s="39">
        <f t="shared" si="0"/>
        <v>0.66426054545454549</v>
      </c>
      <c r="D11" s="39">
        <f t="shared" si="0"/>
        <v>0.50909090909090915</v>
      </c>
      <c r="E11" s="38">
        <f t="shared" si="0"/>
        <v>7</v>
      </c>
      <c r="F11" s="39">
        <f t="shared" si="0"/>
        <v>0.61629279090909095</v>
      </c>
      <c r="G11" s="39">
        <f t="shared" si="0"/>
        <v>0.50909090909090915</v>
      </c>
      <c r="H11" s="38">
        <f t="shared" si="0"/>
        <v>7</v>
      </c>
      <c r="I11" s="39">
        <f t="shared" si="0"/>
        <v>0.676086090909091</v>
      </c>
      <c r="J11" s="39">
        <f t="shared" si="0"/>
        <v>0.50909090909090915</v>
      </c>
      <c r="K11" s="38">
        <f t="shared" si="0"/>
        <v>7</v>
      </c>
      <c r="L11" s="39">
        <f t="shared" si="0"/>
        <v>0.51421529090909091</v>
      </c>
      <c r="M11" s="39">
        <f t="shared" si="0"/>
        <v>0.50909090909090915</v>
      </c>
      <c r="N11" s="38">
        <f t="shared" si="0"/>
        <v>7</v>
      </c>
      <c r="O11" s="39">
        <f t="shared" si="0"/>
        <v>0.57047734545454543</v>
      </c>
      <c r="P11" s="39">
        <f t="shared" si="0"/>
        <v>0.50909090909090915</v>
      </c>
      <c r="Q11" s="38">
        <f t="shared" si="0"/>
        <v>7</v>
      </c>
      <c r="R11" s="39">
        <f t="shared" si="0"/>
        <v>0.45657735454545445</v>
      </c>
      <c r="S11" s="39">
        <f t="shared" si="0"/>
        <v>0.50909090909090915</v>
      </c>
      <c r="T11" s="40"/>
      <c r="U11"/>
      <c r="V11"/>
      <c r="W11"/>
      <c r="X11"/>
    </row>
    <row r="12" spans="1:31" ht="16.5" customHeight="1" thickTop="1" x14ac:dyDescent="0.2">
      <c r="A12" s="30" t="s">
        <v>126</v>
      </c>
      <c r="B12" s="42"/>
      <c r="C12" s="42"/>
      <c r="D12" s="43"/>
      <c r="E12" s="44"/>
      <c r="F12" s="45"/>
      <c r="G12" s="43"/>
      <c r="H12" s="44"/>
      <c r="I12" s="42"/>
      <c r="J12" s="43"/>
      <c r="K12" s="44"/>
      <c r="L12" s="42"/>
      <c r="M12" s="43"/>
      <c r="N12" s="44"/>
      <c r="O12" s="162"/>
      <c r="P12" s="163"/>
      <c r="Q12" s="44"/>
      <c r="R12" s="42"/>
      <c r="S12" s="43"/>
      <c r="T12" s="46"/>
      <c r="U12"/>
      <c r="V12"/>
      <c r="W12"/>
      <c r="X12"/>
      <c r="Y12" s="47"/>
      <c r="Z12" s="47"/>
      <c r="AA12" s="47"/>
      <c r="AB12" s="47"/>
      <c r="AC12" s="47"/>
      <c r="AD12" s="47"/>
      <c r="AE12" s="47"/>
    </row>
    <row r="13" spans="1:31" x14ac:dyDescent="0.2">
      <c r="A13" s="2" t="s">
        <v>67</v>
      </c>
      <c r="B13" s="48">
        <v>1154</v>
      </c>
      <c r="C13" s="164">
        <f>B13*(INDEX('Ex ante LI &amp; Eligibility Stats'!$A$5:$M$14,MATCH($A13,'Ex ante LI &amp; Eligibility Stats'!$A$5:$A$14,0),MATCH('Program MW '!C$7,'Ex ante LI &amp; Eligibility Stats'!$A$5:$M$5,0))/1000)</f>
        <v>5.2143245464382328</v>
      </c>
      <c r="D13" s="164">
        <f>B13*(INDEX('Ex post LI &amp; Eligibility Stats'!$A$6:$N$15,MATCH($A13,'Ex post LI &amp; Eligibility Stats'!$A$6:$A$15,0),MATCH('Program MW '!C$7,'Ex post LI &amp; Eligibility Stats'!$A$6:$N$6,0))/1000)</f>
        <v>18.834445446348063</v>
      </c>
      <c r="E13" s="33">
        <v>1150</v>
      </c>
      <c r="F13" s="164">
        <f>E13*(INDEX('Ex ante LI &amp; Eligibility Stats'!$A$5:$M$14,MATCH($A13,'Ex ante LI &amp; Eligibility Stats'!$A$5:$A$14,0),MATCH('Program MW '!F$7,'Ex ante LI &amp; Eligibility Stats'!$A$5:$M$5,0))/1000)</f>
        <v>5.2334685302073947</v>
      </c>
      <c r="G13" s="164">
        <f>E13*(INDEX('Ex post LI &amp; Eligibility Stats'!$A$6:$N$15,MATCH($A13,'Ex post LI &amp; Eligibility Stats'!$A$6:$A$15,0),MATCH('Program MW '!F$7,'Ex post LI &amp; Eligibility Stats'!$A$6:$N$6,0))/1000)</f>
        <v>18.76916140667268</v>
      </c>
      <c r="H13" s="33">
        <v>1148</v>
      </c>
      <c r="I13" s="164">
        <f>H13*(INDEX('Ex ante LI &amp; Eligibility Stats'!$A$5:$M$14,MATCH($A13,'Ex ante LI &amp; Eligibility Stats'!$A$5:$A$14,0),MATCH('Program MW '!I$7,'Ex ante LI &amp; Eligibility Stats'!$A$5:$M$5,0))/1000)</f>
        <v>5.1784623733092872</v>
      </c>
      <c r="J13" s="164">
        <f>H13*(INDEX('Ex post LI &amp; Eligibility Stats'!$A$6:$N$15,MATCH($A13,'Ex post LI &amp; Eligibility Stats'!$A$6:$A$15,0),MATCH('Program MW '!I$7,'Ex post LI &amp; Eligibility Stats'!$A$6:$N$6,0))/1000)</f>
        <v>18.736519386834988</v>
      </c>
      <c r="K13" s="33">
        <v>1114</v>
      </c>
      <c r="L13" s="164">
        <f>K13*(INDEX('Ex ante LI &amp; Eligibility Stats'!$A$5:$M$14,MATCH($A13,'Ex ante LI &amp; Eligibility Stats'!$A$5:$A$14,0),MATCH('Program MW '!L$7,'Ex ante LI &amp; Eligibility Stats'!$A$5:$M$5,0))/1000)</f>
        <v>15.379056284941388</v>
      </c>
      <c r="M13" s="164">
        <f>K13*(INDEX('Ex post LI &amp; Eligibility Stats'!$A$6:$N$15,MATCH($A13,'Ex post LI &amp; Eligibility Stats'!$A$6:$A$15,0),MATCH('Program MW '!L$7,'Ex post LI &amp; Eligibility Stats'!$A$6:$N$6,0))/1000)</f>
        <v>18.181605049594232</v>
      </c>
      <c r="N13" s="33">
        <v>1130</v>
      </c>
      <c r="O13" s="164">
        <f>N13*(INDEX('Ex ante LI &amp; Eligibility Stats'!$A$5:$M$14,MATCH($A13,'Ex ante LI &amp; Eligibility Stats'!$A$5:$A$14,0),MATCH('Program MW '!O$7,'Ex ante LI &amp; Eligibility Stats'!$A$5:$M$5,0))/1000)</f>
        <v>14.893787195671777</v>
      </c>
      <c r="P13" s="164">
        <f>N13*(INDEX('Ex post LI &amp; Eligibility Stats'!$A$6:$N$15,MATCH($A13,'Ex post LI &amp; Eligibility Stats'!$A$6:$A$15,0),MATCH('Program MW '!O$7,'Ex post LI &amp; Eligibility Stats'!$A$6:$N$6,0))/1000)</f>
        <v>18.442741208295764</v>
      </c>
      <c r="Q13" s="33">
        <v>1118</v>
      </c>
      <c r="R13" s="164">
        <f>Q13*(INDEX('Ex ante LI &amp; Eligibility Stats'!$A$5:$M$14,MATCH($A13,'Ex ante LI &amp; Eligibility Stats'!$A$5:$A$14,0),MATCH('Program MW '!R$7,'Ex ante LI &amp; Eligibility Stats'!$A$5:$M$5,0))/1000)</f>
        <v>14.722043769161406</v>
      </c>
      <c r="S13" s="164">
        <f>Q13*(INDEX('Ex post LI &amp; Eligibility Stats'!$A$6:$N$15,MATCH($A13,'Ex post LI &amp; Eligibility Stats'!$A$6:$A$15,0),MATCH('Program MW '!R$7,'Ex post LI &amp; Eligibility Stats'!$A$6:$N$6,0))/1000)</f>
        <v>18.246889089269615</v>
      </c>
      <c r="T13" s="34">
        <v>138123</v>
      </c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1" x14ac:dyDescent="0.2">
      <c r="A14" s="2" t="s">
        <v>68</v>
      </c>
      <c r="B14" s="49">
        <v>27301</v>
      </c>
      <c r="C14" s="164">
        <f>B14*(INDEX('Ex ante LI &amp; Eligibility Stats'!$A$5:$M$14,MATCH($A14,'Ex ante LI &amp; Eligibility Stats'!$A$5:$A$14,0),MATCH('Program MW '!C$7,'Ex ante LI &amp; Eligibility Stats'!$A$5:$M$5,0))/1000)</f>
        <v>0</v>
      </c>
      <c r="D14" s="164">
        <f>B14*(INDEX('Ex post LI &amp; Eligibility Stats'!$A$6:$N$15,MATCH($A14,'Ex post LI &amp; Eligibility Stats'!$A$6:$A$15,0),MATCH('Program MW '!C$7,'Ex post LI &amp; Eligibility Stats'!$A$6:$N$6,0))/1000)</f>
        <v>12</v>
      </c>
      <c r="E14" s="33">
        <v>27109</v>
      </c>
      <c r="F14" s="164">
        <f>E14*(INDEX('Ex ante LI &amp; Eligibility Stats'!$A$5:$M$14,MATCH($A14,'Ex ante LI &amp; Eligibility Stats'!$A$5:$A$14,0),MATCH('Program MW '!F$7,'Ex ante LI &amp; Eligibility Stats'!$A$5:$M$5,0))/1000)</f>
        <v>0</v>
      </c>
      <c r="G14" s="164">
        <f>E14*(INDEX('Ex post LI &amp; Eligibility Stats'!$A$6:$N$15,MATCH($A14,'Ex post LI &amp; Eligibility Stats'!$A$6:$A$15,0),MATCH('Program MW '!F$7,'Ex post LI &amp; Eligibility Stats'!$A$6:$N$6,0))/1000)</f>
        <v>11.915607486905241</v>
      </c>
      <c r="H14" s="33">
        <v>26975</v>
      </c>
      <c r="I14" s="164">
        <f>H14*(INDEX('Ex ante LI &amp; Eligibility Stats'!$A$5:$M$14,MATCH($A14,'Ex ante LI &amp; Eligibility Stats'!$A$5:$A$14,0),MATCH('Program MW '!I$7,'Ex ante LI &amp; Eligibility Stats'!$A$5:$M$5,0))/1000)</f>
        <v>0</v>
      </c>
      <c r="J14" s="164">
        <f>H14*(INDEX('Ex post LI &amp; Eligibility Stats'!$A$6:$N$15,MATCH($A14,'Ex post LI &amp; Eligibility Stats'!$A$6:$A$15,0),MATCH('Program MW '!I$7,'Ex post LI &amp; Eligibility Stats'!$A$6:$N$6,0))/1000)</f>
        <v>11.856708545474525</v>
      </c>
      <c r="K14" s="33">
        <v>26801</v>
      </c>
      <c r="L14" s="164">
        <f>K14*(INDEX('Ex ante LI &amp; Eligibility Stats'!$A$5:$M$14,MATCH($A14,'Ex ante LI &amp; Eligibility Stats'!$A$5:$A$14,0),MATCH('Program MW '!L$7,'Ex ante LI &amp; Eligibility Stats'!$A$5:$M$5,0))/1000)</f>
        <v>0</v>
      </c>
      <c r="M14" s="164">
        <f>K14*(INDEX('Ex post LI &amp; Eligibility Stats'!$A$6:$N$15,MATCH($A14,'Ex post LI &amp; Eligibility Stats'!$A$6:$A$15,0),MATCH('Program MW '!L$7,'Ex post LI &amp; Eligibility Stats'!$A$6:$N$6,0))/1000)</f>
        <v>11.780227830482401</v>
      </c>
      <c r="N14" s="33">
        <v>26733</v>
      </c>
      <c r="O14" s="164">
        <f>N14*(INDEX('Ex ante LI &amp; Eligibility Stats'!$A$5:$M$14,MATCH($A14,'Ex ante LI &amp; Eligibility Stats'!$A$5:$A$14,0),MATCH('Program MW '!O$7,'Ex ante LI &amp; Eligibility Stats'!$A$5:$M$5,0))/1000)</f>
        <v>2.4755069913880918</v>
      </c>
      <c r="P14" s="164">
        <f>N14*(INDEX('Ex post LI &amp; Eligibility Stats'!$A$6:$N$15,MATCH($A14,'Ex post LI &amp; Eligibility Stats'!$A$6:$A$15,0),MATCH('Program MW '!O$7,'Ex post LI &amp; Eligibility Stats'!$A$6:$N$6,0))/1000)</f>
        <v>11.750338815428007</v>
      </c>
      <c r="Q14" s="33">
        <v>26558</v>
      </c>
      <c r="R14" s="164">
        <f>Q14*(INDEX('Ex ante LI &amp; Eligibility Stats'!$A$5:$M$14,MATCH($A14,'Ex ante LI &amp; Eligibility Stats'!$A$5:$A$14,0),MATCH('Program MW '!R$7,'Ex ante LI &amp; Eligibility Stats'!$A$5:$M$5,0))/1000)</f>
        <v>4.9186035744050374</v>
      </c>
      <c r="S14" s="164">
        <f>Q14*(INDEX('Ex post LI &amp; Eligibility Stats'!$A$6:$N$15,MATCH($A14,'Ex post LI &amp; Eligibility Stats'!$A$6:$A$15,0),MATCH('Program MW '!R$7,'Ex post LI &amp; Eligibility Stats'!$A$6:$N$6,0))/1000)</f>
        <v>11.673418556096847</v>
      </c>
      <c r="T14" s="36">
        <v>663393.5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</row>
    <row r="15" spans="1:31" x14ac:dyDescent="0.2">
      <c r="A15" s="2" t="s">
        <v>69</v>
      </c>
      <c r="B15" s="49">
        <v>10799</v>
      </c>
      <c r="C15" s="164">
        <f>B15*(INDEX('Ex ante LI &amp; Eligibility Stats'!$A$5:$M$14,MATCH($A15,'Ex ante LI &amp; Eligibility Stats'!$A$5:$A$14,0),MATCH('Program MW '!C$7,'Ex ante LI &amp; Eligibility Stats'!$A$5:$M$5,0))/1000)</f>
        <v>0</v>
      </c>
      <c r="D15" s="164">
        <f>B15*(INDEX('Ex post LI &amp; Eligibility Stats'!$A$6:$N$15,MATCH($A15,'Ex post LI &amp; Eligibility Stats'!$A$6:$A$15,0),MATCH('Program MW '!C$7,'Ex post LI &amp; Eligibility Stats'!$A$6:$N$6,0))/1000)</f>
        <v>4</v>
      </c>
      <c r="E15" s="33">
        <v>10788</v>
      </c>
      <c r="F15" s="164">
        <f>E15*(INDEX('Ex ante LI &amp; Eligibility Stats'!$A$5:$M$14,MATCH($A15,'Ex ante LI &amp; Eligibility Stats'!$A$5:$A$14,0),MATCH('Program MW '!F$7,'Ex ante LI &amp; Eligibility Stats'!$A$5:$M$5,0))/1000)</f>
        <v>0</v>
      </c>
      <c r="G15" s="164">
        <f>E15*(INDEX('Ex post LI &amp; Eligibility Stats'!$A$6:$N$15,MATCH($A15,'Ex post LI &amp; Eligibility Stats'!$A$6:$A$15,0),MATCH('Program MW '!F$7,'Ex post LI &amp; Eligibility Stats'!$A$6:$N$6,0))/1000)</f>
        <v>3.9959255486619134</v>
      </c>
      <c r="H15" s="33">
        <v>10696</v>
      </c>
      <c r="I15" s="164">
        <f>H15*(INDEX('Ex ante LI &amp; Eligibility Stats'!$A$5:$M$14,MATCH($A15,'Ex ante LI &amp; Eligibility Stats'!$A$5:$A$14,0),MATCH('Program MW '!I$7,'Ex ante LI &amp; Eligibility Stats'!$A$5:$M$5,0))/1000)</f>
        <v>0</v>
      </c>
      <c r="J15" s="164">
        <f>H15*(INDEX('Ex post LI &amp; Eligibility Stats'!$A$6:$N$15,MATCH($A15,'Ex post LI &amp; Eligibility Stats'!$A$6:$A$15,0),MATCH('Program MW '!I$7,'Ex post LI &amp; Eligibility Stats'!$A$6:$N$6,0))/1000)</f>
        <v>3.9618483192888232</v>
      </c>
      <c r="K15" s="33">
        <v>10869</v>
      </c>
      <c r="L15" s="164">
        <f>K15*(INDEX('Ex ante LI &amp; Eligibility Stats'!$A$5:$M$14,MATCH($A15,'Ex ante LI &amp; Eligibility Stats'!$A$5:$A$14,0),MATCH('Program MW '!L$7,'Ex ante LI &amp; Eligibility Stats'!$A$5:$M$5,0))/1000)</f>
        <v>0</v>
      </c>
      <c r="M15" s="164">
        <f>K15*(INDEX('Ex post LI &amp; Eligibility Stats'!$A$6:$N$15,MATCH($A15,'Ex post LI &amp; Eligibility Stats'!$A$6:$A$15,0),MATCH('Program MW '!L$7,'Ex post LI &amp; Eligibility Stats'!$A$6:$N$6,0))/1000)</f>
        <v>4.0259283266969161</v>
      </c>
      <c r="N15" s="33">
        <v>10844</v>
      </c>
      <c r="O15" s="164">
        <f>N15*(INDEX('Ex ante LI &amp; Eligibility Stats'!$A$5:$M$14,MATCH($A15,'Ex ante LI &amp; Eligibility Stats'!$A$5:$A$14,0),MATCH('Program MW '!O$7,'Ex ante LI &amp; Eligibility Stats'!$A$5:$M$5,0))/1000)</f>
        <v>1.5888062708325703</v>
      </c>
      <c r="P15" s="164">
        <f>N15*(INDEX('Ex post LI &amp; Eligibility Stats'!$A$6:$N$15,MATCH($A15,'Ex post LI &amp; Eligibility Stats'!$A$6:$A$15,0),MATCH('Program MW '!O$7,'Ex post LI &amp; Eligibility Stats'!$A$6:$N$6,0))/1000)</f>
        <v>4.0166682100194464</v>
      </c>
      <c r="Q15" s="33">
        <v>10773</v>
      </c>
      <c r="R15" s="164">
        <f>Q15*(INDEX('Ex ante LI &amp; Eligibility Stats'!$A$5:$M$14,MATCH($A15,'Ex ante LI &amp; Eligibility Stats'!$A$5:$A$14,0),MATCH('Program MW '!R$7,'Ex ante LI &amp; Eligibility Stats'!$A$5:$M$5,0))/1000)</f>
        <v>1.9730046518442548</v>
      </c>
      <c r="S15" s="164">
        <f>Q15*(INDEX('Ex post LI &amp; Eligibility Stats'!$A$6:$N$15,MATCH($A15,'Ex post LI &amp; Eligibility Stats'!$A$6:$A$15,0),MATCH('Program MW '!R$7,'Ex post LI &amp; Eligibility Stats'!$A$6:$N$6,0))/1000)</f>
        <v>3.9903694786554311</v>
      </c>
      <c r="T15" s="36">
        <v>157189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</row>
    <row r="16" spans="1:31" x14ac:dyDescent="0.2">
      <c r="A16" s="2" t="s">
        <v>70</v>
      </c>
      <c r="B16" s="50">
        <v>136</v>
      </c>
      <c r="C16" s="164">
        <f>B16*(INDEX('Ex ante LI &amp; Eligibility Stats'!$A$5:$M$14,MATCH($A16,'Ex ante LI &amp; Eligibility Stats'!$A$5:$A$14,0),MATCH('Program MW '!C$7,'Ex ante LI &amp; Eligibility Stats'!$A$5:$M$5,0))/1000)</f>
        <v>0</v>
      </c>
      <c r="D16" s="164">
        <f>B16*(INDEX('Ex post LI &amp; Eligibility Stats'!$A$6:$N$15,MATCH($A16,'Ex post LI &amp; Eligibility Stats'!$A$6:$A$15,0),MATCH('Program MW '!C$7,'Ex post LI &amp; Eligibility Stats'!$A$6:$N$6,0))/1000)</f>
        <v>7.3</v>
      </c>
      <c r="E16" s="33">
        <v>136</v>
      </c>
      <c r="F16" s="164">
        <f>E16*(INDEX('Ex ante LI &amp; Eligibility Stats'!$A$5:$M$14,MATCH($A16,'Ex ante LI &amp; Eligibility Stats'!$A$5:$A$14,0),MATCH('Program MW '!F$7,'Ex ante LI &amp; Eligibility Stats'!$A$5:$M$5,0))/1000)</f>
        <v>0</v>
      </c>
      <c r="G16" s="164">
        <f>E16*(INDEX('Ex post LI &amp; Eligibility Stats'!$A$6:$N$15,MATCH($A16,'Ex post LI &amp; Eligibility Stats'!$A$6:$A$15,0),MATCH('Program MW '!F$7,'Ex post LI &amp; Eligibility Stats'!$A$6:$N$6,0))/1000)</f>
        <v>7.3</v>
      </c>
      <c r="H16" s="33">
        <v>131</v>
      </c>
      <c r="I16" s="164">
        <f>H16*(INDEX('Ex ante LI &amp; Eligibility Stats'!$A$5:$M$14,MATCH($A16,'Ex ante LI &amp; Eligibility Stats'!$A$5:$A$14,0),MATCH('Program MW '!I$7,'Ex ante LI &amp; Eligibility Stats'!$A$5:$M$5,0))/1000)</f>
        <v>0</v>
      </c>
      <c r="J16" s="164">
        <f>H16*(INDEX('Ex post LI &amp; Eligibility Stats'!$A$6:$N$15,MATCH($A16,'Ex post LI &amp; Eligibility Stats'!$A$6:$A$15,0),MATCH('Program MW '!I$7,'Ex post LI &amp; Eligibility Stats'!$A$6:$N$6,0))/1000)</f>
        <v>7.0316176470588232</v>
      </c>
      <c r="K16" s="330">
        <v>131</v>
      </c>
      <c r="L16" s="164">
        <f>K16*(INDEX('Ex ante LI &amp; Eligibility Stats'!$A$5:$M$14,MATCH($A16,'Ex ante LI &amp; Eligibility Stats'!$A$5:$A$14,0),MATCH('Program MW '!L$7,'Ex ante LI &amp; Eligibility Stats'!$A$5:$M$5,0))/1000)</f>
        <v>0</v>
      </c>
      <c r="M16" s="164">
        <f>K16*(INDEX('Ex post LI &amp; Eligibility Stats'!$A$6:$N$15,MATCH($A16,'Ex post LI &amp; Eligibility Stats'!$A$6:$A$15,0),MATCH('Program MW '!L$7,'Ex post LI &amp; Eligibility Stats'!$A$6:$N$6,0))/1000)</f>
        <v>7.0316176470588232</v>
      </c>
      <c r="N16" s="33">
        <v>142</v>
      </c>
      <c r="O16" s="164">
        <f>N16*(INDEX('Ex ante LI &amp; Eligibility Stats'!$A$5:$M$14,MATCH($A16,'Ex ante LI &amp; Eligibility Stats'!$A$5:$A$14,0),MATCH('Program MW '!O$7,'Ex ante LI &amp; Eligibility Stats'!$A$5:$M$5,0))/1000)</f>
        <v>8.7168651314342718</v>
      </c>
      <c r="P16" s="164">
        <f>N16*(INDEX('Ex post LI &amp; Eligibility Stats'!$A$6:$N$15,MATCH($A16,'Ex post LI &amp; Eligibility Stats'!$A$6:$A$15,0),MATCH('Program MW '!O$7,'Ex post LI &amp; Eligibility Stats'!$A$6:$N$6,0))/1000)</f>
        <v>7.6220588235294109</v>
      </c>
      <c r="Q16" s="33">
        <v>146</v>
      </c>
      <c r="R16" s="164">
        <f>Q16*(INDEX('Ex ante LI &amp; Eligibility Stats'!$A$5:$M$14,MATCH($A16,'Ex ante LI &amp; Eligibility Stats'!$A$5:$A$14,0),MATCH('Program MW '!R$7,'Ex ante LI &amp; Eligibility Stats'!$A$5:$M$5,0))/1000)</f>
        <v>9.0546825212590836</v>
      </c>
      <c r="S16" s="164">
        <f>Q16*(INDEX('Ex post LI &amp; Eligibility Stats'!$A$6:$N$15,MATCH($A16,'Ex post LI &amp; Eligibility Stats'!$A$6:$A$15,0),MATCH('Program MW '!R$7,'Ex post LI &amp; Eligibility Stats'!$A$6:$N$6,0))/1000)</f>
        <v>7.8367647058823522</v>
      </c>
      <c r="T16" s="36">
        <v>18875</v>
      </c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1:31" x14ac:dyDescent="0.2">
      <c r="A17" s="2" t="s">
        <v>71</v>
      </c>
      <c r="B17" s="49">
        <v>546</v>
      </c>
      <c r="C17" s="164">
        <f>B17*(INDEX('Ex ante LI &amp; Eligibility Stats'!$A$5:$M$14,MATCH($A17,'Ex ante LI &amp; Eligibility Stats'!$A$5:$A$14,0),MATCH('Program MW '!C$7,'Ex ante LI &amp; Eligibility Stats'!$A$5:$M$5,0))/1000)</f>
        <v>0</v>
      </c>
      <c r="D17" s="164">
        <f>B17*(INDEX('Ex post LI &amp; Eligibility Stats'!$A$6:$N$15,MATCH($A17,'Ex post LI &amp; Eligibility Stats'!$A$6:$A$15,0),MATCH('Program MW '!C$7,'Ex post LI &amp; Eligibility Stats'!$A$6:$N$6,0))/1000)</f>
        <v>11.821651376146789</v>
      </c>
      <c r="E17" s="33">
        <v>546</v>
      </c>
      <c r="F17" s="164">
        <f>E17*(INDEX('Ex ante LI &amp; Eligibility Stats'!$A$5:$M$14,MATCH($A17,'Ex ante LI &amp; Eligibility Stats'!$A$5:$A$14,0),MATCH('Program MW '!F$7,'Ex ante LI &amp; Eligibility Stats'!$A$5:$M$5,0))/1000)</f>
        <v>0</v>
      </c>
      <c r="G17" s="164">
        <f>E17*(INDEX('Ex post LI &amp; Eligibility Stats'!$A$6:$N$15,MATCH($A17,'Ex post LI &amp; Eligibility Stats'!$A$6:$A$15,0),MATCH('Program MW '!F$7,'Ex post LI &amp; Eligibility Stats'!$A$6:$N$6,0))/1000)</f>
        <v>11.821651376146789</v>
      </c>
      <c r="H17" s="33">
        <v>525</v>
      </c>
      <c r="I17" s="164">
        <f>H17*(INDEX('Ex ante LI &amp; Eligibility Stats'!$A$5:$M$14,MATCH($A17,'Ex ante LI &amp; Eligibility Stats'!$A$5:$A$14,0),MATCH('Program MW '!I$7,'Ex ante LI &amp; Eligibility Stats'!$A$5:$M$5,0))/1000)</f>
        <v>0</v>
      </c>
      <c r="J17" s="164">
        <f>H17*(INDEX('Ex post LI &amp; Eligibility Stats'!$A$6:$N$15,MATCH($A17,'Ex post LI &amp; Eligibility Stats'!$A$6:$A$15,0),MATCH('Program MW '!I$7,'Ex post LI &amp; Eligibility Stats'!$A$6:$N$6,0))/1000)</f>
        <v>11.36697247706422</v>
      </c>
      <c r="K17" s="330">
        <v>525</v>
      </c>
      <c r="L17" s="164">
        <f>K17*(INDEX('Ex ante LI &amp; Eligibility Stats'!$A$5:$M$14,MATCH($A17,'Ex ante LI &amp; Eligibility Stats'!$A$5:$A$14,0),MATCH('Program MW '!L$7,'Ex ante LI &amp; Eligibility Stats'!$A$5:$M$5,0))/1000)</f>
        <v>0</v>
      </c>
      <c r="M17" s="164">
        <f>K17*(INDEX('Ex post LI &amp; Eligibility Stats'!$A$6:$N$15,MATCH($A17,'Ex post LI &amp; Eligibility Stats'!$A$6:$A$15,0),MATCH('Program MW '!L$7,'Ex post LI &amp; Eligibility Stats'!$A$6:$N$6,0))/1000)</f>
        <v>11.36697247706422</v>
      </c>
      <c r="N17" s="33">
        <v>568</v>
      </c>
      <c r="O17" s="164">
        <f>N17*(INDEX('Ex ante LI &amp; Eligibility Stats'!$A$5:$M$14,MATCH($A17,'Ex ante LI &amp; Eligibility Stats'!$A$5:$A$14,0),MATCH('Program MW '!O$7,'Ex ante LI &amp; Eligibility Stats'!$A$5:$M$5,0))/1000)</f>
        <v>9.9566175660299603</v>
      </c>
      <c r="P17" s="164">
        <f>N17*(INDEX('Ex post LI &amp; Eligibility Stats'!$A$6:$N$15,MATCH($A17,'Ex post LI &amp; Eligibility Stats'!$A$6:$A$15,0),MATCH('Program MW '!O$7,'Ex post LI &amp; Eligibility Stats'!$A$6:$N$6,0))/1000)</f>
        <v>12.297981651376146</v>
      </c>
      <c r="Q17" s="33">
        <v>584</v>
      </c>
      <c r="R17" s="164">
        <f>Q17*(INDEX('Ex ante LI &amp; Eligibility Stats'!$A$5:$M$14,MATCH($A17,'Ex ante LI &amp; Eligibility Stats'!$A$5:$A$14,0),MATCH('Program MW '!R$7,'Ex ante LI &amp; Eligibility Stats'!$A$5:$M$5,0))/1000)</f>
        <v>10.285487424517992</v>
      </c>
      <c r="S17" s="164">
        <f>Q17*(INDEX('Ex post LI &amp; Eligibility Stats'!$A$6:$N$15,MATCH($A17,'Ex post LI &amp; Eligibility Stats'!$A$6:$A$15,0),MATCH('Program MW '!R$7,'Ex post LI &amp; Eligibility Stats'!$A$6:$N$6,0))/1000)</f>
        <v>12.64440366972477</v>
      </c>
      <c r="T17" s="36">
        <v>18875</v>
      </c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1:31" x14ac:dyDescent="0.2">
      <c r="A18" s="2" t="s">
        <v>232</v>
      </c>
      <c r="B18" s="49">
        <v>1215616</v>
      </c>
      <c r="C18" s="164">
        <f>B18*(INDEX('Ex ante LI &amp; Eligibility Stats'!$A$5:$M$14,MATCH($A18,'Ex ante LI &amp; Eligibility Stats'!$A$5:$A$14,0),MATCH('Program MW '!C$7,'Ex ante LI &amp; Eligibility Stats'!$A$5:$M$5,0))/1000)</f>
        <v>0.83076559999999999</v>
      </c>
      <c r="D18" s="402">
        <f>B18*(INDEX('Ex post LI &amp; Eligibility Stats'!$A$6:$N$15,MATCH($A18,'Ex post LI &amp; Eligibility Stats'!$A$6:$A$15,0),MATCH('Program MW '!C$7,'Ex post LI &amp; Eligibility Stats'!$A$6:$N$6,0))/1000)</f>
        <v>2.8</v>
      </c>
      <c r="E18" s="49">
        <v>1215779</v>
      </c>
      <c r="F18" s="164">
        <f>E18*(INDEX('Ex ante LI &amp; Eligibility Stats'!$A$5:$M$14,MATCH($A18,'Ex ante LI &amp; Eligibility Stats'!$A$5:$A$14,0),MATCH('Program MW '!F$7,'Ex ante LI &amp; Eligibility Stats'!$A$5:$M$5,0))/1000)</f>
        <v>0.86264665539857988</v>
      </c>
      <c r="G18" s="402">
        <f>E18*(INDEX('Ex post LI &amp; Eligibility Stats'!$A$6:$N$15,MATCH($A18,'Ex post LI &amp; Eligibility Stats'!$A$6:$A$15,0),MATCH('Program MW '!F$7,'Ex post LI &amp; Eligibility Stats'!$A$6:$N$6,0))/1000)</f>
        <v>2.8003754475097398</v>
      </c>
      <c r="H18" s="49">
        <v>1221086</v>
      </c>
      <c r="I18" s="164">
        <f>H18*(INDEX('Ex ante LI &amp; Eligibility Stats'!$A$5:$M$14,MATCH($A18,'Ex ante LI &amp; Eligibility Stats'!$A$5:$A$14,0),MATCH('Program MW '!I$7,'Ex ante LI &amp; Eligibility Stats'!$A$5:$M$5,0))/1000)</f>
        <v>0.68434389991066269</v>
      </c>
      <c r="J18" s="402">
        <f>H18*(INDEX('Ex post LI &amp; Eligibility Stats'!$A$6:$N$15,MATCH($A18,'Ex post LI &amp; Eligibility Stats'!$A$6:$A$15,0),MATCH('Program MW '!I$7,'Ex post LI &amp; Eligibility Stats'!$A$6:$N$6,0))/1000)</f>
        <v>2.8125993734863641</v>
      </c>
      <c r="K18" s="49">
        <v>1215786</v>
      </c>
      <c r="L18" s="164">
        <f>K18*(INDEX('Ex ante LI &amp; Eligibility Stats'!$A$5:$M$14,MATCH($A18,'Ex ante LI &amp; Eligibility Stats'!$A$5:$A$14,0),MATCH('Program MW '!L$7,'Ex ante LI &amp; Eligibility Stats'!$A$5:$M$5,0))/1000)</f>
        <v>1.928994726007226</v>
      </c>
      <c r="M18" s="402">
        <f>K18*(INDEX('Ex post LI &amp; Eligibility Stats'!$A$6:$N$15,MATCH($A18,'Ex post LI &amp; Eligibility Stats'!$A$6:$A$15,0),MATCH('Program MW '!L$7,'Ex post LI &amp; Eligibility Stats'!$A$6:$N$6,0))/1000)</f>
        <v>2.8003915710224283</v>
      </c>
      <c r="N18" s="49">
        <v>1214161</v>
      </c>
      <c r="O18" s="164">
        <f>N18*(INDEX('Ex ante LI &amp; Eligibility Stats'!$A$5:$M$14,MATCH($A18,'Ex ante LI &amp; Eligibility Stats'!$A$5:$A$14,0),MATCH('Program MW '!O$7,'Ex ante LI &amp; Eligibility Stats'!$A$5:$M$5,0))/1000)</f>
        <v>1.6543055490944509</v>
      </c>
      <c r="P18" s="402">
        <f>N18*(INDEX('Ex post LI &amp; Eligibility Stats'!$A$6:$N$15,MATCH($A18,'Ex post LI &amp; Eligibility Stats'!$A$6:$A$15,0),MATCH('Program MW '!O$7,'Ex post LI &amp; Eligibility Stats'!$A$6:$N$6,0))/1000)</f>
        <v>2.7966486127198062</v>
      </c>
      <c r="Q18" s="49">
        <v>1222400</v>
      </c>
      <c r="R18" s="164">
        <f>Q18*(INDEX('Ex ante LI &amp; Eligibility Stats'!$A$5:$M$14,MATCH($A18,'Ex ante LI &amp; Eligibility Stats'!$A$5:$A$14,0),MATCH('Program MW '!R$7,'Ex ante LI &amp; Eligibility Stats'!$A$5:$M$5,0))/1000)</f>
        <v>1.4258390333789617</v>
      </c>
      <c r="S18" s="164">
        <f>Q18*(INDEX('Ex post LI &amp; Eligibility Stats'!$A$6:$N$15,MATCH($A18,'Ex post LI &amp; Eligibility Stats'!$A$6:$A$15,0),MATCH('Program MW '!R$7,'Ex post LI &amp; Eligibility Stats'!$A$6:$N$6,0))/1000)</f>
        <v>2.8156259871538381</v>
      </c>
      <c r="T18" s="36">
        <v>1200000</v>
      </c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1:31" x14ac:dyDescent="0.2">
      <c r="A19" s="2" t="s">
        <v>223</v>
      </c>
      <c r="B19" s="49">
        <v>0</v>
      </c>
      <c r="C19" s="164">
        <f>B19*(INDEX('Ex ante LI &amp; Eligibility Stats'!$A$5:$M$14,MATCH($A19,'Ex ante LI &amp; Eligibility Stats'!$A$5:$A$14,0),MATCH('Program MW '!C$7,'Ex ante LI &amp; Eligibility Stats'!$A$5:$M$5,0))/1000)</f>
        <v>0</v>
      </c>
      <c r="D19" s="402">
        <f>B19*(INDEX('Ex post LI &amp; Eligibility Stats'!$A$6:$N$15,MATCH($A19,'Ex post LI &amp; Eligibility Stats'!$A$6:$A$15,0),MATCH('Program MW '!C$7,'Ex post LI &amp; Eligibility Stats'!$A$6:$N$6,0))/1000)</f>
        <v>0</v>
      </c>
      <c r="E19" s="49">
        <v>0</v>
      </c>
      <c r="F19" s="164">
        <f>E19*(INDEX('Ex ante LI &amp; Eligibility Stats'!$A$5:$M$14,MATCH($A19,'Ex ante LI &amp; Eligibility Stats'!$A$5:$A$14,0),MATCH('Program MW '!F$7,'Ex ante LI &amp; Eligibility Stats'!$A$5:$M$5,0))/1000)</f>
        <v>0</v>
      </c>
      <c r="G19" s="402">
        <f>E19*(INDEX('Ex post LI &amp; Eligibility Stats'!$A$6:$N$15,MATCH($A19,'Ex post LI &amp; Eligibility Stats'!$A$6:$A$15,0),MATCH('Program MW '!F$7,'Ex post LI &amp; Eligibility Stats'!$A$6:$N$6,0))/1000)</f>
        <v>0</v>
      </c>
      <c r="H19" s="49">
        <v>0</v>
      </c>
      <c r="I19" s="164">
        <f>H19*(INDEX('Ex ante LI &amp; Eligibility Stats'!$A$5:$M$14,MATCH($A19,'Ex ante LI &amp; Eligibility Stats'!$A$5:$A$14,0),MATCH('Program MW '!I$7,'Ex ante LI &amp; Eligibility Stats'!$A$5:$M$5,0))/1000)</f>
        <v>0</v>
      </c>
      <c r="J19" s="402">
        <f>H19*(INDEX('Ex post LI &amp; Eligibility Stats'!$A$6:$N$15,MATCH($A19,'Ex post LI &amp; Eligibility Stats'!$A$6:$A$15,0),MATCH('Program MW '!I$7,'Ex post LI &amp; Eligibility Stats'!$A$6:$N$6,0))/1000)</f>
        <v>0</v>
      </c>
      <c r="K19" s="49">
        <v>0</v>
      </c>
      <c r="L19" s="164">
        <f>K19*(INDEX('Ex ante LI &amp; Eligibility Stats'!$A$5:$M$14,MATCH($A19,'Ex ante LI &amp; Eligibility Stats'!$A$5:$A$14,0),MATCH('Program MW '!L$7,'Ex ante LI &amp; Eligibility Stats'!$A$5:$M$5,0))/1000)</f>
        <v>0</v>
      </c>
      <c r="M19" s="402">
        <f>K19*(INDEX('Ex post LI &amp; Eligibility Stats'!$A$6:$N$15,MATCH($A19,'Ex post LI &amp; Eligibility Stats'!$A$6:$A$15,0),MATCH('Program MW '!L$7,'Ex post LI &amp; Eligibility Stats'!$A$6:$N$6,0))/1000)</f>
        <v>0</v>
      </c>
      <c r="N19" s="49">
        <v>0</v>
      </c>
      <c r="O19" s="164">
        <f>N19*(INDEX('Ex ante LI &amp; Eligibility Stats'!$A$5:$M$14,MATCH($A19,'Ex ante LI &amp; Eligibility Stats'!$A$5:$A$14,0),MATCH('Program MW '!O$7,'Ex ante LI &amp; Eligibility Stats'!$A$5:$M$5,0))/1000)</f>
        <v>0</v>
      </c>
      <c r="P19" s="402">
        <f>N19*(INDEX('Ex post LI &amp; Eligibility Stats'!$A$6:$N$15,MATCH($A19,'Ex post LI &amp; Eligibility Stats'!$A$6:$A$15,0),MATCH('Program MW '!O$7,'Ex post LI &amp; Eligibility Stats'!$A$6:$N$6,0))/1000)</f>
        <v>0</v>
      </c>
      <c r="Q19" s="49">
        <v>0</v>
      </c>
      <c r="R19" s="164">
        <f>Q19*(INDEX('Ex ante LI &amp; Eligibility Stats'!$A$5:$M$14,MATCH($A19,'Ex ante LI &amp; Eligibility Stats'!$A$5:$A$14,0),MATCH('Program MW '!R$7,'Ex ante LI &amp; Eligibility Stats'!$A$5:$M$5,0))/1000)</f>
        <v>0</v>
      </c>
      <c r="S19" s="164">
        <f>Q19*(INDEX('Ex post LI &amp; Eligibility Stats'!$A$6:$N$15,MATCH($A19,'Ex post LI &amp; Eligibility Stats'!$A$6:$A$15,0),MATCH('Program MW '!R$7,'Ex post LI &amp; Eligibility Stats'!$A$6:$N$6,0))/1000)</f>
        <v>0</v>
      </c>
      <c r="T19" s="36">
        <v>120000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</row>
    <row r="20" spans="1:31" x14ac:dyDescent="0.2">
      <c r="A20" s="2" t="s">
        <v>142</v>
      </c>
      <c r="B20" s="49">
        <v>6</v>
      </c>
      <c r="C20" s="164">
        <f>B20*(INDEX('Ex ante LI &amp; Eligibility Stats'!$A$5:$M$14,MATCH($A20,'Ex ante LI &amp; Eligibility Stats'!$A$5:$A$14,0),MATCH('Program MW '!C$7,'Ex ante LI &amp; Eligibility Stats'!$A$5:$M$5,0))/1000)</f>
        <v>1.7135805999999998</v>
      </c>
      <c r="D20" s="164">
        <f>B20*(INDEX('Ex post LI &amp; Eligibility Stats'!$A$6:$N$15,MATCH($A20,'Ex post LI &amp; Eligibility Stats'!$A$6:$A$15,0),MATCH('Program MW '!C$7,'Ex post LI &amp; Eligibility Stats'!$A$6:$N$6,0))/1000)</f>
        <v>5.0999999999999996</v>
      </c>
      <c r="E20" s="33">
        <v>6</v>
      </c>
      <c r="F20" s="164">
        <f>E20*(INDEX('Ex ante LI &amp; Eligibility Stats'!$A$5:$M$14,MATCH($A20,'Ex ante LI &amp; Eligibility Stats'!$A$5:$A$14,0),MATCH('Program MW '!F$7,'Ex ante LI &amp; Eligibility Stats'!$A$5:$M$5,0))/1000)</f>
        <v>1.1292871799999999</v>
      </c>
      <c r="G20" s="164">
        <f>E20*(INDEX('Ex post LI &amp; Eligibility Stats'!$A$6:$N$15,MATCH($A20,'Ex post LI &amp; Eligibility Stats'!$A$6:$A$15,0),MATCH('Program MW '!F$7,'Ex post LI &amp; Eligibility Stats'!$A$6:$N$6,0))/1000)</f>
        <v>5.0999999999999996</v>
      </c>
      <c r="H20" s="33">
        <v>6</v>
      </c>
      <c r="I20" s="164">
        <f>H20*(INDEX('Ex ante LI &amp; Eligibility Stats'!$A$5:$M$14,MATCH($A20,'Ex ante LI &amp; Eligibility Stats'!$A$5:$A$14,0),MATCH('Program MW '!I$7,'Ex ante LI &amp; Eligibility Stats'!$A$5:$M$5,0))/1000)</f>
        <v>2.4468148000000003</v>
      </c>
      <c r="J20" s="164">
        <f>H20*(INDEX('Ex post LI &amp; Eligibility Stats'!$A$6:$N$15,MATCH($A20,'Ex post LI &amp; Eligibility Stats'!$A$6:$A$15,0),MATCH('Program MW '!I$7,'Ex post LI &amp; Eligibility Stats'!$A$6:$N$6,0))/1000)</f>
        <v>5.0999999999999996</v>
      </c>
      <c r="K20" s="330">
        <v>6</v>
      </c>
      <c r="L20" s="164">
        <f>K20*(INDEX('Ex ante LI &amp; Eligibility Stats'!$A$5:$M$14,MATCH($A20,'Ex ante LI &amp; Eligibility Stats'!$A$5:$A$14,0),MATCH('Program MW '!L$7,'Ex ante LI &amp; Eligibility Stats'!$A$5:$M$5,0))/1000)</f>
        <v>4.5768164000000002</v>
      </c>
      <c r="M20" s="164">
        <f>K20*(INDEX('Ex post LI &amp; Eligibility Stats'!$A$6:$N$15,MATCH($A20,'Ex post LI &amp; Eligibility Stats'!$A$6:$A$15,0),MATCH('Program MW '!L$7,'Ex post LI &amp; Eligibility Stats'!$A$6:$N$6,0))/1000)</f>
        <v>5.0999999999999996</v>
      </c>
      <c r="N20" s="33">
        <v>6</v>
      </c>
      <c r="O20" s="164">
        <f>N20*(INDEX('Ex ante LI &amp; Eligibility Stats'!$A$5:$M$14,MATCH($A20,'Ex ante LI &amp; Eligibility Stats'!$A$5:$A$14,0),MATCH('Program MW '!O$7,'Ex ante LI &amp; Eligibility Stats'!$A$5:$M$5,0))/1000)</f>
        <v>3.3634574000000006</v>
      </c>
      <c r="P20" s="164">
        <f>N20*(INDEX('Ex post LI &amp; Eligibility Stats'!$A$6:$N$15,MATCH($A20,'Ex post LI &amp; Eligibility Stats'!$A$6:$A$15,0),MATCH('Program MW '!O$7,'Ex post LI &amp; Eligibility Stats'!$A$6:$N$6,0))/1000)</f>
        <v>5.0999999999999996</v>
      </c>
      <c r="Q20" s="33">
        <v>6</v>
      </c>
      <c r="R20" s="164">
        <f>Q20*(INDEX('Ex ante LI &amp; Eligibility Stats'!$A$5:$M$14,MATCH($A20,'Ex ante LI &amp; Eligibility Stats'!$A$5:$A$14,0),MATCH('Program MW '!R$7,'Ex ante LI &amp; Eligibility Stats'!$A$5:$M$5,0))/1000)</f>
        <v>3.1698973999999991</v>
      </c>
      <c r="S20" s="164">
        <f>Q20*(INDEX('Ex post LI &amp; Eligibility Stats'!$A$6:$N$15,MATCH($A20,'Ex post LI &amp; Eligibility Stats'!$A$6:$A$15,0),MATCH('Program MW '!R$7,'Ex post LI &amp; Eligibility Stats'!$A$6:$N$6,0))/1000)</f>
        <v>5.0999999999999996</v>
      </c>
      <c r="T20" s="36">
        <v>162482</v>
      </c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1:31" ht="13.5" thickBot="1" x14ac:dyDescent="0.25">
      <c r="A21" s="37" t="s">
        <v>34</v>
      </c>
      <c r="B21" s="38">
        <f t="shared" ref="B21:S21" si="1">SUM(B13:B20)</f>
        <v>1255558</v>
      </c>
      <c r="C21" s="165">
        <f t="shared" si="1"/>
        <v>7.7586707464382325</v>
      </c>
      <c r="D21" s="404">
        <f t="shared" si="1"/>
        <v>61.856096822494848</v>
      </c>
      <c r="E21" s="38">
        <f t="shared" si="1"/>
        <v>1255514</v>
      </c>
      <c r="F21" s="38">
        <f t="shared" si="1"/>
        <v>7.2254023656059747</v>
      </c>
      <c r="G21" s="404">
        <f t="shared" si="1"/>
        <v>61.702721265896358</v>
      </c>
      <c r="H21" s="38">
        <f t="shared" si="1"/>
        <v>1260567</v>
      </c>
      <c r="I21" s="38">
        <f t="shared" si="1"/>
        <v>8.3096210732199509</v>
      </c>
      <c r="J21" s="404">
        <f t="shared" si="1"/>
        <v>60.866265749207749</v>
      </c>
      <c r="K21" s="38">
        <f t="shared" si="1"/>
        <v>1255232</v>
      </c>
      <c r="L21" s="165">
        <f t="shared" si="1"/>
        <v>21.884867410948615</v>
      </c>
      <c r="M21" s="404">
        <f t="shared" si="1"/>
        <v>60.28674290191902</v>
      </c>
      <c r="N21" s="38">
        <f t="shared" si="1"/>
        <v>1253584</v>
      </c>
      <c r="O21" s="51">
        <f t="shared" si="1"/>
        <v>42.649346104451126</v>
      </c>
      <c r="P21" s="405">
        <f t="shared" si="1"/>
        <v>62.026437321368583</v>
      </c>
      <c r="Q21" s="38">
        <f t="shared" si="1"/>
        <v>1261585</v>
      </c>
      <c r="R21" s="51">
        <f t="shared" si="1"/>
        <v>45.549558374566729</v>
      </c>
      <c r="S21" s="405">
        <f t="shared" si="1"/>
        <v>62.307471486782852</v>
      </c>
      <c r="T21" s="40"/>
      <c r="U21" s="47"/>
      <c r="V21" s="47"/>
      <c r="W21" s="52"/>
      <c r="X21" s="47"/>
      <c r="Y21" s="47"/>
      <c r="Z21" s="47"/>
      <c r="AA21" s="47"/>
      <c r="AB21" s="47"/>
      <c r="AC21" s="47"/>
      <c r="AD21" s="47"/>
      <c r="AE21" s="47"/>
    </row>
    <row r="22" spans="1:31" ht="14.25" thickTop="1" thickBot="1" x14ac:dyDescent="0.25">
      <c r="A22" s="53" t="s">
        <v>23</v>
      </c>
      <c r="B22" s="56">
        <f t="shared" ref="B22:S22" si="2">+B11+B21</f>
        <v>1255565</v>
      </c>
      <c r="C22" s="54">
        <f t="shared" si="2"/>
        <v>8.4229312918927786</v>
      </c>
      <c r="D22" s="55">
        <f t="shared" si="2"/>
        <v>62.365187731585756</v>
      </c>
      <c r="E22" s="56">
        <f t="shared" si="2"/>
        <v>1255521</v>
      </c>
      <c r="F22" s="54">
        <f t="shared" si="2"/>
        <v>7.8416951565150654</v>
      </c>
      <c r="G22" s="54">
        <f t="shared" si="2"/>
        <v>62.211812174987266</v>
      </c>
      <c r="H22" s="56">
        <f t="shared" si="2"/>
        <v>1260574</v>
      </c>
      <c r="I22" s="54">
        <f t="shared" si="2"/>
        <v>8.9857071641290425</v>
      </c>
      <c r="J22" s="329">
        <f t="shared" si="2"/>
        <v>61.375356658298656</v>
      </c>
      <c r="K22" s="56">
        <f t="shared" si="2"/>
        <v>1255239</v>
      </c>
      <c r="L22" s="54">
        <f t="shared" si="2"/>
        <v>22.399082701857708</v>
      </c>
      <c r="M22" s="57">
        <f t="shared" si="2"/>
        <v>60.795833811009928</v>
      </c>
      <c r="N22" s="56">
        <f t="shared" si="2"/>
        <v>1253591</v>
      </c>
      <c r="O22" s="54">
        <f t="shared" si="2"/>
        <v>43.219823449905675</v>
      </c>
      <c r="P22" s="58">
        <f t="shared" si="2"/>
        <v>62.535528230459491</v>
      </c>
      <c r="Q22" s="56">
        <f t="shared" si="2"/>
        <v>1261592</v>
      </c>
      <c r="R22" s="54">
        <f t="shared" si="2"/>
        <v>46.006135729112181</v>
      </c>
      <c r="S22" s="58">
        <f t="shared" si="2"/>
        <v>62.81656239587376</v>
      </c>
      <c r="T22" s="58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1" ht="13.5" thickTop="1" x14ac:dyDescent="0.2">
      <c r="A23" s="59"/>
      <c r="B23" s="60"/>
      <c r="C23" s="61"/>
      <c r="D23" s="62"/>
      <c r="E23" s="60"/>
      <c r="F23" s="61"/>
      <c r="G23" s="63"/>
      <c r="H23" s="60"/>
      <c r="I23" s="61"/>
      <c r="J23" s="63"/>
      <c r="K23" s="60"/>
      <c r="L23" s="61"/>
      <c r="M23" s="63"/>
      <c r="N23" s="60"/>
      <c r="O23" s="61"/>
      <c r="P23" s="64"/>
      <c r="Q23" s="60"/>
      <c r="R23" s="61"/>
      <c r="S23" s="64"/>
      <c r="T23" s="64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1" s="67" customFormat="1" x14ac:dyDescent="0.2">
      <c r="A24" s="59"/>
      <c r="B24" s="65"/>
      <c r="C24" s="66"/>
      <c r="D24" s="62"/>
      <c r="E24" s="65"/>
      <c r="F24" s="66"/>
      <c r="G24" s="64"/>
      <c r="H24" s="65"/>
      <c r="I24" s="66"/>
      <c r="J24" s="64"/>
      <c r="K24" s="65"/>
      <c r="L24" s="66"/>
      <c r="M24" s="64"/>
      <c r="N24" s="65"/>
      <c r="O24" s="66"/>
      <c r="P24" s="64"/>
      <c r="Q24" s="65"/>
      <c r="R24" s="66"/>
      <c r="S24" s="64"/>
      <c r="T24" s="64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</row>
    <row r="25" spans="1:31" s="67" customFormat="1" x14ac:dyDescent="0.2"/>
    <row r="26" spans="1:31" s="67" customFormat="1" hidden="1" x14ac:dyDescent="0.2">
      <c r="C26" s="67">
        <f>C5+6</f>
        <v>8</v>
      </c>
      <c r="D26" s="67">
        <f>D5+6</f>
        <v>8</v>
      </c>
      <c r="F26" s="67">
        <f>F5+6</f>
        <v>9</v>
      </c>
      <c r="G26" s="67">
        <f>G5+6</f>
        <v>9</v>
      </c>
      <c r="I26" s="67">
        <f>I5+6</f>
        <v>10</v>
      </c>
      <c r="J26" s="67">
        <f>J5+6</f>
        <v>10</v>
      </c>
      <c r="L26" s="67">
        <f>L5+6</f>
        <v>11</v>
      </c>
      <c r="M26" s="67">
        <f>M5+6</f>
        <v>11</v>
      </c>
      <c r="O26" s="67">
        <f>O5+6</f>
        <v>12</v>
      </c>
      <c r="P26" s="67">
        <f>P5+6</f>
        <v>12</v>
      </c>
      <c r="R26" s="67">
        <f>R5+6</f>
        <v>13</v>
      </c>
      <c r="S26" s="67">
        <f>S5+6</f>
        <v>13</v>
      </c>
    </row>
    <row r="27" spans="1:31" s="67" customFormat="1" x14ac:dyDescent="0.2">
      <c r="A27" s="68"/>
      <c r="B27" s="20"/>
      <c r="C27" s="20" t="s">
        <v>6</v>
      </c>
      <c r="D27" s="20"/>
      <c r="E27" s="20"/>
      <c r="F27" s="20" t="s">
        <v>45</v>
      </c>
      <c r="G27" s="20"/>
      <c r="H27" s="20"/>
      <c r="I27" s="20" t="s">
        <v>46</v>
      </c>
      <c r="J27" s="20"/>
      <c r="K27" s="20"/>
      <c r="L27" s="20" t="s">
        <v>9</v>
      </c>
      <c r="M27" s="20"/>
      <c r="N27" s="20"/>
      <c r="O27" s="20" t="s">
        <v>47</v>
      </c>
      <c r="P27" s="20"/>
      <c r="Q27" s="20"/>
      <c r="R27" s="20" t="s">
        <v>11</v>
      </c>
      <c r="S27" s="20"/>
      <c r="T27" s="69"/>
      <c r="U27" s="69"/>
    </row>
    <row r="28" spans="1:31" s="67" customFormat="1" ht="38.25" customHeight="1" x14ac:dyDescent="0.2">
      <c r="A28" s="30" t="s">
        <v>21</v>
      </c>
      <c r="B28" s="70" t="s">
        <v>15</v>
      </c>
      <c r="C28" s="71" t="s">
        <v>124</v>
      </c>
      <c r="D28" s="72" t="s">
        <v>125</v>
      </c>
      <c r="E28" s="70" t="s">
        <v>15</v>
      </c>
      <c r="F28" s="71" t="s">
        <v>124</v>
      </c>
      <c r="G28" s="72" t="s">
        <v>125</v>
      </c>
      <c r="H28" s="70" t="s">
        <v>15</v>
      </c>
      <c r="I28" s="71" t="s">
        <v>124</v>
      </c>
      <c r="J28" s="72" t="s">
        <v>125</v>
      </c>
      <c r="K28" s="70" t="s">
        <v>15</v>
      </c>
      <c r="L28" s="71" t="s">
        <v>124</v>
      </c>
      <c r="M28" s="72" t="s">
        <v>125</v>
      </c>
      <c r="N28" s="70" t="s">
        <v>15</v>
      </c>
      <c r="O28" s="71" t="s">
        <v>124</v>
      </c>
      <c r="P28" s="72" t="s">
        <v>125</v>
      </c>
      <c r="Q28" s="70" t="s">
        <v>15</v>
      </c>
      <c r="R28" s="71" t="s">
        <v>124</v>
      </c>
      <c r="S28" s="72" t="s">
        <v>125</v>
      </c>
      <c r="T28" s="27" t="s">
        <v>233</v>
      </c>
      <c r="U28" s="73"/>
    </row>
    <row r="29" spans="1:31" s="67" customFormat="1" x14ac:dyDescent="0.2">
      <c r="A29" s="30" t="s">
        <v>22</v>
      </c>
      <c r="B29" s="70"/>
      <c r="C29" s="74"/>
      <c r="D29" s="46"/>
      <c r="E29" s="70"/>
      <c r="F29" s="74"/>
      <c r="G29" s="46"/>
      <c r="H29" s="70"/>
      <c r="I29" s="74"/>
      <c r="J29" s="74"/>
      <c r="K29" s="70"/>
      <c r="L29" s="74"/>
      <c r="M29" s="46"/>
      <c r="N29" s="70"/>
      <c r="O29" s="74"/>
      <c r="P29" s="46"/>
      <c r="Q29" s="70"/>
      <c r="R29" s="74"/>
      <c r="S29" s="46"/>
      <c r="T29" s="46"/>
      <c r="U29" s="73"/>
    </row>
    <row r="30" spans="1:31" s="67" customFormat="1" x14ac:dyDescent="0.2">
      <c r="A30" s="3" t="s">
        <v>66</v>
      </c>
      <c r="B30" s="33">
        <v>7</v>
      </c>
      <c r="C30" s="164">
        <f>B30*(INDEX('Ex ante LI &amp; Eligibility Stats'!$A$5:$M$14,MATCH($A30,'Ex ante LI &amp; Eligibility Stats'!$A$5:$A$14,0),MATCH('Program MW '!C$27,'Ex ante LI &amp; Eligibility Stats'!$A$5:$M$5,0))/1000)</f>
        <v>0.38253523636363634</v>
      </c>
      <c r="D30" s="164">
        <f>B30*(INDEX('Ex post LI &amp; Eligibility Stats'!$A$6:$N$15,MATCH($A30,'Ex post LI &amp; Eligibility Stats'!$A$6:$A$15,0),MATCH('Program MW '!C$27,'Ex post LI &amp; Eligibility Stats'!$A$6:$N$6,0))/1000)</f>
        <v>0.50909090909090915</v>
      </c>
      <c r="E30" s="33">
        <v>7</v>
      </c>
      <c r="F30" s="164">
        <f>E30*(INDEX('Ex ante LI &amp; Eligibility Stats'!$A$5:$M$14,MATCH($A30,'Ex ante LI &amp; Eligibility Stats'!$A$5:$A$14,0),MATCH('Program MW '!F$27,'Ex ante LI &amp; Eligibility Stats'!$A$5:$M$5,0))/1000)</f>
        <v>0.37369105454545454</v>
      </c>
      <c r="G30" s="164">
        <f>E30*(INDEX('Ex post LI &amp; Eligibility Stats'!$A$6:$N$15,MATCH($A30,'Ex post LI &amp; Eligibility Stats'!$A$6:$A$15,0),MATCH('Program MW '!F$27,'Ex post LI &amp; Eligibility Stats'!$A$6:$N$6,0))/1000)</f>
        <v>0.50909090909090915</v>
      </c>
      <c r="H30" s="33">
        <v>0</v>
      </c>
      <c r="I30" s="164">
        <f>H30*(INDEX('Ex ante LI &amp; Eligibility Stats'!$A$5:$M$14,MATCH($A30,'Ex ante LI &amp; Eligibility Stats'!$A$5:$A$14,0),MATCH('Program MW '!I$27,'Ex ante LI &amp; Eligibility Stats'!$A$5:$M$5,0))/1000)</f>
        <v>0</v>
      </c>
      <c r="J30" s="164">
        <f>H30*(INDEX('Ex post LI &amp; Eligibility Stats'!$A$6:$N$15,MATCH($A30,'Ex post LI &amp; Eligibility Stats'!$A$6:$A$15,0),MATCH('Program MW '!I$27,'Ex post LI &amp; Eligibility Stats'!$A$6:$N$6,0))/1000)</f>
        <v>0</v>
      </c>
      <c r="K30" s="33">
        <v>0</v>
      </c>
      <c r="L30" s="164">
        <f>K30*(INDEX('Ex ante LI &amp; Eligibility Stats'!$A$5:$M$14,MATCH($A30,'Ex ante LI &amp; Eligibility Stats'!$A$5:$A$14,0),MATCH('Program MW '!L$27,'Ex ante LI &amp; Eligibility Stats'!$A$5:$M$5,0))/1000)</f>
        <v>0</v>
      </c>
      <c r="M30" s="164">
        <f>K30*(INDEX('Ex post LI &amp; Eligibility Stats'!$A$6:$N$15,MATCH($A30,'Ex post LI &amp; Eligibility Stats'!$A$6:$A$15,0),MATCH('Program MW '!L$27,'Ex post LI &amp; Eligibility Stats'!$A$6:$N$6,0))/1000)</f>
        <v>0</v>
      </c>
      <c r="N30" s="33">
        <v>0</v>
      </c>
      <c r="O30" s="164">
        <f>N30*(INDEX('Ex ante LI &amp; Eligibility Stats'!$A$5:$M$14,MATCH($A30,'Ex ante LI &amp; Eligibility Stats'!$A$5:$A$14,0),MATCH('Program MW '!O$27,'Ex ante LI &amp; Eligibility Stats'!$A$5:$M$5,0))/1000)</f>
        <v>0</v>
      </c>
      <c r="P30" s="164">
        <f>N30*(INDEX('Ex post LI &amp; Eligibility Stats'!$A$6:$N$15,MATCH($A30,'Ex post LI &amp; Eligibility Stats'!$A$6:$A$15,0),MATCH('Program MW '!O$27,'Ex post LI &amp; Eligibility Stats'!$A$6:$N$6,0))/1000)</f>
        <v>0</v>
      </c>
      <c r="Q30" s="33">
        <v>0</v>
      </c>
      <c r="R30" s="164">
        <f>Q30*(INDEX('Ex ante LI &amp; Eligibility Stats'!$A$5:$M$14,MATCH($A30,'Ex ante LI &amp; Eligibility Stats'!$A$5:$A$14,0),MATCH('Program MW '!R$27,'Ex ante LI &amp; Eligibility Stats'!$A$5:$M$5,0))/1000)</f>
        <v>0</v>
      </c>
      <c r="S30" s="164">
        <f>Q30*(INDEX('Ex post LI &amp; Eligibility Stats'!$A$6:$N$15,MATCH($A30,'Ex post LI &amp; Eligibility Stats'!$A$6:$A$15,0),MATCH('Program MW '!R$27,'Ex post LI &amp; Eligibility Stats'!$A$6:$N$6,0))/1000)</f>
        <v>0</v>
      </c>
      <c r="T30" s="36">
        <v>5276</v>
      </c>
      <c r="U30" s="73"/>
    </row>
    <row r="31" spans="1:31" s="67" customFormat="1" ht="13.5" thickBot="1" x14ac:dyDescent="0.25">
      <c r="A31" s="37" t="s">
        <v>20</v>
      </c>
      <c r="B31" s="38">
        <f t="shared" ref="B31:S31" si="3">SUM(B30:B30)</f>
        <v>7</v>
      </c>
      <c r="C31" s="41">
        <f t="shared" si="3"/>
        <v>0.38253523636363634</v>
      </c>
      <c r="D31" s="40">
        <f t="shared" si="3"/>
        <v>0.50909090909090915</v>
      </c>
      <c r="E31" s="38">
        <f t="shared" si="3"/>
        <v>7</v>
      </c>
      <c r="F31" s="41">
        <f t="shared" si="3"/>
        <v>0.37369105454545454</v>
      </c>
      <c r="G31" s="40">
        <f t="shared" si="3"/>
        <v>0.50909090909090915</v>
      </c>
      <c r="H31" s="38">
        <f t="shared" si="3"/>
        <v>0</v>
      </c>
      <c r="I31" s="41">
        <f t="shared" si="3"/>
        <v>0</v>
      </c>
      <c r="J31" s="40">
        <f t="shared" si="3"/>
        <v>0</v>
      </c>
      <c r="K31" s="38">
        <f t="shared" si="3"/>
        <v>0</v>
      </c>
      <c r="L31" s="41">
        <f t="shared" si="3"/>
        <v>0</v>
      </c>
      <c r="M31" s="40">
        <f t="shared" si="3"/>
        <v>0</v>
      </c>
      <c r="N31" s="38">
        <f t="shared" si="3"/>
        <v>0</v>
      </c>
      <c r="O31" s="41">
        <f t="shared" si="3"/>
        <v>0</v>
      </c>
      <c r="P31" s="40">
        <f t="shared" si="3"/>
        <v>0</v>
      </c>
      <c r="Q31" s="38">
        <f t="shared" si="3"/>
        <v>0</v>
      </c>
      <c r="R31" s="41">
        <f t="shared" si="3"/>
        <v>0</v>
      </c>
      <c r="S31" s="40">
        <f t="shared" si="3"/>
        <v>0</v>
      </c>
      <c r="T31" s="40"/>
      <c r="U31" s="73"/>
    </row>
    <row r="32" spans="1:31" s="67" customFormat="1" ht="13.5" thickTop="1" x14ac:dyDescent="0.2">
      <c r="A32" s="30" t="s">
        <v>126</v>
      </c>
      <c r="B32" s="44"/>
      <c r="C32" s="42"/>
      <c r="D32" s="43"/>
      <c r="E32" s="44"/>
      <c r="F32" s="42"/>
      <c r="G32" s="43"/>
      <c r="H32" s="44"/>
      <c r="I32" s="42"/>
      <c r="J32" s="43"/>
      <c r="K32" s="44"/>
      <c r="L32" s="42"/>
      <c r="M32" s="43"/>
      <c r="N32" s="44"/>
      <c r="O32" s="42"/>
      <c r="P32" s="43"/>
      <c r="Q32" s="44"/>
      <c r="R32" s="42"/>
      <c r="S32" s="43"/>
      <c r="T32" s="46"/>
      <c r="U32" s="73"/>
    </row>
    <row r="33" spans="1:26" s="67" customFormat="1" x14ac:dyDescent="0.2">
      <c r="A33" s="3" t="s">
        <v>67</v>
      </c>
      <c r="B33" s="33">
        <v>1122</v>
      </c>
      <c r="C33" s="164">
        <f>B33*(INDEX('Ex ante LI &amp; Eligibility Stats'!$A$5:$M$14,MATCH($A33,'Ex ante LI &amp; Eligibility Stats'!$A$5:$A$14,0),MATCH('Program MW '!C$27,'Ex ante LI &amp; Eligibility Stats'!$A$5:$M$5,0))/1000)</f>
        <v>16.508950171325516</v>
      </c>
      <c r="D33" s="164">
        <f>B33*(INDEX('Ex post LI &amp; Eligibility Stats'!$A$6:$N$15,MATCH($A33,'Ex post LI &amp; Eligibility Stats'!$A$6:$A$15,0),MATCH('Program MW '!C$27,'Ex post LI &amp; Eligibility Stats'!$A$6:$N$6,0))/1000)</f>
        <v>18.312173128944998</v>
      </c>
      <c r="E33" s="33">
        <v>1114</v>
      </c>
      <c r="F33" s="164">
        <f>E33*(INDEX('Ex ante LI &amp; Eligibility Stats'!$A$5:$M$14,MATCH($A33,'Ex ante LI &amp; Eligibility Stats'!$A$5:$A$14,0),MATCH('Program MW '!F$27,'Ex ante LI &amp; Eligibility Stats'!$A$5:$M$5,0))/1000)</f>
        <v>16.44566357078449</v>
      </c>
      <c r="G33" s="164">
        <f>E33*(INDEX('Ex post LI &amp; Eligibility Stats'!$A$6:$N$15,MATCH($A33,'Ex post LI &amp; Eligibility Stats'!$A$6:$A$15,0),MATCH('Program MW '!F$27,'Ex post LI &amp; Eligibility Stats'!$A$6:$N$6,0))/1000)</f>
        <v>18.181605049594232</v>
      </c>
      <c r="H33" s="33">
        <v>0</v>
      </c>
      <c r="I33" s="164">
        <f>H33*(INDEX('Ex ante LI &amp; Eligibility Stats'!$A$5:$M$14,MATCH($A33,'Ex ante LI &amp; Eligibility Stats'!$A$5:$A$14,0),MATCH('Program MW '!I$27,'Ex ante LI &amp; Eligibility Stats'!$A$5:$M$5,0))/1000)</f>
        <v>0</v>
      </c>
      <c r="J33" s="164">
        <f>H33*(INDEX('Ex post LI &amp; Eligibility Stats'!$A$6:$N$15,MATCH($A33,'Ex post LI &amp; Eligibility Stats'!$A$6:$A$15,0),MATCH('Program MW '!I$27,'Ex post LI &amp; Eligibility Stats'!$A$6:$N$6,0))/1000)</f>
        <v>0</v>
      </c>
      <c r="K33" s="33">
        <v>0</v>
      </c>
      <c r="L33" s="164">
        <f>K33*(INDEX('Ex ante LI &amp; Eligibility Stats'!$A$5:$M$14,MATCH($A33,'Ex ante LI &amp; Eligibility Stats'!$A$5:$A$14,0),MATCH('Program MW '!L$27,'Ex ante LI &amp; Eligibility Stats'!$A$5:$M$5,0))/1000)</f>
        <v>0</v>
      </c>
      <c r="M33" s="164">
        <f>K33*(INDEX('Ex post LI &amp; Eligibility Stats'!$A$6:$N$15,MATCH($A33,'Ex post LI &amp; Eligibility Stats'!$A$6:$A$15,0),MATCH('Program MW '!L$27,'Ex post LI &amp; Eligibility Stats'!$A$6:$N$6,0))/1000)</f>
        <v>0</v>
      </c>
      <c r="N33" s="33">
        <v>0</v>
      </c>
      <c r="O33" s="164">
        <f>N33*(INDEX('Ex ante LI &amp; Eligibility Stats'!$A$5:$M$14,MATCH($A33,'Ex ante LI &amp; Eligibility Stats'!$A$5:$A$14,0),MATCH('Program MW '!O$27,'Ex ante LI &amp; Eligibility Stats'!$A$5:$M$5,0))/1000)</f>
        <v>0</v>
      </c>
      <c r="P33" s="164">
        <f>N33*(INDEX('Ex post LI &amp; Eligibility Stats'!$A$6:$N$15,MATCH($A33,'Ex post LI &amp; Eligibility Stats'!$A$6:$A$15,0),MATCH('Program MW '!O$27,'Ex post LI &amp; Eligibility Stats'!$A$6:$N$6,0))/1000)</f>
        <v>0</v>
      </c>
      <c r="Q33" s="33">
        <v>0</v>
      </c>
      <c r="R33" s="164">
        <f>Q33*(INDEX('Ex ante LI &amp; Eligibility Stats'!$A$5:$M$14,MATCH($A33,'Ex ante LI &amp; Eligibility Stats'!$A$5:$A$14,0),MATCH('Program MW '!R$27,'Ex ante LI &amp; Eligibility Stats'!$A$5:$M$5,0))/1000)</f>
        <v>0</v>
      </c>
      <c r="S33" s="164">
        <f>Q33*(INDEX('Ex post LI &amp; Eligibility Stats'!$A$6:$N$15,MATCH($A33,'Ex post LI &amp; Eligibility Stats'!$A$6:$A$15,0),MATCH('Program MW '!R$27,'Ex post LI &amp; Eligibility Stats'!$A$6:$N$6,0))/1000)</f>
        <v>0</v>
      </c>
      <c r="T33" s="34">
        <v>138123</v>
      </c>
      <c r="U33" s="73"/>
    </row>
    <row r="34" spans="1:26" s="67" customFormat="1" x14ac:dyDescent="0.2">
      <c r="A34" s="3" t="s">
        <v>68</v>
      </c>
      <c r="B34" s="33">
        <v>26474</v>
      </c>
      <c r="C34" s="164">
        <f>B34*(INDEX('Ex ante LI &amp; Eligibility Stats'!$A$5:$M$14,MATCH($A34,'Ex ante LI &amp; Eligibility Stats'!$A$5:$A$14,0),MATCH('Program MW '!C$27,'Ex ante LI &amp; Eligibility Stats'!$A$5:$M$5,0))/1000)</f>
        <v>9.806093156773775</v>
      </c>
      <c r="D34" s="164">
        <f>B34*(INDEX('Ex post LI &amp; Eligibility Stats'!$A$6:$N$15,MATCH($A34,'Ex post LI &amp; Eligibility Stats'!$A$6:$A$15,0),MATCH('Program MW '!C$27,'Ex post LI &amp; Eligibility Stats'!$A$6:$N$6,0))/1000)</f>
        <v>11.63649683161789</v>
      </c>
      <c r="E34" s="33">
        <v>28355</v>
      </c>
      <c r="F34" s="164">
        <f>E34*(INDEX('Ex ante LI &amp; Eligibility Stats'!$A$5:$M$14,MATCH($A34,'Ex ante LI &amp; Eligibility Stats'!$A$5:$A$14,0),MATCH('Program MW '!F$27,'Ex ante LI &amp; Eligibility Stats'!$A$5:$M$5,0))/1000)</f>
        <v>7.8771182516899723</v>
      </c>
      <c r="G34" s="164">
        <f>E34*(INDEX('Ex post LI &amp; Eligibility Stats'!$A$6:$N$15,MATCH($A34,'Ex post LI &amp; Eligibility Stats'!$A$6:$A$15,0),MATCH('Program MW '!F$27,'Ex post LI &amp; Eligibility Stats'!$A$6:$N$6,0))/1000)</f>
        <v>12.463279733343102</v>
      </c>
      <c r="H34" s="33">
        <v>0</v>
      </c>
      <c r="I34" s="164">
        <f>H34*(INDEX('Ex ante LI &amp; Eligibility Stats'!$A$5:$M$14,MATCH($A34,'Ex ante LI &amp; Eligibility Stats'!$A$5:$A$14,0),MATCH('Program MW '!I$27,'Ex ante LI &amp; Eligibility Stats'!$A$5:$M$5,0))/1000)</f>
        <v>0</v>
      </c>
      <c r="J34" s="164">
        <f>H34*(INDEX('Ex post LI &amp; Eligibility Stats'!$A$6:$N$15,MATCH($A34,'Ex post LI &amp; Eligibility Stats'!$A$6:$A$15,0),MATCH('Program MW '!I$27,'Ex post LI &amp; Eligibility Stats'!$A$6:$N$6,0))/1000)</f>
        <v>0</v>
      </c>
      <c r="K34" s="33">
        <v>0</v>
      </c>
      <c r="L34" s="164">
        <f>K34*(INDEX('Ex ante LI &amp; Eligibility Stats'!$A$5:$M$14,MATCH($A34,'Ex ante LI &amp; Eligibility Stats'!$A$5:$A$14,0),MATCH('Program MW '!L$27,'Ex ante LI &amp; Eligibility Stats'!$A$5:$M$5,0))/1000)</f>
        <v>0</v>
      </c>
      <c r="M34" s="164">
        <f>K34*(INDEX('Ex post LI &amp; Eligibility Stats'!$A$6:$N$15,MATCH($A34,'Ex post LI &amp; Eligibility Stats'!$A$6:$A$15,0),MATCH('Program MW '!L$27,'Ex post LI &amp; Eligibility Stats'!$A$6:$N$6,0))/1000)</f>
        <v>0</v>
      </c>
      <c r="N34" s="33">
        <v>0</v>
      </c>
      <c r="O34" s="164">
        <f>N34*(INDEX('Ex ante LI &amp; Eligibility Stats'!$A$5:$M$14,MATCH($A34,'Ex ante LI &amp; Eligibility Stats'!$A$5:$A$14,0),MATCH('Program MW '!O$27,'Ex ante LI &amp; Eligibility Stats'!$A$5:$M$5,0))/1000)</f>
        <v>0</v>
      </c>
      <c r="P34" s="164">
        <f>N34*(INDEX('Ex post LI &amp; Eligibility Stats'!$A$6:$N$15,MATCH($A34,'Ex post LI &amp; Eligibility Stats'!$A$6:$A$15,0),MATCH('Program MW '!O$27,'Ex post LI &amp; Eligibility Stats'!$A$6:$N$6,0))/1000)</f>
        <v>0</v>
      </c>
      <c r="Q34" s="33">
        <v>0</v>
      </c>
      <c r="R34" s="164">
        <f>Q34*(INDEX('Ex ante LI &amp; Eligibility Stats'!$A$5:$M$14,MATCH($A34,'Ex ante LI &amp; Eligibility Stats'!$A$5:$A$14,0),MATCH('Program MW '!R$27,'Ex ante LI &amp; Eligibility Stats'!$A$5:$M$5,0))/1000)</f>
        <v>0</v>
      </c>
      <c r="S34" s="164">
        <f>Q34*(INDEX('Ex post LI &amp; Eligibility Stats'!$A$6:$N$15,MATCH($A34,'Ex post LI &amp; Eligibility Stats'!$A$6:$A$15,0),MATCH('Program MW '!R$27,'Ex post LI &amp; Eligibility Stats'!$A$6:$N$6,0))/1000)</f>
        <v>0</v>
      </c>
      <c r="T34" s="36">
        <v>663393.5</v>
      </c>
      <c r="U34" s="73"/>
    </row>
    <row r="35" spans="1:26" s="67" customFormat="1" x14ac:dyDescent="0.2">
      <c r="A35" s="3" t="s">
        <v>69</v>
      </c>
      <c r="B35" s="33">
        <v>10755</v>
      </c>
      <c r="C35" s="164">
        <f>B35*(INDEX('Ex ante LI &amp; Eligibility Stats'!$A$5:$M$14,MATCH($A35,'Ex ante LI &amp; Eligibility Stats'!$A$5:$A$14,0),MATCH('Program MW '!C$27,'Ex ante LI &amp; Eligibility Stats'!$A$5:$M$5,0))/1000)</f>
        <v>4.7272993663235781</v>
      </c>
      <c r="D35" s="164">
        <f>B35*(INDEX('Ex post LI &amp; Eligibility Stats'!$A$6:$N$15,MATCH($A35,'Ex post LI &amp; Eligibility Stats'!$A$6:$A$15,0),MATCH('Program MW '!C$27,'Ex post LI &amp; Eligibility Stats'!$A$6:$N$6,0))/1000)</f>
        <v>3.9837021946476527</v>
      </c>
      <c r="E35" s="33">
        <v>11555</v>
      </c>
      <c r="F35" s="164">
        <f>E35*(INDEX('Ex ante LI &amp; Eligibility Stats'!$A$5:$M$14,MATCH($A35,'Ex ante LI &amp; Eligibility Stats'!$A$5:$A$14,0),MATCH('Program MW '!F$27,'Ex ante LI &amp; Eligibility Stats'!$A$5:$M$5,0))/1000)</f>
        <v>5.0789348375517385</v>
      </c>
      <c r="G35" s="164">
        <f>E35*(INDEX('Ex post LI &amp; Eligibility Stats'!$A$6:$N$15,MATCH($A35,'Ex post LI &amp; Eligibility Stats'!$A$6:$A$15,0),MATCH('Program MW '!F$27,'Ex post LI &amp; Eligibility Stats'!$A$6:$N$6,0))/1000)</f>
        <v>4.2800259283266975</v>
      </c>
      <c r="H35" s="33">
        <v>0</v>
      </c>
      <c r="I35" s="164">
        <f>H35*(INDEX('Ex ante LI &amp; Eligibility Stats'!$A$5:$M$14,MATCH($A35,'Ex ante LI &amp; Eligibility Stats'!$A$5:$A$14,0),MATCH('Program MW '!I$27,'Ex ante LI &amp; Eligibility Stats'!$A$5:$M$5,0))/1000)</f>
        <v>0</v>
      </c>
      <c r="J35" s="164">
        <f>H35*(INDEX('Ex post LI &amp; Eligibility Stats'!$A$6:$N$15,MATCH($A35,'Ex post LI &amp; Eligibility Stats'!$A$6:$A$15,0),MATCH('Program MW '!I$27,'Ex post LI &amp; Eligibility Stats'!$A$6:$N$6,0))/1000)</f>
        <v>0</v>
      </c>
      <c r="K35" s="33">
        <v>0</v>
      </c>
      <c r="L35" s="164">
        <f>K35*(INDEX('Ex ante LI &amp; Eligibility Stats'!$A$5:$M$14,MATCH($A35,'Ex ante LI &amp; Eligibility Stats'!$A$5:$A$14,0),MATCH('Program MW '!L$27,'Ex ante LI &amp; Eligibility Stats'!$A$5:$M$5,0))/1000)</f>
        <v>0</v>
      </c>
      <c r="M35" s="164">
        <f>K35*(INDEX('Ex post LI &amp; Eligibility Stats'!$A$6:$N$15,MATCH($A35,'Ex post LI &amp; Eligibility Stats'!$A$6:$A$15,0),MATCH('Program MW '!L$27,'Ex post LI &amp; Eligibility Stats'!$A$6:$N$6,0))/1000)</f>
        <v>0</v>
      </c>
      <c r="N35" s="33">
        <v>0</v>
      </c>
      <c r="O35" s="164">
        <f>N35*(INDEX('Ex ante LI &amp; Eligibility Stats'!$A$5:$M$14,MATCH($A35,'Ex ante LI &amp; Eligibility Stats'!$A$5:$A$14,0),MATCH('Program MW '!O$27,'Ex ante LI &amp; Eligibility Stats'!$A$5:$M$5,0))/1000)</f>
        <v>0</v>
      </c>
      <c r="P35" s="164">
        <f>N35*(INDEX('Ex post LI &amp; Eligibility Stats'!$A$6:$N$15,MATCH($A35,'Ex post LI &amp; Eligibility Stats'!$A$6:$A$15,0),MATCH('Program MW '!O$27,'Ex post LI &amp; Eligibility Stats'!$A$6:$N$6,0))/1000)</f>
        <v>0</v>
      </c>
      <c r="Q35" s="33">
        <v>0</v>
      </c>
      <c r="R35" s="164">
        <f>Q35*(INDEX('Ex ante LI &amp; Eligibility Stats'!$A$5:$M$14,MATCH($A35,'Ex ante LI &amp; Eligibility Stats'!$A$5:$A$14,0),MATCH('Program MW '!R$27,'Ex ante LI &amp; Eligibility Stats'!$A$5:$M$5,0))/1000)</f>
        <v>0</v>
      </c>
      <c r="S35" s="164">
        <f>Q35*(INDEX('Ex post LI &amp; Eligibility Stats'!$A$6:$N$15,MATCH($A35,'Ex post LI &amp; Eligibility Stats'!$A$6:$A$15,0),MATCH('Program MW '!R$27,'Ex post LI &amp; Eligibility Stats'!$A$6:$N$6,0))/1000)</f>
        <v>0</v>
      </c>
      <c r="T35" s="36">
        <v>157189</v>
      </c>
      <c r="U35" s="73"/>
    </row>
    <row r="36" spans="1:26" s="67" customFormat="1" x14ac:dyDescent="0.2">
      <c r="A36" s="3" t="s">
        <v>70</v>
      </c>
      <c r="B36" s="33">
        <v>148</v>
      </c>
      <c r="C36" s="164">
        <f>B36*(INDEX('Ex ante LI &amp; Eligibility Stats'!$A$5:$M$14,MATCH($A36,'Ex ante LI &amp; Eligibility Stats'!$A$5:$A$14,0),MATCH('Program MW '!C$27,'Ex ante LI &amp; Eligibility Stats'!$A$5:$M$5,0))/1000)</f>
        <v>8.3171030044555678</v>
      </c>
      <c r="D36" s="164">
        <f>B36*(INDEX('Ex post LI &amp; Eligibility Stats'!$A$6:$N$15,MATCH($A36,'Ex post LI &amp; Eligibility Stats'!$A$6:$A$15,0),MATCH('Program MW '!C$27,'Ex post LI &amp; Eligibility Stats'!$A$6:$N$6,0))/1000)</f>
        <v>7.9441176470588228</v>
      </c>
      <c r="E36" s="33">
        <v>128</v>
      </c>
      <c r="F36" s="164">
        <f>E36*(INDEX('Ex ante LI &amp; Eligibility Stats'!$A$5:$M$14,MATCH($A36,'Ex ante LI &amp; Eligibility Stats'!$A$5:$A$14,0),MATCH('Program MW '!F$27,'Ex ante LI &amp; Eligibility Stats'!$A$5:$M$5,0))/1000)</f>
        <v>7.2746884514303769</v>
      </c>
      <c r="G36" s="164">
        <f>E36*(INDEX('Ex post LI &amp; Eligibility Stats'!$A$6:$N$15,MATCH($A36,'Ex post LI &amp; Eligibility Stats'!$A$6:$A$15,0),MATCH('Program MW '!F$27,'Ex post LI &amp; Eligibility Stats'!$A$6:$N$6,0))/1000)</f>
        <v>6.8705882352941172</v>
      </c>
      <c r="H36" s="33">
        <v>0</v>
      </c>
      <c r="I36" s="164">
        <f>H36*(INDEX('Ex ante LI &amp; Eligibility Stats'!$A$5:$M$14,MATCH($A36,'Ex ante LI &amp; Eligibility Stats'!$A$5:$A$14,0),MATCH('Program MW '!I$27,'Ex ante LI &amp; Eligibility Stats'!$A$5:$M$5,0))/1000)</f>
        <v>0</v>
      </c>
      <c r="J36" s="164">
        <f>H36*(INDEX('Ex post LI &amp; Eligibility Stats'!$A$6:$N$15,MATCH($A36,'Ex post LI &amp; Eligibility Stats'!$A$6:$A$15,0),MATCH('Program MW '!I$27,'Ex post LI &amp; Eligibility Stats'!$A$6:$N$6,0))/1000)</f>
        <v>0</v>
      </c>
      <c r="K36" s="33">
        <v>0</v>
      </c>
      <c r="L36" s="164">
        <f>K36*(INDEX('Ex ante LI &amp; Eligibility Stats'!$A$5:$M$14,MATCH($A36,'Ex ante LI &amp; Eligibility Stats'!$A$5:$A$14,0),MATCH('Program MW '!L$27,'Ex ante LI &amp; Eligibility Stats'!$A$5:$M$5,0))/1000)</f>
        <v>0</v>
      </c>
      <c r="M36" s="164">
        <f>K36*(INDEX('Ex post LI &amp; Eligibility Stats'!$A$6:$N$15,MATCH($A36,'Ex post LI &amp; Eligibility Stats'!$A$6:$A$15,0),MATCH('Program MW '!L$27,'Ex post LI &amp; Eligibility Stats'!$A$6:$N$6,0))/1000)</f>
        <v>0</v>
      </c>
      <c r="N36" s="33">
        <v>0</v>
      </c>
      <c r="O36" s="164">
        <f>N36*(INDEX('Ex ante LI &amp; Eligibility Stats'!$A$5:$M$14,MATCH($A36,'Ex ante LI &amp; Eligibility Stats'!$A$5:$A$14,0),MATCH('Program MW '!O$27,'Ex ante LI &amp; Eligibility Stats'!$A$5:$M$5,0))/1000)</f>
        <v>0</v>
      </c>
      <c r="P36" s="164">
        <f>N36*(INDEX('Ex post LI &amp; Eligibility Stats'!$A$6:$N$15,MATCH($A36,'Ex post LI &amp; Eligibility Stats'!$A$6:$A$15,0),MATCH('Program MW '!O$27,'Ex post LI &amp; Eligibility Stats'!$A$6:$N$6,0))/1000)</f>
        <v>0</v>
      </c>
      <c r="Q36" s="33">
        <v>0</v>
      </c>
      <c r="R36" s="164">
        <f>Q36*(INDEX('Ex ante LI &amp; Eligibility Stats'!$A$5:$M$14,MATCH($A36,'Ex ante LI &amp; Eligibility Stats'!$A$5:$A$14,0),MATCH('Program MW '!R$27,'Ex ante LI &amp; Eligibility Stats'!$A$5:$M$5,0))/1000)</f>
        <v>0</v>
      </c>
      <c r="S36" s="164">
        <f>Q36*(INDEX('Ex post LI &amp; Eligibility Stats'!$A$6:$N$15,MATCH($A36,'Ex post LI &amp; Eligibility Stats'!$A$6:$A$15,0),MATCH('Program MW '!R$27,'Ex post LI &amp; Eligibility Stats'!$A$6:$N$6,0))/1000)</f>
        <v>0</v>
      </c>
      <c r="T36" s="36">
        <v>18875</v>
      </c>
      <c r="U36" s="73"/>
    </row>
    <row r="37" spans="1:26" s="67" customFormat="1" x14ac:dyDescent="0.2">
      <c r="A37" s="3" t="s">
        <v>71</v>
      </c>
      <c r="B37" s="33">
        <v>590</v>
      </c>
      <c r="C37" s="164">
        <f>B37*(INDEX('Ex ante LI &amp; Eligibility Stats'!$A$5:$M$14,MATCH($A37,'Ex ante LI &amp; Eligibility Stats'!$A$5:$A$14,0),MATCH('Program MW '!C$27,'Ex ante LI &amp; Eligibility Stats'!$A$5:$M$5,0))/1000)</f>
        <v>11.390645616863846</v>
      </c>
      <c r="D37" s="164">
        <f>B37*(INDEX('Ex post LI &amp; Eligibility Stats'!$A$6:$N$15,MATCH($A37,'Ex post LI &amp; Eligibility Stats'!$A$6:$A$15,0),MATCH('Program MW '!C$27,'Ex post LI &amp; Eligibility Stats'!$A$6:$N$6,0))/1000)</f>
        <v>12.774311926605504</v>
      </c>
      <c r="E37" s="33">
        <v>512</v>
      </c>
      <c r="F37" s="164">
        <f>E37*(INDEX('Ex ante LI &amp; Eligibility Stats'!$A$5:$M$14,MATCH($A37,'Ex ante LI &amp; Eligibility Stats'!$A$5:$A$14,0),MATCH('Program MW '!F$27,'Ex ante LI &amp; Eligibility Stats'!$A$5:$M$5,0))/1000)</f>
        <v>9.8055484876720183</v>
      </c>
      <c r="G37" s="164">
        <f>E37*(INDEX('Ex post LI &amp; Eligibility Stats'!$A$6:$N$15,MATCH($A37,'Ex post LI &amp; Eligibility Stats'!$A$6:$A$15,0),MATCH('Program MW '!F$27,'Ex post LI &amp; Eligibility Stats'!$A$6:$N$6,0))/1000)</f>
        <v>11.085504587155963</v>
      </c>
      <c r="H37" s="33">
        <v>0</v>
      </c>
      <c r="I37" s="164">
        <f>H37*(INDEX('Ex ante LI &amp; Eligibility Stats'!$A$5:$M$14,MATCH($A37,'Ex ante LI &amp; Eligibility Stats'!$A$5:$A$14,0),MATCH('Program MW '!I$27,'Ex ante LI &amp; Eligibility Stats'!$A$5:$M$5,0))/1000)</f>
        <v>0</v>
      </c>
      <c r="J37" s="164">
        <f>H37*(INDEX('Ex post LI &amp; Eligibility Stats'!$A$6:$N$15,MATCH($A37,'Ex post LI &amp; Eligibility Stats'!$A$6:$A$15,0),MATCH('Program MW '!I$27,'Ex post LI &amp; Eligibility Stats'!$A$6:$N$6,0))/1000)</f>
        <v>0</v>
      </c>
      <c r="K37" s="33">
        <v>0</v>
      </c>
      <c r="L37" s="164">
        <f>K37*(INDEX('Ex ante LI &amp; Eligibility Stats'!$A$5:$M$14,MATCH($A37,'Ex ante LI &amp; Eligibility Stats'!$A$5:$A$14,0),MATCH('Program MW '!L$27,'Ex ante LI &amp; Eligibility Stats'!$A$5:$M$5,0))/1000)</f>
        <v>0</v>
      </c>
      <c r="M37" s="164">
        <f>K37*(INDEX('Ex post LI &amp; Eligibility Stats'!$A$6:$N$15,MATCH($A37,'Ex post LI &amp; Eligibility Stats'!$A$6:$A$15,0),MATCH('Program MW '!L$27,'Ex post LI &amp; Eligibility Stats'!$A$6:$N$6,0))/1000)</f>
        <v>0</v>
      </c>
      <c r="N37" s="33">
        <v>0</v>
      </c>
      <c r="O37" s="164">
        <f>N37*(INDEX('Ex ante LI &amp; Eligibility Stats'!$A$5:$M$14,MATCH($A37,'Ex ante LI &amp; Eligibility Stats'!$A$5:$A$14,0),MATCH('Program MW '!O$27,'Ex ante LI &amp; Eligibility Stats'!$A$5:$M$5,0))/1000)</f>
        <v>0</v>
      </c>
      <c r="P37" s="164">
        <f>N37*(INDEX('Ex post LI &amp; Eligibility Stats'!$A$6:$N$15,MATCH($A37,'Ex post LI &amp; Eligibility Stats'!$A$6:$A$15,0),MATCH('Program MW '!O$27,'Ex post LI &amp; Eligibility Stats'!$A$6:$N$6,0))/1000)</f>
        <v>0</v>
      </c>
      <c r="Q37" s="33">
        <v>0</v>
      </c>
      <c r="R37" s="164">
        <f>Q37*(INDEX('Ex ante LI &amp; Eligibility Stats'!$A$5:$M$14,MATCH($A37,'Ex ante LI &amp; Eligibility Stats'!$A$5:$A$14,0),MATCH('Program MW '!R$27,'Ex ante LI &amp; Eligibility Stats'!$A$5:$M$5,0))/1000)</f>
        <v>0</v>
      </c>
      <c r="S37" s="164">
        <f>Q37*(INDEX('Ex post LI &amp; Eligibility Stats'!$A$6:$N$15,MATCH($A37,'Ex post LI &amp; Eligibility Stats'!$A$6:$A$15,0),MATCH('Program MW '!R$27,'Ex post LI &amp; Eligibility Stats'!$A$6:$N$6,0))/1000)</f>
        <v>0</v>
      </c>
      <c r="T37" s="36">
        <v>18875</v>
      </c>
      <c r="U37" s="73"/>
    </row>
    <row r="38" spans="1:26" s="67" customFormat="1" x14ac:dyDescent="0.2">
      <c r="A38" s="2" t="s">
        <v>232</v>
      </c>
      <c r="B38" s="49">
        <v>1219305</v>
      </c>
      <c r="C38" s="164">
        <f>B38*(INDEX('Ex ante LI &amp; Eligibility Stats'!$A$5:$M$14,MATCH($A38,'Ex ante LI &amp; Eligibility Stats'!$A$5:$A$14,0),MATCH('Program MW '!C$27,'Ex ante LI &amp; Eligibility Stats'!$A$5:$M$5,0))/1000)</f>
        <v>2.3523239420466657</v>
      </c>
      <c r="D38" s="402">
        <f>B38*(INDEX('Ex post LI &amp; Eligibility Stats'!$A$6:$N$15,MATCH($A38,'Ex post LI &amp; Eligibility Stats'!$A$6:$A$15,0),MATCH('Program MW '!C$27,'Ex post LI &amp; Eligibility Stats'!$A$6:$N$6,0))/1000)</f>
        <v>2.8084970911866907</v>
      </c>
      <c r="E38" s="49">
        <v>1226079</v>
      </c>
      <c r="F38" s="164">
        <f>E38*(INDEX('Ex ante LI &amp; Eligibility Stats'!$A$5:$M$14,MATCH($A38,'Ex ante LI &amp; Eligibility Stats'!$A$5:$A$14,0),MATCH('Program MW '!F$27,'Ex ante LI &amp; Eligibility Stats'!$A$5:$M$5,0))/1000)</f>
        <v>2.5423658070722994</v>
      </c>
      <c r="G38" s="402">
        <f>E38*(INDEX('Ex post LI &amp; Eligibility Stats'!$A$6:$N$15,MATCH($A38,'Ex post LI &amp; Eligibility Stats'!$A$6:$A$15,0),MATCH('Program MW '!F$27,'Ex post LI &amp; Eligibility Stats'!$A$6:$N$6,0))/1000)</f>
        <v>2.8241000447509741</v>
      </c>
      <c r="H38" s="49">
        <v>0</v>
      </c>
      <c r="I38" s="164">
        <f>H38*(INDEX('Ex ante LI &amp; Eligibility Stats'!$A$5:$M$14,MATCH($A38,'Ex ante LI &amp; Eligibility Stats'!$A$5:$A$14,0),MATCH('Program MW '!I$27,'Ex ante LI &amp; Eligibility Stats'!$A$5:$M$5,0))/1000)</f>
        <v>0</v>
      </c>
      <c r="J38" s="402">
        <f>H38*(INDEX('Ex post LI &amp; Eligibility Stats'!$A$6:$N$15,MATCH($A38,'Ex post LI &amp; Eligibility Stats'!$A$6:$A$15,0),MATCH('Program MW '!I$27,'Ex post LI &amp; Eligibility Stats'!$A$6:$N$6,0))/1000)</f>
        <v>0</v>
      </c>
      <c r="K38" s="49">
        <v>0</v>
      </c>
      <c r="L38" s="164">
        <f>K38*(INDEX('Ex ante LI &amp; Eligibility Stats'!$A$5:$M$14,MATCH($A38,'Ex ante LI &amp; Eligibility Stats'!$A$5:$A$14,0),MATCH('Program MW '!L$27,'Ex ante LI &amp; Eligibility Stats'!$A$5:$M$5,0))/1000)</f>
        <v>0</v>
      </c>
      <c r="M38" s="164">
        <f>K38*(INDEX('Ex post LI &amp; Eligibility Stats'!$A$6:$N$15,MATCH($A38,'Ex post LI &amp; Eligibility Stats'!$A$6:$A$15,0),MATCH('Program MW '!L$27,'Ex post LI &amp; Eligibility Stats'!$A$6:$N$6,0))/1000)</f>
        <v>0</v>
      </c>
      <c r="N38" s="49">
        <v>0</v>
      </c>
      <c r="O38" s="164">
        <f>N38*(INDEX('Ex ante LI &amp; Eligibility Stats'!$A$5:$M$14,MATCH($A38,'Ex ante LI &amp; Eligibility Stats'!$A$5:$A$14,0),MATCH('Program MW '!O$27,'Ex ante LI &amp; Eligibility Stats'!$A$5:$M$5,0))/1000)</f>
        <v>0</v>
      </c>
      <c r="P38" s="164">
        <f>N38*(INDEX('Ex post LI &amp; Eligibility Stats'!$A$6:$N$15,MATCH($A38,'Ex post LI &amp; Eligibility Stats'!$A$6:$A$15,0),MATCH('Program MW '!O$27,'Ex post LI &amp; Eligibility Stats'!$A$6:$N$6,0))/1000)</f>
        <v>0</v>
      </c>
      <c r="Q38" s="33">
        <v>0</v>
      </c>
      <c r="R38" s="164">
        <f>Q38*(INDEX('Ex ante LI &amp; Eligibility Stats'!$A$5:$M$14,MATCH($A38,'Ex ante LI &amp; Eligibility Stats'!$A$5:$A$14,0),MATCH('Program MW '!R$27,'Ex ante LI &amp; Eligibility Stats'!$A$5:$M$5,0))/1000)</f>
        <v>0</v>
      </c>
      <c r="S38" s="402">
        <f>Q38*(INDEX('Ex post LI &amp; Eligibility Stats'!$A$6:$N$15,MATCH($A38,'Ex post LI &amp; Eligibility Stats'!$A$6:$A$15,0),MATCH('Program MW '!R$27,'Ex post LI &amp; Eligibility Stats'!$A$6:$N$6,0))/1000)</f>
        <v>0</v>
      </c>
      <c r="T38" s="36">
        <v>1200000</v>
      </c>
      <c r="U38" s="73"/>
    </row>
    <row r="39" spans="1:26" s="67" customFormat="1" x14ac:dyDescent="0.2">
      <c r="A39" s="2" t="s">
        <v>223</v>
      </c>
      <c r="B39" s="49">
        <v>0</v>
      </c>
      <c r="C39" s="164">
        <f>B39*(INDEX('Ex ante LI &amp; Eligibility Stats'!$A$5:$M$14,MATCH($A39,'Ex ante LI &amp; Eligibility Stats'!$A$5:$A$14,0),MATCH('Program MW '!C$27,'Ex ante LI &amp; Eligibility Stats'!$A$5:$M$5,0))/1000)</f>
        <v>0</v>
      </c>
      <c r="D39" s="402">
        <f>B39*(INDEX('Ex post LI &amp; Eligibility Stats'!$A$6:$N$15,MATCH($A39,'Ex post LI &amp; Eligibility Stats'!$A$6:$A$15,0),MATCH('Program MW '!C$27,'Ex post LI &amp; Eligibility Stats'!$A$6:$N$6,0))/1000)</f>
        <v>0</v>
      </c>
      <c r="E39" s="49">
        <v>0</v>
      </c>
      <c r="F39" s="164">
        <f>E39*(INDEX('Ex ante LI &amp; Eligibility Stats'!$A$5:$M$14,MATCH($A39,'Ex ante LI &amp; Eligibility Stats'!$A$5:$A$14,0),MATCH('Program MW '!F$27,'Ex ante LI &amp; Eligibility Stats'!$A$5:$M$5,0))/1000)</f>
        <v>0</v>
      </c>
      <c r="G39" s="402">
        <f>E39*(INDEX('Ex post LI &amp; Eligibility Stats'!$A$6:$N$15,MATCH($A39,'Ex post LI &amp; Eligibility Stats'!$A$6:$A$15,0),MATCH('Program MW '!F$27,'Ex post LI &amp; Eligibility Stats'!$A$6:$N$6,0))/1000)</f>
        <v>0</v>
      </c>
      <c r="H39" s="49">
        <v>0</v>
      </c>
      <c r="I39" s="164">
        <f>H39*(INDEX('Ex ante LI &amp; Eligibility Stats'!$A$5:$M$14,MATCH($A39,'Ex ante LI &amp; Eligibility Stats'!$A$5:$A$14,0),MATCH('Program MW '!I$27,'Ex ante LI &amp; Eligibility Stats'!$A$5:$M$5,0))/1000)</f>
        <v>0</v>
      </c>
      <c r="J39" s="402">
        <f>H39*(INDEX('Ex post LI &amp; Eligibility Stats'!$A$6:$N$15,MATCH($A39,'Ex post LI &amp; Eligibility Stats'!$A$6:$A$15,0),MATCH('Program MW '!I$27,'Ex post LI &amp; Eligibility Stats'!$A$6:$N$6,0))/1000)</f>
        <v>0</v>
      </c>
      <c r="K39" s="49">
        <v>0</v>
      </c>
      <c r="L39" s="164">
        <f>K39*(INDEX('Ex ante LI &amp; Eligibility Stats'!$A$5:$M$14,MATCH($A39,'Ex ante LI &amp; Eligibility Stats'!$A$5:$A$14,0),MATCH('Program MW '!L$27,'Ex ante LI &amp; Eligibility Stats'!$A$5:$M$5,0))/1000)</f>
        <v>0</v>
      </c>
      <c r="M39" s="164">
        <f>K39*(INDEX('Ex post LI &amp; Eligibility Stats'!$A$6:$N$15,MATCH($A39,'Ex post LI &amp; Eligibility Stats'!$A$6:$A$15,0),MATCH('Program MW '!L$27,'Ex post LI &amp; Eligibility Stats'!$A$6:$N$6,0))/1000)</f>
        <v>0</v>
      </c>
      <c r="N39" s="49">
        <v>0</v>
      </c>
      <c r="O39" s="164">
        <f>N39*(INDEX('Ex ante LI &amp; Eligibility Stats'!$A$5:$M$14,MATCH($A39,'Ex ante LI &amp; Eligibility Stats'!$A$5:$A$14,0),MATCH('Program MW '!O$27,'Ex ante LI &amp; Eligibility Stats'!$A$5:$M$5,0))/1000)</f>
        <v>0</v>
      </c>
      <c r="P39" s="164">
        <f>N39*(INDEX('Ex post LI &amp; Eligibility Stats'!$A$6:$N$15,MATCH($A39,'Ex post LI &amp; Eligibility Stats'!$A$6:$A$15,0),MATCH('Program MW '!O$27,'Ex post LI &amp; Eligibility Stats'!$A$6:$N$6,0))/1000)</f>
        <v>0</v>
      </c>
      <c r="Q39" s="33">
        <v>0</v>
      </c>
      <c r="R39" s="164">
        <f>Q39*(INDEX('Ex ante LI &amp; Eligibility Stats'!$A$5:$M$14,MATCH($A39,'Ex ante LI &amp; Eligibility Stats'!$A$5:$A$14,0),MATCH('Program MW '!R$27,'Ex ante LI &amp; Eligibility Stats'!$A$5:$M$5,0))/1000)</f>
        <v>0</v>
      </c>
      <c r="S39" s="402">
        <f>Q39*(INDEX('Ex post LI &amp; Eligibility Stats'!$A$6:$N$15,MATCH($A39,'Ex post LI &amp; Eligibility Stats'!$A$6:$A$15,0),MATCH('Program MW '!R$27,'Ex post LI &amp; Eligibility Stats'!$A$6:$N$6,0))/1000)</f>
        <v>0</v>
      </c>
      <c r="T39" s="36">
        <v>120000</v>
      </c>
      <c r="U39" s="73"/>
    </row>
    <row r="40" spans="1:26" s="67" customFormat="1" x14ac:dyDescent="0.2">
      <c r="A40" s="2" t="s">
        <v>142</v>
      </c>
      <c r="B40" s="33">
        <v>6</v>
      </c>
      <c r="C40" s="164">
        <f>B40*(INDEX('Ex ante LI &amp; Eligibility Stats'!$A$5:$M$14,MATCH($A40,'Ex ante LI &amp; Eligibility Stats'!$A$5:$A$14,0),MATCH('Program MW '!C$27,'Ex ante LI &amp; Eligibility Stats'!$A$5:$M$5,0))/1000)</f>
        <v>3.715707000000001</v>
      </c>
      <c r="D40" s="164">
        <f>B40*(INDEX('Ex post LI &amp; Eligibility Stats'!$A$6:$N$15,MATCH($A40,'Ex post LI &amp; Eligibility Stats'!$A$6:$A$15,0),MATCH('Program MW '!C$27,'Ex post LI &amp; Eligibility Stats'!$A$6:$N$6,0))/1000)</f>
        <v>5.0999999999999996</v>
      </c>
      <c r="E40" s="33">
        <v>6</v>
      </c>
      <c r="F40" s="164">
        <f>E40*(INDEX('Ex ante LI &amp; Eligibility Stats'!$A$5:$M$14,MATCH($A40,'Ex ante LI &amp; Eligibility Stats'!$A$5:$A$14,0),MATCH('Program MW '!F$27,'Ex ante LI &amp; Eligibility Stats'!$A$5:$M$5,0))/1000)</f>
        <v>4.6016451999999992</v>
      </c>
      <c r="G40" s="164">
        <f>E40*(INDEX('Ex post LI &amp; Eligibility Stats'!$A$6:$N$15,MATCH($A40,'Ex post LI &amp; Eligibility Stats'!$A$6:$A$15,0),MATCH('Program MW '!F$27,'Ex post LI &amp; Eligibility Stats'!$A$6:$N$6,0))/1000)</f>
        <v>5.0999999999999996</v>
      </c>
      <c r="H40" s="33">
        <v>0</v>
      </c>
      <c r="I40" s="164">
        <f>H40*(INDEX('Ex ante LI &amp; Eligibility Stats'!$A$5:$M$14,MATCH($A40,'Ex ante LI &amp; Eligibility Stats'!$A$5:$A$14,0),MATCH('Program MW '!I$27,'Ex ante LI &amp; Eligibility Stats'!$A$5:$M$5,0))/1000)</f>
        <v>0</v>
      </c>
      <c r="J40" s="164">
        <f>H40*(INDEX('Ex post LI &amp; Eligibility Stats'!$A$6:$N$15,MATCH($A40,'Ex post LI &amp; Eligibility Stats'!$A$6:$A$15,0),MATCH('Program MW '!I$27,'Ex post LI &amp; Eligibility Stats'!$A$6:$N$6,0))/1000)</f>
        <v>0</v>
      </c>
      <c r="K40" s="33">
        <v>0</v>
      </c>
      <c r="L40" s="164">
        <f>K40*(INDEX('Ex ante LI &amp; Eligibility Stats'!$A$5:$M$14,MATCH($A40,'Ex ante LI &amp; Eligibility Stats'!$A$5:$A$14,0),MATCH('Program MW '!L$27,'Ex ante LI &amp; Eligibility Stats'!$A$5:$M$5,0))/1000)</f>
        <v>0</v>
      </c>
      <c r="M40" s="164">
        <f>K40*(INDEX('Ex post LI &amp; Eligibility Stats'!$A$6:$N$15,MATCH($A40,'Ex post LI &amp; Eligibility Stats'!$A$6:$A$15,0),MATCH('Program MW '!L$27,'Ex post LI &amp; Eligibility Stats'!$A$6:$N$6,0))/1000)</f>
        <v>0</v>
      </c>
      <c r="N40" s="33">
        <v>0</v>
      </c>
      <c r="O40" s="164">
        <f>N40*(INDEX('Ex ante LI &amp; Eligibility Stats'!$A$5:$M$14,MATCH($A40,'Ex ante LI &amp; Eligibility Stats'!$A$5:$A$14,0),MATCH('Program MW '!O$27,'Ex ante LI &amp; Eligibility Stats'!$A$5:$M$5,0))/1000)</f>
        <v>0</v>
      </c>
      <c r="P40" s="164">
        <f>N40*(INDEX('Ex post LI &amp; Eligibility Stats'!$A$6:$N$15,MATCH($A40,'Ex post LI &amp; Eligibility Stats'!$A$6:$A$15,0),MATCH('Program MW '!O$27,'Ex post LI &amp; Eligibility Stats'!$A$6:$N$6,0))/1000)</f>
        <v>0</v>
      </c>
      <c r="Q40" s="33">
        <v>0</v>
      </c>
      <c r="R40" s="164">
        <f>Q40*(INDEX('Ex ante LI &amp; Eligibility Stats'!$A$5:$M$14,MATCH($A40,'Ex ante LI &amp; Eligibility Stats'!$A$5:$A$14,0),MATCH('Program MW '!R$27,'Ex ante LI &amp; Eligibility Stats'!$A$5:$M$5,0))/1000)</f>
        <v>0</v>
      </c>
      <c r="S40" s="403">
        <f>Q40*(INDEX('Ex post LI &amp; Eligibility Stats'!$A$6:$N$15,MATCH($A40,'Ex post LI &amp; Eligibility Stats'!$A$6:$A$15,0),MATCH('Program MW '!R$27,'Ex post LI &amp; Eligibility Stats'!$A$6:$N$6,0))/1000)</f>
        <v>0</v>
      </c>
      <c r="T40" s="36">
        <v>162482</v>
      </c>
      <c r="U40" s="73"/>
    </row>
    <row r="41" spans="1:26" s="67" customFormat="1" ht="13.5" thickBot="1" x14ac:dyDescent="0.25">
      <c r="A41" s="37" t="s">
        <v>34</v>
      </c>
      <c r="B41" s="75">
        <f t="shared" ref="B41:S41" si="4">SUM(B33:B40)</f>
        <v>1258400</v>
      </c>
      <c r="C41" s="41">
        <f t="shared" si="4"/>
        <v>56.81812225778895</v>
      </c>
      <c r="D41" s="40">
        <f t="shared" si="4"/>
        <v>62.559298820061564</v>
      </c>
      <c r="E41" s="75">
        <f t="shared" si="4"/>
        <v>1267749</v>
      </c>
      <c r="F41" s="41">
        <f t="shared" si="4"/>
        <v>53.625964606200895</v>
      </c>
      <c r="G41" s="40">
        <f t="shared" si="4"/>
        <v>60.805103578465086</v>
      </c>
      <c r="H41" s="75">
        <f t="shared" si="4"/>
        <v>0</v>
      </c>
      <c r="I41" s="41">
        <f t="shared" si="4"/>
        <v>0</v>
      </c>
      <c r="J41" s="40">
        <f t="shared" si="4"/>
        <v>0</v>
      </c>
      <c r="K41" s="75">
        <f t="shared" si="4"/>
        <v>0</v>
      </c>
      <c r="L41" s="41">
        <f t="shared" si="4"/>
        <v>0</v>
      </c>
      <c r="M41" s="40">
        <f t="shared" si="4"/>
        <v>0</v>
      </c>
      <c r="N41" s="75">
        <f t="shared" si="4"/>
        <v>0</v>
      </c>
      <c r="O41" s="41">
        <f t="shared" si="4"/>
        <v>0</v>
      </c>
      <c r="P41" s="40">
        <f t="shared" si="4"/>
        <v>0</v>
      </c>
      <c r="Q41" s="75">
        <f t="shared" si="4"/>
        <v>0</v>
      </c>
      <c r="R41" s="41">
        <f t="shared" si="4"/>
        <v>0</v>
      </c>
      <c r="S41" s="40">
        <f t="shared" si="4"/>
        <v>0</v>
      </c>
      <c r="T41" s="58"/>
      <c r="U41" s="73"/>
    </row>
    <row r="42" spans="1:26" ht="14.25" thickTop="1" thickBot="1" x14ac:dyDescent="0.25">
      <c r="A42" s="53" t="s">
        <v>23</v>
      </c>
      <c r="B42" s="56">
        <f t="shared" ref="B42:S42" si="5">+B31+B41</f>
        <v>1258407</v>
      </c>
      <c r="C42" s="76">
        <f t="shared" si="5"/>
        <v>57.200657494152587</v>
      </c>
      <c r="D42" s="57">
        <f t="shared" si="5"/>
        <v>63.068389729152472</v>
      </c>
      <c r="E42" s="56">
        <f t="shared" si="5"/>
        <v>1267756</v>
      </c>
      <c r="F42" s="76">
        <f t="shared" si="5"/>
        <v>53.999655660746349</v>
      </c>
      <c r="G42" s="57">
        <f t="shared" si="5"/>
        <v>61.314194487555994</v>
      </c>
      <c r="H42" s="56">
        <f t="shared" si="5"/>
        <v>0</v>
      </c>
      <c r="I42" s="76">
        <f t="shared" si="5"/>
        <v>0</v>
      </c>
      <c r="J42" s="57">
        <f t="shared" si="5"/>
        <v>0</v>
      </c>
      <c r="K42" s="56">
        <f t="shared" si="5"/>
        <v>0</v>
      </c>
      <c r="L42" s="76">
        <f t="shared" si="5"/>
        <v>0</v>
      </c>
      <c r="M42" s="57">
        <f t="shared" si="5"/>
        <v>0</v>
      </c>
      <c r="N42" s="56">
        <f t="shared" si="5"/>
        <v>0</v>
      </c>
      <c r="O42" s="76">
        <f t="shared" si="5"/>
        <v>0</v>
      </c>
      <c r="P42" s="57">
        <f t="shared" si="5"/>
        <v>0</v>
      </c>
      <c r="Q42" s="77">
        <f t="shared" si="5"/>
        <v>0</v>
      </c>
      <c r="R42" s="76">
        <f t="shared" si="5"/>
        <v>0</v>
      </c>
      <c r="S42" s="57">
        <f t="shared" si="5"/>
        <v>0</v>
      </c>
      <c r="T42" s="64"/>
      <c r="U42" s="78"/>
    </row>
    <row r="43" spans="1:26" ht="13.5" thickTop="1" x14ac:dyDescent="0.2">
      <c r="A43" s="59"/>
      <c r="B43" s="79"/>
      <c r="C43" s="79"/>
      <c r="D43" s="47"/>
      <c r="E43" s="79"/>
      <c r="F43" s="79"/>
      <c r="G43" s="79"/>
      <c r="H43" s="47"/>
      <c r="I43" s="79"/>
      <c r="J43" s="79"/>
      <c r="K43" s="79"/>
      <c r="L43" s="79"/>
      <c r="M43" s="47"/>
      <c r="N43" s="79"/>
      <c r="O43" s="79"/>
      <c r="P43" s="79"/>
      <c r="Q43" s="47"/>
      <c r="R43" s="79"/>
      <c r="S43" s="79"/>
      <c r="T43" s="79"/>
      <c r="U43" s="47"/>
      <c r="V43" s="79"/>
      <c r="W43" s="79"/>
      <c r="X43" s="52"/>
      <c r="Y43" s="80"/>
      <c r="Z43" s="80"/>
    </row>
    <row r="44" spans="1:26" x14ac:dyDescent="0.2">
      <c r="A44" s="59"/>
      <c r="B44" s="47"/>
      <c r="C44" s="47"/>
      <c r="D44" s="47"/>
      <c r="E44" s="79"/>
      <c r="F44" s="47"/>
      <c r="G44" s="79"/>
      <c r="H44" s="47"/>
      <c r="I44" s="47"/>
      <c r="J44" s="47"/>
      <c r="K44" s="79"/>
      <c r="L44" s="47"/>
      <c r="M44" s="47"/>
      <c r="N44" s="47"/>
      <c r="O44" s="47"/>
      <c r="P44" s="160"/>
      <c r="Q44" s="47"/>
      <c r="R44" s="47"/>
      <c r="S44" s="47"/>
      <c r="T44" s="79"/>
      <c r="U44" s="47"/>
      <c r="V44" s="47"/>
      <c r="W44" s="79"/>
      <c r="X44" s="52"/>
      <c r="Y44" s="52"/>
      <c r="Z44" s="80"/>
    </row>
    <row r="45" spans="1:26" ht="15" x14ac:dyDescent="0.25">
      <c r="A45" s="332" t="s">
        <v>25</v>
      </c>
      <c r="B45" s="81"/>
      <c r="C45" s="81"/>
      <c r="D45" s="81"/>
      <c r="E45" s="81"/>
      <c r="F45" s="159"/>
      <c r="G45" s="81"/>
      <c r="H45" s="159"/>
      <c r="I45" s="81"/>
      <c r="J45" s="81"/>
      <c r="K45" s="81"/>
      <c r="L45" s="81"/>
      <c r="M45" s="81"/>
      <c r="N45" s="81"/>
      <c r="O45" s="81"/>
      <c r="P45" s="16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1:26" x14ac:dyDescent="0.2">
      <c r="A46" s="441" t="s">
        <v>157</v>
      </c>
      <c r="B46" s="441"/>
      <c r="C46" s="441"/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41"/>
      <c r="U46" s="441"/>
      <c r="V46" s="441"/>
      <c r="W46" s="441"/>
      <c r="X46" s="441"/>
      <c r="Y46" s="441"/>
      <c r="Z46" s="441"/>
    </row>
    <row r="47" spans="1:26" x14ac:dyDescent="0.2">
      <c r="A47" s="438" t="s">
        <v>162</v>
      </c>
      <c r="B47" s="439"/>
      <c r="C47" s="439"/>
      <c r="D47" s="439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spans="1:26" x14ac:dyDescent="0.2">
      <c r="A48" s="440"/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 spans="1:26" ht="27.75" customHeight="1" x14ac:dyDescent="0.2">
      <c r="A49" s="439"/>
      <c r="B49" s="439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</row>
    <row r="50" spans="1:26" x14ac:dyDescent="0.2">
      <c r="A50" s="436"/>
      <c r="B50" s="437"/>
      <c r="C50" s="437"/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</row>
    <row r="51" spans="1:26" ht="25.5" customHeight="1" x14ac:dyDescent="0.2">
      <c r="A51" s="437"/>
      <c r="B51" s="437"/>
      <c r="C51" s="437"/>
      <c r="D51" s="437"/>
      <c r="E51" s="437"/>
      <c r="F51" s="437"/>
      <c r="G51" s="437"/>
      <c r="H51" s="437"/>
      <c r="I51" s="437"/>
      <c r="J51" s="437"/>
      <c r="K51" s="437"/>
      <c r="L51" s="437"/>
      <c r="M51" s="437"/>
      <c r="N51" s="437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x14ac:dyDescent="0.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3"/>
      <c r="U52" s="83"/>
      <c r="V52" s="83"/>
      <c r="W52" s="83"/>
      <c r="X52" s="83"/>
      <c r="Y52" s="83"/>
      <c r="Z52" s="83"/>
    </row>
    <row r="53" spans="1:26" ht="6" customHeight="1" x14ac:dyDescent="0.2">
      <c r="A53" s="436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</row>
    <row r="54" spans="1:26" ht="87.75" customHeight="1" x14ac:dyDescent="0.2">
      <c r="A54" s="437"/>
      <c r="B54" s="437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437"/>
    </row>
    <row r="56" spans="1:26" x14ac:dyDescent="0.2">
      <c r="A56" s="85"/>
    </row>
    <row r="57" spans="1:26" x14ac:dyDescent="0.2">
      <c r="A57" s="83"/>
    </row>
  </sheetData>
  <mergeCells count="4">
    <mergeCell ref="A53:N54"/>
    <mergeCell ref="A50:N51"/>
    <mergeCell ref="A47:N49"/>
    <mergeCell ref="A46:Z46"/>
  </mergeCells>
  <phoneticPr fontId="0" type="noConversion"/>
  <printOptions horizontalCentered="1"/>
  <pageMargins left="0" right="0" top="0.8" bottom="0.17" header="0.3" footer="0.15"/>
  <pageSetup scale="51" orientation="landscape" cellComments="atEnd" r:id="rId1"/>
  <headerFooter alignWithMargins="0">
    <oddHeader>&amp;C&amp;"Arial,Bold"San Diego Gas and Electric
Interruptible and Price Responsive Programs
 Subscription Statistics - Enrolled MW
AUGUST 2013</oddHeader>
    <oddFooter>&amp;L&amp;F&amp;R&amp;D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V36"/>
  <sheetViews>
    <sheetView showGridLines="0" view="pageBreakPreview" topLeftCell="A2" zoomScale="75" zoomScaleNormal="100" zoomScaleSheetLayoutView="75" workbookViewId="0">
      <pane xSplit="1" ySplit="2" topLeftCell="B4" activePane="bottomRight" state="frozen"/>
      <selection activeCell="I16" sqref="I16"/>
      <selection pane="topRight" activeCell="I16" sqref="I16"/>
      <selection pane="bottomLeft" activeCell="I16" sqref="I16"/>
      <selection pane="bottomRight" activeCell="H35" sqref="H35"/>
    </sheetView>
  </sheetViews>
  <sheetFormatPr defaultRowHeight="12.75" x14ac:dyDescent="0.2"/>
  <cols>
    <col min="1" max="1" width="39.42578125" style="199" customWidth="1"/>
    <col min="2" max="2" width="11" style="199" customWidth="1"/>
    <col min="3" max="3" width="9.7109375" style="199" customWidth="1"/>
    <col min="4" max="4" width="11" style="199" customWidth="1"/>
    <col min="5" max="5" width="11.7109375" style="199" customWidth="1"/>
    <col min="6" max="8" width="11" style="199" customWidth="1"/>
    <col min="9" max="9" width="3.85546875" style="199" customWidth="1"/>
    <col min="10" max="10" width="10.28515625" style="199" bestFit="1" customWidth="1"/>
    <col min="11" max="11" width="2.85546875" style="199" bestFit="1" customWidth="1"/>
    <col min="12" max="12" width="11" style="199" customWidth="1"/>
    <col min="13" max="13" width="3.42578125" style="199" bestFit="1" customWidth="1"/>
    <col min="14" max="16" width="11" style="199" customWidth="1"/>
    <col min="17" max="17" width="15.7109375" style="199" bestFit="1" customWidth="1"/>
    <col min="18" max="18" width="9.7109375" style="199" bestFit="1" customWidth="1"/>
    <col min="19" max="19" width="9.140625" style="199"/>
    <col min="20" max="20" width="22.28515625" style="199" customWidth="1"/>
    <col min="21" max="16384" width="9.140625" style="199"/>
  </cols>
  <sheetData>
    <row r="2" spans="1:18" ht="13.5" thickBot="1" x14ac:dyDescent="0.25">
      <c r="A2" s="290"/>
    </row>
    <row r="3" spans="1:18" ht="31.7" customHeight="1" x14ac:dyDescent="0.2">
      <c r="A3" s="291" t="s">
        <v>17</v>
      </c>
      <c r="B3" s="292" t="s">
        <v>0</v>
      </c>
      <c r="C3" s="292" t="s">
        <v>1</v>
      </c>
      <c r="D3" s="292" t="s">
        <v>2</v>
      </c>
      <c r="E3" s="292" t="s">
        <v>3</v>
      </c>
      <c r="F3" s="292" t="s">
        <v>4</v>
      </c>
      <c r="G3" s="292" t="s">
        <v>5</v>
      </c>
      <c r="H3" s="292" t="s">
        <v>6</v>
      </c>
      <c r="I3" s="292"/>
      <c r="J3" s="292" t="s">
        <v>7</v>
      </c>
      <c r="K3" s="292"/>
      <c r="L3" s="292" t="s">
        <v>8</v>
      </c>
      <c r="M3" s="292"/>
      <c r="N3" s="292" t="s">
        <v>9</v>
      </c>
      <c r="O3" s="292" t="s">
        <v>10</v>
      </c>
      <c r="P3" s="292" t="s">
        <v>11</v>
      </c>
      <c r="Q3" s="293" t="s">
        <v>16</v>
      </c>
    </row>
    <row r="4" spans="1:18" ht="16.5" x14ac:dyDescent="0.25">
      <c r="A4" s="294" t="s">
        <v>77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6"/>
    </row>
    <row r="5" spans="1:18" ht="6" customHeight="1" x14ac:dyDescent="0.2">
      <c r="A5" s="297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6"/>
    </row>
    <row r="6" spans="1:18" x14ac:dyDescent="0.2">
      <c r="A6" s="297" t="s">
        <v>78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6"/>
    </row>
    <row r="7" spans="1:18" x14ac:dyDescent="0.2">
      <c r="A7" s="298" t="s">
        <v>79</v>
      </c>
      <c r="B7" s="299">
        <v>0</v>
      </c>
      <c r="C7" s="299">
        <v>0</v>
      </c>
      <c r="D7" s="299">
        <v>0</v>
      </c>
      <c r="E7" s="299">
        <v>0</v>
      </c>
      <c r="F7" s="299">
        <v>0</v>
      </c>
      <c r="G7" s="299">
        <v>0</v>
      </c>
      <c r="H7" s="299">
        <v>0</v>
      </c>
      <c r="I7" s="299"/>
      <c r="J7" s="299">
        <v>0</v>
      </c>
      <c r="K7" s="299"/>
      <c r="L7" s="299">
        <v>0</v>
      </c>
      <c r="M7" s="299"/>
      <c r="N7" s="299">
        <v>0</v>
      </c>
      <c r="O7" s="299">
        <v>0</v>
      </c>
      <c r="P7" s="299">
        <v>0</v>
      </c>
      <c r="Q7" s="302">
        <f t="shared" ref="Q7:Q12" si="0">SUM(B7:P7)</f>
        <v>0</v>
      </c>
    </row>
    <row r="8" spans="1:18" ht="14.25" customHeight="1" x14ac:dyDescent="0.2">
      <c r="A8" s="298" t="s">
        <v>67</v>
      </c>
      <c r="B8" s="299">
        <v>9.6839999999999993</v>
      </c>
      <c r="C8" s="299">
        <v>12.832000000000001</v>
      </c>
      <c r="D8" s="299">
        <v>12.802</v>
      </c>
      <c r="E8" s="299">
        <v>28.184999999999999</v>
      </c>
      <c r="F8" s="299">
        <v>17.34</v>
      </c>
      <c r="G8" s="299">
        <v>17.425000000000001</v>
      </c>
      <c r="H8" s="299">
        <v>17.812000000000001</v>
      </c>
      <c r="I8" s="299"/>
      <c r="J8" s="299">
        <v>13.273</v>
      </c>
      <c r="K8" s="299"/>
      <c r="L8" s="299">
        <v>0</v>
      </c>
      <c r="M8" s="299"/>
      <c r="N8" s="299">
        <v>0</v>
      </c>
      <c r="O8" s="299">
        <v>0</v>
      </c>
      <c r="P8" s="299">
        <v>0</v>
      </c>
      <c r="Q8" s="302">
        <f t="shared" si="0"/>
        <v>129.35300000000001</v>
      </c>
    </row>
    <row r="9" spans="1:18" x14ac:dyDescent="0.2">
      <c r="A9" s="298" t="s">
        <v>28</v>
      </c>
      <c r="B9" s="299">
        <v>0</v>
      </c>
      <c r="C9" s="299">
        <v>0</v>
      </c>
      <c r="D9" s="299">
        <v>0</v>
      </c>
      <c r="E9" s="299">
        <v>0</v>
      </c>
      <c r="F9" s="299">
        <v>0</v>
      </c>
      <c r="G9" s="299">
        <v>0</v>
      </c>
      <c r="H9" s="299">
        <v>0</v>
      </c>
      <c r="I9" s="299"/>
      <c r="J9" s="299">
        <v>0</v>
      </c>
      <c r="K9" s="299"/>
      <c r="L9" s="299">
        <v>0</v>
      </c>
      <c r="M9" s="299"/>
      <c r="N9" s="299">
        <v>0</v>
      </c>
      <c r="O9" s="299">
        <v>0</v>
      </c>
      <c r="P9" s="299">
        <v>0</v>
      </c>
      <c r="Q9" s="302">
        <f t="shared" si="0"/>
        <v>0</v>
      </c>
    </row>
    <row r="10" spans="1:18" x14ac:dyDescent="0.2">
      <c r="A10" s="298" t="s">
        <v>80</v>
      </c>
      <c r="B10" s="299">
        <v>-0.51</v>
      </c>
      <c r="C10" s="299">
        <v>7.3179999999999996</v>
      </c>
      <c r="D10" s="299">
        <v>5.6340000000000003</v>
      </c>
      <c r="E10" s="299">
        <v>5.0119999999999996</v>
      </c>
      <c r="F10" s="299">
        <v>5.7640000000000002</v>
      </c>
      <c r="G10" s="299">
        <v>4.3920000000000003</v>
      </c>
      <c r="H10" s="299">
        <v>6.633</v>
      </c>
      <c r="I10" s="299"/>
      <c r="J10" s="299">
        <v>6.37</v>
      </c>
      <c r="K10" s="299"/>
      <c r="L10" s="299">
        <v>0</v>
      </c>
      <c r="M10" s="299"/>
      <c r="N10" s="299">
        <v>0</v>
      </c>
      <c r="O10" s="299">
        <v>0</v>
      </c>
      <c r="P10" s="299">
        <v>0</v>
      </c>
      <c r="Q10" s="302">
        <f t="shared" si="0"/>
        <v>40.613</v>
      </c>
    </row>
    <row r="11" spans="1:18" x14ac:dyDescent="0.2">
      <c r="A11" s="298" t="s">
        <v>14</v>
      </c>
      <c r="B11" s="299">
        <v>0</v>
      </c>
      <c r="C11" s="299">
        <v>0</v>
      </c>
      <c r="D11" s="299">
        <v>0</v>
      </c>
      <c r="E11" s="299">
        <v>0</v>
      </c>
      <c r="F11" s="299">
        <v>0</v>
      </c>
      <c r="G11" s="299">
        <v>0</v>
      </c>
      <c r="H11" s="299">
        <v>0</v>
      </c>
      <c r="I11" s="299"/>
      <c r="J11" s="299">
        <v>0</v>
      </c>
      <c r="K11" s="299"/>
      <c r="L11" s="299">
        <v>0</v>
      </c>
      <c r="M11" s="299"/>
      <c r="N11" s="299">
        <v>0</v>
      </c>
      <c r="O11" s="299">
        <v>0</v>
      </c>
      <c r="P11" s="299">
        <v>0</v>
      </c>
      <c r="Q11" s="302">
        <f t="shared" si="0"/>
        <v>0</v>
      </c>
      <c r="R11" s="303"/>
    </row>
    <row r="12" spans="1:18" x14ac:dyDescent="0.2">
      <c r="A12" s="261" t="s">
        <v>81</v>
      </c>
      <c r="B12" s="304">
        <f t="shared" ref="B12:H12" si="1">SUM(B7:B11)</f>
        <v>9.1739999999999995</v>
      </c>
      <c r="C12" s="304">
        <f t="shared" si="1"/>
        <v>20.149999999999999</v>
      </c>
      <c r="D12" s="304">
        <f t="shared" si="1"/>
        <v>18.436</v>
      </c>
      <c r="E12" s="304">
        <f t="shared" si="1"/>
        <v>33.196999999999996</v>
      </c>
      <c r="F12" s="304">
        <f t="shared" si="1"/>
        <v>23.103999999999999</v>
      </c>
      <c r="G12" s="304">
        <f t="shared" si="1"/>
        <v>21.817</v>
      </c>
      <c r="H12" s="304">
        <f t="shared" si="1"/>
        <v>24.445</v>
      </c>
      <c r="I12" s="304"/>
      <c r="J12" s="304">
        <f>SUM(J7:J11)</f>
        <v>19.643000000000001</v>
      </c>
      <c r="K12" s="304"/>
      <c r="L12" s="304">
        <f>SUM(L7:L11)</f>
        <v>0</v>
      </c>
      <c r="M12" s="304"/>
      <c r="N12" s="304">
        <f>SUM(N7:N11)</f>
        <v>0</v>
      </c>
      <c r="O12" s="304">
        <f>SUM(O7:O11)</f>
        <v>0</v>
      </c>
      <c r="P12" s="304">
        <f>SUM(P7:P11)</f>
        <v>0</v>
      </c>
      <c r="Q12" s="305">
        <f t="shared" si="0"/>
        <v>169.96599999999998</v>
      </c>
    </row>
    <row r="13" spans="1:18" x14ac:dyDescent="0.2">
      <c r="A13" s="298"/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302"/>
    </row>
    <row r="14" spans="1:18" x14ac:dyDescent="0.2">
      <c r="A14" s="297" t="s">
        <v>82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302"/>
    </row>
    <row r="15" spans="1:18" x14ac:dyDescent="0.2">
      <c r="A15" s="298" t="s">
        <v>83</v>
      </c>
      <c r="B15" s="299">
        <v>0</v>
      </c>
      <c r="C15" s="299">
        <v>0</v>
      </c>
      <c r="D15" s="299">
        <v>0</v>
      </c>
      <c r="E15" s="299">
        <v>0</v>
      </c>
      <c r="F15" s="299">
        <v>0</v>
      </c>
      <c r="G15" s="299">
        <v>0</v>
      </c>
      <c r="H15" s="299">
        <v>0</v>
      </c>
      <c r="I15" s="299"/>
      <c r="J15" s="299">
        <v>0</v>
      </c>
      <c r="K15" s="299"/>
      <c r="L15" s="299">
        <v>0</v>
      </c>
      <c r="M15" s="299"/>
      <c r="N15" s="299">
        <v>0</v>
      </c>
      <c r="O15" s="299">
        <v>0</v>
      </c>
      <c r="P15" s="299">
        <v>0</v>
      </c>
      <c r="Q15" s="302">
        <f>SUM(B15:P15)</f>
        <v>0</v>
      </c>
    </row>
    <row r="16" spans="1:18" x14ac:dyDescent="0.2">
      <c r="A16" s="261" t="s">
        <v>84</v>
      </c>
      <c r="B16" s="304">
        <f t="shared" ref="B16:H16" si="2">SUM(B15:B15)</f>
        <v>0</v>
      </c>
      <c r="C16" s="304">
        <f t="shared" si="2"/>
        <v>0</v>
      </c>
      <c r="D16" s="304">
        <f t="shared" si="2"/>
        <v>0</v>
      </c>
      <c r="E16" s="304">
        <f t="shared" si="2"/>
        <v>0</v>
      </c>
      <c r="F16" s="304">
        <f t="shared" si="2"/>
        <v>0</v>
      </c>
      <c r="G16" s="304">
        <f t="shared" si="2"/>
        <v>0</v>
      </c>
      <c r="H16" s="304">
        <f t="shared" si="2"/>
        <v>0</v>
      </c>
      <c r="I16" s="304"/>
      <c r="J16" s="304">
        <f>SUM(J15:J15)</f>
        <v>0</v>
      </c>
      <c r="K16" s="304"/>
      <c r="L16" s="304">
        <f>SUM(L15:L15)</f>
        <v>0</v>
      </c>
      <c r="M16" s="304"/>
      <c r="N16" s="304">
        <f>SUM(N15:N15)</f>
        <v>0</v>
      </c>
      <c r="O16" s="304">
        <f>SUM(O15:O15)</f>
        <v>0</v>
      </c>
      <c r="P16" s="304">
        <f>SUM(P15:P15)</f>
        <v>0</v>
      </c>
      <c r="Q16" s="305">
        <f>SUM(B16:P16)</f>
        <v>0</v>
      </c>
    </row>
    <row r="17" spans="1:22" x14ac:dyDescent="0.2">
      <c r="A17" s="276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6"/>
    </row>
    <row r="18" spans="1:22" x14ac:dyDescent="0.2">
      <c r="A18" s="297" t="s">
        <v>85</v>
      </c>
      <c r="B18" s="299" t="s">
        <v>13</v>
      </c>
      <c r="C18" s="299" t="s">
        <v>13</v>
      </c>
      <c r="D18" s="299" t="s">
        <v>13</v>
      </c>
      <c r="E18" s="299"/>
      <c r="F18" s="299" t="s">
        <v>13</v>
      </c>
      <c r="G18" s="295"/>
      <c r="H18" s="299" t="s">
        <v>13</v>
      </c>
      <c r="I18" s="299"/>
      <c r="J18" s="299" t="s">
        <v>13</v>
      </c>
      <c r="K18" s="299"/>
      <c r="L18" s="299" t="s">
        <v>13</v>
      </c>
      <c r="M18" s="299"/>
      <c r="N18" s="299" t="s">
        <v>13</v>
      </c>
      <c r="O18" s="299" t="s">
        <v>13</v>
      </c>
      <c r="P18" s="299" t="s">
        <v>13</v>
      </c>
      <c r="Q18" s="302" t="s">
        <v>13</v>
      </c>
    </row>
    <row r="19" spans="1:22" x14ac:dyDescent="0.2">
      <c r="A19" s="298" t="s">
        <v>86</v>
      </c>
      <c r="B19" s="300">
        <v>0</v>
      </c>
      <c r="C19" s="299">
        <v>0</v>
      </c>
      <c r="D19" s="299">
        <v>0</v>
      </c>
      <c r="E19" s="299">
        <v>0</v>
      </c>
      <c r="F19" s="299">
        <v>0</v>
      </c>
      <c r="G19" s="299">
        <v>0</v>
      </c>
      <c r="H19" s="300">
        <v>0</v>
      </c>
      <c r="I19" s="300"/>
      <c r="J19" s="301">
        <v>0</v>
      </c>
      <c r="K19" s="301"/>
      <c r="L19" s="307">
        <v>0</v>
      </c>
      <c r="M19" s="307"/>
      <c r="N19" s="301">
        <v>0</v>
      </c>
      <c r="O19" s="307">
        <v>0</v>
      </c>
      <c r="P19" s="301">
        <v>0</v>
      </c>
      <c r="Q19" s="302">
        <f>SUM(B19:P19)</f>
        <v>0</v>
      </c>
    </row>
    <row r="20" spans="1:22" x14ac:dyDescent="0.2">
      <c r="A20" s="273" t="s">
        <v>87</v>
      </c>
      <c r="B20" s="304">
        <f t="shared" ref="B20:H20" si="3">SUM(B19:B19)</f>
        <v>0</v>
      </c>
      <c r="C20" s="304">
        <f t="shared" si="3"/>
        <v>0</v>
      </c>
      <c r="D20" s="304">
        <f t="shared" si="3"/>
        <v>0</v>
      </c>
      <c r="E20" s="304">
        <f t="shared" si="3"/>
        <v>0</v>
      </c>
      <c r="F20" s="304">
        <f t="shared" si="3"/>
        <v>0</v>
      </c>
      <c r="G20" s="304">
        <f t="shared" si="3"/>
        <v>0</v>
      </c>
      <c r="H20" s="304">
        <f t="shared" si="3"/>
        <v>0</v>
      </c>
      <c r="I20" s="304"/>
      <c r="J20" s="304">
        <f>SUM(J19:J19)</f>
        <v>0</v>
      </c>
      <c r="K20" s="304"/>
      <c r="L20" s="304">
        <f>SUM(L19:L19)</f>
        <v>0</v>
      </c>
      <c r="M20" s="304"/>
      <c r="N20" s="304">
        <f>SUM(N19:N19)</f>
        <v>0</v>
      </c>
      <c r="O20" s="304">
        <f>SUM(O19:O19)</f>
        <v>0</v>
      </c>
      <c r="P20" s="304">
        <f>SUM(P19:P19)</f>
        <v>0</v>
      </c>
      <c r="Q20" s="305">
        <f>SUM(B20:P20)</f>
        <v>0</v>
      </c>
    </row>
    <row r="21" spans="1:22" x14ac:dyDescent="0.2">
      <c r="A21" s="308"/>
      <c r="B21" s="300"/>
      <c r="C21" s="300"/>
      <c r="D21" s="300"/>
      <c r="E21" s="300"/>
      <c r="F21" s="300"/>
      <c r="G21" s="309"/>
      <c r="H21" s="300"/>
      <c r="I21" s="300"/>
      <c r="J21" s="309"/>
      <c r="K21" s="300"/>
      <c r="L21" s="300"/>
      <c r="M21" s="300"/>
      <c r="N21" s="300"/>
      <c r="O21" s="309"/>
      <c r="P21" s="300"/>
      <c r="Q21" s="306"/>
    </row>
    <row r="22" spans="1:22" x14ac:dyDescent="0.2">
      <c r="A22" s="310" t="s">
        <v>88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6"/>
    </row>
    <row r="23" spans="1:22" x14ac:dyDescent="0.2">
      <c r="A23" s="298" t="s">
        <v>89</v>
      </c>
      <c r="B23" s="307">
        <v>0</v>
      </c>
      <c r="C23" s="307">
        <v>0</v>
      </c>
      <c r="D23" s="307">
        <v>0</v>
      </c>
      <c r="E23" s="307">
        <v>0</v>
      </c>
      <c r="F23" s="307">
        <v>0</v>
      </c>
      <c r="G23" s="307">
        <v>0</v>
      </c>
      <c r="H23" s="307">
        <v>0</v>
      </c>
      <c r="I23" s="307"/>
      <c r="J23" s="307">
        <v>0</v>
      </c>
      <c r="K23" s="307"/>
      <c r="L23" s="307">
        <v>0</v>
      </c>
      <c r="M23" s="307"/>
      <c r="N23" s="307">
        <v>0</v>
      </c>
      <c r="O23" s="307">
        <v>0</v>
      </c>
      <c r="P23" s="307">
        <v>0</v>
      </c>
      <c r="Q23" s="306">
        <f>SUM(B23:P23)</f>
        <v>0</v>
      </c>
    </row>
    <row r="24" spans="1:22" x14ac:dyDescent="0.2">
      <c r="A24" s="298" t="s">
        <v>12</v>
      </c>
      <c r="B24" s="307">
        <v>0</v>
      </c>
      <c r="C24" s="307">
        <v>0</v>
      </c>
      <c r="D24" s="307">
        <v>0</v>
      </c>
      <c r="E24" s="307">
        <v>0</v>
      </c>
      <c r="F24" s="307">
        <v>0</v>
      </c>
      <c r="G24" s="307">
        <v>0</v>
      </c>
      <c r="H24" s="307">
        <v>0</v>
      </c>
      <c r="I24" s="307"/>
      <c r="J24" s="307">
        <v>0</v>
      </c>
      <c r="K24" s="307"/>
      <c r="L24" s="307">
        <v>0</v>
      </c>
      <c r="M24" s="307"/>
      <c r="N24" s="307">
        <v>0</v>
      </c>
      <c r="O24" s="307">
        <v>0</v>
      </c>
      <c r="P24" s="307">
        <v>0</v>
      </c>
      <c r="Q24" s="306">
        <f>SUM(B24:P24)</f>
        <v>0</v>
      </c>
    </row>
    <row r="25" spans="1:22" x14ac:dyDescent="0.2">
      <c r="A25" s="298" t="s">
        <v>28</v>
      </c>
      <c r="B25" s="307">
        <v>0</v>
      </c>
      <c r="C25" s="307">
        <v>0</v>
      </c>
      <c r="D25" s="307">
        <v>0</v>
      </c>
      <c r="E25" s="307">
        <v>0</v>
      </c>
      <c r="F25" s="307">
        <v>0</v>
      </c>
      <c r="G25" s="307">
        <v>0</v>
      </c>
      <c r="H25" s="307">
        <v>0</v>
      </c>
      <c r="I25" s="307"/>
      <c r="J25" s="307">
        <v>0</v>
      </c>
      <c r="K25" s="307"/>
      <c r="L25" s="307">
        <v>0</v>
      </c>
      <c r="M25" s="307"/>
      <c r="N25" s="307">
        <v>0</v>
      </c>
      <c r="O25" s="307">
        <v>0</v>
      </c>
      <c r="P25" s="307">
        <v>0</v>
      </c>
      <c r="Q25" s="306">
        <f>SUM(B25:P25)</f>
        <v>0</v>
      </c>
    </row>
    <row r="26" spans="1:22" x14ac:dyDescent="0.2">
      <c r="A26" s="298" t="s">
        <v>80</v>
      </c>
      <c r="B26" s="307">
        <v>0</v>
      </c>
      <c r="C26" s="307">
        <v>0</v>
      </c>
      <c r="D26" s="307">
        <v>0</v>
      </c>
      <c r="E26" s="307">
        <v>0</v>
      </c>
      <c r="F26" s="307">
        <v>0</v>
      </c>
      <c r="G26" s="307">
        <v>0</v>
      </c>
      <c r="H26" s="307">
        <v>0</v>
      </c>
      <c r="I26" s="307"/>
      <c r="J26" s="307">
        <v>0</v>
      </c>
      <c r="K26" s="307"/>
      <c r="L26" s="307">
        <v>0</v>
      </c>
      <c r="M26" s="307"/>
      <c r="N26" s="307">
        <v>0</v>
      </c>
      <c r="O26" s="307">
        <v>0</v>
      </c>
      <c r="P26" s="311">
        <v>0</v>
      </c>
      <c r="Q26" s="306">
        <f>SUM(B26:P26)</f>
        <v>0</v>
      </c>
    </row>
    <row r="27" spans="1:22" x14ac:dyDescent="0.2">
      <c r="A27" s="312" t="s">
        <v>90</v>
      </c>
      <c r="B27" s="304">
        <f t="shared" ref="B27:H27" si="4">SUM(B23:B26)</f>
        <v>0</v>
      </c>
      <c r="C27" s="304">
        <f t="shared" si="4"/>
        <v>0</v>
      </c>
      <c r="D27" s="304">
        <f t="shared" si="4"/>
        <v>0</v>
      </c>
      <c r="E27" s="304">
        <f t="shared" si="4"/>
        <v>0</v>
      </c>
      <c r="F27" s="304">
        <f t="shared" si="4"/>
        <v>0</v>
      </c>
      <c r="G27" s="304">
        <f t="shared" si="4"/>
        <v>0</v>
      </c>
      <c r="H27" s="304">
        <f t="shared" si="4"/>
        <v>0</v>
      </c>
      <c r="I27" s="304"/>
      <c r="J27" s="304">
        <f>SUM(J22:J26)</f>
        <v>0</v>
      </c>
      <c r="K27" s="304"/>
      <c r="L27" s="304">
        <f>SUM(L23:L26)</f>
        <v>0</v>
      </c>
      <c r="M27" s="304"/>
      <c r="N27" s="304">
        <f>SUM(N23:N26)</f>
        <v>0</v>
      </c>
      <c r="O27" s="304">
        <f>SUM(O23:O26)</f>
        <v>0</v>
      </c>
      <c r="P27" s="304">
        <f>SUM(P23:P26)</f>
        <v>0</v>
      </c>
      <c r="Q27" s="305">
        <f>SUM(B27:P27)</f>
        <v>0</v>
      </c>
      <c r="R27" s="303"/>
    </row>
    <row r="28" spans="1:22" ht="10.15" customHeight="1" x14ac:dyDescent="0.2">
      <c r="A28" s="313"/>
      <c r="B28" s="309"/>
      <c r="C28" s="309"/>
      <c r="D28" s="309"/>
      <c r="E28" s="309"/>
      <c r="F28" s="309"/>
      <c r="G28" s="309"/>
      <c r="H28" s="309"/>
      <c r="I28" s="309"/>
      <c r="J28" s="309"/>
      <c r="K28" s="304"/>
      <c r="L28" s="309"/>
      <c r="M28" s="304"/>
      <c r="N28" s="309"/>
      <c r="O28" s="309"/>
      <c r="P28" s="309"/>
      <c r="Q28" s="314"/>
    </row>
    <row r="29" spans="1:22" ht="15" customHeight="1" x14ac:dyDescent="0.2">
      <c r="A29" s="315" t="s">
        <v>91</v>
      </c>
      <c r="B29" s="316">
        <v>0</v>
      </c>
      <c r="C29" s="316">
        <v>0</v>
      </c>
      <c r="D29" s="316">
        <v>0</v>
      </c>
      <c r="E29" s="316">
        <v>0</v>
      </c>
      <c r="F29" s="316">
        <v>0</v>
      </c>
      <c r="G29" s="316">
        <v>0</v>
      </c>
      <c r="H29" s="316">
        <v>0</v>
      </c>
      <c r="I29" s="317"/>
      <c r="J29" s="316">
        <v>0</v>
      </c>
      <c r="K29" s="318"/>
      <c r="L29" s="304">
        <v>0</v>
      </c>
      <c r="M29" s="318"/>
      <c r="N29" s="304">
        <v>0</v>
      </c>
      <c r="O29" s="319">
        <v>0</v>
      </c>
      <c r="P29" s="320">
        <v>0</v>
      </c>
      <c r="Q29" s="321">
        <f>SUM(B29:P29)</f>
        <v>0</v>
      </c>
      <c r="R29" s="307"/>
      <c r="S29" s="307"/>
      <c r="T29" s="307"/>
      <c r="U29" s="307"/>
      <c r="V29" s="322"/>
    </row>
    <row r="30" spans="1:22" ht="28.15" customHeight="1" thickBot="1" x14ac:dyDescent="0.25">
      <c r="A30" s="284" t="s">
        <v>92</v>
      </c>
      <c r="B30" s="323">
        <f t="shared" ref="B30:H30" si="5">B12+B16+B20+B27+B29</f>
        <v>9.1739999999999995</v>
      </c>
      <c r="C30" s="323">
        <f t="shared" si="5"/>
        <v>20.149999999999999</v>
      </c>
      <c r="D30" s="323">
        <f t="shared" si="5"/>
        <v>18.436</v>
      </c>
      <c r="E30" s="323">
        <f t="shared" si="5"/>
        <v>33.196999999999996</v>
      </c>
      <c r="F30" s="323">
        <f t="shared" si="5"/>
        <v>23.103999999999999</v>
      </c>
      <c r="G30" s="323">
        <f t="shared" si="5"/>
        <v>21.817</v>
      </c>
      <c r="H30" s="323">
        <f t="shared" si="5"/>
        <v>24.445</v>
      </c>
      <c r="I30" s="323"/>
      <c r="J30" s="323">
        <f>J12+J16+J20+J27+J29</f>
        <v>19.643000000000001</v>
      </c>
      <c r="K30" s="323"/>
      <c r="L30" s="323">
        <f>L12+L16+L20+L27+L29</f>
        <v>0</v>
      </c>
      <c r="M30" s="323"/>
      <c r="N30" s="323">
        <f>N12+N16+N20+N27+N29</f>
        <v>0</v>
      </c>
      <c r="O30" s="323">
        <f>O12+O16+O20+O27+O29</f>
        <v>0</v>
      </c>
      <c r="P30" s="323">
        <f>P12+P16+P20+P27+P29</f>
        <v>0</v>
      </c>
      <c r="Q30" s="324">
        <f>SUM(B30:P30)</f>
        <v>169.96599999999998</v>
      </c>
      <c r="R30" s="303"/>
    </row>
    <row r="31" spans="1:22" ht="11.45" customHeight="1" x14ac:dyDescent="0.2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</row>
    <row r="32" spans="1:22" ht="11.45" customHeight="1" x14ac:dyDescent="0.2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</row>
    <row r="33" spans="1:17" ht="11.45" customHeight="1" x14ac:dyDescent="0.2">
      <c r="A33" s="456" t="s">
        <v>93</v>
      </c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</row>
    <row r="34" spans="1:17" x14ac:dyDescent="0.2">
      <c r="A34" s="259"/>
    </row>
    <row r="36" spans="1:17" x14ac:dyDescent="0.2">
      <c r="H36" s="303"/>
    </row>
  </sheetData>
  <mergeCells count="1">
    <mergeCell ref="A33:Q33"/>
  </mergeCells>
  <phoneticPr fontId="0" type="noConversion"/>
  <printOptions horizontalCentered="1" verticalCentered="1"/>
  <pageMargins left="0.25" right="0.25" top="0.75" bottom="0.5" header="0.3" footer="0.5"/>
  <pageSetup scale="69" orientation="landscape" r:id="rId1"/>
  <headerFooter alignWithMargins="0">
    <oddHeader xml:space="preserve">&amp;C&amp;"Arial,Bold"SDGE GRC Programs
2013 
$000
&amp;"Arial,Regular"
</oddHead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29"/>
  <sheetViews>
    <sheetView view="pageBreakPreview" zoomScaleNormal="100" zoomScaleSheetLayoutView="100" workbookViewId="0">
      <selection activeCell="B8" sqref="B8:M9"/>
    </sheetView>
  </sheetViews>
  <sheetFormatPr defaultRowHeight="12.75" x14ac:dyDescent="0.2"/>
  <cols>
    <col min="1" max="1" width="40.42578125" style="4" customWidth="1"/>
    <col min="2" max="2" width="11.140625" style="4" customWidth="1"/>
    <col min="3" max="3" width="10" style="4" customWidth="1"/>
    <col min="4" max="4" width="8.7109375" style="4" customWidth="1"/>
    <col min="5" max="5" width="8.5703125" style="4" customWidth="1"/>
    <col min="6" max="6" width="8.42578125" style="4" customWidth="1"/>
    <col min="7" max="7" width="7.7109375" style="4" customWidth="1"/>
    <col min="8" max="8" width="8.140625" style="4" customWidth="1"/>
    <col min="9" max="9" width="9.5703125" style="4" customWidth="1"/>
    <col min="10" max="10" width="11.5703125" style="4" customWidth="1"/>
    <col min="11" max="11" width="9.42578125" style="4" customWidth="1"/>
    <col min="12" max="12" width="11.140625" style="4" customWidth="1"/>
    <col min="13" max="13" width="10.7109375" style="4" customWidth="1"/>
    <col min="14" max="14" width="13.28515625" style="412" customWidth="1"/>
    <col min="15" max="15" width="66.85546875" style="4" customWidth="1"/>
    <col min="16" max="16" width="15" style="4" bestFit="1" customWidth="1"/>
    <col min="17" max="17" width="11.140625" style="4" customWidth="1"/>
    <col min="18" max="18" width="9.85546875" style="4" bestFit="1" customWidth="1"/>
    <col min="19" max="19" width="10.85546875" style="4" customWidth="1"/>
    <col min="20" max="20" width="12.140625" style="4" bestFit="1" customWidth="1"/>
    <col min="21" max="21" width="12.140625" style="4" customWidth="1"/>
    <col min="22" max="22" width="9.5703125" style="4" bestFit="1" customWidth="1"/>
    <col min="23" max="23" width="11.140625" style="4" customWidth="1"/>
    <col min="24" max="24" width="11.7109375" style="4" bestFit="1" customWidth="1"/>
    <col min="25" max="25" width="11.7109375" style="4" customWidth="1"/>
    <col min="26" max="16384" width="9.140625" style="4"/>
  </cols>
  <sheetData>
    <row r="1" spans="1:16" x14ac:dyDescent="0.2">
      <c r="A1" s="19"/>
    </row>
    <row r="4" spans="1:16" x14ac:dyDescent="0.2">
      <c r="A4" s="6"/>
      <c r="B4" s="442" t="s">
        <v>127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3" t="s">
        <v>233</v>
      </c>
      <c r="O4" s="6"/>
    </row>
    <row r="5" spans="1:16" ht="38.25" customHeight="1" x14ac:dyDescent="0.2">
      <c r="A5" s="88" t="s">
        <v>44</v>
      </c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45</v>
      </c>
      <c r="J5" s="20" t="s">
        <v>46</v>
      </c>
      <c r="K5" s="20" t="s">
        <v>9</v>
      </c>
      <c r="L5" s="20" t="s">
        <v>47</v>
      </c>
      <c r="M5" s="20" t="s">
        <v>11</v>
      </c>
      <c r="N5" s="444"/>
      <c r="O5" s="87" t="s">
        <v>128</v>
      </c>
    </row>
    <row r="6" spans="1:16" ht="42.75" customHeight="1" x14ac:dyDescent="0.2">
      <c r="A6" s="2" t="s">
        <v>66</v>
      </c>
      <c r="B6" s="407">
        <v>94.894363636363636</v>
      </c>
      <c r="C6" s="407">
        <v>88.041827272727275</v>
      </c>
      <c r="D6" s="407">
        <v>96.583727272727273</v>
      </c>
      <c r="E6" s="407">
        <v>73.459327272727279</v>
      </c>
      <c r="F6" s="407">
        <v>81.496763636363625</v>
      </c>
      <c r="G6" s="407">
        <v>65.225336363636359</v>
      </c>
      <c r="H6" s="407">
        <v>54.647890909090904</v>
      </c>
      <c r="I6" s="407">
        <v>53.384436363636361</v>
      </c>
      <c r="J6" s="407">
        <v>50.857599999999991</v>
      </c>
      <c r="K6" s="407">
        <v>52.957925000000003</v>
      </c>
      <c r="L6" s="407">
        <v>44.45558333333333</v>
      </c>
      <c r="M6" s="407">
        <v>33.060249999999996</v>
      </c>
      <c r="N6" s="413">
        <v>5276</v>
      </c>
      <c r="O6" t="s">
        <v>72</v>
      </c>
    </row>
    <row r="7" spans="1:16" ht="41.25" customHeight="1" x14ac:dyDescent="0.2">
      <c r="A7" s="2" t="s">
        <v>67</v>
      </c>
      <c r="B7" s="406">
        <v>4.5184788097385029</v>
      </c>
      <c r="C7" s="406">
        <v>4.5508422001803428</v>
      </c>
      <c r="D7" s="406">
        <v>4.5108557258791704</v>
      </c>
      <c r="E7" s="406">
        <v>13.805256988277726</v>
      </c>
      <c r="F7" s="406">
        <v>13.18034265103697</v>
      </c>
      <c r="G7" s="416">
        <v>13.168196573489629</v>
      </c>
      <c r="H7" s="406">
        <v>14.71385933273219</v>
      </c>
      <c r="I7" s="406">
        <v>14.762714156898106</v>
      </c>
      <c r="J7" s="406">
        <v>15.39648331830478</v>
      </c>
      <c r="K7" s="406">
        <v>14.101127141568981</v>
      </c>
      <c r="L7" s="406">
        <v>5.2578124436429219</v>
      </c>
      <c r="M7" s="406">
        <v>4.4341848512173128</v>
      </c>
      <c r="N7" s="413">
        <v>138123</v>
      </c>
      <c r="O7" t="s">
        <v>73</v>
      </c>
    </row>
    <row r="8" spans="1:16" ht="41.25" customHeight="1" x14ac:dyDescent="0.2">
      <c r="A8" s="2" t="s">
        <v>68</v>
      </c>
      <c r="B8" s="406">
        <v>0</v>
      </c>
      <c r="C8" s="406">
        <v>0</v>
      </c>
      <c r="D8" s="406">
        <v>0</v>
      </c>
      <c r="E8" s="406">
        <v>0</v>
      </c>
      <c r="F8" s="406">
        <v>9.2601166774701371E-2</v>
      </c>
      <c r="G8" s="406">
        <v>0.18520233354940274</v>
      </c>
      <c r="H8" s="406">
        <v>0.37040466709880548</v>
      </c>
      <c r="I8" s="406">
        <v>0.27780350032410411</v>
      </c>
      <c r="J8" s="406">
        <v>0.4630058338735068</v>
      </c>
      <c r="K8" s="406">
        <v>0.27780350032410411</v>
      </c>
      <c r="L8" s="406">
        <v>0</v>
      </c>
      <c r="M8" s="406">
        <v>0</v>
      </c>
      <c r="N8" s="413">
        <v>663393.5</v>
      </c>
      <c r="O8" t="s">
        <v>75</v>
      </c>
      <c r="P8" s="1"/>
    </row>
    <row r="9" spans="1:16" ht="41.25" customHeight="1" x14ac:dyDescent="0.2">
      <c r="A9" s="2" t="s">
        <v>69</v>
      </c>
      <c r="B9" s="406">
        <v>0</v>
      </c>
      <c r="C9" s="406">
        <v>0</v>
      </c>
      <c r="D9" s="406">
        <v>0</v>
      </c>
      <c r="E9" s="406">
        <v>0</v>
      </c>
      <c r="F9" s="406">
        <v>0.14651477967840007</v>
      </c>
      <c r="G9" s="406">
        <v>0.18314347459800007</v>
      </c>
      <c r="H9" s="406">
        <v>0.43954433903520018</v>
      </c>
      <c r="I9" s="406">
        <v>0.43954433903520018</v>
      </c>
      <c r="J9" s="406">
        <v>0.58605911871360028</v>
      </c>
      <c r="K9" s="406">
        <v>0.29302955935680014</v>
      </c>
      <c r="L9" s="406">
        <v>0</v>
      </c>
      <c r="M9" s="406">
        <v>0</v>
      </c>
      <c r="N9" s="413">
        <v>157189</v>
      </c>
      <c r="O9" t="s">
        <v>76</v>
      </c>
      <c r="P9" s="1"/>
    </row>
    <row r="10" spans="1:16" ht="58.5" customHeight="1" x14ac:dyDescent="0.2">
      <c r="A10" s="2" t="s">
        <v>70</v>
      </c>
      <c r="B10" s="408">
        <v>0</v>
      </c>
      <c r="C10" s="408">
        <v>0</v>
      </c>
      <c r="D10" s="408">
        <v>0</v>
      </c>
      <c r="E10" s="408">
        <v>0</v>
      </c>
      <c r="F10" s="406">
        <v>61.386374165030084</v>
      </c>
      <c r="G10" s="406">
        <v>62.01837343328139</v>
      </c>
      <c r="H10" s="406">
        <v>56.196641921997077</v>
      </c>
      <c r="I10" s="406">
        <v>56.833503526799817</v>
      </c>
      <c r="J10" s="406">
        <v>50.852099586935601</v>
      </c>
      <c r="K10" s="406">
        <v>42.540105651406684</v>
      </c>
      <c r="L10" s="408">
        <v>0</v>
      </c>
      <c r="M10" s="408">
        <v>0</v>
      </c>
      <c r="N10" s="413">
        <v>18875</v>
      </c>
      <c r="O10" t="s">
        <v>234</v>
      </c>
    </row>
    <row r="11" spans="1:16" ht="41.25" customHeight="1" x14ac:dyDescent="0.2">
      <c r="A11" s="2" t="s">
        <v>71</v>
      </c>
      <c r="B11" s="409">
        <v>0</v>
      </c>
      <c r="C11" s="409">
        <v>0</v>
      </c>
      <c r="D11" s="409">
        <v>0</v>
      </c>
      <c r="E11" s="409">
        <v>0</v>
      </c>
      <c r="F11" s="409">
        <v>17.529256278221762</v>
      </c>
      <c r="G11" s="409">
        <v>17.61213600088697</v>
      </c>
      <c r="H11" s="409">
        <v>19.306179011633638</v>
      </c>
      <c r="I11" s="409">
        <v>19.151461889984411</v>
      </c>
      <c r="J11" s="409">
        <v>19.605242177980752</v>
      </c>
      <c r="K11" s="409">
        <v>18.585740185658867</v>
      </c>
      <c r="L11" s="409">
        <v>0</v>
      </c>
      <c r="M11" s="409">
        <v>0</v>
      </c>
      <c r="N11" s="413">
        <v>18875</v>
      </c>
      <c r="O11" t="s">
        <v>234</v>
      </c>
    </row>
    <row r="12" spans="1:16" ht="41.25" customHeight="1" x14ac:dyDescent="0.2">
      <c r="A12" s="2" t="s">
        <v>232</v>
      </c>
      <c r="B12" s="406">
        <v>6.8341120880277984E-4</v>
      </c>
      <c r="C12" s="406">
        <v>7.0954232257555022E-4</v>
      </c>
      <c r="D12" s="406">
        <v>5.6043874052332323E-4</v>
      </c>
      <c r="E12" s="406">
        <v>1.5866235719174478E-3</v>
      </c>
      <c r="F12" s="406">
        <v>1.362509213435822E-3</v>
      </c>
      <c r="G12" s="406">
        <v>1.1664259108139412E-3</v>
      </c>
      <c r="H12" s="410">
        <v>1.9292334092344948E-3</v>
      </c>
      <c r="I12" s="410">
        <v>2.0735742208065704E-3</v>
      </c>
      <c r="J12" s="410">
        <v>2.3506592542381802E-3</v>
      </c>
      <c r="K12" s="410">
        <v>2.1140401245130043E-3</v>
      </c>
      <c r="L12" s="410">
        <v>4.9424571575234296E-4</v>
      </c>
      <c r="M12" s="410">
        <v>7.9284338146256715E-4</v>
      </c>
      <c r="N12" s="413">
        <v>1215616</v>
      </c>
      <c r="O12" t="s">
        <v>235</v>
      </c>
      <c r="P12" s="1"/>
    </row>
    <row r="13" spans="1:16" ht="41.25" customHeight="1" x14ac:dyDescent="0.2">
      <c r="A13" s="2" t="s">
        <v>223</v>
      </c>
      <c r="B13" s="406">
        <v>2.0833333333333332E-2</v>
      </c>
      <c r="C13" s="406">
        <v>2.0833333333333332E-2</v>
      </c>
      <c r="D13" s="406">
        <v>2.0833333333333332E-2</v>
      </c>
      <c r="E13" s="406">
        <v>2.0833333333333332E-2</v>
      </c>
      <c r="F13" s="406">
        <v>2.0833333333333332E-2</v>
      </c>
      <c r="G13" s="406">
        <v>2.0833333333333332E-2</v>
      </c>
      <c r="H13" s="406">
        <v>2.0833333333333332E-2</v>
      </c>
      <c r="I13" s="406">
        <v>2.0833333333333332E-2</v>
      </c>
      <c r="J13" s="406">
        <v>2.0833333333333332E-2</v>
      </c>
      <c r="K13" s="406">
        <v>2.0833333333333332E-2</v>
      </c>
      <c r="L13" s="406">
        <v>2.0833333333333332E-2</v>
      </c>
      <c r="M13" s="406">
        <v>2.0833333333333332E-2</v>
      </c>
      <c r="N13" s="413">
        <v>1215616</v>
      </c>
      <c r="O13"/>
      <c r="P13" s="1"/>
    </row>
    <row r="14" spans="1:16" ht="41.25" customHeight="1" x14ac:dyDescent="0.2">
      <c r="A14" s="2" t="s">
        <v>142</v>
      </c>
      <c r="B14" s="406">
        <v>285.59676666666661</v>
      </c>
      <c r="C14" s="406">
        <v>188.21453</v>
      </c>
      <c r="D14" s="406">
        <v>407.8024666666667</v>
      </c>
      <c r="E14" s="406">
        <v>762.80273333333332</v>
      </c>
      <c r="F14" s="406">
        <v>560.57623333333345</v>
      </c>
      <c r="G14" s="406">
        <v>528.31623333333323</v>
      </c>
      <c r="H14" s="406">
        <v>619.28450000000009</v>
      </c>
      <c r="I14" s="406">
        <v>766.94086666666647</v>
      </c>
      <c r="J14" s="406">
        <v>922.61116666666669</v>
      </c>
      <c r="K14" s="406">
        <v>829.03436666666653</v>
      </c>
      <c r="L14" s="406">
        <v>493.95000000000005</v>
      </c>
      <c r="M14" s="406">
        <v>178.20893666666669</v>
      </c>
      <c r="N14" s="413">
        <v>5</v>
      </c>
      <c r="O14" s="428" t="s">
        <v>260</v>
      </c>
      <c r="P14" s="1"/>
    </row>
    <row r="16" spans="1:16" x14ac:dyDescent="0.2">
      <c r="A16" s="445" t="s">
        <v>258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</row>
    <row r="17" spans="1:26" x14ac:dyDescent="0.2">
      <c r="A17" s="446"/>
      <c r="B17" s="446"/>
      <c r="C17" s="446"/>
      <c r="D17" s="446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</row>
    <row r="18" spans="1:26" ht="15" x14ac:dyDescent="0.25">
      <c r="A18" s="332" t="s">
        <v>25</v>
      </c>
      <c r="B18" s="81"/>
      <c r="C18" s="81"/>
      <c r="D18" s="81"/>
      <c r="E18" s="81"/>
      <c r="F18" s="159"/>
      <c r="G18" s="81"/>
      <c r="H18" s="159"/>
      <c r="I18" s="81"/>
      <c r="J18" s="81"/>
      <c r="K18" s="81"/>
      <c r="L18" s="81"/>
      <c r="M18" s="81"/>
      <c r="N18" s="415"/>
      <c r="O18" s="81"/>
      <c r="P18" s="16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x14ac:dyDescent="0.2">
      <c r="A19" s="441"/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1"/>
      <c r="Y19" s="441"/>
      <c r="Z19" s="441"/>
    </row>
    <row r="27" spans="1:26" x14ac:dyDescent="0.2">
      <c r="D27"/>
      <c r="E27"/>
      <c r="F27"/>
      <c r="G27"/>
      <c r="H27"/>
      <c r="I27"/>
      <c r="J27"/>
      <c r="K27"/>
      <c r="L27"/>
      <c r="M27"/>
      <c r="N27" s="414"/>
      <c r="O27"/>
      <c r="P27"/>
    </row>
    <row r="28" spans="1:26" x14ac:dyDescent="0.2">
      <c r="D28"/>
      <c r="E28"/>
      <c r="F28"/>
      <c r="G28"/>
      <c r="H28"/>
      <c r="I28"/>
      <c r="J28"/>
      <c r="K28"/>
      <c r="L28"/>
      <c r="M28"/>
      <c r="N28" s="414"/>
      <c r="O28"/>
      <c r="P28"/>
    </row>
    <row r="29" spans="1:26" x14ac:dyDescent="0.2">
      <c r="D29"/>
      <c r="E29"/>
      <c r="F29"/>
      <c r="G29"/>
      <c r="H29"/>
      <c r="I29"/>
      <c r="J29"/>
      <c r="K29"/>
      <c r="L29"/>
      <c r="M29"/>
      <c r="N29" s="414"/>
      <c r="O29"/>
      <c r="P29"/>
    </row>
  </sheetData>
  <mergeCells count="4">
    <mergeCell ref="B4:M4"/>
    <mergeCell ref="N4:N5"/>
    <mergeCell ref="A16:O17"/>
    <mergeCell ref="A19:Z19"/>
  </mergeCells>
  <phoneticPr fontId="30" type="noConversion"/>
  <pageMargins left="0.75" right="0.75" top="1" bottom="1" header="0.5" footer="0.5"/>
  <pageSetup scale="49" orientation="landscape" r:id="rId1"/>
  <headerFooter alignWithMargins="0">
    <oddHeader xml:space="preserve">&amp;C&amp;"Arial,Bold"San Diego Gas and Electric
Average Ex-Ante Load Impact kW/Customer&amp;"Arial,Regular"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Z23"/>
  <sheetViews>
    <sheetView showGridLines="0" view="pageBreakPreview" topLeftCell="A4" zoomScaleNormal="100" zoomScaleSheetLayoutView="100" workbookViewId="0">
      <selection activeCell="B18" sqref="B18"/>
    </sheetView>
  </sheetViews>
  <sheetFormatPr defaultRowHeight="39.950000000000003" customHeight="1" x14ac:dyDescent="0.2"/>
  <cols>
    <col min="1" max="1" width="33" style="4" customWidth="1"/>
    <col min="2" max="13" width="10.7109375" style="4" customWidth="1"/>
    <col min="14" max="14" width="14.140625" style="412" bestFit="1" customWidth="1"/>
    <col min="15" max="15" width="42.7109375" style="4" bestFit="1" customWidth="1"/>
    <col min="16" max="16" width="15" style="4" bestFit="1" customWidth="1"/>
    <col min="17" max="17" width="10.5703125" style="4" customWidth="1"/>
    <col min="18" max="18" width="9.85546875" style="4" bestFit="1" customWidth="1"/>
    <col min="19" max="19" width="11.140625" style="4" customWidth="1"/>
    <col min="20" max="20" width="9.85546875" style="4" bestFit="1" customWidth="1"/>
    <col min="21" max="21" width="10.85546875" style="4" customWidth="1"/>
    <col min="22" max="22" width="12.140625" style="4" bestFit="1" customWidth="1"/>
    <col min="23" max="23" width="12.140625" style="4" customWidth="1"/>
    <col min="24" max="24" width="9.5703125" style="4" bestFit="1" customWidth="1"/>
    <col min="25" max="25" width="11.140625" style="4" customWidth="1"/>
    <col min="26" max="26" width="11.7109375" style="4" bestFit="1" customWidth="1"/>
    <col min="27" max="27" width="11.7109375" style="4" customWidth="1"/>
    <col min="28" max="16384" width="9.140625" style="4"/>
  </cols>
  <sheetData>
    <row r="1" spans="1:16" ht="39.950000000000003" customHeight="1" x14ac:dyDescent="0.2">
      <c r="A1" s="19"/>
    </row>
    <row r="2" spans="1:16" ht="39.950000000000003" customHeight="1" x14ac:dyDescent="0.2">
      <c r="A2" s="19"/>
    </row>
    <row r="5" spans="1:16" ht="39.950000000000003" customHeight="1" x14ac:dyDescent="0.2">
      <c r="A5" s="6"/>
      <c r="B5" s="442" t="s">
        <v>129</v>
      </c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7" t="s">
        <v>259</v>
      </c>
      <c r="O5" s="6"/>
    </row>
    <row r="6" spans="1:16" ht="39.950000000000003" customHeight="1" x14ac:dyDescent="0.2">
      <c r="A6" s="88" t="s">
        <v>44</v>
      </c>
      <c r="B6" s="20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45</v>
      </c>
      <c r="J6" s="20" t="s">
        <v>46</v>
      </c>
      <c r="K6" s="20" t="s">
        <v>9</v>
      </c>
      <c r="L6" s="20" t="s">
        <v>47</v>
      </c>
      <c r="M6" s="20" t="s">
        <v>11</v>
      </c>
      <c r="N6" s="444"/>
      <c r="O6" s="87" t="s">
        <v>128</v>
      </c>
    </row>
    <row r="7" spans="1:16" ht="39.950000000000003" customHeight="1" x14ac:dyDescent="0.2">
      <c r="A7" s="2" t="s">
        <v>66</v>
      </c>
      <c r="B7" s="406">
        <v>72.727272727272734</v>
      </c>
      <c r="C7" s="406">
        <v>72.727272727272734</v>
      </c>
      <c r="D7" s="406">
        <v>72.727272727272734</v>
      </c>
      <c r="E7" s="406">
        <v>72.727272727272734</v>
      </c>
      <c r="F7" s="406">
        <v>72.727272727272734</v>
      </c>
      <c r="G7" s="406">
        <v>72.727272727272734</v>
      </c>
      <c r="H7" s="406">
        <v>72.727272727272734</v>
      </c>
      <c r="I7" s="406">
        <v>72.727272727272734</v>
      </c>
      <c r="J7" s="406">
        <v>72.727272727272734</v>
      </c>
      <c r="K7" s="406">
        <v>72.727272727272734</v>
      </c>
      <c r="L7" s="406">
        <v>72.727272727272734</v>
      </c>
      <c r="M7" s="406">
        <v>72.727272727272734</v>
      </c>
      <c r="N7" s="413">
        <v>5276</v>
      </c>
      <c r="O7" t="s">
        <v>72</v>
      </c>
    </row>
    <row r="8" spans="1:16" ht="39.950000000000003" customHeight="1" x14ac:dyDescent="0.2">
      <c r="A8" s="2" t="s">
        <v>67</v>
      </c>
      <c r="B8" s="406">
        <v>16.32100991884581</v>
      </c>
      <c r="C8" s="406">
        <v>16.32100991884581</v>
      </c>
      <c r="D8" s="406">
        <v>16.32100991884581</v>
      </c>
      <c r="E8" s="406">
        <v>16.32100991884581</v>
      </c>
      <c r="F8" s="406">
        <v>16.32100991884581</v>
      </c>
      <c r="G8" s="406">
        <v>16.32100991884581</v>
      </c>
      <c r="H8" s="406">
        <v>16.32100991884581</v>
      </c>
      <c r="I8" s="406">
        <v>16.32100991884581</v>
      </c>
      <c r="J8" s="406">
        <v>16.32100991884581</v>
      </c>
      <c r="K8" s="406">
        <v>16.32100991884581</v>
      </c>
      <c r="L8" s="406">
        <v>16.32100991884581</v>
      </c>
      <c r="M8" s="406">
        <v>16.32100991884581</v>
      </c>
      <c r="N8" s="413">
        <v>138123</v>
      </c>
      <c r="O8" s="1" t="s">
        <v>73</v>
      </c>
    </row>
    <row r="9" spans="1:16" ht="39.950000000000003" customHeight="1" x14ac:dyDescent="0.2">
      <c r="A9" s="2" t="s">
        <v>68</v>
      </c>
      <c r="B9" s="406">
        <v>0.43954433903520018</v>
      </c>
      <c r="C9" s="406">
        <v>0.43954433903520018</v>
      </c>
      <c r="D9" s="406">
        <v>0.43954433903520018</v>
      </c>
      <c r="E9" s="406">
        <v>0.43954433903520018</v>
      </c>
      <c r="F9" s="406">
        <v>0.43954433903520018</v>
      </c>
      <c r="G9" s="406">
        <v>0.43954433903520018</v>
      </c>
      <c r="H9" s="406">
        <v>0.43954433903520018</v>
      </c>
      <c r="I9" s="406">
        <v>0.43954433903520018</v>
      </c>
      <c r="J9" s="406">
        <v>0.43954433903520018</v>
      </c>
      <c r="K9" s="406">
        <v>0.43954433903520018</v>
      </c>
      <c r="L9" s="406">
        <v>0.43954433903520018</v>
      </c>
      <c r="M9" s="406">
        <v>0.43954433903520018</v>
      </c>
      <c r="N9" s="413">
        <v>663393.5</v>
      </c>
      <c r="O9" s="1" t="s">
        <v>75</v>
      </c>
    </row>
    <row r="10" spans="1:16" ht="39.950000000000003" customHeight="1" x14ac:dyDescent="0.2">
      <c r="A10" s="2" t="s">
        <v>69</v>
      </c>
      <c r="B10" s="406">
        <v>0.37040466709880548</v>
      </c>
      <c r="C10" s="406">
        <v>0.37040466709880548</v>
      </c>
      <c r="D10" s="406">
        <v>0.37040466709880548</v>
      </c>
      <c r="E10" s="406">
        <v>0.37040466709880548</v>
      </c>
      <c r="F10" s="406">
        <v>0.37040466709880548</v>
      </c>
      <c r="G10" s="406">
        <v>0.37040466709880548</v>
      </c>
      <c r="H10" s="406">
        <v>0.37040466709880548</v>
      </c>
      <c r="I10" s="406">
        <v>0.37040466709880548</v>
      </c>
      <c r="J10" s="406">
        <v>0.37040466709880548</v>
      </c>
      <c r="K10" s="406">
        <v>0.37040466709880548</v>
      </c>
      <c r="L10" s="406">
        <v>0.37040466709880548</v>
      </c>
      <c r="M10" s="406">
        <v>0.37040466709880548</v>
      </c>
      <c r="N10" s="413">
        <v>157189</v>
      </c>
      <c r="O10" t="s">
        <v>76</v>
      </c>
    </row>
    <row r="11" spans="1:16" ht="39.950000000000003" customHeight="1" x14ac:dyDescent="0.2">
      <c r="A11" s="2" t="s">
        <v>70</v>
      </c>
      <c r="B11" s="408">
        <v>53.67647058823529</v>
      </c>
      <c r="C11" s="408">
        <v>53.67647058823529</v>
      </c>
      <c r="D11" s="408">
        <v>53.67647058823529</v>
      </c>
      <c r="E11" s="408">
        <v>53.67647058823529</v>
      </c>
      <c r="F11" s="408">
        <v>53.67647058823529</v>
      </c>
      <c r="G11" s="408">
        <v>53.67647058823529</v>
      </c>
      <c r="H11" s="408">
        <v>53.67647058823529</v>
      </c>
      <c r="I11" s="408">
        <v>53.67647058823529</v>
      </c>
      <c r="J11" s="408">
        <v>53.67647058823529</v>
      </c>
      <c r="K11" s="408">
        <v>53.67647058823529</v>
      </c>
      <c r="L11" s="408">
        <v>53.67647058823529</v>
      </c>
      <c r="M11" s="408">
        <v>53.67647058823529</v>
      </c>
      <c r="N11" s="413">
        <v>18875</v>
      </c>
      <c r="O11" t="s">
        <v>234</v>
      </c>
    </row>
    <row r="12" spans="1:16" ht="39.950000000000003" customHeight="1" x14ac:dyDescent="0.2">
      <c r="A12" s="2" t="s">
        <v>71</v>
      </c>
      <c r="B12" s="411">
        <v>21.651376146788991</v>
      </c>
      <c r="C12" s="411">
        <v>21.651376146788991</v>
      </c>
      <c r="D12" s="411">
        <v>21.651376146788991</v>
      </c>
      <c r="E12" s="411">
        <v>21.651376146788991</v>
      </c>
      <c r="F12" s="411">
        <v>21.651376146788991</v>
      </c>
      <c r="G12" s="411">
        <v>21.651376146788991</v>
      </c>
      <c r="H12" s="411">
        <v>21.651376146788991</v>
      </c>
      <c r="I12" s="411">
        <v>21.651376146788991</v>
      </c>
      <c r="J12" s="411">
        <v>21.651376146788991</v>
      </c>
      <c r="K12" s="411">
        <v>21.651376146788991</v>
      </c>
      <c r="L12" s="411">
        <v>21.651376146788991</v>
      </c>
      <c r="M12" s="411">
        <v>21.651376146788991</v>
      </c>
      <c r="N12" s="413">
        <v>18875</v>
      </c>
      <c r="O12" t="s">
        <v>234</v>
      </c>
    </row>
    <row r="13" spans="1:16" ht="39.950000000000003" customHeight="1" x14ac:dyDescent="0.2">
      <c r="A13" s="2" t="s">
        <v>232</v>
      </c>
      <c r="B13" s="406">
        <v>2.3033589554596187E-3</v>
      </c>
      <c r="C13" s="406">
        <v>2.3033589554596187E-3</v>
      </c>
      <c r="D13" s="406">
        <v>2.3033589554596187E-3</v>
      </c>
      <c r="E13" s="406">
        <v>2.3033589554596187E-3</v>
      </c>
      <c r="F13" s="406">
        <v>2.3033589554596187E-3</v>
      </c>
      <c r="G13" s="406">
        <v>2.3033589554596187E-3</v>
      </c>
      <c r="H13" s="410">
        <v>2.3033589554596187E-3</v>
      </c>
      <c r="I13" s="410">
        <v>2.3033589554596187E-3</v>
      </c>
      <c r="J13" s="410">
        <v>2.3033589554596187E-3</v>
      </c>
      <c r="K13" s="410">
        <v>2.3033589554596187E-3</v>
      </c>
      <c r="L13" s="410">
        <v>2.3033589554596187E-3</v>
      </c>
      <c r="M13" s="410">
        <v>2.3033589554596187E-3</v>
      </c>
      <c r="N13" s="413">
        <v>1215616</v>
      </c>
      <c r="O13" t="s">
        <v>235</v>
      </c>
      <c r="P13" s="1"/>
    </row>
    <row r="14" spans="1:16" ht="39.950000000000003" customHeight="1" x14ac:dyDescent="0.2">
      <c r="A14" s="2" t="s">
        <v>249</v>
      </c>
      <c r="B14" s="406">
        <v>2.0833333333333332E-2</v>
      </c>
      <c r="C14" s="406">
        <v>2.0833333333333332E-2</v>
      </c>
      <c r="D14" s="406">
        <v>2.0833333333333332E-2</v>
      </c>
      <c r="E14" s="406">
        <v>2.0833333333333332E-2</v>
      </c>
      <c r="F14" s="406">
        <v>2.0833333333333332E-2</v>
      </c>
      <c r="G14" s="406">
        <v>2.0833333333333332E-2</v>
      </c>
      <c r="H14" s="406">
        <v>2.0833333333333332E-2</v>
      </c>
      <c r="I14" s="406">
        <v>2.0833333333333332E-2</v>
      </c>
      <c r="J14" s="406">
        <v>2.0833333333333332E-2</v>
      </c>
      <c r="K14" s="406">
        <v>2.0833333333333332E-2</v>
      </c>
      <c r="L14" s="406">
        <v>2.0833333333333332E-2</v>
      </c>
      <c r="M14" s="406">
        <v>2.0833333333333332E-2</v>
      </c>
      <c r="N14" s="413">
        <v>1215616</v>
      </c>
      <c r="O14"/>
      <c r="P14" s="1"/>
    </row>
    <row r="15" spans="1:16" ht="39.950000000000003" customHeight="1" x14ac:dyDescent="0.2">
      <c r="A15" s="2" t="s">
        <v>142</v>
      </c>
      <c r="B15" s="406">
        <v>850</v>
      </c>
      <c r="C15" s="406">
        <v>850</v>
      </c>
      <c r="D15" s="406">
        <v>850</v>
      </c>
      <c r="E15" s="406">
        <v>850</v>
      </c>
      <c r="F15" s="406">
        <v>850</v>
      </c>
      <c r="G15" s="406">
        <v>850</v>
      </c>
      <c r="H15" s="406">
        <v>850</v>
      </c>
      <c r="I15" s="406">
        <v>850</v>
      </c>
      <c r="J15" s="406">
        <v>850</v>
      </c>
      <c r="K15" s="406">
        <v>850</v>
      </c>
      <c r="L15" s="406">
        <v>850</v>
      </c>
      <c r="M15" s="406">
        <v>850</v>
      </c>
      <c r="N15" s="413">
        <v>6</v>
      </c>
      <c r="O15" s="428" t="s">
        <v>260</v>
      </c>
      <c r="P15" s="1"/>
    </row>
    <row r="16" spans="1:16" customFormat="1" ht="39.950000000000003" customHeight="1" x14ac:dyDescent="0.2">
      <c r="N16" s="414"/>
    </row>
    <row r="17" spans="1:26" customFormat="1" ht="39.950000000000003" customHeight="1" x14ac:dyDescent="0.2">
      <c r="N17" s="414"/>
    </row>
    <row r="18" spans="1:26" customFormat="1" ht="39.950000000000003" customHeight="1" x14ac:dyDescent="0.2">
      <c r="N18" s="414"/>
    </row>
    <row r="20" spans="1:26" ht="39.950000000000003" customHeight="1" x14ac:dyDescent="0.2">
      <c r="A20" s="445" t="s">
        <v>152</v>
      </c>
      <c r="B20" s="445"/>
      <c r="C20" s="445"/>
      <c r="D20" s="445"/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445"/>
    </row>
    <row r="21" spans="1:26" ht="39.950000000000003" customHeight="1" x14ac:dyDescent="0.2">
      <c r="A21" s="446"/>
      <c r="B21" s="446"/>
      <c r="C21" s="446"/>
      <c r="D21" s="446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</row>
    <row r="22" spans="1:26" ht="39.950000000000003" customHeight="1" x14ac:dyDescent="0.25">
      <c r="A22" s="332" t="s">
        <v>25</v>
      </c>
      <c r="B22" s="81"/>
      <c r="C22" s="81"/>
      <c r="D22" s="81"/>
      <c r="E22" s="81"/>
      <c r="F22" s="159"/>
      <c r="G22" s="81"/>
      <c r="H22" s="159"/>
      <c r="I22" s="81"/>
      <c r="J22" s="81"/>
      <c r="K22" s="81"/>
      <c r="L22" s="81"/>
      <c r="M22" s="81"/>
      <c r="N22" s="415"/>
      <c r="O22" s="81"/>
      <c r="P22" s="16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1:26" ht="39.950000000000003" customHeight="1" x14ac:dyDescent="0.2">
      <c r="A23" s="441"/>
      <c r="B23" s="441"/>
      <c r="C23" s="441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441"/>
      <c r="V23" s="441"/>
      <c r="W23" s="441"/>
      <c r="X23" s="441"/>
      <c r="Y23" s="441"/>
      <c r="Z23" s="441"/>
    </row>
  </sheetData>
  <mergeCells count="4">
    <mergeCell ref="B5:M5"/>
    <mergeCell ref="N5:N6"/>
    <mergeCell ref="A20:O21"/>
    <mergeCell ref="A23:Z23"/>
  </mergeCells>
  <phoneticPr fontId="0" type="noConversion"/>
  <printOptions horizontalCentered="1"/>
  <pageMargins left="0.1" right="0.1" top="0.75" bottom="0.75" header="0.3" footer="0.28000000000000003"/>
  <pageSetup scale="56" orientation="landscape" cellComments="asDisplayed" r:id="rId1"/>
  <headerFooter alignWithMargins="0">
    <oddHeader>&amp;C&amp;"Arial,Bold"San Diego Gas and Electric
Average Ex-Post Load Impact kW / Customer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68"/>
  <sheetViews>
    <sheetView view="pageBreakPreview" zoomScale="50" zoomScaleNormal="75" zoomScaleSheetLayoutView="50" workbookViewId="0">
      <selection activeCell="O12" sqref="O12"/>
    </sheetView>
  </sheetViews>
  <sheetFormatPr defaultRowHeight="12.75" x14ac:dyDescent="0.2"/>
  <cols>
    <col min="1" max="1" width="45.7109375" style="90" customWidth="1"/>
    <col min="2" max="3" width="10.85546875" style="90" customWidth="1"/>
    <col min="4" max="4" width="10.7109375" style="90" customWidth="1"/>
    <col min="5" max="5" width="12.7109375" style="90" customWidth="1"/>
    <col min="6" max="8" width="10.5703125" style="90" customWidth="1"/>
    <col min="9" max="9" width="12.7109375" style="90" customWidth="1"/>
    <col min="10" max="12" width="10.7109375" style="90" customWidth="1"/>
    <col min="13" max="13" width="12.7109375" style="90" customWidth="1"/>
    <col min="14" max="16" width="10.7109375" style="90" customWidth="1"/>
    <col min="17" max="17" width="12.7109375" style="90" customWidth="1"/>
    <col min="18" max="20" width="10.7109375" style="90" customWidth="1"/>
    <col min="21" max="21" width="12.7109375" style="90" customWidth="1"/>
    <col min="22" max="24" width="10.7109375" style="90" customWidth="1"/>
    <col min="25" max="25" width="12.7109375" style="90" customWidth="1"/>
    <col min="26" max="16384" width="9.140625" style="90"/>
  </cols>
  <sheetData>
    <row r="1" spans="1:25" x14ac:dyDescent="0.2">
      <c r="A1" s="89" t="s">
        <v>130</v>
      </c>
    </row>
    <row r="3" spans="1:25" ht="21.75" customHeight="1" x14ac:dyDescent="0.2">
      <c r="A3" s="91">
        <v>2011</v>
      </c>
      <c r="B3" s="448" t="s">
        <v>0</v>
      </c>
      <c r="C3" s="448"/>
      <c r="D3" s="448"/>
      <c r="E3" s="448"/>
      <c r="F3" s="448" t="s">
        <v>1</v>
      </c>
      <c r="G3" s="448"/>
      <c r="H3" s="448"/>
      <c r="I3" s="448"/>
      <c r="J3" s="448" t="s">
        <v>2</v>
      </c>
      <c r="K3" s="448"/>
      <c r="L3" s="448"/>
      <c r="M3" s="448"/>
      <c r="N3" s="448" t="s">
        <v>3</v>
      </c>
      <c r="O3" s="448"/>
      <c r="P3" s="448"/>
      <c r="Q3" s="448"/>
      <c r="R3" s="448" t="s">
        <v>4</v>
      </c>
      <c r="S3" s="448"/>
      <c r="T3" s="448"/>
      <c r="U3" s="448"/>
      <c r="V3" s="448" t="s">
        <v>5</v>
      </c>
      <c r="W3" s="448"/>
      <c r="X3" s="448"/>
      <c r="Y3" s="448"/>
    </row>
    <row r="4" spans="1:25" ht="79.5" customHeight="1" x14ac:dyDescent="0.2">
      <c r="A4" s="92" t="s">
        <v>43</v>
      </c>
      <c r="B4" s="93" t="s">
        <v>131</v>
      </c>
      <c r="C4" s="93" t="s">
        <v>132</v>
      </c>
      <c r="D4" s="93" t="s">
        <v>133</v>
      </c>
      <c r="E4" s="93" t="s">
        <v>134</v>
      </c>
      <c r="F4" s="93" t="s">
        <v>131</v>
      </c>
      <c r="G4" s="93" t="s">
        <v>132</v>
      </c>
      <c r="H4" s="93" t="s">
        <v>133</v>
      </c>
      <c r="I4" s="93" t="s">
        <v>134</v>
      </c>
      <c r="J4" s="93" t="s">
        <v>131</v>
      </c>
      <c r="K4" s="93" t="s">
        <v>132</v>
      </c>
      <c r="L4" s="93" t="s">
        <v>133</v>
      </c>
      <c r="M4" s="93" t="s">
        <v>134</v>
      </c>
      <c r="N4" s="93" t="s">
        <v>131</v>
      </c>
      <c r="O4" s="93" t="s">
        <v>132</v>
      </c>
      <c r="P4" s="93" t="s">
        <v>133</v>
      </c>
      <c r="Q4" s="93" t="s">
        <v>134</v>
      </c>
      <c r="R4" s="93" t="s">
        <v>131</v>
      </c>
      <c r="S4" s="93" t="s">
        <v>132</v>
      </c>
      <c r="T4" s="93" t="s">
        <v>133</v>
      </c>
      <c r="U4" s="93" t="s">
        <v>134</v>
      </c>
      <c r="V4" s="93" t="s">
        <v>131</v>
      </c>
      <c r="W4" s="93" t="s">
        <v>132</v>
      </c>
      <c r="X4" s="93" t="s">
        <v>133</v>
      </c>
      <c r="Y4" s="93" t="s">
        <v>134</v>
      </c>
    </row>
    <row r="5" spans="1:25" x14ac:dyDescent="0.2">
      <c r="A5" s="94" t="s">
        <v>67</v>
      </c>
      <c r="B5" s="95"/>
      <c r="C5" s="96">
        <v>0</v>
      </c>
      <c r="D5" s="96"/>
      <c r="E5" s="97">
        <f>SUM(B5:D5)</f>
        <v>0</v>
      </c>
      <c r="F5" s="94"/>
      <c r="G5" s="98">
        <v>0</v>
      </c>
      <c r="H5" s="98">
        <v>0</v>
      </c>
      <c r="I5" s="99">
        <f>SUM(G5:H5)</f>
        <v>0</v>
      </c>
      <c r="J5" s="94"/>
      <c r="K5" s="98">
        <v>0</v>
      </c>
      <c r="L5" s="98">
        <v>0</v>
      </c>
      <c r="M5" s="99">
        <f>SUM(K5:L5)</f>
        <v>0</v>
      </c>
      <c r="N5" s="94"/>
      <c r="O5" s="98">
        <v>0</v>
      </c>
      <c r="P5" s="98">
        <v>0</v>
      </c>
      <c r="Q5" s="99">
        <f>SUM(O5:P5)</f>
        <v>0</v>
      </c>
      <c r="R5" s="94"/>
      <c r="S5" s="98">
        <v>0</v>
      </c>
      <c r="T5" s="98">
        <v>0</v>
      </c>
      <c r="U5" s="99">
        <f>SUM(S5:T5)</f>
        <v>0</v>
      </c>
      <c r="V5" s="94"/>
      <c r="W5" s="98">
        <v>0</v>
      </c>
      <c r="X5" s="98">
        <v>0</v>
      </c>
      <c r="Y5" s="99">
        <f>SUM(W5:X5)</f>
        <v>0</v>
      </c>
    </row>
    <row r="6" spans="1:25" x14ac:dyDescent="0.2">
      <c r="A6" s="94" t="s">
        <v>68</v>
      </c>
      <c r="B6" s="95"/>
      <c r="C6" s="96"/>
      <c r="D6" s="96"/>
      <c r="E6" s="97" t="s">
        <v>13</v>
      </c>
      <c r="F6" s="94"/>
      <c r="G6" s="98"/>
      <c r="H6" s="98"/>
      <c r="I6" s="97" t="s">
        <v>13</v>
      </c>
      <c r="J6" s="94"/>
      <c r="K6" s="98"/>
      <c r="L6" s="98"/>
      <c r="M6" s="97" t="s">
        <v>13</v>
      </c>
      <c r="N6" s="94"/>
      <c r="O6" s="98"/>
      <c r="P6" s="98"/>
      <c r="Q6" s="97" t="s">
        <v>13</v>
      </c>
      <c r="R6" s="94"/>
      <c r="S6" s="98"/>
      <c r="T6" s="98"/>
      <c r="U6" s="97" t="s">
        <v>13</v>
      </c>
      <c r="V6" s="94"/>
      <c r="W6" s="98"/>
      <c r="X6" s="98"/>
      <c r="Y6" s="97" t="s">
        <v>13</v>
      </c>
    </row>
    <row r="7" spans="1:25" x14ac:dyDescent="0.2">
      <c r="A7" s="94" t="s">
        <v>69</v>
      </c>
      <c r="B7" s="95"/>
      <c r="C7" s="96"/>
      <c r="D7" s="96"/>
      <c r="E7" s="97" t="s">
        <v>13</v>
      </c>
      <c r="F7" s="94"/>
      <c r="G7" s="98"/>
      <c r="H7" s="98"/>
      <c r="I7" s="97" t="s">
        <v>13</v>
      </c>
      <c r="J7" s="94"/>
      <c r="K7" s="98"/>
      <c r="L7" s="98"/>
      <c r="M7" s="97" t="s">
        <v>13</v>
      </c>
      <c r="N7" s="94"/>
      <c r="O7" s="98"/>
      <c r="P7" s="98"/>
      <c r="Q7" s="97" t="s">
        <v>13</v>
      </c>
      <c r="R7" s="94"/>
      <c r="S7" s="98"/>
      <c r="T7" s="98"/>
      <c r="U7" s="97" t="s">
        <v>13</v>
      </c>
      <c r="V7" s="94"/>
      <c r="W7" s="98"/>
      <c r="X7" s="98"/>
      <c r="Y7" s="97" t="s">
        <v>13</v>
      </c>
    </row>
    <row r="8" spans="1:25" x14ac:dyDescent="0.2">
      <c r="A8" s="94" t="s">
        <v>135</v>
      </c>
      <c r="B8" s="101"/>
      <c r="C8" s="101" t="s">
        <v>136</v>
      </c>
      <c r="D8" s="96">
        <v>0</v>
      </c>
      <c r="E8" s="97">
        <f>SUM(B8:D8)</f>
        <v>0</v>
      </c>
      <c r="F8" s="94"/>
      <c r="G8" s="98">
        <v>0</v>
      </c>
      <c r="H8" s="102"/>
      <c r="I8" s="99">
        <f>SUM(G8:H8)</f>
        <v>0</v>
      </c>
      <c r="J8" s="100"/>
      <c r="K8" s="98">
        <v>0</v>
      </c>
      <c r="L8" s="102">
        <v>0</v>
      </c>
      <c r="M8" s="99">
        <f>SUM(K8:L8)</f>
        <v>0</v>
      </c>
      <c r="N8" s="100"/>
      <c r="O8" s="98">
        <v>0</v>
      </c>
      <c r="P8" s="102">
        <v>0</v>
      </c>
      <c r="Q8" s="99">
        <f>SUM(O8:P8)</f>
        <v>0</v>
      </c>
      <c r="R8" s="100"/>
      <c r="S8" s="98">
        <v>0</v>
      </c>
      <c r="T8" s="102">
        <v>0</v>
      </c>
      <c r="U8" s="99">
        <f>SUM(S8:T8)</f>
        <v>0</v>
      </c>
      <c r="V8" s="100"/>
      <c r="W8" s="98">
        <v>0</v>
      </c>
      <c r="X8" s="102">
        <v>0</v>
      </c>
      <c r="Y8" s="99">
        <f>SUM(W8:X8)</f>
        <v>0</v>
      </c>
    </row>
    <row r="9" spans="1:25" x14ac:dyDescent="0.2">
      <c r="A9" s="94" t="s">
        <v>65</v>
      </c>
      <c r="B9" s="95"/>
      <c r="C9" s="96">
        <v>0</v>
      </c>
      <c r="D9" s="96"/>
      <c r="E9" s="97">
        <f>SUM(B9:D9)</f>
        <v>0</v>
      </c>
      <c r="F9" s="94"/>
      <c r="G9" s="96">
        <v>0</v>
      </c>
      <c r="H9" s="98"/>
      <c r="I9" s="97"/>
      <c r="J9" s="94"/>
      <c r="K9" s="96">
        <v>0</v>
      </c>
      <c r="L9" s="98"/>
      <c r="M9" s="99">
        <f>SUM(K9:L9)</f>
        <v>0</v>
      </c>
      <c r="N9" s="94"/>
      <c r="O9" s="96">
        <v>0</v>
      </c>
      <c r="P9" s="98"/>
      <c r="Q9" s="99">
        <f>SUM(O9:P9)</f>
        <v>0</v>
      </c>
      <c r="R9" s="94"/>
      <c r="S9" s="96">
        <v>0</v>
      </c>
      <c r="T9" s="98"/>
      <c r="U9" s="99">
        <f>SUM(S9:T9)</f>
        <v>0</v>
      </c>
      <c r="V9" s="94"/>
      <c r="W9" s="96">
        <v>0</v>
      </c>
      <c r="X9" s="98"/>
      <c r="Y9" s="99">
        <f>SUM(W9:X9)</f>
        <v>0</v>
      </c>
    </row>
    <row r="10" spans="1:25" x14ac:dyDescent="0.2">
      <c r="A10" s="94" t="s">
        <v>32</v>
      </c>
      <c r="B10" s="101"/>
      <c r="C10" s="96" t="s">
        <v>13</v>
      </c>
      <c r="D10" s="96" t="s">
        <v>13</v>
      </c>
      <c r="E10" s="97" t="s">
        <v>137</v>
      </c>
      <c r="F10" s="101"/>
      <c r="G10" s="96">
        <v>0</v>
      </c>
      <c r="H10" s="96">
        <v>0</v>
      </c>
      <c r="I10" s="97">
        <f>SUM(F10:H10)</f>
        <v>0</v>
      </c>
      <c r="J10" s="100"/>
      <c r="K10" s="96">
        <v>0</v>
      </c>
      <c r="L10" s="96">
        <v>0</v>
      </c>
      <c r="M10" s="99">
        <f>SUM(K10:L10)</f>
        <v>0</v>
      </c>
      <c r="N10" s="100"/>
      <c r="O10" s="96">
        <v>0</v>
      </c>
      <c r="P10" s="96">
        <v>0</v>
      </c>
      <c r="Q10" s="99">
        <f>SUM(O10:P10)</f>
        <v>0</v>
      </c>
      <c r="R10" s="100"/>
      <c r="S10" s="96">
        <v>0</v>
      </c>
      <c r="T10" s="96">
        <v>0</v>
      </c>
      <c r="U10" s="99">
        <f>SUM(S10:T10)</f>
        <v>0</v>
      </c>
      <c r="V10" s="100"/>
      <c r="W10" s="96">
        <v>0</v>
      </c>
      <c r="X10" s="96">
        <v>0</v>
      </c>
      <c r="Y10" s="99">
        <f>SUM(W10:X10)</f>
        <v>0</v>
      </c>
    </row>
    <row r="11" spans="1:25" s="89" customFormat="1" x14ac:dyDescent="0.2">
      <c r="A11" s="103" t="s">
        <v>58</v>
      </c>
      <c r="B11" s="104"/>
      <c r="C11" s="105">
        <f>SUM(C5:C10)</f>
        <v>0</v>
      </c>
      <c r="D11" s="105">
        <f>SUM(D5:D10)</f>
        <v>0</v>
      </c>
      <c r="E11" s="105">
        <f>SUM(E5:E10)</f>
        <v>0</v>
      </c>
      <c r="F11" s="103"/>
      <c r="G11" s="99">
        <f>SUM(G5:G10)</f>
        <v>0</v>
      </c>
      <c r="H11" s="99">
        <f t="shared" ref="H11:M11" si="0">SUM(H5:H10)</f>
        <v>0</v>
      </c>
      <c r="I11" s="99">
        <f t="shared" si="0"/>
        <v>0</v>
      </c>
      <c r="J11" s="99">
        <f t="shared" si="0"/>
        <v>0</v>
      </c>
      <c r="K11" s="99">
        <f t="shared" si="0"/>
        <v>0</v>
      </c>
      <c r="L11" s="99">
        <f t="shared" si="0"/>
        <v>0</v>
      </c>
      <c r="M11" s="99">
        <f t="shared" si="0"/>
        <v>0</v>
      </c>
      <c r="N11" s="99">
        <f t="shared" ref="N11:U11" si="1">SUM(N5:N10)</f>
        <v>0</v>
      </c>
      <c r="O11" s="99">
        <f t="shared" si="1"/>
        <v>0</v>
      </c>
      <c r="P11" s="99">
        <f t="shared" si="1"/>
        <v>0</v>
      </c>
      <c r="Q11" s="99">
        <f t="shared" si="1"/>
        <v>0</v>
      </c>
      <c r="R11" s="99">
        <f t="shared" si="1"/>
        <v>0</v>
      </c>
      <c r="S11" s="99">
        <f t="shared" si="1"/>
        <v>0</v>
      </c>
      <c r="T11" s="99">
        <f t="shared" si="1"/>
        <v>0</v>
      </c>
      <c r="U11" s="99">
        <f t="shared" si="1"/>
        <v>0</v>
      </c>
      <c r="V11" s="99">
        <f>SUM(V5:V10)</f>
        <v>0</v>
      </c>
      <c r="W11" s="99">
        <f>SUM(W5:W10)</f>
        <v>0</v>
      </c>
      <c r="X11" s="99">
        <f>SUM(X5:X10)</f>
        <v>0</v>
      </c>
      <c r="Y11" s="99">
        <f>SUM(Y5:Y10)</f>
        <v>0</v>
      </c>
    </row>
    <row r="12" spans="1:25" ht="3.95" customHeight="1" x14ac:dyDescent="0.2">
      <c r="A12" s="103"/>
      <c r="B12" s="103"/>
      <c r="C12" s="107"/>
      <c r="D12" s="107"/>
      <c r="E12" s="108"/>
      <c r="F12" s="103"/>
      <c r="G12" s="100"/>
      <c r="H12" s="100"/>
      <c r="I12" s="99"/>
      <c r="J12" s="106"/>
      <c r="K12" s="100"/>
      <c r="L12" s="109"/>
      <c r="M12" s="99"/>
      <c r="N12" s="106"/>
      <c r="O12" s="100"/>
      <c r="P12" s="109"/>
      <c r="Q12" s="99"/>
      <c r="R12" s="106"/>
      <c r="S12" s="100"/>
      <c r="T12" s="109"/>
      <c r="U12" s="99"/>
      <c r="V12" s="106"/>
      <c r="W12" s="100"/>
      <c r="X12" s="109"/>
      <c r="Y12" s="99"/>
    </row>
    <row r="13" spans="1:25" x14ac:dyDescent="0.2">
      <c r="A13" s="110" t="s">
        <v>22</v>
      </c>
      <c r="B13" s="110"/>
      <c r="C13" s="93"/>
      <c r="D13" s="93"/>
      <c r="E13" s="92"/>
      <c r="F13" s="110"/>
      <c r="G13" s="111"/>
      <c r="H13" s="112"/>
      <c r="I13" s="112"/>
      <c r="J13" s="113"/>
      <c r="K13" s="111"/>
      <c r="L13" s="112"/>
      <c r="M13" s="99">
        <f>SUM(K13:L13)</f>
        <v>0</v>
      </c>
      <c r="N13" s="113"/>
      <c r="O13" s="111"/>
      <c r="P13" s="112"/>
      <c r="Q13" s="99">
        <f>SUM(O13:P13)</f>
        <v>0</v>
      </c>
      <c r="R13" s="113"/>
      <c r="S13" s="111"/>
      <c r="T13" s="112"/>
      <c r="U13" s="99">
        <f>SUM(S13:T13)</f>
        <v>0</v>
      </c>
      <c r="V13" s="113"/>
      <c r="W13" s="111"/>
      <c r="X13" s="112"/>
      <c r="Y13" s="99">
        <f>SUM(W13:X13)</f>
        <v>0</v>
      </c>
    </row>
    <row r="14" spans="1:25" x14ac:dyDescent="0.2">
      <c r="A14" s="94" t="s">
        <v>12</v>
      </c>
      <c r="B14" s="101"/>
      <c r="C14" s="101"/>
      <c r="D14" s="96">
        <v>0</v>
      </c>
      <c r="E14" s="97">
        <f>SUM(B14:D14)</f>
        <v>0</v>
      </c>
      <c r="F14" s="94"/>
      <c r="G14" s="98"/>
      <c r="H14" s="96">
        <v>0</v>
      </c>
      <c r="I14" s="97">
        <f>SUM(F14:H14)</f>
        <v>0</v>
      </c>
      <c r="J14" s="100"/>
      <c r="K14" s="96" t="s">
        <v>13</v>
      </c>
      <c r="L14" s="96">
        <v>0</v>
      </c>
      <c r="M14" s="99">
        <f>SUM(K14:L14)</f>
        <v>0</v>
      </c>
      <c r="N14" s="100"/>
      <c r="O14" s="96" t="s">
        <v>13</v>
      </c>
      <c r="P14" s="96">
        <v>0</v>
      </c>
      <c r="Q14" s="99">
        <f>SUM(O14:P14)</f>
        <v>0</v>
      </c>
      <c r="R14" s="100"/>
      <c r="S14" s="96" t="s">
        <v>13</v>
      </c>
      <c r="T14" s="96">
        <v>0</v>
      </c>
      <c r="U14" s="99">
        <f>SUM(S14:T14)</f>
        <v>0</v>
      </c>
      <c r="V14" s="100"/>
      <c r="W14" s="96" t="s">
        <v>13</v>
      </c>
      <c r="X14" s="96">
        <v>0</v>
      </c>
      <c r="Y14" s="99">
        <f>SUM(W14:X14)</f>
        <v>0</v>
      </c>
    </row>
    <row r="15" spans="1:25" x14ac:dyDescent="0.2">
      <c r="A15" s="94" t="s">
        <v>14</v>
      </c>
      <c r="B15" s="101"/>
      <c r="C15" s="101"/>
      <c r="D15" s="96">
        <v>0</v>
      </c>
      <c r="E15" s="97">
        <f>SUM(B15:D15)</f>
        <v>0</v>
      </c>
      <c r="F15" s="94"/>
      <c r="G15" s="98"/>
      <c r="H15" s="98"/>
      <c r="I15" s="100"/>
      <c r="J15" s="100"/>
      <c r="K15" s="98"/>
      <c r="L15" s="98"/>
      <c r="M15" s="99">
        <f>SUM(K15:L15)</f>
        <v>0</v>
      </c>
      <c r="N15" s="100"/>
      <c r="O15" s="98"/>
      <c r="P15" s="98"/>
      <c r="Q15" s="99">
        <f>SUM(O15:P15)</f>
        <v>0</v>
      </c>
      <c r="R15" s="100"/>
      <c r="S15" s="98"/>
      <c r="T15" s="98"/>
      <c r="U15" s="99">
        <f>SUM(S15:T15)</f>
        <v>0</v>
      </c>
      <c r="V15" s="100"/>
      <c r="W15" s="98"/>
      <c r="X15" s="98"/>
      <c r="Y15" s="99">
        <f>SUM(W15:X15)</f>
        <v>0</v>
      </c>
    </row>
    <row r="16" spans="1:25" x14ac:dyDescent="0.2">
      <c r="A16" s="94" t="s">
        <v>28</v>
      </c>
      <c r="B16" s="101"/>
      <c r="C16" s="101"/>
      <c r="D16" s="96">
        <v>0.03</v>
      </c>
      <c r="E16" s="97">
        <f>SUM(B16:D16)</f>
        <v>0.03</v>
      </c>
      <c r="F16" s="94"/>
      <c r="G16" s="98"/>
      <c r="H16" s="98"/>
      <c r="I16" s="100"/>
      <c r="J16" s="100"/>
      <c r="K16" s="98"/>
      <c r="L16" s="98"/>
      <c r="M16" s="99">
        <f>SUM(K16:L16)</f>
        <v>0</v>
      </c>
      <c r="N16" s="100"/>
      <c r="O16" s="98"/>
      <c r="P16" s="98"/>
      <c r="Q16" s="99">
        <f>SUM(O16:P16)</f>
        <v>0</v>
      </c>
      <c r="R16" s="100"/>
      <c r="S16" s="98"/>
      <c r="T16" s="98"/>
      <c r="U16" s="99">
        <f>SUM(S16:T16)</f>
        <v>0</v>
      </c>
      <c r="V16" s="100"/>
      <c r="W16" s="98"/>
      <c r="X16" s="98"/>
      <c r="Y16" s="99">
        <f>SUM(W16:X16)</f>
        <v>0</v>
      </c>
    </row>
    <row r="17" spans="1:25" x14ac:dyDescent="0.2">
      <c r="A17" s="94"/>
      <c r="B17" s="95"/>
      <c r="C17" s="96"/>
      <c r="D17" s="96"/>
      <c r="E17" s="114"/>
      <c r="F17" s="94"/>
      <c r="G17" s="98"/>
      <c r="H17" s="98"/>
      <c r="I17" s="100"/>
      <c r="J17" s="100"/>
      <c r="K17" s="98"/>
      <c r="L17" s="98"/>
      <c r="M17" s="99" t="s">
        <v>13</v>
      </c>
      <c r="N17" s="100"/>
      <c r="O17" s="98"/>
      <c r="P17" s="98"/>
      <c r="Q17" s="99" t="s">
        <v>13</v>
      </c>
      <c r="R17" s="100"/>
      <c r="S17" s="98"/>
      <c r="T17" s="98"/>
      <c r="U17" s="99" t="s">
        <v>13</v>
      </c>
      <c r="V17" s="100"/>
      <c r="W17" s="98"/>
      <c r="X17" s="98"/>
      <c r="Y17" s="99" t="s">
        <v>13</v>
      </c>
    </row>
    <row r="18" spans="1:25" s="89" customFormat="1" x14ac:dyDescent="0.2">
      <c r="A18" s="103" t="s">
        <v>58</v>
      </c>
      <c r="B18" s="104"/>
      <c r="C18" s="105"/>
      <c r="D18" s="105">
        <f>SUM(D14:D17)</f>
        <v>0.03</v>
      </c>
      <c r="E18" s="105">
        <f>SUM(E14:E17)</f>
        <v>0.03</v>
      </c>
      <c r="F18" s="103"/>
      <c r="G18" s="115">
        <f>SUM(G13:G17)</f>
        <v>0</v>
      </c>
      <c r="H18" s="115">
        <f>SUM(H13:H17)</f>
        <v>0</v>
      </c>
      <c r="I18" s="99">
        <f>SUM(I13:I17)</f>
        <v>0</v>
      </c>
      <c r="J18" s="106"/>
      <c r="K18" s="115">
        <f>SUM(K13:K17)</f>
        <v>0</v>
      </c>
      <c r="L18" s="115">
        <f>SUM(L13:L17)</f>
        <v>0</v>
      </c>
      <c r="M18" s="99">
        <f>SUM(M13:M17)</f>
        <v>0</v>
      </c>
      <c r="N18" s="106"/>
      <c r="O18" s="115">
        <f>SUM(O13:O17)</f>
        <v>0</v>
      </c>
      <c r="P18" s="115">
        <f>SUM(P13:P17)</f>
        <v>0</v>
      </c>
      <c r="Q18" s="99">
        <f>SUM(Q13:Q17)</f>
        <v>0</v>
      </c>
      <c r="R18" s="106"/>
      <c r="S18" s="115">
        <f>SUM(S13:S17)</f>
        <v>0</v>
      </c>
      <c r="T18" s="115">
        <f>SUM(T13:T17)</f>
        <v>0</v>
      </c>
      <c r="U18" s="99">
        <f>SUM(U13:U17)</f>
        <v>0</v>
      </c>
      <c r="V18" s="106"/>
      <c r="W18" s="115">
        <f>SUM(W13:W17)</f>
        <v>0</v>
      </c>
      <c r="X18" s="115">
        <f>SUM(X13:X17)</f>
        <v>0</v>
      </c>
      <c r="Y18" s="99">
        <f>SUM(Y13:Y17)</f>
        <v>0</v>
      </c>
    </row>
    <row r="19" spans="1:25" ht="3.95" customHeight="1" x14ac:dyDescent="0.2">
      <c r="A19" s="103"/>
      <c r="B19" s="103"/>
      <c r="C19" s="107"/>
      <c r="D19" s="107"/>
      <c r="E19" s="108"/>
      <c r="F19" s="103"/>
      <c r="G19" s="100"/>
      <c r="H19" s="109"/>
      <c r="I19" s="99"/>
      <c r="J19" s="106"/>
      <c r="K19" s="100"/>
      <c r="L19" s="109"/>
      <c r="M19" s="99">
        <f>SUM(M13:M17)</f>
        <v>0</v>
      </c>
      <c r="N19" s="106"/>
      <c r="O19" s="100"/>
      <c r="P19" s="109"/>
      <c r="Q19" s="99">
        <f>SUM(Q13:Q17)</f>
        <v>0</v>
      </c>
      <c r="R19" s="106"/>
      <c r="S19" s="100"/>
      <c r="T19" s="109"/>
      <c r="U19" s="99">
        <f>SUM(U13:U17)</f>
        <v>0</v>
      </c>
      <c r="V19" s="106"/>
      <c r="W19" s="100"/>
      <c r="X19" s="109"/>
      <c r="Y19" s="99">
        <f>SUM(Y13:Y17)</f>
        <v>0</v>
      </c>
    </row>
    <row r="20" spans="1:25" s="89" customFormat="1" ht="17.25" customHeight="1" x14ac:dyDescent="0.2">
      <c r="A20" s="103" t="s">
        <v>134</v>
      </c>
      <c r="B20" s="103"/>
      <c r="C20" s="105">
        <f>C11+C18</f>
        <v>0</v>
      </c>
      <c r="D20" s="105">
        <f>D11+D18</f>
        <v>0.03</v>
      </c>
      <c r="E20" s="105">
        <f>E11+E18</f>
        <v>0.03</v>
      </c>
      <c r="F20" s="103"/>
      <c r="G20" s="99">
        <f>G11+G18</f>
        <v>0</v>
      </c>
      <c r="H20" s="115">
        <f>H11+H18</f>
        <v>0</v>
      </c>
      <c r="I20" s="99">
        <f>I11+I18</f>
        <v>0</v>
      </c>
      <c r="J20" s="106"/>
      <c r="K20" s="99">
        <f>K11+K18</f>
        <v>0</v>
      </c>
      <c r="L20" s="115">
        <f>L11+L18</f>
        <v>0</v>
      </c>
      <c r="M20" s="99">
        <f>M11+M18</f>
        <v>0</v>
      </c>
      <c r="N20" s="106"/>
      <c r="O20" s="99">
        <f>O11+O18</f>
        <v>0</v>
      </c>
      <c r="P20" s="115">
        <f>P11+P18</f>
        <v>0</v>
      </c>
      <c r="Q20" s="99">
        <f>Q11+Q18</f>
        <v>0</v>
      </c>
      <c r="R20" s="106"/>
      <c r="S20" s="99">
        <f>S11+S18</f>
        <v>0</v>
      </c>
      <c r="T20" s="115">
        <f>T11+T18</f>
        <v>0</v>
      </c>
      <c r="U20" s="99">
        <f>U11+U18</f>
        <v>0</v>
      </c>
      <c r="V20" s="106"/>
      <c r="W20" s="99">
        <f>W11+W18</f>
        <v>0</v>
      </c>
      <c r="X20" s="115">
        <f>X11+X18</f>
        <v>0</v>
      </c>
      <c r="Y20" s="99">
        <f>Y11+Y18</f>
        <v>0</v>
      </c>
    </row>
    <row r="21" spans="1:25" ht="17.25" customHeight="1" x14ac:dyDescent="0.2">
      <c r="A21" s="116"/>
      <c r="B21" s="117"/>
      <c r="C21" s="118"/>
      <c r="D21" s="118"/>
      <c r="E21" s="119"/>
      <c r="F21" s="117"/>
      <c r="G21" s="120"/>
      <c r="H21" s="121"/>
      <c r="I21" s="122"/>
      <c r="J21" s="122"/>
      <c r="K21" s="120"/>
      <c r="L21" s="121"/>
      <c r="M21" s="122"/>
      <c r="N21" s="122"/>
      <c r="O21" s="120"/>
      <c r="P21" s="121"/>
      <c r="Q21" s="122"/>
      <c r="R21" s="122"/>
      <c r="S21" s="120"/>
      <c r="T21" s="121"/>
      <c r="U21" s="122"/>
      <c r="V21" s="122"/>
      <c r="W21" s="120"/>
      <c r="X21" s="121"/>
      <c r="Y21" s="122"/>
    </row>
    <row r="22" spans="1:25" x14ac:dyDescent="0.2">
      <c r="A22" s="92" t="s">
        <v>64</v>
      </c>
      <c r="B22" s="123"/>
      <c r="C22" s="124"/>
      <c r="D22" s="124"/>
      <c r="E22" s="125"/>
      <c r="F22" s="126"/>
      <c r="G22" s="127"/>
      <c r="H22" s="127"/>
      <c r="I22" s="128"/>
      <c r="J22" s="128"/>
      <c r="K22" s="127"/>
      <c r="L22" s="127"/>
      <c r="M22" s="128"/>
      <c r="N22" s="128"/>
      <c r="O22" s="127"/>
      <c r="P22" s="127"/>
      <c r="Q22" s="128"/>
      <c r="R22" s="128"/>
      <c r="S22" s="127"/>
      <c r="T22" s="127"/>
      <c r="U22" s="128"/>
      <c r="V22" s="128"/>
      <c r="W22" s="127"/>
      <c r="X22" s="127"/>
      <c r="Y22" s="129"/>
    </row>
    <row r="23" spans="1:25" x14ac:dyDescent="0.2">
      <c r="A23" s="130" t="s">
        <v>138</v>
      </c>
      <c r="B23" s="95">
        <v>0</v>
      </c>
      <c r="C23" s="101"/>
      <c r="D23" s="101"/>
      <c r="E23" s="114"/>
      <c r="F23" s="95">
        <v>0</v>
      </c>
      <c r="G23" s="98"/>
      <c r="H23" s="98"/>
      <c r="I23" s="100"/>
      <c r="J23" s="95">
        <v>0</v>
      </c>
      <c r="K23" s="98"/>
      <c r="L23" s="98"/>
      <c r="M23" s="100"/>
      <c r="N23" s="95">
        <v>0</v>
      </c>
      <c r="O23" s="98"/>
      <c r="P23" s="98"/>
      <c r="Q23" s="100"/>
      <c r="R23" s="95">
        <v>0</v>
      </c>
      <c r="S23" s="98"/>
      <c r="T23" s="98"/>
      <c r="U23" s="100"/>
      <c r="V23" s="100"/>
      <c r="W23" s="98"/>
      <c r="X23" s="98"/>
      <c r="Y23" s="100"/>
    </row>
    <row r="24" spans="1:25" x14ac:dyDescent="0.2">
      <c r="A24" s="94"/>
      <c r="B24" s="94"/>
      <c r="C24" s="131"/>
      <c r="D24" s="131"/>
      <c r="E24" s="132"/>
      <c r="F24" s="94"/>
      <c r="G24" s="98"/>
      <c r="H24" s="98"/>
      <c r="I24" s="100"/>
      <c r="J24" s="100"/>
      <c r="K24" s="98"/>
      <c r="L24" s="98"/>
      <c r="M24" s="100"/>
      <c r="N24" s="100"/>
      <c r="O24" s="98"/>
      <c r="P24" s="98"/>
      <c r="Q24" s="100"/>
      <c r="R24" s="100"/>
      <c r="S24" s="98"/>
      <c r="T24" s="98"/>
      <c r="U24" s="100"/>
      <c r="V24" s="100"/>
      <c r="W24" s="98"/>
      <c r="X24" s="98"/>
      <c r="Y24" s="100"/>
    </row>
    <row r="25" spans="1:25" s="89" customFormat="1" x14ac:dyDescent="0.2">
      <c r="A25" s="133" t="s">
        <v>58</v>
      </c>
      <c r="B25" s="105">
        <f>SUM(B23:B24)</f>
        <v>0</v>
      </c>
      <c r="C25" s="105"/>
      <c r="D25" s="105"/>
      <c r="E25" s="105"/>
      <c r="F25" s="134">
        <f>SUM(F23:F24)</f>
        <v>0</v>
      </c>
      <c r="G25" s="135"/>
      <c r="H25" s="135"/>
      <c r="I25" s="99"/>
      <c r="J25" s="99">
        <f>SUM(J23:J24)</f>
        <v>0</v>
      </c>
      <c r="K25" s="135"/>
      <c r="L25" s="135"/>
      <c r="M25" s="99"/>
      <c r="N25" s="99">
        <f>SUM(N23:N24)</f>
        <v>0</v>
      </c>
      <c r="O25" s="135"/>
      <c r="P25" s="135"/>
      <c r="Q25" s="99"/>
      <c r="R25" s="99">
        <f>SUM(R23:R24)</f>
        <v>0</v>
      </c>
      <c r="S25" s="135"/>
      <c r="T25" s="135"/>
      <c r="U25" s="99"/>
      <c r="V25" s="99">
        <f>SUM(V23:V24)</f>
        <v>0</v>
      </c>
      <c r="W25" s="135"/>
      <c r="X25" s="135"/>
      <c r="Y25" s="99"/>
    </row>
    <row r="26" spans="1:25" ht="3.95" customHeight="1" x14ac:dyDescent="0.2">
      <c r="A26" s="103"/>
      <c r="B26" s="107"/>
      <c r="C26" s="107"/>
      <c r="D26" s="107"/>
      <c r="E26" s="108"/>
      <c r="F26" s="103"/>
      <c r="G26" s="100"/>
      <c r="H26" s="109"/>
      <c r="I26" s="99"/>
      <c r="J26" s="106"/>
      <c r="K26" s="100"/>
      <c r="L26" s="109"/>
      <c r="M26" s="99"/>
      <c r="N26" s="106"/>
      <c r="O26" s="100"/>
      <c r="P26" s="109"/>
      <c r="Q26" s="99"/>
      <c r="R26" s="106"/>
      <c r="S26" s="100"/>
      <c r="T26" s="109"/>
      <c r="U26" s="99"/>
      <c r="V26" s="106"/>
      <c r="W26" s="100"/>
      <c r="X26" s="109"/>
      <c r="Y26" s="99"/>
    </row>
    <row r="27" spans="1:25" s="89" customFormat="1" x14ac:dyDescent="0.2">
      <c r="A27" s="103" t="s">
        <v>139</v>
      </c>
      <c r="B27" s="136">
        <f>B25</f>
        <v>0</v>
      </c>
      <c r="C27" s="136" t="s">
        <v>140</v>
      </c>
      <c r="D27" s="136" t="s">
        <v>140</v>
      </c>
      <c r="E27" s="137" t="s">
        <v>140</v>
      </c>
      <c r="F27" s="134">
        <f>F25</f>
        <v>0</v>
      </c>
      <c r="G27" s="136" t="s">
        <v>140</v>
      </c>
      <c r="H27" s="136" t="s">
        <v>140</v>
      </c>
      <c r="I27" s="137" t="s">
        <v>140</v>
      </c>
      <c r="J27" s="106">
        <f>J25</f>
        <v>0</v>
      </c>
      <c r="K27" s="136" t="s">
        <v>140</v>
      </c>
      <c r="L27" s="136" t="s">
        <v>140</v>
      </c>
      <c r="M27" s="137" t="s">
        <v>140</v>
      </c>
      <c r="N27" s="106">
        <f>N25</f>
        <v>0</v>
      </c>
      <c r="O27" s="136" t="s">
        <v>140</v>
      </c>
      <c r="P27" s="136" t="s">
        <v>140</v>
      </c>
      <c r="Q27" s="137" t="s">
        <v>140</v>
      </c>
      <c r="R27" s="106">
        <f>R25</f>
        <v>0</v>
      </c>
      <c r="S27" s="136" t="s">
        <v>140</v>
      </c>
      <c r="T27" s="136" t="s">
        <v>140</v>
      </c>
      <c r="U27" s="137" t="s">
        <v>140</v>
      </c>
      <c r="V27" s="106">
        <f>V25</f>
        <v>0</v>
      </c>
      <c r="W27" s="136" t="s">
        <v>140</v>
      </c>
      <c r="X27" s="136" t="s">
        <v>140</v>
      </c>
      <c r="Y27" s="137" t="s">
        <v>140</v>
      </c>
    </row>
    <row r="28" spans="1:25" x14ac:dyDescent="0.2">
      <c r="A28" s="138"/>
      <c r="B28" s="138"/>
      <c r="C28" s="139"/>
      <c r="D28" s="139"/>
      <c r="E28" s="140"/>
      <c r="F28" s="138"/>
      <c r="G28" s="139"/>
      <c r="H28" s="140"/>
      <c r="I28" s="138"/>
      <c r="J28" s="138"/>
      <c r="K28" s="139"/>
      <c r="L28" s="140"/>
      <c r="M28" s="138"/>
      <c r="N28" s="138"/>
      <c r="O28" s="139"/>
      <c r="P28" s="140"/>
      <c r="Q28" s="138"/>
      <c r="R28" s="138"/>
      <c r="S28" s="139"/>
      <c r="T28" s="140"/>
      <c r="U28" s="138"/>
      <c r="V28" s="138"/>
      <c r="W28" s="139"/>
      <c r="X28" s="140"/>
      <c r="Y28" s="138"/>
    </row>
    <row r="30" spans="1:25" x14ac:dyDescent="0.2">
      <c r="A30" s="141"/>
      <c r="B30" s="448" t="s">
        <v>6</v>
      </c>
      <c r="C30" s="448"/>
      <c r="D30" s="448"/>
      <c r="E30" s="448"/>
      <c r="F30" s="448" t="s">
        <v>7</v>
      </c>
      <c r="G30" s="448"/>
      <c r="H30" s="448"/>
      <c r="I30" s="448" t="s">
        <v>6</v>
      </c>
      <c r="J30" s="448" t="s">
        <v>8</v>
      </c>
      <c r="K30" s="448"/>
      <c r="L30" s="448"/>
      <c r="M30" s="448" t="s">
        <v>6</v>
      </c>
      <c r="N30" s="448" t="s">
        <v>9</v>
      </c>
      <c r="O30" s="448"/>
      <c r="P30" s="448"/>
      <c r="Q30" s="448" t="s">
        <v>6</v>
      </c>
      <c r="R30" s="448" t="s">
        <v>10</v>
      </c>
      <c r="S30" s="448"/>
      <c r="T30" s="448"/>
      <c r="U30" s="448" t="s">
        <v>6</v>
      </c>
      <c r="V30" s="448" t="s">
        <v>11</v>
      </c>
      <c r="W30" s="448"/>
      <c r="X30" s="448"/>
      <c r="Y30" s="448" t="s">
        <v>6</v>
      </c>
    </row>
    <row r="31" spans="1:25" ht="38.25" x14ac:dyDescent="0.2">
      <c r="A31" s="92" t="s">
        <v>43</v>
      </c>
      <c r="B31" s="93" t="s">
        <v>131</v>
      </c>
      <c r="C31" s="93" t="s">
        <v>132</v>
      </c>
      <c r="D31" s="93" t="s">
        <v>133</v>
      </c>
      <c r="E31" s="93" t="s">
        <v>134</v>
      </c>
      <c r="F31" s="93" t="s">
        <v>131</v>
      </c>
      <c r="G31" s="93" t="s">
        <v>132</v>
      </c>
      <c r="H31" s="93" t="s">
        <v>133</v>
      </c>
      <c r="I31" s="93" t="s">
        <v>134</v>
      </c>
      <c r="J31" s="93" t="s">
        <v>131</v>
      </c>
      <c r="K31" s="93" t="s">
        <v>132</v>
      </c>
      <c r="L31" s="93" t="s">
        <v>133</v>
      </c>
      <c r="M31" s="93" t="s">
        <v>134</v>
      </c>
      <c r="N31" s="93" t="s">
        <v>131</v>
      </c>
      <c r="O31" s="93" t="s">
        <v>132</v>
      </c>
      <c r="P31" s="93" t="s">
        <v>133</v>
      </c>
      <c r="Q31" s="93" t="s">
        <v>134</v>
      </c>
      <c r="R31" s="93" t="s">
        <v>131</v>
      </c>
      <c r="S31" s="93" t="s">
        <v>132</v>
      </c>
      <c r="T31" s="93" t="s">
        <v>133</v>
      </c>
      <c r="U31" s="93" t="s">
        <v>134</v>
      </c>
      <c r="V31" s="93" t="s">
        <v>131</v>
      </c>
      <c r="W31" s="93" t="s">
        <v>132</v>
      </c>
      <c r="X31" s="93" t="s">
        <v>133</v>
      </c>
      <c r="Y31" s="93" t="s">
        <v>134</v>
      </c>
    </row>
    <row r="32" spans="1:25" x14ac:dyDescent="0.2">
      <c r="A32" s="94" t="s">
        <v>141</v>
      </c>
      <c r="B32" s="142"/>
      <c r="C32" s="142"/>
      <c r="D32" s="98"/>
      <c r="E32" s="143">
        <f>SUM(B32:D32)</f>
        <v>0</v>
      </c>
      <c r="F32" s="100"/>
      <c r="G32" s="98"/>
      <c r="H32" s="102"/>
      <c r="I32" s="99">
        <f t="shared" ref="I32:I37" si="2">SUM(G32:H32)</f>
        <v>0</v>
      </c>
      <c r="J32" s="100"/>
      <c r="K32" s="98"/>
      <c r="L32" s="102"/>
      <c r="M32" s="99">
        <f t="shared" ref="M32:M37" si="3">SUM(K32:L32)</f>
        <v>0</v>
      </c>
      <c r="N32" s="100"/>
      <c r="O32" s="98"/>
      <c r="P32" s="102"/>
      <c r="Q32" s="99">
        <f t="shared" ref="Q32:Q37" si="4">SUM(O32:P32)</f>
        <v>0</v>
      </c>
      <c r="R32" s="100"/>
      <c r="S32" s="98"/>
      <c r="T32" s="102"/>
      <c r="U32" s="99">
        <f t="shared" ref="U32:U37" si="5">SUM(S32:T32)</f>
        <v>0</v>
      </c>
      <c r="V32" s="100"/>
      <c r="W32" s="98"/>
      <c r="X32" s="102"/>
      <c r="Y32" s="99">
        <f t="shared" ref="Y32:Y37" si="6">SUM(W32:X32)</f>
        <v>0</v>
      </c>
    </row>
    <row r="33" spans="1:25" x14ac:dyDescent="0.2">
      <c r="A33" s="94" t="s">
        <v>135</v>
      </c>
      <c r="B33" s="142"/>
      <c r="C33" s="142"/>
      <c r="D33" s="98"/>
      <c r="E33" s="143">
        <f>SUM(B33:D33)</f>
        <v>0</v>
      </c>
      <c r="F33" s="100"/>
      <c r="G33" s="98"/>
      <c r="H33" s="102"/>
      <c r="I33" s="99">
        <f t="shared" si="2"/>
        <v>0</v>
      </c>
      <c r="J33" s="100"/>
      <c r="K33" s="98"/>
      <c r="L33" s="102"/>
      <c r="M33" s="99">
        <f t="shared" si="3"/>
        <v>0</v>
      </c>
      <c r="N33" s="100"/>
      <c r="O33" s="98"/>
      <c r="P33" s="102"/>
      <c r="Q33" s="99">
        <f t="shared" si="4"/>
        <v>0</v>
      </c>
      <c r="R33" s="100"/>
      <c r="S33" s="98"/>
      <c r="T33" s="102"/>
      <c r="U33" s="99">
        <f t="shared" si="5"/>
        <v>0</v>
      </c>
      <c r="V33" s="100"/>
      <c r="W33" s="98"/>
      <c r="X33" s="102"/>
      <c r="Y33" s="99">
        <f t="shared" si="6"/>
        <v>0</v>
      </c>
    </row>
    <row r="34" spans="1:25" x14ac:dyDescent="0.2">
      <c r="A34" s="94" t="s">
        <v>142</v>
      </c>
      <c r="B34" s="142"/>
      <c r="C34" s="98"/>
      <c r="D34" s="98"/>
      <c r="E34" s="143">
        <f>SUM(B34:D34)</f>
        <v>0</v>
      </c>
      <c r="F34" s="100"/>
      <c r="G34" s="98"/>
      <c r="H34" s="102"/>
      <c r="I34" s="99">
        <f t="shared" si="2"/>
        <v>0</v>
      </c>
      <c r="J34" s="100"/>
      <c r="K34" s="98"/>
      <c r="L34" s="102"/>
      <c r="M34" s="99">
        <f t="shared" si="3"/>
        <v>0</v>
      </c>
      <c r="N34" s="100"/>
      <c r="O34" s="98"/>
      <c r="P34" s="102"/>
      <c r="Q34" s="99">
        <f t="shared" si="4"/>
        <v>0</v>
      </c>
      <c r="R34" s="100"/>
      <c r="S34" s="98"/>
      <c r="T34" s="102"/>
      <c r="U34" s="99">
        <f t="shared" si="5"/>
        <v>0</v>
      </c>
      <c r="V34" s="100"/>
      <c r="W34" s="98"/>
      <c r="X34" s="102"/>
      <c r="Y34" s="99">
        <f t="shared" si="6"/>
        <v>0</v>
      </c>
    </row>
    <row r="35" spans="1:25" x14ac:dyDescent="0.2">
      <c r="A35" s="94" t="s">
        <v>143</v>
      </c>
      <c r="B35" s="142"/>
      <c r="C35" s="98"/>
      <c r="D35" s="98"/>
      <c r="E35" s="143">
        <f>SUM(B35:D35)</f>
        <v>0</v>
      </c>
      <c r="F35" s="100"/>
      <c r="G35" s="144"/>
      <c r="H35" s="144"/>
      <c r="I35" s="99">
        <f t="shared" si="2"/>
        <v>0</v>
      </c>
      <c r="J35" s="100"/>
      <c r="K35" s="144"/>
      <c r="L35" s="144"/>
      <c r="M35" s="99">
        <f t="shared" si="3"/>
        <v>0</v>
      </c>
      <c r="N35" s="100"/>
      <c r="O35" s="144"/>
      <c r="P35" s="144"/>
      <c r="Q35" s="99">
        <f t="shared" si="4"/>
        <v>0</v>
      </c>
      <c r="R35" s="100"/>
      <c r="S35" s="144"/>
      <c r="T35" s="144"/>
      <c r="U35" s="99">
        <f t="shared" si="5"/>
        <v>0</v>
      </c>
      <c r="V35" s="100"/>
      <c r="W35" s="144"/>
      <c r="X35" s="144"/>
      <c r="Y35" s="99">
        <f t="shared" si="6"/>
        <v>0</v>
      </c>
    </row>
    <row r="36" spans="1:25" x14ac:dyDescent="0.2">
      <c r="A36" s="94" t="s">
        <v>144</v>
      </c>
      <c r="B36" s="142"/>
      <c r="C36" s="98"/>
      <c r="D36" s="98"/>
      <c r="E36" s="143">
        <f>SUM(B36:D36)</f>
        <v>0</v>
      </c>
      <c r="F36" s="100"/>
      <c r="G36" s="144"/>
      <c r="H36" s="144"/>
      <c r="I36" s="99">
        <f t="shared" si="2"/>
        <v>0</v>
      </c>
      <c r="J36" s="100"/>
      <c r="K36" s="144"/>
      <c r="L36" s="144"/>
      <c r="M36" s="99">
        <f t="shared" si="3"/>
        <v>0</v>
      </c>
      <c r="N36" s="100"/>
      <c r="O36" s="144"/>
      <c r="P36" s="144"/>
      <c r="Q36" s="99">
        <f t="shared" si="4"/>
        <v>0</v>
      </c>
      <c r="R36" s="100"/>
      <c r="S36" s="144"/>
      <c r="T36" s="144"/>
      <c r="U36" s="99">
        <f t="shared" si="5"/>
        <v>0</v>
      </c>
      <c r="V36" s="100"/>
      <c r="W36" s="144"/>
      <c r="X36" s="144"/>
      <c r="Y36" s="99">
        <f t="shared" si="6"/>
        <v>0</v>
      </c>
    </row>
    <row r="37" spans="1:25" x14ac:dyDescent="0.2">
      <c r="A37" s="94"/>
      <c r="B37" s="100"/>
      <c r="C37" s="98"/>
      <c r="D37" s="98"/>
      <c r="E37" s="135"/>
      <c r="F37" s="100"/>
      <c r="G37" s="98"/>
      <c r="H37" s="98"/>
      <c r="I37" s="99">
        <f t="shared" si="2"/>
        <v>0</v>
      </c>
      <c r="J37" s="100"/>
      <c r="K37" s="98"/>
      <c r="L37" s="98"/>
      <c r="M37" s="99">
        <f t="shared" si="3"/>
        <v>0</v>
      </c>
      <c r="N37" s="100"/>
      <c r="O37" s="98"/>
      <c r="P37" s="98"/>
      <c r="Q37" s="99">
        <f t="shared" si="4"/>
        <v>0</v>
      </c>
      <c r="R37" s="100"/>
      <c r="S37" s="98"/>
      <c r="T37" s="98"/>
      <c r="U37" s="99">
        <f t="shared" si="5"/>
        <v>0</v>
      </c>
      <c r="V37" s="100"/>
      <c r="W37" s="98"/>
      <c r="X37" s="98"/>
      <c r="Y37" s="99">
        <f t="shared" si="6"/>
        <v>0</v>
      </c>
    </row>
    <row r="38" spans="1:25" s="89" customFormat="1" x14ac:dyDescent="0.2">
      <c r="A38" s="103" t="s">
        <v>58</v>
      </c>
      <c r="B38" s="145"/>
      <c r="C38" s="106">
        <f>SUM(C32:C37)</f>
        <v>0</v>
      </c>
      <c r="D38" s="106">
        <f>SUM(D32:D37)</f>
        <v>0</v>
      </c>
      <c r="E38" s="106">
        <f>SUM(E32:E37)</f>
        <v>0</v>
      </c>
      <c r="F38" s="106"/>
      <c r="G38" s="99">
        <f>SUM(G32:G37)</f>
        <v>0</v>
      </c>
      <c r="H38" s="99">
        <f>SUM(H32:H37)</f>
        <v>0</v>
      </c>
      <c r="I38" s="99">
        <f>SUM(I32:I37)</f>
        <v>0</v>
      </c>
      <c r="J38" s="106"/>
      <c r="K38" s="99">
        <f>SUM(K32:K37)</f>
        <v>0</v>
      </c>
      <c r="L38" s="99">
        <f>SUM(L32:L37)</f>
        <v>0</v>
      </c>
      <c r="M38" s="99">
        <f>SUM(M32:M37)</f>
        <v>0</v>
      </c>
      <c r="N38" s="106"/>
      <c r="O38" s="99">
        <f>SUM(O32:O37)</f>
        <v>0</v>
      </c>
      <c r="P38" s="99">
        <f>SUM(P32:P37)</f>
        <v>0</v>
      </c>
      <c r="Q38" s="99">
        <f>SUM(Q32:Q37)</f>
        <v>0</v>
      </c>
      <c r="R38" s="106"/>
      <c r="S38" s="99">
        <f>SUM(S32:S37)</f>
        <v>0</v>
      </c>
      <c r="T38" s="99">
        <f>SUM(T32:T37)</f>
        <v>0</v>
      </c>
      <c r="U38" s="99">
        <f>SUM(U32:U37)</f>
        <v>0</v>
      </c>
      <c r="V38" s="106"/>
      <c r="W38" s="99">
        <f>SUM(W32:W37)</f>
        <v>0</v>
      </c>
      <c r="X38" s="99">
        <f>SUM(X32:X37)</f>
        <v>0</v>
      </c>
      <c r="Y38" s="99">
        <f>SUM(Y32:Y37)</f>
        <v>0</v>
      </c>
    </row>
    <row r="39" spans="1:25" ht="3.95" customHeight="1" x14ac:dyDescent="0.2">
      <c r="A39" s="103"/>
      <c r="B39" s="106"/>
      <c r="C39" s="100"/>
      <c r="D39" s="100"/>
      <c r="E39" s="115"/>
      <c r="F39" s="106"/>
      <c r="G39" s="100"/>
      <c r="H39" s="109"/>
      <c r="I39" s="99"/>
      <c r="J39" s="106"/>
      <c r="K39" s="100"/>
      <c r="L39" s="109"/>
      <c r="M39" s="99"/>
      <c r="N39" s="106"/>
      <c r="O39" s="100"/>
      <c r="P39" s="109"/>
      <c r="Q39" s="99"/>
      <c r="R39" s="106"/>
      <c r="S39" s="100"/>
      <c r="T39" s="109"/>
      <c r="U39" s="99"/>
      <c r="V39" s="106"/>
      <c r="W39" s="100"/>
      <c r="X39" s="109"/>
      <c r="Y39" s="99"/>
    </row>
    <row r="40" spans="1:25" x14ac:dyDescent="0.2">
      <c r="A40" s="110" t="s">
        <v>22</v>
      </c>
      <c r="B40" s="113"/>
      <c r="C40" s="111"/>
      <c r="D40" s="111"/>
      <c r="E40" s="112"/>
      <c r="F40" s="113"/>
      <c r="G40" s="111"/>
      <c r="H40" s="112"/>
      <c r="I40" s="99">
        <f>SUM(G40:H40)</f>
        <v>0</v>
      </c>
      <c r="J40" s="113"/>
      <c r="K40" s="111"/>
      <c r="L40" s="112"/>
      <c r="M40" s="99">
        <f>SUM(K40:L40)</f>
        <v>0</v>
      </c>
      <c r="N40" s="113"/>
      <c r="O40" s="111"/>
      <c r="P40" s="112"/>
      <c r="Q40" s="99">
        <f>SUM(O40:P40)</f>
        <v>0</v>
      </c>
      <c r="R40" s="113"/>
      <c r="S40" s="111"/>
      <c r="T40" s="112"/>
      <c r="U40" s="99">
        <f>SUM(S40:T40)</f>
        <v>0</v>
      </c>
      <c r="V40" s="113"/>
      <c r="W40" s="111"/>
      <c r="X40" s="112"/>
      <c r="Y40" s="99">
        <f>SUM(W40:X40)</f>
        <v>0</v>
      </c>
    </row>
    <row r="41" spans="1:25" x14ac:dyDescent="0.2">
      <c r="A41" s="94" t="s">
        <v>12</v>
      </c>
      <c r="B41" s="142"/>
      <c r="C41" s="142"/>
      <c r="D41" s="98"/>
      <c r="E41" s="143">
        <f>SUM(B41:D41)</f>
        <v>0</v>
      </c>
      <c r="F41" s="100"/>
      <c r="G41" s="98"/>
      <c r="H41" s="98"/>
      <c r="I41" s="99">
        <f>SUM(G41:H41)</f>
        <v>0</v>
      </c>
      <c r="J41" s="100"/>
      <c r="K41" s="98"/>
      <c r="L41" s="98"/>
      <c r="M41" s="99">
        <f>SUM(K41:L41)</f>
        <v>0</v>
      </c>
      <c r="N41" s="100"/>
      <c r="O41" s="98"/>
      <c r="P41" s="98"/>
      <c r="Q41" s="99">
        <f>SUM(O41:P41)</f>
        <v>0</v>
      </c>
      <c r="R41" s="100"/>
      <c r="S41" s="98"/>
      <c r="T41" s="98"/>
      <c r="U41" s="99">
        <f>SUM(S41:T41)</f>
        <v>0</v>
      </c>
      <c r="V41" s="100"/>
      <c r="W41" s="98"/>
      <c r="X41" s="98"/>
      <c r="Y41" s="99">
        <f>SUM(W41:X41)</f>
        <v>0</v>
      </c>
    </row>
    <row r="42" spans="1:25" x14ac:dyDescent="0.2">
      <c r="A42" s="94" t="s">
        <v>14</v>
      </c>
      <c r="B42" s="142"/>
      <c r="C42" s="142"/>
      <c r="D42" s="98"/>
      <c r="E42" s="143">
        <f>SUM(B42:D42)</f>
        <v>0</v>
      </c>
      <c r="F42" s="100"/>
      <c r="G42" s="98"/>
      <c r="H42" s="98"/>
      <c r="I42" s="99">
        <f>SUM(G42:H42)</f>
        <v>0</v>
      </c>
      <c r="J42" s="100"/>
      <c r="K42" s="98"/>
      <c r="L42" s="98"/>
      <c r="M42" s="99">
        <f>SUM(K42:L42)</f>
        <v>0</v>
      </c>
      <c r="N42" s="100"/>
      <c r="O42" s="98"/>
      <c r="P42" s="98"/>
      <c r="Q42" s="99">
        <f>SUM(O42:P42)</f>
        <v>0</v>
      </c>
      <c r="R42" s="100"/>
      <c r="S42" s="98"/>
      <c r="T42" s="98"/>
      <c r="U42" s="99">
        <f>SUM(S42:T42)</f>
        <v>0</v>
      </c>
      <c r="V42" s="100"/>
      <c r="W42" s="98"/>
      <c r="X42" s="98"/>
      <c r="Y42" s="99">
        <f>SUM(W42:X42)</f>
        <v>0</v>
      </c>
    </row>
    <row r="43" spans="1:25" x14ac:dyDescent="0.2">
      <c r="A43" s="94" t="s">
        <v>28</v>
      </c>
      <c r="B43" s="142"/>
      <c r="C43" s="142"/>
      <c r="D43" s="98"/>
      <c r="E43" s="143">
        <f>SUM(B43:D43)</f>
        <v>0</v>
      </c>
      <c r="F43" s="100"/>
      <c r="G43" s="98"/>
      <c r="H43" s="98"/>
      <c r="I43" s="99">
        <f>SUM(G43:H43)</f>
        <v>0</v>
      </c>
      <c r="J43" s="100"/>
      <c r="K43" s="98"/>
      <c r="L43" s="98"/>
      <c r="M43" s="99">
        <f>SUM(K43:L43)</f>
        <v>0</v>
      </c>
      <c r="N43" s="100"/>
      <c r="O43" s="98"/>
      <c r="P43" s="98"/>
      <c r="Q43" s="99">
        <f>SUM(O43:P43)</f>
        <v>0</v>
      </c>
      <c r="R43" s="100"/>
      <c r="S43" s="98"/>
      <c r="T43" s="98"/>
      <c r="U43" s="99">
        <f>SUM(S43:T43)</f>
        <v>0</v>
      </c>
      <c r="V43" s="100"/>
      <c r="W43" s="98"/>
      <c r="X43" s="98"/>
      <c r="Y43" s="99">
        <f>SUM(W43:X43)</f>
        <v>0</v>
      </c>
    </row>
    <row r="44" spans="1:25" x14ac:dyDescent="0.2">
      <c r="A44" s="94"/>
      <c r="B44" s="100"/>
      <c r="C44" s="98"/>
      <c r="D44" s="98"/>
      <c r="E44" s="135"/>
      <c r="F44" s="100"/>
      <c r="G44" s="98"/>
      <c r="H44" s="98"/>
      <c r="I44" s="99">
        <f>SUM(G44:H44)</f>
        <v>0</v>
      </c>
      <c r="J44" s="100"/>
      <c r="K44" s="98"/>
      <c r="L44" s="98"/>
      <c r="M44" s="99">
        <f>SUM(K44:L44)</f>
        <v>0</v>
      </c>
      <c r="N44" s="100"/>
      <c r="O44" s="98"/>
      <c r="P44" s="98"/>
      <c r="Q44" s="99">
        <f>SUM(O44:P44)</f>
        <v>0</v>
      </c>
      <c r="R44" s="100"/>
      <c r="S44" s="98"/>
      <c r="T44" s="98"/>
      <c r="U44" s="99">
        <f>SUM(S44:T44)</f>
        <v>0</v>
      </c>
      <c r="V44" s="100"/>
      <c r="W44" s="98"/>
      <c r="X44" s="98"/>
      <c r="Y44" s="99">
        <f>SUM(W44:X44)</f>
        <v>0</v>
      </c>
    </row>
    <row r="45" spans="1:25" s="89" customFormat="1" x14ac:dyDescent="0.2">
      <c r="A45" s="103" t="s">
        <v>58</v>
      </c>
      <c r="B45" s="145"/>
      <c r="C45" s="106">
        <f>SUM(C40:C44)</f>
        <v>0</v>
      </c>
      <c r="D45" s="106">
        <f>SUM(D41:D44)</f>
        <v>0</v>
      </c>
      <c r="E45" s="106">
        <f>SUM(E41:E44)</f>
        <v>0</v>
      </c>
      <c r="F45" s="106"/>
      <c r="G45" s="115">
        <f>SUM(G40:G44)</f>
        <v>0</v>
      </c>
      <c r="H45" s="115">
        <f>SUM(H40:H44)</f>
        <v>0</v>
      </c>
      <c r="I45" s="99">
        <f>SUM(I40:I44)</f>
        <v>0</v>
      </c>
      <c r="J45" s="106"/>
      <c r="K45" s="115">
        <f>SUM(K40:K44)</f>
        <v>0</v>
      </c>
      <c r="L45" s="115">
        <f>SUM(L40:L44)</f>
        <v>0</v>
      </c>
      <c r="M45" s="99">
        <f>SUM(M40:M44)</f>
        <v>0</v>
      </c>
      <c r="N45" s="106"/>
      <c r="O45" s="115">
        <f>SUM(O40:O44)</f>
        <v>0</v>
      </c>
      <c r="P45" s="115">
        <f>SUM(P40:P44)</f>
        <v>0</v>
      </c>
      <c r="Q45" s="99">
        <f>SUM(Q40:Q44)</f>
        <v>0</v>
      </c>
      <c r="R45" s="106"/>
      <c r="S45" s="115">
        <f>SUM(S40:S44)</f>
        <v>0</v>
      </c>
      <c r="T45" s="115">
        <f>SUM(T40:T44)</f>
        <v>0</v>
      </c>
      <c r="U45" s="99">
        <f>SUM(U40:U44)</f>
        <v>0</v>
      </c>
      <c r="V45" s="106"/>
      <c r="W45" s="115">
        <f>SUM(W40:W44)</f>
        <v>0</v>
      </c>
      <c r="X45" s="115">
        <f>SUM(X40:X44)</f>
        <v>0</v>
      </c>
      <c r="Y45" s="99">
        <f>SUM(Y40:Y44)</f>
        <v>0</v>
      </c>
    </row>
    <row r="46" spans="1:25" ht="3.95" customHeight="1" x14ac:dyDescent="0.2">
      <c r="A46" s="103"/>
      <c r="B46" s="106"/>
      <c r="C46" s="100"/>
      <c r="D46" s="100"/>
      <c r="E46" s="115"/>
      <c r="F46" s="106"/>
      <c r="G46" s="100"/>
      <c r="H46" s="109"/>
      <c r="I46" s="99">
        <f>SUM(I40:I44)</f>
        <v>0</v>
      </c>
      <c r="J46" s="106"/>
      <c r="K46" s="100"/>
      <c r="L46" s="109"/>
      <c r="M46" s="99">
        <f>SUM(M40:M44)</f>
        <v>0</v>
      </c>
      <c r="N46" s="106"/>
      <c r="O46" s="100"/>
      <c r="P46" s="109"/>
      <c r="Q46" s="99">
        <f>SUM(Q40:Q44)</f>
        <v>0</v>
      </c>
      <c r="R46" s="106"/>
      <c r="S46" s="100"/>
      <c r="T46" s="109"/>
      <c r="U46" s="99">
        <f>SUM(U40:U44)</f>
        <v>0</v>
      </c>
      <c r="V46" s="106"/>
      <c r="W46" s="100"/>
      <c r="X46" s="109"/>
      <c r="Y46" s="99">
        <f>SUM(Y40:Y44)</f>
        <v>0</v>
      </c>
    </row>
    <row r="47" spans="1:25" ht="17.25" customHeight="1" x14ac:dyDescent="0.2">
      <c r="A47" s="103" t="s">
        <v>134</v>
      </c>
      <c r="B47" s="106"/>
      <c r="C47" s="106">
        <f>C38+C45</f>
        <v>0</v>
      </c>
      <c r="D47" s="106">
        <f>D38+D45</f>
        <v>0</v>
      </c>
      <c r="E47" s="106">
        <f>E38+E45</f>
        <v>0</v>
      </c>
      <c r="F47" s="106"/>
      <c r="G47" s="99">
        <f>G38+G45</f>
        <v>0</v>
      </c>
      <c r="H47" s="115">
        <f>H38+H45</f>
        <v>0</v>
      </c>
      <c r="I47" s="99">
        <f>I38+I45</f>
        <v>0</v>
      </c>
      <c r="J47" s="106"/>
      <c r="K47" s="99">
        <f>K38+K45</f>
        <v>0</v>
      </c>
      <c r="L47" s="115">
        <f>L38+L45</f>
        <v>0</v>
      </c>
      <c r="M47" s="99">
        <f>M38+M45</f>
        <v>0</v>
      </c>
      <c r="N47" s="106"/>
      <c r="O47" s="99">
        <f>O38+O45</f>
        <v>0</v>
      </c>
      <c r="P47" s="115">
        <f>P38+P45</f>
        <v>0</v>
      </c>
      <c r="Q47" s="99">
        <f>Q38+Q45</f>
        <v>0</v>
      </c>
      <c r="R47" s="106"/>
      <c r="S47" s="99">
        <f>S38+S45</f>
        <v>0</v>
      </c>
      <c r="T47" s="115">
        <f>T38+T45</f>
        <v>0</v>
      </c>
      <c r="U47" s="99">
        <f>U38+U45</f>
        <v>0</v>
      </c>
      <c r="V47" s="106"/>
      <c r="W47" s="99">
        <f>W38+W45</f>
        <v>0</v>
      </c>
      <c r="X47" s="115">
        <f>X38+X45</f>
        <v>0</v>
      </c>
      <c r="Y47" s="99">
        <f>Y38+Y45</f>
        <v>0</v>
      </c>
    </row>
    <row r="48" spans="1:25" ht="17.25" customHeight="1" x14ac:dyDescent="0.2">
      <c r="A48" s="116"/>
      <c r="B48" s="122"/>
      <c r="C48" s="120"/>
      <c r="D48" s="120"/>
      <c r="E48" s="146"/>
      <c r="F48" s="122"/>
      <c r="G48" s="120"/>
      <c r="H48" s="121"/>
      <c r="I48" s="122"/>
      <c r="J48" s="122"/>
      <c r="K48" s="120"/>
      <c r="L48" s="121"/>
      <c r="M48" s="122"/>
      <c r="N48" s="122"/>
      <c r="O48" s="120"/>
      <c r="P48" s="121"/>
      <c r="Q48" s="122"/>
      <c r="R48" s="122"/>
      <c r="S48" s="120"/>
      <c r="T48" s="121"/>
      <c r="U48" s="122"/>
      <c r="V48" s="122"/>
      <c r="W48" s="120"/>
      <c r="X48" s="121"/>
      <c r="Y48" s="122"/>
    </row>
    <row r="49" spans="1:25" x14ac:dyDescent="0.2">
      <c r="A49" s="92" t="s">
        <v>64</v>
      </c>
      <c r="B49" s="147"/>
      <c r="C49" s="127"/>
      <c r="D49" s="127"/>
      <c r="E49" s="148"/>
      <c r="F49" s="128"/>
      <c r="G49" s="127"/>
      <c r="H49" s="127"/>
      <c r="I49" s="128"/>
      <c r="J49" s="128"/>
      <c r="K49" s="127"/>
      <c r="L49" s="127"/>
      <c r="M49" s="128"/>
      <c r="N49" s="128"/>
      <c r="O49" s="127"/>
      <c r="P49" s="127"/>
      <c r="Q49" s="128"/>
      <c r="R49" s="128"/>
      <c r="S49" s="127"/>
      <c r="T49" s="127"/>
      <c r="U49" s="128"/>
      <c r="V49" s="128"/>
      <c r="W49" s="127"/>
      <c r="X49" s="127"/>
      <c r="Y49" s="129"/>
    </row>
    <row r="50" spans="1:25" x14ac:dyDescent="0.2">
      <c r="A50" s="130" t="s">
        <v>138</v>
      </c>
      <c r="B50" s="100"/>
      <c r="C50" s="142"/>
      <c r="D50" s="142"/>
      <c r="E50" s="135"/>
      <c r="F50" s="100"/>
      <c r="G50" s="142"/>
      <c r="H50" s="142"/>
      <c r="I50" s="135"/>
      <c r="J50" s="100"/>
      <c r="K50" s="142"/>
      <c r="L50" s="142"/>
      <c r="M50" s="135"/>
      <c r="N50" s="100"/>
      <c r="O50" s="142"/>
      <c r="P50" s="142"/>
      <c r="Q50" s="135"/>
      <c r="R50" s="100"/>
      <c r="S50" s="142"/>
      <c r="T50" s="142"/>
      <c r="U50" s="135"/>
      <c r="V50" s="100"/>
      <c r="W50" s="142"/>
      <c r="X50" s="142"/>
      <c r="Y50" s="135"/>
    </row>
    <row r="51" spans="1:25" x14ac:dyDescent="0.2">
      <c r="A51" s="94"/>
      <c r="B51" s="100"/>
      <c r="C51" s="98"/>
      <c r="D51" s="98"/>
      <c r="E51" s="135"/>
      <c r="F51" s="100"/>
      <c r="G51" s="98"/>
      <c r="H51" s="98"/>
      <c r="I51" s="135"/>
      <c r="J51" s="100"/>
      <c r="K51" s="98"/>
      <c r="L51" s="98"/>
      <c r="M51" s="135"/>
      <c r="N51" s="100"/>
      <c r="O51" s="98"/>
      <c r="P51" s="98"/>
      <c r="Q51" s="135"/>
      <c r="R51" s="100"/>
      <c r="S51" s="98"/>
      <c r="T51" s="98"/>
      <c r="U51" s="135"/>
      <c r="V51" s="100"/>
      <c r="W51" s="98"/>
      <c r="X51" s="98"/>
      <c r="Y51" s="135"/>
    </row>
    <row r="52" spans="1:25" s="89" customFormat="1" x14ac:dyDescent="0.2">
      <c r="A52" s="133" t="s">
        <v>58</v>
      </c>
      <c r="B52" s="106">
        <f>SUM(B50:B51)</f>
        <v>0</v>
      </c>
      <c r="C52" s="106"/>
      <c r="D52" s="106"/>
      <c r="E52" s="106"/>
      <c r="F52" s="106">
        <f>SUM(F50:F51)</f>
        <v>0</v>
      </c>
      <c r="G52" s="106"/>
      <c r="H52" s="106"/>
      <c r="I52" s="106"/>
      <c r="J52" s="106">
        <f>SUM(J50:J51)</f>
        <v>0</v>
      </c>
      <c r="K52" s="106"/>
      <c r="L52" s="106"/>
      <c r="M52" s="106"/>
      <c r="N52" s="106">
        <f>SUM(N50:N51)</f>
        <v>0</v>
      </c>
      <c r="O52" s="106"/>
      <c r="P52" s="106"/>
      <c r="Q52" s="106"/>
      <c r="R52" s="106">
        <f>SUM(R50:R51)</f>
        <v>0</v>
      </c>
      <c r="S52" s="106"/>
      <c r="T52" s="106"/>
      <c r="U52" s="106"/>
      <c r="V52" s="106">
        <f>SUM(V50:V51)</f>
        <v>0</v>
      </c>
      <c r="W52" s="106"/>
      <c r="X52" s="106"/>
      <c r="Y52" s="99"/>
    </row>
    <row r="53" spans="1:25" ht="3.95" customHeight="1" x14ac:dyDescent="0.2">
      <c r="A53" s="103"/>
      <c r="B53" s="100"/>
      <c r="C53" s="100"/>
      <c r="D53" s="100"/>
      <c r="E53" s="115"/>
      <c r="F53" s="100"/>
      <c r="G53" s="100"/>
      <c r="H53" s="100"/>
      <c r="I53" s="115"/>
      <c r="J53" s="100"/>
      <c r="K53" s="100"/>
      <c r="L53" s="100"/>
      <c r="M53" s="115"/>
      <c r="N53" s="100"/>
      <c r="O53" s="100"/>
      <c r="P53" s="100"/>
      <c r="Q53" s="115"/>
      <c r="R53" s="100"/>
      <c r="S53" s="100"/>
      <c r="T53" s="100"/>
      <c r="U53" s="115"/>
      <c r="V53" s="100"/>
      <c r="W53" s="100"/>
      <c r="X53" s="100"/>
      <c r="Y53" s="115"/>
    </row>
    <row r="54" spans="1:25" s="150" customFormat="1" x14ac:dyDescent="0.2">
      <c r="A54" s="103" t="s">
        <v>139</v>
      </c>
      <c r="B54" s="149">
        <f>B52</f>
        <v>0</v>
      </c>
      <c r="C54" s="149" t="s">
        <v>140</v>
      </c>
      <c r="D54" s="149" t="s">
        <v>140</v>
      </c>
      <c r="E54" s="149" t="s">
        <v>140</v>
      </c>
      <c r="F54" s="149">
        <f>F52</f>
        <v>0</v>
      </c>
      <c r="G54" s="149" t="s">
        <v>140</v>
      </c>
      <c r="H54" s="149" t="s">
        <v>140</v>
      </c>
      <c r="I54" s="149" t="s">
        <v>140</v>
      </c>
      <c r="J54" s="149">
        <f>J52</f>
        <v>0</v>
      </c>
      <c r="K54" s="149" t="s">
        <v>140</v>
      </c>
      <c r="L54" s="149" t="s">
        <v>140</v>
      </c>
      <c r="M54" s="149" t="s">
        <v>140</v>
      </c>
      <c r="N54" s="149">
        <f>N52</f>
        <v>0</v>
      </c>
      <c r="O54" s="149" t="s">
        <v>140</v>
      </c>
      <c r="P54" s="149" t="s">
        <v>140</v>
      </c>
      <c r="Q54" s="149" t="s">
        <v>140</v>
      </c>
      <c r="R54" s="149">
        <f>R52</f>
        <v>0</v>
      </c>
      <c r="S54" s="149" t="s">
        <v>140</v>
      </c>
      <c r="T54" s="149" t="s">
        <v>140</v>
      </c>
      <c r="U54" s="149" t="s">
        <v>140</v>
      </c>
      <c r="V54" s="149">
        <f>V52</f>
        <v>0</v>
      </c>
      <c r="W54" s="149" t="s">
        <v>140</v>
      </c>
      <c r="X54" s="149" t="s">
        <v>140</v>
      </c>
      <c r="Y54" s="149" t="s">
        <v>140</v>
      </c>
    </row>
    <row r="55" spans="1:25" s="156" customFormat="1" x14ac:dyDescent="0.2">
      <c r="A55" s="138"/>
      <c r="B55" s="151"/>
      <c r="C55" s="151"/>
      <c r="D55" s="151"/>
      <c r="E55" s="152"/>
      <c r="F55" s="153"/>
      <c r="G55" s="154"/>
      <c r="H55" s="155"/>
      <c r="I55" s="153"/>
      <c r="J55" s="153"/>
      <c r="K55" s="154"/>
      <c r="L55" s="155"/>
      <c r="M55" s="153"/>
      <c r="N55" s="153"/>
      <c r="O55" s="154"/>
      <c r="P55" s="155"/>
      <c r="Q55" s="153"/>
      <c r="R55" s="153"/>
      <c r="S55" s="154"/>
      <c r="T55" s="155"/>
      <c r="U55" s="153"/>
      <c r="V55" s="153"/>
      <c r="W55" s="154"/>
      <c r="X55" s="155"/>
      <c r="Y55" s="153"/>
    </row>
    <row r="56" spans="1:25" x14ac:dyDescent="0.2">
      <c r="A56" s="138" t="s">
        <v>25</v>
      </c>
      <c r="B56" s="138"/>
      <c r="C56" s="140"/>
      <c r="D56" s="140"/>
      <c r="E56" s="140"/>
      <c r="F56" s="138"/>
      <c r="G56" s="140"/>
      <c r="H56" s="140"/>
      <c r="I56" s="138"/>
      <c r="J56" s="138"/>
      <c r="K56" s="140"/>
      <c r="L56" s="140"/>
      <c r="M56" s="138"/>
      <c r="N56" s="138"/>
      <c r="O56" s="140"/>
      <c r="P56" s="140"/>
      <c r="Q56" s="138"/>
      <c r="R56" s="138"/>
      <c r="S56" s="140"/>
      <c r="T56" s="140"/>
      <c r="U56" s="138"/>
      <c r="V56" s="138"/>
      <c r="W56" s="140"/>
      <c r="X56" s="140"/>
      <c r="Y56" s="138"/>
    </row>
    <row r="57" spans="1:25" x14ac:dyDescent="0.2">
      <c r="A57" s="138"/>
      <c r="B57" s="138"/>
      <c r="C57" s="140"/>
      <c r="D57" s="140"/>
      <c r="E57" s="140"/>
      <c r="F57" s="138"/>
      <c r="G57" s="140"/>
      <c r="H57" s="140"/>
      <c r="I57" s="138"/>
      <c r="J57" s="138"/>
      <c r="K57" s="140"/>
      <c r="L57" s="140"/>
      <c r="M57" s="138"/>
      <c r="N57" s="138"/>
      <c r="O57" s="140"/>
      <c r="P57" s="140"/>
      <c r="Q57" s="138"/>
      <c r="R57" s="138"/>
      <c r="S57" s="140"/>
      <c r="T57" s="140"/>
      <c r="U57" s="138"/>
      <c r="V57" s="138"/>
      <c r="W57" s="140"/>
      <c r="X57" s="140"/>
      <c r="Y57" s="138"/>
    </row>
    <row r="58" spans="1:25" x14ac:dyDescent="0.2">
      <c r="A58" s="138"/>
      <c r="B58" s="138"/>
      <c r="C58" s="140"/>
      <c r="D58" s="140"/>
      <c r="E58" s="140"/>
      <c r="F58" s="138"/>
      <c r="G58" s="140"/>
      <c r="H58" s="140"/>
      <c r="I58" s="138"/>
      <c r="J58" s="138"/>
      <c r="K58" s="140"/>
      <c r="L58" s="140"/>
      <c r="M58" s="138"/>
      <c r="N58" s="138"/>
      <c r="O58" s="140"/>
      <c r="P58" s="140"/>
      <c r="Q58" s="138"/>
      <c r="R58" s="138"/>
      <c r="S58" s="140"/>
      <c r="T58" s="140"/>
      <c r="U58" s="138"/>
      <c r="V58" s="138"/>
      <c r="W58" s="140"/>
      <c r="X58" s="140"/>
      <c r="Y58" s="138"/>
    </row>
    <row r="60" spans="1:25" x14ac:dyDescent="0.2">
      <c r="A60" s="138" t="s">
        <v>131</v>
      </c>
      <c r="B60" s="138" t="s">
        <v>145</v>
      </c>
      <c r="D60" s="140"/>
      <c r="G60" s="140"/>
      <c r="I60" s="138"/>
      <c r="K60" s="140"/>
      <c r="M60" s="138"/>
      <c r="N60" s="157"/>
      <c r="O60" s="140"/>
      <c r="P60" s="140"/>
      <c r="Q60" s="157"/>
      <c r="R60" s="157"/>
      <c r="S60" s="140"/>
      <c r="T60" s="140"/>
      <c r="U60" s="157"/>
      <c r="V60" s="157"/>
      <c r="W60" s="140"/>
      <c r="X60" s="140"/>
      <c r="Y60" s="157"/>
    </row>
    <row r="61" spans="1:25" x14ac:dyDescent="0.2">
      <c r="A61" s="138" t="s">
        <v>146</v>
      </c>
      <c r="B61" s="138" t="s">
        <v>147</v>
      </c>
      <c r="D61" s="140"/>
      <c r="G61" s="140"/>
      <c r="I61" s="138"/>
      <c r="K61" s="140"/>
      <c r="M61" s="138"/>
      <c r="N61" s="157"/>
      <c r="O61" s="140"/>
      <c r="P61" s="140"/>
      <c r="Q61" s="157"/>
      <c r="R61" s="157"/>
      <c r="S61" s="140"/>
      <c r="T61" s="140"/>
      <c r="U61" s="157"/>
      <c r="V61" s="157"/>
      <c r="W61" s="140"/>
      <c r="X61" s="140"/>
      <c r="Y61" s="157"/>
    </row>
    <row r="62" spans="1:25" x14ac:dyDescent="0.2">
      <c r="A62" s="138" t="s">
        <v>133</v>
      </c>
      <c r="B62" s="138" t="s">
        <v>148</v>
      </c>
      <c r="D62" s="140"/>
      <c r="G62" s="140"/>
      <c r="I62" s="138"/>
      <c r="K62" s="140"/>
      <c r="M62" s="138"/>
    </row>
    <row r="63" spans="1:25" x14ac:dyDescent="0.2">
      <c r="A63" s="138" t="s">
        <v>134</v>
      </c>
      <c r="B63" s="138" t="s">
        <v>149</v>
      </c>
      <c r="D63" s="140"/>
      <c r="F63" s="158"/>
      <c r="I63" s="158"/>
      <c r="J63" s="158"/>
      <c r="M63" s="158"/>
      <c r="N63" s="158"/>
      <c r="Q63" s="158"/>
      <c r="R63" s="158"/>
      <c r="U63" s="158"/>
      <c r="V63" s="158"/>
      <c r="Y63" s="158"/>
    </row>
    <row r="64" spans="1:25" x14ac:dyDescent="0.2">
      <c r="A64" s="138" t="s">
        <v>150</v>
      </c>
      <c r="B64" s="138" t="s">
        <v>151</v>
      </c>
      <c r="D64" s="140"/>
      <c r="G64" s="140"/>
      <c r="I64" s="138"/>
      <c r="K64" s="140"/>
      <c r="M64" s="138"/>
      <c r="N64" s="157"/>
      <c r="O64" s="140"/>
      <c r="P64" s="140"/>
      <c r="Q64" s="157"/>
      <c r="R64" s="157"/>
      <c r="S64" s="140"/>
      <c r="T64" s="140"/>
      <c r="U64" s="157"/>
      <c r="V64" s="157"/>
      <c r="W64" s="140"/>
      <c r="X64" s="140"/>
      <c r="Y64" s="157"/>
    </row>
    <row r="65" spans="1:25" x14ac:dyDescent="0.2">
      <c r="A65" s="158"/>
      <c r="B65" s="158"/>
      <c r="F65" s="158"/>
      <c r="I65" s="158"/>
      <c r="J65" s="158"/>
      <c r="M65" s="158"/>
      <c r="N65" s="158"/>
      <c r="Q65" s="158"/>
      <c r="R65" s="158"/>
      <c r="U65" s="158"/>
      <c r="V65" s="158"/>
      <c r="Y65" s="158"/>
    </row>
    <row r="66" spans="1:25" x14ac:dyDescent="0.2">
      <c r="A66" s="158"/>
      <c r="B66" s="158"/>
      <c r="F66" s="158"/>
      <c r="I66" s="158"/>
      <c r="J66" s="158"/>
      <c r="M66" s="158"/>
      <c r="N66" s="158"/>
      <c r="Q66" s="158"/>
      <c r="R66" s="158"/>
      <c r="U66" s="158"/>
      <c r="V66" s="158"/>
      <c r="Y66" s="158"/>
    </row>
    <row r="67" spans="1:25" x14ac:dyDescent="0.2">
      <c r="A67" s="158"/>
      <c r="B67" s="158"/>
      <c r="F67" s="158"/>
      <c r="I67" s="158"/>
      <c r="J67" s="158"/>
      <c r="M67" s="158"/>
      <c r="N67" s="158"/>
      <c r="Q67" s="158"/>
      <c r="R67" s="158"/>
      <c r="U67" s="158"/>
      <c r="V67" s="158"/>
      <c r="Y67" s="158"/>
    </row>
    <row r="68" spans="1:25" x14ac:dyDescent="0.2">
      <c r="A68" s="158"/>
      <c r="B68" s="158"/>
      <c r="F68" s="158"/>
      <c r="I68" s="158"/>
      <c r="J68" s="158"/>
      <c r="M68" s="158"/>
      <c r="N68" s="158"/>
      <c r="Q68" s="158"/>
      <c r="R68" s="158"/>
      <c r="U68" s="158"/>
      <c r="V68" s="158"/>
      <c r="Y68" s="158"/>
    </row>
  </sheetData>
  <mergeCells count="12">
    <mergeCell ref="B3:E3"/>
    <mergeCell ref="F3:I3"/>
    <mergeCell ref="B30:E30"/>
    <mergeCell ref="F30:I30"/>
    <mergeCell ref="V3:Y3"/>
    <mergeCell ref="R30:U30"/>
    <mergeCell ref="V30:Y30"/>
    <mergeCell ref="N30:Q30"/>
    <mergeCell ref="J30:M30"/>
    <mergeCell ref="J3:M3"/>
    <mergeCell ref="N3:Q3"/>
    <mergeCell ref="R3:U3"/>
  </mergeCells>
  <phoneticPr fontId="0" type="noConversion"/>
  <printOptions horizontalCentered="1" verticalCentered="1"/>
  <pageMargins left="0" right="0" top="1" bottom="1" header="0.5" footer="0.5"/>
  <pageSetup scale="44" orientation="landscape" cellComments="asDisplayed" r:id="rId1"/>
  <headerFooter alignWithMargins="0">
    <oddHeader xml:space="preserve">&amp;C&amp;"Arial,Bold"San Diego Gas and Electric
Program Subscription Statistics
AUGUST 2013
</oddHead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showGridLines="0" view="pageBreakPreview" zoomScale="60" zoomScaleNormal="85" workbookViewId="0">
      <pane xSplit="1" topLeftCell="H1" activePane="topRight" state="frozen"/>
      <selection activeCell="I16" sqref="I16"/>
      <selection pane="topRight" activeCell="Q45" sqref="Q45"/>
    </sheetView>
  </sheetViews>
  <sheetFormatPr defaultRowHeight="12.75" x14ac:dyDescent="0.2"/>
  <cols>
    <col min="1" max="1" width="60" style="199" customWidth="1"/>
    <col min="2" max="2" width="16.140625" style="199" customWidth="1"/>
    <col min="3" max="3" width="13" style="199" customWidth="1"/>
    <col min="4" max="4" width="11.42578125" style="199" customWidth="1"/>
    <col min="5" max="5" width="11.85546875" style="199" customWidth="1"/>
    <col min="6" max="6" width="12" style="199" customWidth="1"/>
    <col min="7" max="7" width="10.7109375" style="199" customWidth="1"/>
    <col min="8" max="10" width="11.7109375" style="199" bestFit="1" customWidth="1"/>
    <col min="11" max="11" width="12" style="199" customWidth="1"/>
    <col min="12" max="12" width="10.7109375" style="199" customWidth="1"/>
    <col min="13" max="13" width="11.85546875" style="199" customWidth="1"/>
    <col min="14" max="14" width="11.7109375" style="199" customWidth="1"/>
    <col min="15" max="15" width="14.28515625" style="199" bestFit="1" customWidth="1"/>
    <col min="16" max="16" width="16" style="199" customWidth="1"/>
    <col min="17" max="17" width="13.140625" style="167" bestFit="1" customWidth="1"/>
    <col min="18" max="18" width="14.7109375" style="167" customWidth="1"/>
    <col min="19" max="19" width="13.42578125" style="199" bestFit="1" customWidth="1"/>
    <col min="20" max="16384" width="9.140625" style="199"/>
  </cols>
  <sheetData>
    <row r="1" spans="1:19" s="167" customFormat="1" x14ac:dyDescent="0.2">
      <c r="A1" s="166" t="s">
        <v>62</v>
      </c>
    </row>
    <row r="2" spans="1:19" s="167" customFormat="1" ht="13.5" thickBot="1" x14ac:dyDescent="0.25"/>
    <row r="3" spans="1:19" s="167" customFormat="1" x14ac:dyDescent="0.2">
      <c r="A3" s="168"/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1"/>
      <c r="O3" s="171"/>
      <c r="P3" s="171"/>
      <c r="Q3" s="172"/>
      <c r="R3" s="172"/>
      <c r="S3" s="172"/>
    </row>
    <row r="4" spans="1:19" s="167" customFormat="1" ht="7.5" customHeight="1" x14ac:dyDescent="0.2">
      <c r="A4" s="173"/>
      <c r="B4" s="174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6"/>
      <c r="O4" s="176"/>
      <c r="P4" s="176"/>
      <c r="Q4" s="177"/>
      <c r="R4" s="177"/>
      <c r="S4" s="177"/>
    </row>
    <row r="5" spans="1:19" s="167" customFormat="1" ht="57.75" customHeight="1" x14ac:dyDescent="0.2">
      <c r="A5" s="178" t="s">
        <v>18</v>
      </c>
      <c r="B5" s="179" t="s">
        <v>166</v>
      </c>
      <c r="C5" s="180" t="s">
        <v>0</v>
      </c>
      <c r="D5" s="180" t="s">
        <v>1</v>
      </c>
      <c r="E5" s="180" t="s">
        <v>2</v>
      </c>
      <c r="F5" s="180" t="s">
        <v>3</v>
      </c>
      <c r="G5" s="180" t="s">
        <v>4</v>
      </c>
      <c r="H5" s="180" t="s">
        <v>5</v>
      </c>
      <c r="I5" s="180" t="s">
        <v>6</v>
      </c>
      <c r="J5" s="180" t="s">
        <v>7</v>
      </c>
      <c r="K5" s="180" t="s">
        <v>8</v>
      </c>
      <c r="L5" s="180" t="s">
        <v>9</v>
      </c>
      <c r="M5" s="180" t="s">
        <v>10</v>
      </c>
      <c r="N5" s="180" t="s">
        <v>11</v>
      </c>
      <c r="O5" s="181" t="s">
        <v>250</v>
      </c>
      <c r="P5" s="181" t="s">
        <v>167</v>
      </c>
      <c r="Q5" s="181" t="s">
        <v>49</v>
      </c>
      <c r="R5" s="181" t="s">
        <v>60</v>
      </c>
      <c r="S5" s="181" t="s">
        <v>48</v>
      </c>
    </row>
    <row r="6" spans="1:19" s="167" customFormat="1" x14ac:dyDescent="0.2">
      <c r="A6" s="182" t="s">
        <v>168</v>
      </c>
      <c r="B6" s="183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5"/>
      <c r="P6" s="185" t="s">
        <v>13</v>
      </c>
      <c r="Q6" s="186"/>
      <c r="R6" s="186"/>
      <c r="S6" s="186"/>
    </row>
    <row r="7" spans="1:19" s="167" customFormat="1" x14ac:dyDescent="0.2">
      <c r="A7" s="187" t="s">
        <v>119</v>
      </c>
      <c r="B7" s="188">
        <v>470302</v>
      </c>
      <c r="C7" s="184">
        <v>4471</v>
      </c>
      <c r="D7" s="184">
        <v>8089</v>
      </c>
      <c r="E7" s="184">
        <v>10316</v>
      </c>
      <c r="F7" s="184">
        <v>16216</v>
      </c>
      <c r="G7" s="184">
        <v>14530</v>
      </c>
      <c r="H7" s="184">
        <v>30194</v>
      </c>
      <c r="I7" s="184">
        <v>9122</v>
      </c>
      <c r="J7" s="184">
        <v>20884</v>
      </c>
      <c r="K7" s="184">
        <v>0</v>
      </c>
      <c r="L7" s="184">
        <v>0</v>
      </c>
      <c r="M7" s="184">
        <v>0</v>
      </c>
      <c r="N7" s="184">
        <v>0</v>
      </c>
      <c r="O7" s="190">
        <f>SUM(C7:N7)</f>
        <v>113822</v>
      </c>
      <c r="P7" s="190">
        <f>+B7+O7</f>
        <v>584124</v>
      </c>
      <c r="Q7" s="191">
        <v>2214267</v>
      </c>
      <c r="R7" s="191">
        <v>-1800000</v>
      </c>
      <c r="S7" s="192">
        <f>+P7/Q7</f>
        <v>0.26380016502074954</v>
      </c>
    </row>
    <row r="8" spans="1:19" s="167" customFormat="1" x14ac:dyDescent="0.2">
      <c r="A8" s="187" t="s">
        <v>188</v>
      </c>
      <c r="B8" s="188">
        <v>0</v>
      </c>
      <c r="C8" s="184">
        <v>0</v>
      </c>
      <c r="D8" s="184">
        <v>42470</v>
      </c>
      <c r="E8" s="184">
        <v>409</v>
      </c>
      <c r="F8" s="184">
        <v>450</v>
      </c>
      <c r="G8" s="184">
        <v>484</v>
      </c>
      <c r="H8" s="184">
        <v>387</v>
      </c>
      <c r="I8" s="184">
        <v>450</v>
      </c>
      <c r="J8" s="184">
        <v>286</v>
      </c>
      <c r="K8" s="184">
        <v>0</v>
      </c>
      <c r="L8" s="184">
        <v>0</v>
      </c>
      <c r="M8" s="184">
        <v>0</v>
      </c>
      <c r="N8" s="184">
        <v>0</v>
      </c>
      <c r="O8" s="190">
        <f>SUM(C8:N8)</f>
        <v>44936</v>
      </c>
      <c r="P8" s="190">
        <f>+B8+O8</f>
        <v>44936</v>
      </c>
      <c r="Q8" s="191">
        <v>1800000</v>
      </c>
      <c r="R8" s="191">
        <v>1800000</v>
      </c>
      <c r="S8" s="192"/>
    </row>
    <row r="9" spans="1:19" s="167" customFormat="1" x14ac:dyDescent="0.2">
      <c r="A9" s="194" t="s">
        <v>29</v>
      </c>
      <c r="B9" s="195">
        <f>SUM(B7)</f>
        <v>470302</v>
      </c>
      <c r="C9" s="196">
        <f>SUM(C7:C8)</f>
        <v>4471</v>
      </c>
      <c r="D9" s="196">
        <f>SUM(D7:D8)</f>
        <v>50559</v>
      </c>
      <c r="E9" s="196">
        <f t="shared" ref="E9:S9" si="0">SUM(E7:E8)</f>
        <v>10725</v>
      </c>
      <c r="F9" s="196">
        <f t="shared" si="0"/>
        <v>16666</v>
      </c>
      <c r="G9" s="196">
        <f t="shared" si="0"/>
        <v>15014</v>
      </c>
      <c r="H9" s="196">
        <f t="shared" si="0"/>
        <v>30581</v>
      </c>
      <c r="I9" s="196">
        <f t="shared" si="0"/>
        <v>9572</v>
      </c>
      <c r="J9" s="196">
        <f t="shared" si="0"/>
        <v>21170</v>
      </c>
      <c r="K9" s="196">
        <f t="shared" si="0"/>
        <v>0</v>
      </c>
      <c r="L9" s="196">
        <f t="shared" si="0"/>
        <v>0</v>
      </c>
      <c r="M9" s="196">
        <f t="shared" si="0"/>
        <v>0</v>
      </c>
      <c r="N9" s="196">
        <f t="shared" si="0"/>
        <v>0</v>
      </c>
      <c r="O9" s="197">
        <f t="shared" si="0"/>
        <v>158758</v>
      </c>
      <c r="P9" s="197">
        <f t="shared" si="0"/>
        <v>629060</v>
      </c>
      <c r="Q9" s="197">
        <f t="shared" si="0"/>
        <v>4014267</v>
      </c>
      <c r="R9" s="197">
        <f t="shared" si="0"/>
        <v>0</v>
      </c>
      <c r="S9" s="198">
        <f t="shared" si="0"/>
        <v>0.26380016502074954</v>
      </c>
    </row>
    <row r="10" spans="1:19" s="167" customFormat="1" x14ac:dyDescent="0.2">
      <c r="A10" s="187"/>
      <c r="B10" s="188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90"/>
      <c r="P10" s="190"/>
      <c r="Q10" s="191"/>
      <c r="R10" s="191"/>
      <c r="S10" s="192"/>
    </row>
    <row r="11" spans="1:19" s="167" customFormat="1" x14ac:dyDescent="0.2">
      <c r="A11" s="182" t="s">
        <v>35</v>
      </c>
      <c r="B11" s="188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90"/>
      <c r="P11" s="190"/>
      <c r="Q11" s="191"/>
      <c r="R11" s="191"/>
      <c r="S11" s="192"/>
    </row>
    <row r="12" spans="1:19" s="167" customFormat="1" x14ac:dyDescent="0.2">
      <c r="A12" s="200" t="s">
        <v>120</v>
      </c>
      <c r="B12" s="188">
        <v>1769746</v>
      </c>
      <c r="C12" s="184">
        <v>42655</v>
      </c>
      <c r="D12" s="184">
        <v>15238</v>
      </c>
      <c r="E12" s="184">
        <v>42018</v>
      </c>
      <c r="F12" s="184">
        <v>3591</v>
      </c>
      <c r="G12" s="184">
        <v>20447</v>
      </c>
      <c r="H12" s="184">
        <v>192606</v>
      </c>
      <c r="I12" s="184">
        <v>71228</v>
      </c>
      <c r="J12" s="184">
        <v>110961</v>
      </c>
      <c r="K12" s="184">
        <v>0</v>
      </c>
      <c r="L12" s="184">
        <v>0</v>
      </c>
      <c r="M12" s="184">
        <v>0</v>
      </c>
      <c r="N12" s="184">
        <v>0</v>
      </c>
      <c r="O12" s="190">
        <f>SUM(C12:N12)</f>
        <v>498744</v>
      </c>
      <c r="P12" s="190">
        <f>B12+O12</f>
        <v>2268490</v>
      </c>
      <c r="Q12" s="190">
        <v>5389000</v>
      </c>
      <c r="R12" s="190">
        <v>-6400000</v>
      </c>
      <c r="S12" s="192">
        <f>+P12/Q12</f>
        <v>0.42094822787159025</v>
      </c>
    </row>
    <row r="13" spans="1:19" s="167" customFormat="1" x14ac:dyDescent="0.2">
      <c r="A13" s="200" t="s">
        <v>169</v>
      </c>
      <c r="B13" s="188">
        <v>1493153</v>
      </c>
      <c r="C13" s="184">
        <f>9669+5943</f>
        <v>15612</v>
      </c>
      <c r="D13" s="184">
        <f>17332-2482</f>
        <v>14850</v>
      </c>
      <c r="E13" s="184">
        <f>9813+441</f>
        <v>10254</v>
      </c>
      <c r="F13" s="184">
        <f>20168-5035</f>
        <v>15133</v>
      </c>
      <c r="G13" s="184">
        <v>20603</v>
      </c>
      <c r="H13" s="184">
        <v>-22914</v>
      </c>
      <c r="I13" s="184">
        <v>17990</v>
      </c>
      <c r="J13" s="184">
        <v>8773</v>
      </c>
      <c r="K13" s="184">
        <v>0</v>
      </c>
      <c r="L13" s="184">
        <v>0</v>
      </c>
      <c r="M13" s="184">
        <v>0</v>
      </c>
      <c r="N13" s="184">
        <v>0</v>
      </c>
      <c r="O13" s="190">
        <f>SUM(C13:N13)</f>
        <v>80301</v>
      </c>
      <c r="P13" s="190">
        <f>B13+O13</f>
        <v>1573454</v>
      </c>
      <c r="Q13" s="191">
        <f>485000+6400000</f>
        <v>6885000</v>
      </c>
      <c r="R13" s="191">
        <v>6400000</v>
      </c>
      <c r="S13" s="192">
        <f>+P13/Q13</f>
        <v>0.22853362381989833</v>
      </c>
    </row>
    <row r="14" spans="1:19" s="167" customFormat="1" x14ac:dyDescent="0.2">
      <c r="A14" s="201" t="s">
        <v>30</v>
      </c>
      <c r="B14" s="195">
        <f>SUM(B12:B13)</f>
        <v>3262899</v>
      </c>
      <c r="C14" s="196">
        <f>SUM(C12:C13)</f>
        <v>58267</v>
      </c>
      <c r="D14" s="196">
        <f>SUM(D12:D13)</f>
        <v>30088</v>
      </c>
      <c r="E14" s="196">
        <f t="shared" ref="E14:S14" si="1">SUM(E12:E13)</f>
        <v>52272</v>
      </c>
      <c r="F14" s="196">
        <f t="shared" si="1"/>
        <v>18724</v>
      </c>
      <c r="G14" s="196">
        <f t="shared" si="1"/>
        <v>41050</v>
      </c>
      <c r="H14" s="196">
        <f t="shared" si="1"/>
        <v>169692</v>
      </c>
      <c r="I14" s="196">
        <f t="shared" si="1"/>
        <v>89218</v>
      </c>
      <c r="J14" s="196">
        <f t="shared" si="1"/>
        <v>119734</v>
      </c>
      <c r="K14" s="196">
        <f t="shared" si="1"/>
        <v>0</v>
      </c>
      <c r="L14" s="196">
        <f t="shared" si="1"/>
        <v>0</v>
      </c>
      <c r="M14" s="196">
        <f t="shared" si="1"/>
        <v>0</v>
      </c>
      <c r="N14" s="196">
        <f t="shared" si="1"/>
        <v>0</v>
      </c>
      <c r="O14" s="197">
        <f t="shared" si="1"/>
        <v>579045</v>
      </c>
      <c r="P14" s="197">
        <f t="shared" si="1"/>
        <v>3841944</v>
      </c>
      <c r="Q14" s="197">
        <f t="shared" si="1"/>
        <v>12274000</v>
      </c>
      <c r="R14" s="197">
        <f t="shared" si="1"/>
        <v>0</v>
      </c>
      <c r="S14" s="204">
        <f t="shared" si="1"/>
        <v>0.64948185169148864</v>
      </c>
    </row>
    <row r="15" spans="1:19" s="167" customFormat="1" x14ac:dyDescent="0.2">
      <c r="A15" s="341"/>
      <c r="B15" s="188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90"/>
      <c r="P15" s="190"/>
      <c r="Q15" s="191"/>
      <c r="R15" s="191"/>
      <c r="S15" s="192"/>
    </row>
    <row r="16" spans="1:19" s="167" customFormat="1" x14ac:dyDescent="0.2">
      <c r="A16" s="182" t="s">
        <v>170</v>
      </c>
      <c r="B16" s="188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90"/>
      <c r="P16" s="190"/>
      <c r="Q16" s="191"/>
      <c r="R16" s="191"/>
      <c r="S16" s="192"/>
    </row>
    <row r="17" spans="1:19" s="167" customFormat="1" x14ac:dyDescent="0.2">
      <c r="A17" s="200" t="s">
        <v>123</v>
      </c>
      <c r="B17" s="188">
        <v>635829</v>
      </c>
      <c r="C17" s="184">
        <v>89881</v>
      </c>
      <c r="D17" s="184">
        <v>50250</v>
      </c>
      <c r="E17" s="184">
        <v>11207</v>
      </c>
      <c r="F17" s="184">
        <v>60638</v>
      </c>
      <c r="G17" s="184">
        <v>25049</v>
      </c>
      <c r="H17" s="184">
        <v>59922</v>
      </c>
      <c r="I17" s="184">
        <v>17815</v>
      </c>
      <c r="J17" s="184">
        <v>8311</v>
      </c>
      <c r="K17" s="184">
        <v>0</v>
      </c>
      <c r="L17" s="184">
        <v>0</v>
      </c>
      <c r="M17" s="184">
        <v>0</v>
      </c>
      <c r="N17" s="184">
        <v>0</v>
      </c>
      <c r="O17" s="190">
        <f>SUM(C17:N17)</f>
        <v>323073</v>
      </c>
      <c r="P17" s="190">
        <f>B17+O17</f>
        <v>958902</v>
      </c>
      <c r="Q17" s="190">
        <v>2111000</v>
      </c>
      <c r="R17" s="190"/>
      <c r="S17" s="192">
        <f>P17/Q17</f>
        <v>0.45424064424443394</v>
      </c>
    </row>
    <row r="18" spans="1:19" s="167" customFormat="1" x14ac:dyDescent="0.2">
      <c r="A18" s="200" t="s">
        <v>171</v>
      </c>
      <c r="B18" s="188">
        <v>43402</v>
      </c>
      <c r="C18" s="184">
        <v>5767</v>
      </c>
      <c r="D18" s="184">
        <v>6269</v>
      </c>
      <c r="E18" s="184">
        <v>7333</v>
      </c>
      <c r="F18" s="184">
        <v>6554</v>
      </c>
      <c r="G18" s="184">
        <v>10829</v>
      </c>
      <c r="H18" s="184">
        <v>46803</v>
      </c>
      <c r="I18" s="184">
        <v>74382</v>
      </c>
      <c r="J18" s="184">
        <v>27917</v>
      </c>
      <c r="K18" s="184">
        <v>0</v>
      </c>
      <c r="L18" s="184">
        <v>0</v>
      </c>
      <c r="M18" s="184">
        <v>0</v>
      </c>
      <c r="N18" s="184">
        <v>0</v>
      </c>
      <c r="O18" s="190">
        <f>SUM(C18:N18)</f>
        <v>185854</v>
      </c>
      <c r="P18" s="190">
        <f>B18+O18</f>
        <v>229256</v>
      </c>
      <c r="Q18" s="190">
        <v>9464167</v>
      </c>
      <c r="R18" s="190"/>
      <c r="S18" s="192">
        <f>P18/Q18</f>
        <v>2.4223579317651518E-2</v>
      </c>
    </row>
    <row r="19" spans="1:19" s="167" customFormat="1" x14ac:dyDescent="0.2">
      <c r="A19" s="200" t="s">
        <v>122</v>
      </c>
      <c r="B19" s="188">
        <v>683867</v>
      </c>
      <c r="C19" s="184">
        <v>25542</v>
      </c>
      <c r="D19" s="184">
        <v>24565</v>
      </c>
      <c r="E19" s="184">
        <v>5526</v>
      </c>
      <c r="F19" s="184">
        <v>28890</v>
      </c>
      <c r="G19" s="184">
        <v>14366</v>
      </c>
      <c r="H19" s="184">
        <v>17735</v>
      </c>
      <c r="I19" s="184">
        <v>21198</v>
      </c>
      <c r="J19" s="184">
        <v>32439</v>
      </c>
      <c r="K19" s="184">
        <v>0</v>
      </c>
      <c r="L19" s="184">
        <v>0</v>
      </c>
      <c r="M19" s="184">
        <v>0</v>
      </c>
      <c r="N19" s="184">
        <v>0</v>
      </c>
      <c r="O19" s="190">
        <f>SUM(C19:N19)</f>
        <v>170261</v>
      </c>
      <c r="P19" s="190">
        <f>B19+O19</f>
        <v>854128</v>
      </c>
      <c r="Q19" s="190">
        <v>8973000</v>
      </c>
      <c r="R19" s="190"/>
      <c r="S19" s="192">
        <f>P19/Q19</f>
        <v>9.518867714253873E-2</v>
      </c>
    </row>
    <row r="20" spans="1:19" s="167" customFormat="1" x14ac:dyDescent="0.2">
      <c r="A20" s="201" t="s">
        <v>36</v>
      </c>
      <c r="B20" s="195">
        <f t="shared" ref="B20:R20" si="2">SUM(B17:B19)</f>
        <v>1363098</v>
      </c>
      <c r="C20" s="196">
        <f t="shared" si="2"/>
        <v>121190</v>
      </c>
      <c r="D20" s="196">
        <f t="shared" si="2"/>
        <v>81084</v>
      </c>
      <c r="E20" s="196">
        <f t="shared" si="2"/>
        <v>24066</v>
      </c>
      <c r="F20" s="196">
        <f t="shared" si="2"/>
        <v>96082</v>
      </c>
      <c r="G20" s="196">
        <f t="shared" si="2"/>
        <v>50244</v>
      </c>
      <c r="H20" s="196">
        <f t="shared" si="2"/>
        <v>124460</v>
      </c>
      <c r="I20" s="196">
        <f t="shared" si="2"/>
        <v>113395</v>
      </c>
      <c r="J20" s="196">
        <f t="shared" si="2"/>
        <v>68667</v>
      </c>
      <c r="K20" s="196">
        <f t="shared" si="2"/>
        <v>0</v>
      </c>
      <c r="L20" s="196">
        <f t="shared" si="2"/>
        <v>0</v>
      </c>
      <c r="M20" s="196">
        <f t="shared" si="2"/>
        <v>0</v>
      </c>
      <c r="N20" s="196">
        <f t="shared" si="2"/>
        <v>0</v>
      </c>
      <c r="O20" s="197">
        <f t="shared" si="2"/>
        <v>679188</v>
      </c>
      <c r="P20" s="197">
        <f t="shared" si="2"/>
        <v>2042286</v>
      </c>
      <c r="Q20" s="197">
        <f t="shared" si="2"/>
        <v>20548167</v>
      </c>
      <c r="R20" s="197">
        <f t="shared" si="2"/>
        <v>0</v>
      </c>
      <c r="S20" s="204">
        <f>P20/Q20</f>
        <v>9.9390179182405905E-2</v>
      </c>
    </row>
    <row r="21" spans="1:19" s="167" customFormat="1" x14ac:dyDescent="0.2">
      <c r="A21" s="187"/>
      <c r="B21" s="188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90"/>
      <c r="P21" s="190"/>
      <c r="Q21" s="190"/>
      <c r="R21" s="190"/>
      <c r="S21" s="192"/>
    </row>
    <row r="22" spans="1:19" s="167" customFormat="1" x14ac:dyDescent="0.2">
      <c r="A22" s="182" t="s">
        <v>172</v>
      </c>
      <c r="B22" s="188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90"/>
      <c r="P22" s="190"/>
      <c r="Q22" s="190"/>
      <c r="R22" s="190"/>
      <c r="S22" s="192"/>
    </row>
    <row r="23" spans="1:19" s="167" customFormat="1" x14ac:dyDescent="0.2">
      <c r="A23" s="200" t="s">
        <v>173</v>
      </c>
      <c r="B23" s="188">
        <v>1839</v>
      </c>
      <c r="C23" s="184">
        <v>230</v>
      </c>
      <c r="D23" s="184">
        <v>261</v>
      </c>
      <c r="E23" s="184">
        <v>-245</v>
      </c>
      <c r="F23" s="184">
        <v>30</v>
      </c>
      <c r="G23" s="184">
        <v>0</v>
      </c>
      <c r="H23" s="184">
        <v>0</v>
      </c>
      <c r="I23" s="184">
        <v>0</v>
      </c>
      <c r="J23" s="184">
        <v>0</v>
      </c>
      <c r="K23" s="184">
        <v>0</v>
      </c>
      <c r="L23" s="184">
        <v>0</v>
      </c>
      <c r="M23" s="184">
        <v>0</v>
      </c>
      <c r="N23" s="184">
        <v>0</v>
      </c>
      <c r="O23" s="190">
        <f>SUM(C23:N23)</f>
        <v>276</v>
      </c>
      <c r="P23" s="190">
        <f>B23+O23</f>
        <v>2115</v>
      </c>
      <c r="Q23" s="190">
        <v>433000</v>
      </c>
      <c r="R23" s="190"/>
      <c r="S23" s="192">
        <f>P23/Q23</f>
        <v>4.884526558891455E-3</v>
      </c>
    </row>
    <row r="24" spans="1:19" s="167" customFormat="1" x14ac:dyDescent="0.2">
      <c r="A24" s="200" t="s">
        <v>174</v>
      </c>
      <c r="B24" s="188">
        <v>38324</v>
      </c>
      <c r="C24" s="184">
        <v>5087</v>
      </c>
      <c r="D24" s="184">
        <v>5573</v>
      </c>
      <c r="E24" s="184">
        <v>5031</v>
      </c>
      <c r="F24" s="184">
        <v>5196</v>
      </c>
      <c r="G24" s="184">
        <v>27906</v>
      </c>
      <c r="H24" s="184">
        <v>-14617</v>
      </c>
      <c r="I24" s="184">
        <v>3719</v>
      </c>
      <c r="J24" s="184">
        <v>3192</v>
      </c>
      <c r="K24" s="184">
        <v>0</v>
      </c>
      <c r="L24" s="184">
        <v>0</v>
      </c>
      <c r="M24" s="184">
        <v>0</v>
      </c>
      <c r="N24" s="184">
        <v>0</v>
      </c>
      <c r="O24" s="190">
        <f>SUM(C24:N24)</f>
        <v>41087</v>
      </c>
      <c r="P24" s="190">
        <f>B24+O24</f>
        <v>79411</v>
      </c>
      <c r="Q24" s="190">
        <v>1126000</v>
      </c>
      <c r="R24" s="190"/>
      <c r="S24" s="192">
        <f>P24/Q24</f>
        <v>7.0524866785079923E-2</v>
      </c>
    </row>
    <row r="25" spans="1:19" s="167" customFormat="1" x14ac:dyDescent="0.2">
      <c r="A25" s="201" t="s">
        <v>37</v>
      </c>
      <c r="B25" s="195">
        <f>SUM(B23:B24)</f>
        <v>40163</v>
      </c>
      <c r="C25" s="196">
        <f>SUM(C23:C24)</f>
        <v>5317</v>
      </c>
      <c r="D25" s="196">
        <f>SUM(D23:D24)</f>
        <v>5834</v>
      </c>
      <c r="E25" s="196">
        <f>SUM(E23:E24)</f>
        <v>4786</v>
      </c>
      <c r="F25" s="196">
        <f t="shared" ref="F25:S25" si="3">SUM(F23:F24)</f>
        <v>5226</v>
      </c>
      <c r="G25" s="196">
        <f t="shared" si="3"/>
        <v>27906</v>
      </c>
      <c r="H25" s="196">
        <f t="shared" si="3"/>
        <v>-14617</v>
      </c>
      <c r="I25" s="196">
        <f t="shared" si="3"/>
        <v>3719</v>
      </c>
      <c r="J25" s="196">
        <f t="shared" si="3"/>
        <v>3192</v>
      </c>
      <c r="K25" s="196">
        <f t="shared" si="3"/>
        <v>0</v>
      </c>
      <c r="L25" s="196">
        <f t="shared" si="3"/>
        <v>0</v>
      </c>
      <c r="M25" s="196">
        <f t="shared" si="3"/>
        <v>0</v>
      </c>
      <c r="N25" s="196">
        <f t="shared" si="3"/>
        <v>0</v>
      </c>
      <c r="O25" s="197">
        <f t="shared" si="3"/>
        <v>41363</v>
      </c>
      <c r="P25" s="197">
        <f t="shared" si="3"/>
        <v>81526</v>
      </c>
      <c r="Q25" s="197">
        <f t="shared" si="3"/>
        <v>1559000</v>
      </c>
      <c r="R25" s="197">
        <f t="shared" si="3"/>
        <v>0</v>
      </c>
      <c r="S25" s="204">
        <f t="shared" si="3"/>
        <v>7.5409393343971384E-2</v>
      </c>
    </row>
    <row r="26" spans="1:19" s="167" customFormat="1" x14ac:dyDescent="0.2">
      <c r="A26" s="187"/>
      <c r="B26" s="188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90"/>
      <c r="P26" s="190"/>
      <c r="Q26" s="190"/>
      <c r="R26" s="190"/>
      <c r="S26" s="192"/>
    </row>
    <row r="27" spans="1:19" s="167" customFormat="1" x14ac:dyDescent="0.2">
      <c r="A27" s="182" t="s">
        <v>175</v>
      </c>
      <c r="B27" s="188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90"/>
      <c r="P27" s="190"/>
      <c r="Q27" s="190"/>
      <c r="R27" s="190"/>
      <c r="S27" s="192"/>
    </row>
    <row r="28" spans="1:19" s="167" customFormat="1" x14ac:dyDescent="0.2">
      <c r="A28" s="200" t="s">
        <v>176</v>
      </c>
      <c r="B28" s="188">
        <v>946005</v>
      </c>
      <c r="C28" s="184">
        <v>155511</v>
      </c>
      <c r="D28" s="184">
        <v>187041</v>
      </c>
      <c r="E28" s="184">
        <v>182435</v>
      </c>
      <c r="F28" s="184">
        <v>253030</v>
      </c>
      <c r="G28" s="184">
        <v>73415</v>
      </c>
      <c r="H28" s="184">
        <v>40222</v>
      </c>
      <c r="I28" s="184">
        <v>197700</v>
      </c>
      <c r="J28" s="184">
        <v>118107</v>
      </c>
      <c r="K28" s="184">
        <v>0</v>
      </c>
      <c r="L28" s="184">
        <v>0</v>
      </c>
      <c r="M28" s="184">
        <v>0</v>
      </c>
      <c r="N28" s="184">
        <v>0</v>
      </c>
      <c r="O28" s="190">
        <f>SUM(C28:N28)</f>
        <v>1207461</v>
      </c>
      <c r="P28" s="190">
        <f>B28+O28</f>
        <v>2153466</v>
      </c>
      <c r="Q28" s="190">
        <v>5115000</v>
      </c>
      <c r="R28" s="190"/>
      <c r="S28" s="206">
        <f>P28/Q28</f>
        <v>0.42100997067448681</v>
      </c>
    </row>
    <row r="29" spans="1:19" s="167" customFormat="1" x14ac:dyDescent="0.2">
      <c r="A29" s="200" t="s">
        <v>164</v>
      </c>
      <c r="B29" s="188">
        <v>3280</v>
      </c>
      <c r="C29" s="184">
        <v>-3280</v>
      </c>
      <c r="D29" s="184">
        <v>33740</v>
      </c>
      <c r="E29" s="184">
        <v>-33740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190">
        <f>SUM(C29:N29)</f>
        <v>-3280</v>
      </c>
      <c r="P29" s="190">
        <f>B29+O29</f>
        <v>0</v>
      </c>
      <c r="Q29" s="190">
        <v>600000</v>
      </c>
      <c r="R29" s="190"/>
      <c r="S29" s="192">
        <f>P29/Q29</f>
        <v>0</v>
      </c>
    </row>
    <row r="30" spans="1:19" s="167" customFormat="1" x14ac:dyDescent="0.2">
      <c r="A30" s="201" t="s">
        <v>38</v>
      </c>
      <c r="B30" s="195">
        <f>SUM(B28:B29)</f>
        <v>949285</v>
      </c>
      <c r="C30" s="196">
        <f>SUM(C28:C29)</f>
        <v>152231</v>
      </c>
      <c r="D30" s="196">
        <f>SUM(D28:D29)</f>
        <v>220781</v>
      </c>
      <c r="E30" s="196">
        <f t="shared" ref="E30:S30" si="4">SUM(E28:E29)</f>
        <v>148695</v>
      </c>
      <c r="F30" s="196">
        <f t="shared" si="4"/>
        <v>253030</v>
      </c>
      <c r="G30" s="196">
        <f t="shared" si="4"/>
        <v>73415</v>
      </c>
      <c r="H30" s="196">
        <f t="shared" si="4"/>
        <v>40222</v>
      </c>
      <c r="I30" s="196">
        <f t="shared" si="4"/>
        <v>197700</v>
      </c>
      <c r="J30" s="196">
        <f t="shared" si="4"/>
        <v>118107</v>
      </c>
      <c r="K30" s="196">
        <f t="shared" si="4"/>
        <v>0</v>
      </c>
      <c r="L30" s="196">
        <f t="shared" si="4"/>
        <v>0</v>
      </c>
      <c r="M30" s="196">
        <f t="shared" si="4"/>
        <v>0</v>
      </c>
      <c r="N30" s="196">
        <f t="shared" si="4"/>
        <v>0</v>
      </c>
      <c r="O30" s="197">
        <f t="shared" si="4"/>
        <v>1204181</v>
      </c>
      <c r="P30" s="197">
        <f t="shared" si="4"/>
        <v>2153466</v>
      </c>
      <c r="Q30" s="197">
        <f t="shared" si="4"/>
        <v>5715000</v>
      </c>
      <c r="R30" s="197">
        <f t="shared" si="4"/>
        <v>0</v>
      </c>
      <c r="S30" s="204">
        <f t="shared" si="4"/>
        <v>0.42100997067448681</v>
      </c>
    </row>
    <row r="31" spans="1:19" s="167" customFormat="1" x14ac:dyDescent="0.2">
      <c r="A31" s="341"/>
      <c r="B31" s="188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90"/>
      <c r="P31" s="190"/>
      <c r="Q31" s="190"/>
      <c r="R31" s="190"/>
      <c r="S31" s="192"/>
    </row>
    <row r="32" spans="1:19" s="167" customFormat="1" x14ac:dyDescent="0.2">
      <c r="A32" s="182" t="s">
        <v>177</v>
      </c>
      <c r="B32" s="188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90"/>
      <c r="P32" s="190"/>
      <c r="Q32" s="190"/>
      <c r="R32" s="190"/>
      <c r="S32" s="192"/>
    </row>
    <row r="33" spans="1:19" s="167" customFormat="1" ht="14.25" x14ac:dyDescent="0.2">
      <c r="A33" s="200" t="s">
        <v>256</v>
      </c>
      <c r="B33" s="188">
        <v>865417</v>
      </c>
      <c r="C33" s="184">
        <v>-1580</v>
      </c>
      <c r="D33" s="184">
        <v>-863817</v>
      </c>
      <c r="E33" s="184">
        <v>0</v>
      </c>
      <c r="F33" s="184">
        <v>960000</v>
      </c>
      <c r="G33" s="184">
        <v>0</v>
      </c>
      <c r="H33" s="184">
        <v>0</v>
      </c>
      <c r="I33" s="184">
        <v>0</v>
      </c>
      <c r="J33" s="184">
        <v>0</v>
      </c>
      <c r="K33" s="184">
        <v>0</v>
      </c>
      <c r="L33" s="184">
        <v>0</v>
      </c>
      <c r="M33" s="184">
        <v>0</v>
      </c>
      <c r="N33" s="184">
        <v>0</v>
      </c>
      <c r="O33" s="190">
        <f>SUM(C33:N33)</f>
        <v>94603</v>
      </c>
      <c r="P33" s="190">
        <f>B33+O33</f>
        <v>960020</v>
      </c>
      <c r="Q33" s="205">
        <v>1000000</v>
      </c>
      <c r="R33" s="205"/>
      <c r="S33" s="205">
        <f>P33/Q33</f>
        <v>0.96001999999999998</v>
      </c>
    </row>
    <row r="34" spans="1:19" s="167" customFormat="1" x14ac:dyDescent="0.2">
      <c r="A34" s="187" t="s">
        <v>100</v>
      </c>
      <c r="B34" s="188">
        <v>418202</v>
      </c>
      <c r="C34" s="207">
        <v>-40521</v>
      </c>
      <c r="D34" s="207">
        <v>-111</v>
      </c>
      <c r="E34" s="207">
        <v>0</v>
      </c>
      <c r="F34" s="207">
        <v>0</v>
      </c>
      <c r="G34" s="207">
        <v>0</v>
      </c>
      <c r="H34" s="207">
        <v>0</v>
      </c>
      <c r="I34" s="207">
        <v>-193191</v>
      </c>
      <c r="J34" s="207">
        <f>29012</f>
        <v>29012</v>
      </c>
      <c r="K34" s="207">
        <v>0</v>
      </c>
      <c r="L34" s="207">
        <v>0</v>
      </c>
      <c r="M34" s="207">
        <v>0</v>
      </c>
      <c r="N34" s="207">
        <v>0</v>
      </c>
      <c r="O34" s="190">
        <f>SUM(C34:N34)</f>
        <v>-204811</v>
      </c>
      <c r="P34" s="190">
        <f>B34+O34</f>
        <v>213391</v>
      </c>
      <c r="Q34" s="190">
        <v>1100000</v>
      </c>
      <c r="R34" s="190"/>
      <c r="S34" s="206">
        <f>P34/Q34</f>
        <v>0.19399181818181818</v>
      </c>
    </row>
    <row r="35" spans="1:19" s="167" customFormat="1" x14ac:dyDescent="0.2">
      <c r="A35" s="187" t="s">
        <v>165</v>
      </c>
      <c r="B35" s="188">
        <v>500329</v>
      </c>
      <c r="C35" s="184">
        <v>41667</v>
      </c>
      <c r="D35" s="184">
        <v>0</v>
      </c>
      <c r="E35" s="184">
        <v>0</v>
      </c>
      <c r="F35" s="184">
        <v>5199</v>
      </c>
      <c r="G35" s="184">
        <v>8606</v>
      </c>
      <c r="H35" s="184">
        <v>1871</v>
      </c>
      <c r="I35" s="184">
        <v>23249</v>
      </c>
      <c r="J35" s="184">
        <v>43786</v>
      </c>
      <c r="K35" s="184">
        <v>0</v>
      </c>
      <c r="L35" s="184">
        <v>0</v>
      </c>
      <c r="M35" s="184">
        <v>0</v>
      </c>
      <c r="N35" s="184">
        <v>0</v>
      </c>
      <c r="O35" s="190">
        <f>SUM(C35:N35)</f>
        <v>124378</v>
      </c>
      <c r="P35" s="190">
        <f>B35+O35</f>
        <v>624707</v>
      </c>
      <c r="Q35" s="190">
        <v>4650000</v>
      </c>
      <c r="R35" s="190"/>
      <c r="S35" s="192">
        <f>P35/Q35</f>
        <v>0.13434559139784946</v>
      </c>
    </row>
    <row r="36" spans="1:19" s="167" customFormat="1" x14ac:dyDescent="0.2">
      <c r="A36" s="201" t="s">
        <v>39</v>
      </c>
      <c r="B36" s="195">
        <f t="shared" ref="B36:R36" si="5">SUM(B33:B35)</f>
        <v>1783948</v>
      </c>
      <c r="C36" s="196">
        <f t="shared" si="5"/>
        <v>-434</v>
      </c>
      <c r="D36" s="196">
        <f t="shared" si="5"/>
        <v>-863928</v>
      </c>
      <c r="E36" s="196">
        <f t="shared" si="5"/>
        <v>0</v>
      </c>
      <c r="F36" s="196">
        <f t="shared" si="5"/>
        <v>965199</v>
      </c>
      <c r="G36" s="196">
        <f t="shared" si="5"/>
        <v>8606</v>
      </c>
      <c r="H36" s="196">
        <f t="shared" si="5"/>
        <v>1871</v>
      </c>
      <c r="I36" s="196">
        <f t="shared" si="5"/>
        <v>-169942</v>
      </c>
      <c r="J36" s="196">
        <f t="shared" si="5"/>
        <v>72798</v>
      </c>
      <c r="K36" s="196">
        <f t="shared" si="5"/>
        <v>0</v>
      </c>
      <c r="L36" s="196">
        <f t="shared" si="5"/>
        <v>0</v>
      </c>
      <c r="M36" s="196">
        <f t="shared" si="5"/>
        <v>0</v>
      </c>
      <c r="N36" s="196">
        <f t="shared" si="5"/>
        <v>0</v>
      </c>
      <c r="O36" s="197">
        <f t="shared" si="5"/>
        <v>14170</v>
      </c>
      <c r="P36" s="197">
        <f t="shared" si="5"/>
        <v>1798118</v>
      </c>
      <c r="Q36" s="197">
        <f t="shared" si="5"/>
        <v>6750000</v>
      </c>
      <c r="R36" s="197">
        <f t="shared" si="5"/>
        <v>0</v>
      </c>
      <c r="S36" s="204">
        <f>P36/Q36</f>
        <v>0.26638785185185188</v>
      </c>
    </row>
    <row r="37" spans="1:19" s="167" customFormat="1" x14ac:dyDescent="0.2">
      <c r="A37" s="341"/>
      <c r="B37" s="188"/>
      <c r="C37" s="184"/>
      <c r="D37" s="184" t="s">
        <v>196</v>
      </c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90"/>
      <c r="P37" s="190"/>
      <c r="Q37" s="190"/>
      <c r="R37" s="190"/>
      <c r="S37" s="192"/>
    </row>
    <row r="38" spans="1:19" s="167" customFormat="1" x14ac:dyDescent="0.2">
      <c r="A38" s="182" t="s">
        <v>178</v>
      </c>
      <c r="B38" s="188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90"/>
      <c r="P38" s="190"/>
      <c r="Q38" s="190"/>
      <c r="R38" s="190"/>
      <c r="S38" s="192"/>
    </row>
    <row r="39" spans="1:19" s="167" customFormat="1" x14ac:dyDescent="0.2">
      <c r="A39" s="187" t="s">
        <v>179</v>
      </c>
      <c r="B39" s="188">
        <v>691400</v>
      </c>
      <c r="C39" s="184">
        <v>68731</v>
      </c>
      <c r="D39" s="184">
        <v>104967</v>
      </c>
      <c r="E39" s="184">
        <v>49905</v>
      </c>
      <c r="F39" s="184">
        <v>59581</v>
      </c>
      <c r="G39" s="184">
        <v>79203</v>
      </c>
      <c r="H39" s="184">
        <v>60731</v>
      </c>
      <c r="I39" s="184">
        <v>57427</v>
      </c>
      <c r="J39" s="184">
        <v>53695</v>
      </c>
      <c r="K39" s="184">
        <v>0</v>
      </c>
      <c r="L39" s="184">
        <v>0</v>
      </c>
      <c r="M39" s="184">
        <v>0</v>
      </c>
      <c r="N39" s="184">
        <v>0</v>
      </c>
      <c r="O39" s="190">
        <f>SUM(C39:N39)</f>
        <v>534240</v>
      </c>
      <c r="P39" s="190">
        <f>B39+O39</f>
        <v>1225640</v>
      </c>
      <c r="Q39" s="190">
        <v>2231000</v>
      </c>
      <c r="R39" s="190"/>
      <c r="S39" s="192">
        <f>P39/Q39</f>
        <v>0.54936799641416401</v>
      </c>
    </row>
    <row r="40" spans="1:19" s="167" customFormat="1" x14ac:dyDescent="0.2">
      <c r="A40" s="187" t="s">
        <v>180</v>
      </c>
      <c r="B40" s="188">
        <v>792169</v>
      </c>
      <c r="C40" s="184">
        <v>16848</v>
      </c>
      <c r="D40" s="184">
        <v>23303</v>
      </c>
      <c r="E40" s="184">
        <v>16803</v>
      </c>
      <c r="F40" s="184">
        <v>17234</v>
      </c>
      <c r="G40" s="184">
        <v>12531</v>
      </c>
      <c r="H40" s="184">
        <v>62477</v>
      </c>
      <c r="I40" s="184">
        <v>83075</v>
      </c>
      <c r="J40" s="184">
        <v>44535</v>
      </c>
      <c r="K40" s="184">
        <v>0</v>
      </c>
      <c r="L40" s="184">
        <v>0</v>
      </c>
      <c r="M40" s="184">
        <v>0</v>
      </c>
      <c r="N40" s="184">
        <v>0</v>
      </c>
      <c r="O40" s="190">
        <f>SUM(C40:N40)</f>
        <v>276806</v>
      </c>
      <c r="P40" s="190">
        <f>B40+O40</f>
        <v>1068975</v>
      </c>
      <c r="Q40" s="190">
        <v>5410000</v>
      </c>
      <c r="R40" s="190"/>
      <c r="S40" s="192">
        <f>P40/Q40</f>
        <v>0.1975924214417745</v>
      </c>
    </row>
    <row r="41" spans="1:19" s="167" customFormat="1" x14ac:dyDescent="0.2">
      <c r="A41" s="201" t="s">
        <v>40</v>
      </c>
      <c r="B41" s="195">
        <f>SUM(B39:B40)</f>
        <v>1483569</v>
      </c>
      <c r="C41" s="196">
        <f>SUM(C39:C40)</f>
        <v>85579</v>
      </c>
      <c r="D41" s="196">
        <f>SUM(D39:D40)</f>
        <v>128270</v>
      </c>
      <c r="E41" s="196">
        <f t="shared" ref="E41:S41" si="6">SUM(E39:E40)</f>
        <v>66708</v>
      </c>
      <c r="F41" s="196">
        <f t="shared" si="6"/>
        <v>76815</v>
      </c>
      <c r="G41" s="196">
        <f t="shared" si="6"/>
        <v>91734</v>
      </c>
      <c r="H41" s="196">
        <f t="shared" si="6"/>
        <v>123208</v>
      </c>
      <c r="I41" s="196">
        <f t="shared" si="6"/>
        <v>140502</v>
      </c>
      <c r="J41" s="196">
        <f t="shared" si="6"/>
        <v>98230</v>
      </c>
      <c r="K41" s="196">
        <f t="shared" si="6"/>
        <v>0</v>
      </c>
      <c r="L41" s="196">
        <f t="shared" si="6"/>
        <v>0</v>
      </c>
      <c r="M41" s="196">
        <f t="shared" si="6"/>
        <v>0</v>
      </c>
      <c r="N41" s="196">
        <f t="shared" si="6"/>
        <v>0</v>
      </c>
      <c r="O41" s="197">
        <f t="shared" si="6"/>
        <v>811046</v>
      </c>
      <c r="P41" s="197">
        <f t="shared" si="6"/>
        <v>2294615</v>
      </c>
      <c r="Q41" s="197">
        <f t="shared" si="6"/>
        <v>7641000</v>
      </c>
      <c r="R41" s="197">
        <f t="shared" si="6"/>
        <v>0</v>
      </c>
      <c r="S41" s="204">
        <f t="shared" si="6"/>
        <v>0.74696041785593847</v>
      </c>
    </row>
    <row r="42" spans="1:19" s="167" customFormat="1" x14ac:dyDescent="0.2">
      <c r="A42" s="187"/>
      <c r="B42" s="188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90"/>
      <c r="P42" s="190"/>
      <c r="Q42" s="190"/>
      <c r="R42" s="190"/>
      <c r="S42" s="192"/>
    </row>
    <row r="43" spans="1:19" s="167" customFormat="1" x14ac:dyDescent="0.2">
      <c r="A43" s="182" t="s">
        <v>181</v>
      </c>
      <c r="B43" s="188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90"/>
      <c r="P43" s="190"/>
      <c r="Q43" s="190"/>
      <c r="R43" s="190"/>
      <c r="S43" s="192"/>
    </row>
    <row r="44" spans="1:19" s="167" customFormat="1" x14ac:dyDescent="0.2">
      <c r="A44" s="200" t="s">
        <v>121</v>
      </c>
      <c r="B44" s="188">
        <v>1631582</v>
      </c>
      <c r="C44" s="184">
        <v>77116</v>
      </c>
      <c r="D44" s="184">
        <v>-18474</v>
      </c>
      <c r="E44" s="184">
        <v>-36917</v>
      </c>
      <c r="F44" s="184">
        <v>-20397</v>
      </c>
      <c r="G44" s="184">
        <v>4160</v>
      </c>
      <c r="H44" s="184">
        <v>0</v>
      </c>
      <c r="I44" s="184">
        <v>0</v>
      </c>
      <c r="J44" s="184">
        <v>0</v>
      </c>
      <c r="K44" s="184">
        <v>0</v>
      </c>
      <c r="L44" s="184">
        <v>0</v>
      </c>
      <c r="M44" s="184">
        <v>0</v>
      </c>
      <c r="N44" s="184">
        <v>0</v>
      </c>
      <c r="O44" s="190">
        <f>SUM(C44:N44)</f>
        <v>5488</v>
      </c>
      <c r="P44" s="190">
        <f>B44+O44</f>
        <v>1637070</v>
      </c>
      <c r="Q44" s="190">
        <v>3321000</v>
      </c>
      <c r="R44" s="190"/>
      <c r="S44" s="192">
        <f>P44/Q44</f>
        <v>0.49294489611562781</v>
      </c>
    </row>
    <row r="45" spans="1:19" s="167" customFormat="1" x14ac:dyDescent="0.2">
      <c r="A45" s="200" t="s">
        <v>182</v>
      </c>
      <c r="B45" s="188">
        <v>699876</v>
      </c>
      <c r="C45" s="184">
        <f>26766+7404</f>
        <v>34170</v>
      </c>
      <c r="D45" s="184">
        <f>36502+26539</f>
        <v>63041</v>
      </c>
      <c r="E45" s="184">
        <f>13483+30223</f>
        <v>43706</v>
      </c>
      <c r="F45" s="184">
        <f>-13708-21790</f>
        <v>-35498</v>
      </c>
      <c r="G45" s="184">
        <f>26213+40138</f>
        <v>66351</v>
      </c>
      <c r="H45" s="184">
        <f>11868+42798</f>
        <v>54666</v>
      </c>
      <c r="I45" s="184">
        <f>273449-3426</f>
        <v>270023</v>
      </c>
      <c r="J45" s="184">
        <f>-39046+4588</f>
        <v>-34458</v>
      </c>
      <c r="K45" s="184">
        <v>0</v>
      </c>
      <c r="L45" s="184">
        <v>0</v>
      </c>
      <c r="M45" s="184">
        <v>0</v>
      </c>
      <c r="N45" s="184">
        <v>0</v>
      </c>
      <c r="O45" s="190">
        <f>SUM(C45:N45)</f>
        <v>462001</v>
      </c>
      <c r="P45" s="190">
        <f>B45+O45</f>
        <v>1161877</v>
      </c>
      <c r="Q45" s="190">
        <v>984359</v>
      </c>
      <c r="R45" s="190"/>
      <c r="S45" s="192">
        <f>P45/Q45</f>
        <v>1.180338677250881</v>
      </c>
    </row>
    <row r="46" spans="1:19" s="167" customFormat="1" x14ac:dyDescent="0.2">
      <c r="A46" s="201" t="s">
        <v>41</v>
      </c>
      <c r="B46" s="195">
        <f>SUM(B44:B45)</f>
        <v>2331458</v>
      </c>
      <c r="C46" s="196">
        <f>SUM(C44:C45)</f>
        <v>111286</v>
      </c>
      <c r="D46" s="196">
        <f>SUM(D44:D45)</f>
        <v>44567</v>
      </c>
      <c r="E46" s="196">
        <f t="shared" ref="E46:S46" si="7">SUM(E44:E45)</f>
        <v>6789</v>
      </c>
      <c r="F46" s="196">
        <f t="shared" si="7"/>
        <v>-55895</v>
      </c>
      <c r="G46" s="196">
        <f t="shared" si="7"/>
        <v>70511</v>
      </c>
      <c r="H46" s="196">
        <f t="shared" si="7"/>
        <v>54666</v>
      </c>
      <c r="I46" s="196">
        <f t="shared" si="7"/>
        <v>270023</v>
      </c>
      <c r="J46" s="196">
        <f t="shared" si="7"/>
        <v>-34458</v>
      </c>
      <c r="K46" s="196">
        <f t="shared" si="7"/>
        <v>0</v>
      </c>
      <c r="L46" s="196">
        <f t="shared" si="7"/>
        <v>0</v>
      </c>
      <c r="M46" s="196">
        <f t="shared" si="7"/>
        <v>0</v>
      </c>
      <c r="N46" s="196">
        <f t="shared" si="7"/>
        <v>0</v>
      </c>
      <c r="O46" s="197">
        <f t="shared" si="7"/>
        <v>467489</v>
      </c>
      <c r="P46" s="197">
        <f t="shared" si="7"/>
        <v>2798947</v>
      </c>
      <c r="Q46" s="197">
        <f t="shared" si="7"/>
        <v>4305359</v>
      </c>
      <c r="R46" s="197">
        <f t="shared" si="7"/>
        <v>0</v>
      </c>
      <c r="S46" s="204">
        <f t="shared" si="7"/>
        <v>1.6732835733665088</v>
      </c>
    </row>
    <row r="47" spans="1:19" s="167" customFormat="1" x14ac:dyDescent="0.2">
      <c r="A47" s="187"/>
      <c r="B47" s="188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90"/>
      <c r="P47" s="190"/>
      <c r="Q47" s="190"/>
      <c r="R47" s="190"/>
      <c r="S47" s="192"/>
    </row>
    <row r="48" spans="1:19" s="167" customFormat="1" x14ac:dyDescent="0.2">
      <c r="A48" s="182" t="s">
        <v>183</v>
      </c>
      <c r="B48" s="188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90"/>
      <c r="P48" s="190"/>
      <c r="Q48" s="190"/>
      <c r="R48" s="190"/>
      <c r="S48" s="192"/>
    </row>
    <row r="49" spans="1:26" s="167" customFormat="1" x14ac:dyDescent="0.2">
      <c r="A49" s="187" t="s">
        <v>104</v>
      </c>
      <c r="B49" s="188">
        <v>106111</v>
      </c>
      <c r="C49" s="184">
        <v>7865</v>
      </c>
      <c r="D49" s="184">
        <v>8391</v>
      </c>
      <c r="E49" s="184">
        <v>8427</v>
      </c>
      <c r="F49" s="184">
        <v>13946</v>
      </c>
      <c r="G49" s="184">
        <v>8879</v>
      </c>
      <c r="H49" s="184">
        <v>10315</v>
      </c>
      <c r="I49" s="184">
        <v>9182</v>
      </c>
      <c r="J49" s="184">
        <v>11208</v>
      </c>
      <c r="K49" s="184">
        <v>0</v>
      </c>
      <c r="L49" s="184">
        <v>0</v>
      </c>
      <c r="M49" s="184">
        <v>0</v>
      </c>
      <c r="N49" s="184">
        <v>0</v>
      </c>
      <c r="O49" s="190">
        <f>SUM(C49:N49)</f>
        <v>78213</v>
      </c>
      <c r="P49" s="203">
        <f>B49+O49</f>
        <v>184324</v>
      </c>
      <c r="Q49" s="202">
        <v>3000000</v>
      </c>
      <c r="R49" s="202"/>
      <c r="S49" s="192">
        <f>P49/Q49</f>
        <v>6.1441333333333334E-2</v>
      </c>
    </row>
    <row r="50" spans="1:26" s="167" customFormat="1" x14ac:dyDescent="0.2">
      <c r="A50" s="194" t="s">
        <v>42</v>
      </c>
      <c r="B50" s="195">
        <f>SUM(B49)</f>
        <v>106111</v>
      </c>
      <c r="C50" s="196">
        <f>SUM(C49)</f>
        <v>7865</v>
      </c>
      <c r="D50" s="196">
        <f>SUM(D49)</f>
        <v>8391</v>
      </c>
      <c r="E50" s="196">
        <f t="shared" ref="E50:M50" si="8">SUM(E49)</f>
        <v>8427</v>
      </c>
      <c r="F50" s="196">
        <f t="shared" si="8"/>
        <v>13946</v>
      </c>
      <c r="G50" s="196">
        <f t="shared" si="8"/>
        <v>8879</v>
      </c>
      <c r="H50" s="196">
        <f t="shared" si="8"/>
        <v>10315</v>
      </c>
      <c r="I50" s="196">
        <f t="shared" si="8"/>
        <v>9182</v>
      </c>
      <c r="J50" s="196">
        <f t="shared" si="8"/>
        <v>11208</v>
      </c>
      <c r="K50" s="196">
        <f t="shared" si="8"/>
        <v>0</v>
      </c>
      <c r="L50" s="196">
        <f t="shared" si="8"/>
        <v>0</v>
      </c>
      <c r="M50" s="196">
        <f t="shared" si="8"/>
        <v>0</v>
      </c>
      <c r="N50" s="196">
        <f>SUM(N49)</f>
        <v>0</v>
      </c>
      <c r="O50" s="197">
        <f>SUM(O49)</f>
        <v>78213</v>
      </c>
      <c r="P50" s="197">
        <f>SUM(P49)</f>
        <v>184324</v>
      </c>
      <c r="Q50" s="197">
        <f>SUM(Q49)</f>
        <v>3000000</v>
      </c>
      <c r="R50" s="197">
        <f>SUM(R49)</f>
        <v>0</v>
      </c>
      <c r="S50" s="198">
        <f>+P50/Q50</f>
        <v>6.1441333333333334E-2</v>
      </c>
    </row>
    <row r="51" spans="1:26" s="167" customFormat="1" x14ac:dyDescent="0.2">
      <c r="A51" s="341"/>
      <c r="B51" s="188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90"/>
      <c r="P51" s="190"/>
      <c r="Q51" s="190"/>
      <c r="R51" s="190"/>
      <c r="S51" s="192"/>
    </row>
    <row r="52" spans="1:26" s="167" customFormat="1" x14ac:dyDescent="0.2">
      <c r="A52" s="208"/>
      <c r="B52" s="209"/>
      <c r="C52" s="184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4"/>
      <c r="O52" s="190"/>
      <c r="P52" s="190"/>
      <c r="Q52" s="190"/>
      <c r="R52" s="190"/>
      <c r="S52" s="206"/>
    </row>
    <row r="53" spans="1:26" ht="15" customHeight="1" thickBot="1" x14ac:dyDescent="0.25">
      <c r="A53" s="210" t="s">
        <v>27</v>
      </c>
      <c r="B53" s="211">
        <f>B9+B14+B20+B25+B30+B36+B41+B46+B50</f>
        <v>11790833</v>
      </c>
      <c r="C53" s="212">
        <f>C9+C14+C20+C25+C30+C36+C41+C46+C50</f>
        <v>545772</v>
      </c>
      <c r="D53" s="212">
        <f>D9+D14+D20+D25+D30+D36+D41+D46+D50</f>
        <v>-294354</v>
      </c>
      <c r="E53" s="212">
        <f t="shared" ref="E53:M53" si="9">E9+E14+E20+E25+E30+E36+E41+E46+E50</f>
        <v>322468</v>
      </c>
      <c r="F53" s="212">
        <f t="shared" si="9"/>
        <v>1389793</v>
      </c>
      <c r="G53" s="212">
        <f t="shared" si="9"/>
        <v>387359</v>
      </c>
      <c r="H53" s="212">
        <f t="shared" si="9"/>
        <v>540398</v>
      </c>
      <c r="I53" s="212">
        <f t="shared" si="9"/>
        <v>663369</v>
      </c>
      <c r="J53" s="212">
        <f t="shared" si="9"/>
        <v>478648</v>
      </c>
      <c r="K53" s="212">
        <f t="shared" si="9"/>
        <v>0</v>
      </c>
      <c r="L53" s="212">
        <f t="shared" si="9"/>
        <v>0</v>
      </c>
      <c r="M53" s="212">
        <f t="shared" si="9"/>
        <v>0</v>
      </c>
      <c r="N53" s="212">
        <f>N9+N14+N20+N25+N30+N36+N41+N46+N50</f>
        <v>0</v>
      </c>
      <c r="O53" s="213">
        <f>O9+O14+O20+O25+O30+O36+O41+O46+O50</f>
        <v>4033453</v>
      </c>
      <c r="P53" s="213">
        <f>P9+P14+P20+P25+P30+P36+P41+P46+P50</f>
        <v>15824286</v>
      </c>
      <c r="Q53" s="213">
        <f>Q9+Q14+Q20+Q25+Q30+Q36+Q41+Q46+Q50</f>
        <v>65806793</v>
      </c>
      <c r="R53" s="213">
        <f>R9+R14+R20+R25+R30+R36+R41+R46+R50</f>
        <v>0</v>
      </c>
      <c r="S53" s="214">
        <f>P53/Q53</f>
        <v>0.24046584370096868</v>
      </c>
    </row>
    <row r="54" spans="1:26" ht="15" customHeight="1" thickTop="1" x14ac:dyDescent="0.2">
      <c r="A54" s="215"/>
      <c r="B54" s="216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342"/>
    </row>
    <row r="55" spans="1:26" ht="32.25" customHeight="1" x14ac:dyDescent="0.2">
      <c r="A55" s="215"/>
      <c r="B55" s="343"/>
      <c r="C55" s="34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93"/>
    </row>
    <row r="56" spans="1:26" ht="15" customHeight="1" x14ac:dyDescent="0.2">
      <c r="A56" s="215"/>
      <c r="B56" s="216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93"/>
    </row>
    <row r="57" spans="1:26" ht="15" customHeight="1" x14ac:dyDescent="0.2">
      <c r="A57" s="215"/>
      <c r="B57" s="216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93"/>
    </row>
    <row r="58" spans="1:26" ht="10.5" customHeight="1" thickBot="1" x14ac:dyDescent="0.25">
      <c r="A58" s="217"/>
      <c r="B58" s="218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20"/>
      <c r="R58" s="220"/>
      <c r="S58" s="345"/>
    </row>
    <row r="59" spans="1:26" x14ac:dyDescent="0.2">
      <c r="A59" s="199" t="s">
        <v>61</v>
      </c>
    </row>
    <row r="60" spans="1:26" s="167" customFormat="1" x14ac:dyDescent="0.2">
      <c r="O60" s="221"/>
      <c r="P60" s="221"/>
    </row>
    <row r="61" spans="1:26" s="167" customFormat="1" ht="15" x14ac:dyDescent="0.25">
      <c r="A61" s="339" t="s">
        <v>25</v>
      </c>
      <c r="B61" s="336"/>
      <c r="C61" s="336"/>
      <c r="D61" s="336"/>
      <c r="E61" s="336"/>
      <c r="F61" s="338"/>
      <c r="G61" s="336"/>
      <c r="H61" s="338"/>
      <c r="I61" s="336"/>
      <c r="J61" s="336"/>
      <c r="K61" s="336"/>
      <c r="L61" s="336"/>
      <c r="M61" s="336"/>
      <c r="N61" s="336"/>
      <c r="O61" s="336"/>
      <c r="P61" s="337"/>
      <c r="Q61" s="336"/>
      <c r="R61" s="336"/>
      <c r="S61" s="336"/>
      <c r="T61" s="336"/>
      <c r="U61" s="336"/>
      <c r="V61" s="336"/>
      <c r="W61" s="336"/>
      <c r="X61" s="336"/>
      <c r="Y61" s="336"/>
      <c r="Z61" s="336"/>
    </row>
    <row r="62" spans="1:26" s="167" customFormat="1" x14ac:dyDescent="0.2">
      <c r="A62" s="449" t="s">
        <v>184</v>
      </c>
      <c r="B62" s="449"/>
      <c r="C62" s="449"/>
      <c r="D62" s="449"/>
      <c r="E62" s="449"/>
      <c r="F62" s="449"/>
      <c r="G62" s="449"/>
      <c r="H62" s="449"/>
      <c r="I62" s="449"/>
      <c r="J62" s="449"/>
      <c r="K62" s="449"/>
      <c r="L62" s="449"/>
      <c r="M62" s="449"/>
      <c r="N62" s="449"/>
      <c r="O62" s="449"/>
      <c r="P62" s="449"/>
      <c r="Q62" s="449"/>
      <c r="R62" s="449"/>
      <c r="S62" s="449"/>
      <c r="T62" s="449"/>
      <c r="U62" s="449"/>
      <c r="V62" s="449"/>
      <c r="W62" s="449"/>
      <c r="X62" s="449"/>
      <c r="Y62" s="449"/>
      <c r="Z62" s="449"/>
    </row>
    <row r="63" spans="1:26" s="167" customFormat="1" x14ac:dyDescent="0.2">
      <c r="A63" s="222" t="s">
        <v>241</v>
      </c>
      <c r="B63" s="222"/>
      <c r="O63" s="167" t="s">
        <v>13</v>
      </c>
    </row>
    <row r="64" spans="1:26" s="167" customFormat="1" ht="14.25" x14ac:dyDescent="0.2">
      <c r="A64" s="223" t="s">
        <v>254</v>
      </c>
      <c r="B64" s="223"/>
      <c r="E64" s="224"/>
    </row>
    <row r="65" spans="1:18" x14ac:dyDescent="0.2">
      <c r="A65" s="223"/>
      <c r="B65" s="223"/>
      <c r="C65" s="167"/>
      <c r="D65" s="167"/>
      <c r="E65" s="167"/>
      <c r="F65" s="167"/>
      <c r="G65" s="167"/>
      <c r="H65" s="167"/>
      <c r="I65" s="167"/>
      <c r="J65" s="167"/>
      <c r="K65" s="167"/>
      <c r="N65" s="225"/>
    </row>
    <row r="66" spans="1:18" x14ac:dyDescent="0.2">
      <c r="A66" s="223"/>
      <c r="B66" s="223"/>
      <c r="C66" s="167"/>
      <c r="D66" s="167"/>
      <c r="E66" s="226"/>
      <c r="F66" s="227"/>
      <c r="G66" s="225"/>
    </row>
    <row r="67" spans="1:18" x14ac:dyDescent="0.2">
      <c r="E67" s="226"/>
      <c r="F67" s="227"/>
      <c r="G67" s="225"/>
    </row>
    <row r="68" spans="1:18" x14ac:dyDescent="0.2">
      <c r="E68" s="226"/>
      <c r="F68" s="227"/>
      <c r="G68" s="225"/>
    </row>
    <row r="69" spans="1:18" x14ac:dyDescent="0.2">
      <c r="E69" s="226"/>
      <c r="F69" s="227"/>
      <c r="G69" s="225"/>
    </row>
    <row r="70" spans="1:18" x14ac:dyDescent="0.2">
      <c r="E70" s="228"/>
      <c r="F70" s="229"/>
    </row>
    <row r="71" spans="1:18" x14ac:dyDescent="0.2">
      <c r="E71" s="230"/>
      <c r="F71" s="227"/>
      <c r="G71" s="225"/>
    </row>
    <row r="72" spans="1:18" x14ac:dyDescent="0.2">
      <c r="E72" s="230"/>
      <c r="F72" s="227"/>
      <c r="G72" s="225"/>
      <c r="Q72" s="199"/>
      <c r="R72" s="199"/>
    </row>
    <row r="73" spans="1:18" x14ac:dyDescent="0.2">
      <c r="E73" s="230"/>
      <c r="F73" s="227"/>
      <c r="G73" s="225"/>
      <c r="Q73" s="199"/>
      <c r="R73" s="199"/>
    </row>
    <row r="74" spans="1:18" x14ac:dyDescent="0.2">
      <c r="E74" s="230"/>
      <c r="F74" s="227"/>
      <c r="G74" s="225"/>
      <c r="Q74" s="199"/>
      <c r="R74" s="199"/>
    </row>
    <row r="75" spans="1:18" x14ac:dyDescent="0.2">
      <c r="E75" s="230"/>
      <c r="F75" s="227"/>
      <c r="G75" s="225"/>
      <c r="Q75" s="199"/>
      <c r="R75" s="199"/>
    </row>
    <row r="76" spans="1:18" x14ac:dyDescent="0.2">
      <c r="E76" s="228"/>
      <c r="F76" s="231"/>
      <c r="G76" s="225"/>
      <c r="Q76" s="199"/>
      <c r="R76" s="199"/>
    </row>
  </sheetData>
  <mergeCells count="1">
    <mergeCell ref="A62:Z62"/>
  </mergeCells>
  <printOptions horizontalCentered="1"/>
  <pageMargins left="0.5" right="0.5" top="0.56999999999999995" bottom="0.51" header="0.26" footer="0.25"/>
  <pageSetup scale="36" orientation="landscape" r:id="rId1"/>
  <headerFooter alignWithMargins="0">
    <oddHeader xml:space="preserve">&amp;C&amp;"Arial,Bold"SDGE Demand Response Programs and Activities
Incremental Cost 
2013 Funding
&amp;"Arial,Regular"
</oddHeader>
    <oddFooter>&amp;L&amp;F&amp;R&amp;D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Q65"/>
  <sheetViews>
    <sheetView zoomScaleNormal="100" workbookViewId="0">
      <selection activeCell="D20" sqref="D20"/>
    </sheetView>
  </sheetViews>
  <sheetFormatPr defaultRowHeight="12.75" x14ac:dyDescent="0.2"/>
  <cols>
    <col min="1" max="1" width="70" style="368" customWidth="1"/>
    <col min="2" max="10" width="12.7109375" style="368" customWidth="1"/>
    <col min="11" max="11" width="13" style="368" customWidth="1"/>
    <col min="12" max="12" width="12.7109375" style="348" customWidth="1"/>
    <col min="13" max="13" width="12.7109375" style="368" customWidth="1"/>
    <col min="14" max="14" width="11" style="349" customWidth="1"/>
    <col min="15" max="15" width="13.28515625" style="349" hidden="1" customWidth="1"/>
    <col min="16" max="17" width="11.7109375" style="349" customWidth="1"/>
    <col min="18" max="256" width="9.140625" style="349"/>
    <col min="257" max="257" width="70" style="349" customWidth="1"/>
    <col min="258" max="269" width="12.7109375" style="349" customWidth="1"/>
    <col min="270" max="270" width="11" style="349" customWidth="1"/>
    <col min="271" max="271" width="0" style="349" hidden="1" customWidth="1"/>
    <col min="272" max="273" width="11.7109375" style="349" customWidth="1"/>
    <col min="274" max="512" width="9.140625" style="349"/>
    <col min="513" max="513" width="70" style="349" customWidth="1"/>
    <col min="514" max="525" width="12.7109375" style="349" customWidth="1"/>
    <col min="526" max="526" width="11" style="349" customWidth="1"/>
    <col min="527" max="527" width="0" style="349" hidden="1" customWidth="1"/>
    <col min="528" max="529" width="11.7109375" style="349" customWidth="1"/>
    <col min="530" max="768" width="9.140625" style="349"/>
    <col min="769" max="769" width="70" style="349" customWidth="1"/>
    <col min="770" max="781" width="12.7109375" style="349" customWidth="1"/>
    <col min="782" max="782" width="11" style="349" customWidth="1"/>
    <col min="783" max="783" width="0" style="349" hidden="1" customWidth="1"/>
    <col min="784" max="785" width="11.7109375" style="349" customWidth="1"/>
    <col min="786" max="1024" width="9.140625" style="349"/>
    <col min="1025" max="1025" width="70" style="349" customWidth="1"/>
    <col min="1026" max="1037" width="12.7109375" style="349" customWidth="1"/>
    <col min="1038" max="1038" width="11" style="349" customWidth="1"/>
    <col min="1039" max="1039" width="0" style="349" hidden="1" customWidth="1"/>
    <col min="1040" max="1041" width="11.7109375" style="349" customWidth="1"/>
    <col min="1042" max="1280" width="9.140625" style="349"/>
    <col min="1281" max="1281" width="70" style="349" customWidth="1"/>
    <col min="1282" max="1293" width="12.7109375" style="349" customWidth="1"/>
    <col min="1294" max="1294" width="11" style="349" customWidth="1"/>
    <col min="1295" max="1295" width="0" style="349" hidden="1" customWidth="1"/>
    <col min="1296" max="1297" width="11.7109375" style="349" customWidth="1"/>
    <col min="1298" max="1536" width="9.140625" style="349"/>
    <col min="1537" max="1537" width="70" style="349" customWidth="1"/>
    <col min="1538" max="1549" width="12.7109375" style="349" customWidth="1"/>
    <col min="1550" max="1550" width="11" style="349" customWidth="1"/>
    <col min="1551" max="1551" width="0" style="349" hidden="1" customWidth="1"/>
    <col min="1552" max="1553" width="11.7109375" style="349" customWidth="1"/>
    <col min="1554" max="1792" width="9.140625" style="349"/>
    <col min="1793" max="1793" width="70" style="349" customWidth="1"/>
    <col min="1794" max="1805" width="12.7109375" style="349" customWidth="1"/>
    <col min="1806" max="1806" width="11" style="349" customWidth="1"/>
    <col min="1807" max="1807" width="0" style="349" hidden="1" customWidth="1"/>
    <col min="1808" max="1809" width="11.7109375" style="349" customWidth="1"/>
    <col min="1810" max="2048" width="9.140625" style="349"/>
    <col min="2049" max="2049" width="70" style="349" customWidth="1"/>
    <col min="2050" max="2061" width="12.7109375" style="349" customWidth="1"/>
    <col min="2062" max="2062" width="11" style="349" customWidth="1"/>
    <col min="2063" max="2063" width="0" style="349" hidden="1" customWidth="1"/>
    <col min="2064" max="2065" width="11.7109375" style="349" customWidth="1"/>
    <col min="2066" max="2304" width="9.140625" style="349"/>
    <col min="2305" max="2305" width="70" style="349" customWidth="1"/>
    <col min="2306" max="2317" width="12.7109375" style="349" customWidth="1"/>
    <col min="2318" max="2318" width="11" style="349" customWidth="1"/>
    <col min="2319" max="2319" width="0" style="349" hidden="1" customWidth="1"/>
    <col min="2320" max="2321" width="11.7109375" style="349" customWidth="1"/>
    <col min="2322" max="2560" width="9.140625" style="349"/>
    <col min="2561" max="2561" width="70" style="349" customWidth="1"/>
    <col min="2562" max="2573" width="12.7109375" style="349" customWidth="1"/>
    <col min="2574" max="2574" width="11" style="349" customWidth="1"/>
    <col min="2575" max="2575" width="0" style="349" hidden="1" customWidth="1"/>
    <col min="2576" max="2577" width="11.7109375" style="349" customWidth="1"/>
    <col min="2578" max="2816" width="9.140625" style="349"/>
    <col min="2817" max="2817" width="70" style="349" customWidth="1"/>
    <col min="2818" max="2829" width="12.7109375" style="349" customWidth="1"/>
    <col min="2830" max="2830" width="11" style="349" customWidth="1"/>
    <col min="2831" max="2831" width="0" style="349" hidden="1" customWidth="1"/>
    <col min="2832" max="2833" width="11.7109375" style="349" customWidth="1"/>
    <col min="2834" max="3072" width="9.140625" style="349"/>
    <col min="3073" max="3073" width="70" style="349" customWidth="1"/>
    <col min="3074" max="3085" width="12.7109375" style="349" customWidth="1"/>
    <col min="3086" max="3086" width="11" style="349" customWidth="1"/>
    <col min="3087" max="3087" width="0" style="349" hidden="1" customWidth="1"/>
    <col min="3088" max="3089" width="11.7109375" style="349" customWidth="1"/>
    <col min="3090" max="3328" width="9.140625" style="349"/>
    <col min="3329" max="3329" width="70" style="349" customWidth="1"/>
    <col min="3330" max="3341" width="12.7109375" style="349" customWidth="1"/>
    <col min="3342" max="3342" width="11" style="349" customWidth="1"/>
    <col min="3343" max="3343" width="0" style="349" hidden="1" customWidth="1"/>
    <col min="3344" max="3345" width="11.7109375" style="349" customWidth="1"/>
    <col min="3346" max="3584" width="9.140625" style="349"/>
    <col min="3585" max="3585" width="70" style="349" customWidth="1"/>
    <col min="3586" max="3597" width="12.7109375" style="349" customWidth="1"/>
    <col min="3598" max="3598" width="11" style="349" customWidth="1"/>
    <col min="3599" max="3599" width="0" style="349" hidden="1" customWidth="1"/>
    <col min="3600" max="3601" width="11.7109375" style="349" customWidth="1"/>
    <col min="3602" max="3840" width="9.140625" style="349"/>
    <col min="3841" max="3841" width="70" style="349" customWidth="1"/>
    <col min="3842" max="3853" width="12.7109375" style="349" customWidth="1"/>
    <col min="3854" max="3854" width="11" style="349" customWidth="1"/>
    <col min="3855" max="3855" width="0" style="349" hidden="1" customWidth="1"/>
    <col min="3856" max="3857" width="11.7109375" style="349" customWidth="1"/>
    <col min="3858" max="4096" width="9.140625" style="349"/>
    <col min="4097" max="4097" width="70" style="349" customWidth="1"/>
    <col min="4098" max="4109" width="12.7109375" style="349" customWidth="1"/>
    <col min="4110" max="4110" width="11" style="349" customWidth="1"/>
    <col min="4111" max="4111" width="0" style="349" hidden="1" customWidth="1"/>
    <col min="4112" max="4113" width="11.7109375" style="349" customWidth="1"/>
    <col min="4114" max="4352" width="9.140625" style="349"/>
    <col min="4353" max="4353" width="70" style="349" customWidth="1"/>
    <col min="4354" max="4365" width="12.7109375" style="349" customWidth="1"/>
    <col min="4366" max="4366" width="11" style="349" customWidth="1"/>
    <col min="4367" max="4367" width="0" style="349" hidden="1" customWidth="1"/>
    <col min="4368" max="4369" width="11.7109375" style="349" customWidth="1"/>
    <col min="4370" max="4608" width="9.140625" style="349"/>
    <col min="4609" max="4609" width="70" style="349" customWidth="1"/>
    <col min="4610" max="4621" width="12.7109375" style="349" customWidth="1"/>
    <col min="4622" max="4622" width="11" style="349" customWidth="1"/>
    <col min="4623" max="4623" width="0" style="349" hidden="1" customWidth="1"/>
    <col min="4624" max="4625" width="11.7109375" style="349" customWidth="1"/>
    <col min="4626" max="4864" width="9.140625" style="349"/>
    <col min="4865" max="4865" width="70" style="349" customWidth="1"/>
    <col min="4866" max="4877" width="12.7109375" style="349" customWidth="1"/>
    <col min="4878" max="4878" width="11" style="349" customWidth="1"/>
    <col min="4879" max="4879" width="0" style="349" hidden="1" customWidth="1"/>
    <col min="4880" max="4881" width="11.7109375" style="349" customWidth="1"/>
    <col min="4882" max="5120" width="9.140625" style="349"/>
    <col min="5121" max="5121" width="70" style="349" customWidth="1"/>
    <col min="5122" max="5133" width="12.7109375" style="349" customWidth="1"/>
    <col min="5134" max="5134" width="11" style="349" customWidth="1"/>
    <col min="5135" max="5135" width="0" style="349" hidden="1" customWidth="1"/>
    <col min="5136" max="5137" width="11.7109375" style="349" customWidth="1"/>
    <col min="5138" max="5376" width="9.140625" style="349"/>
    <col min="5377" max="5377" width="70" style="349" customWidth="1"/>
    <col min="5378" max="5389" width="12.7109375" style="349" customWidth="1"/>
    <col min="5390" max="5390" width="11" style="349" customWidth="1"/>
    <col min="5391" max="5391" width="0" style="349" hidden="1" customWidth="1"/>
    <col min="5392" max="5393" width="11.7109375" style="349" customWidth="1"/>
    <col min="5394" max="5632" width="9.140625" style="349"/>
    <col min="5633" max="5633" width="70" style="349" customWidth="1"/>
    <col min="5634" max="5645" width="12.7109375" style="349" customWidth="1"/>
    <col min="5646" max="5646" width="11" style="349" customWidth="1"/>
    <col min="5647" max="5647" width="0" style="349" hidden="1" customWidth="1"/>
    <col min="5648" max="5649" width="11.7109375" style="349" customWidth="1"/>
    <col min="5650" max="5888" width="9.140625" style="349"/>
    <col min="5889" max="5889" width="70" style="349" customWidth="1"/>
    <col min="5890" max="5901" width="12.7109375" style="349" customWidth="1"/>
    <col min="5902" max="5902" width="11" style="349" customWidth="1"/>
    <col min="5903" max="5903" width="0" style="349" hidden="1" customWidth="1"/>
    <col min="5904" max="5905" width="11.7109375" style="349" customWidth="1"/>
    <col min="5906" max="6144" width="9.140625" style="349"/>
    <col min="6145" max="6145" width="70" style="349" customWidth="1"/>
    <col min="6146" max="6157" width="12.7109375" style="349" customWidth="1"/>
    <col min="6158" max="6158" width="11" style="349" customWidth="1"/>
    <col min="6159" max="6159" width="0" style="349" hidden="1" customWidth="1"/>
    <col min="6160" max="6161" width="11.7109375" style="349" customWidth="1"/>
    <col min="6162" max="6400" width="9.140625" style="349"/>
    <col min="6401" max="6401" width="70" style="349" customWidth="1"/>
    <col min="6402" max="6413" width="12.7109375" style="349" customWidth="1"/>
    <col min="6414" max="6414" width="11" style="349" customWidth="1"/>
    <col min="6415" max="6415" width="0" style="349" hidden="1" customWidth="1"/>
    <col min="6416" max="6417" width="11.7109375" style="349" customWidth="1"/>
    <col min="6418" max="6656" width="9.140625" style="349"/>
    <col min="6657" max="6657" width="70" style="349" customWidth="1"/>
    <col min="6658" max="6669" width="12.7109375" style="349" customWidth="1"/>
    <col min="6670" max="6670" width="11" style="349" customWidth="1"/>
    <col min="6671" max="6671" width="0" style="349" hidden="1" customWidth="1"/>
    <col min="6672" max="6673" width="11.7109375" style="349" customWidth="1"/>
    <col min="6674" max="6912" width="9.140625" style="349"/>
    <col min="6913" max="6913" width="70" style="349" customWidth="1"/>
    <col min="6914" max="6925" width="12.7109375" style="349" customWidth="1"/>
    <col min="6926" max="6926" width="11" style="349" customWidth="1"/>
    <col min="6927" max="6927" width="0" style="349" hidden="1" customWidth="1"/>
    <col min="6928" max="6929" width="11.7109375" style="349" customWidth="1"/>
    <col min="6930" max="7168" width="9.140625" style="349"/>
    <col min="7169" max="7169" width="70" style="349" customWidth="1"/>
    <col min="7170" max="7181" width="12.7109375" style="349" customWidth="1"/>
    <col min="7182" max="7182" width="11" style="349" customWidth="1"/>
    <col min="7183" max="7183" width="0" style="349" hidden="1" customWidth="1"/>
    <col min="7184" max="7185" width="11.7109375" style="349" customWidth="1"/>
    <col min="7186" max="7424" width="9.140625" style="349"/>
    <col min="7425" max="7425" width="70" style="349" customWidth="1"/>
    <col min="7426" max="7437" width="12.7109375" style="349" customWidth="1"/>
    <col min="7438" max="7438" width="11" style="349" customWidth="1"/>
    <col min="7439" max="7439" width="0" style="349" hidden="1" customWidth="1"/>
    <col min="7440" max="7441" width="11.7109375" style="349" customWidth="1"/>
    <col min="7442" max="7680" width="9.140625" style="349"/>
    <col min="7681" max="7681" width="70" style="349" customWidth="1"/>
    <col min="7682" max="7693" width="12.7109375" style="349" customWidth="1"/>
    <col min="7694" max="7694" width="11" style="349" customWidth="1"/>
    <col min="7695" max="7695" width="0" style="349" hidden="1" customWidth="1"/>
    <col min="7696" max="7697" width="11.7109375" style="349" customWidth="1"/>
    <col min="7698" max="7936" width="9.140625" style="349"/>
    <col min="7937" max="7937" width="70" style="349" customWidth="1"/>
    <col min="7938" max="7949" width="12.7109375" style="349" customWidth="1"/>
    <col min="7950" max="7950" width="11" style="349" customWidth="1"/>
    <col min="7951" max="7951" width="0" style="349" hidden="1" customWidth="1"/>
    <col min="7952" max="7953" width="11.7109375" style="349" customWidth="1"/>
    <col min="7954" max="8192" width="9.140625" style="349"/>
    <col min="8193" max="8193" width="70" style="349" customWidth="1"/>
    <col min="8194" max="8205" width="12.7109375" style="349" customWidth="1"/>
    <col min="8206" max="8206" width="11" style="349" customWidth="1"/>
    <col min="8207" max="8207" width="0" style="349" hidden="1" customWidth="1"/>
    <col min="8208" max="8209" width="11.7109375" style="349" customWidth="1"/>
    <col min="8210" max="8448" width="9.140625" style="349"/>
    <col min="8449" max="8449" width="70" style="349" customWidth="1"/>
    <col min="8450" max="8461" width="12.7109375" style="349" customWidth="1"/>
    <col min="8462" max="8462" width="11" style="349" customWidth="1"/>
    <col min="8463" max="8463" width="0" style="349" hidden="1" customWidth="1"/>
    <col min="8464" max="8465" width="11.7109375" style="349" customWidth="1"/>
    <col min="8466" max="8704" width="9.140625" style="349"/>
    <col min="8705" max="8705" width="70" style="349" customWidth="1"/>
    <col min="8706" max="8717" width="12.7109375" style="349" customWidth="1"/>
    <col min="8718" max="8718" width="11" style="349" customWidth="1"/>
    <col min="8719" max="8719" width="0" style="349" hidden="1" customWidth="1"/>
    <col min="8720" max="8721" width="11.7109375" style="349" customWidth="1"/>
    <col min="8722" max="8960" width="9.140625" style="349"/>
    <col min="8961" max="8961" width="70" style="349" customWidth="1"/>
    <col min="8962" max="8973" width="12.7109375" style="349" customWidth="1"/>
    <col min="8974" max="8974" width="11" style="349" customWidth="1"/>
    <col min="8975" max="8975" width="0" style="349" hidden="1" customWidth="1"/>
    <col min="8976" max="8977" width="11.7109375" style="349" customWidth="1"/>
    <col min="8978" max="9216" width="9.140625" style="349"/>
    <col min="9217" max="9217" width="70" style="349" customWidth="1"/>
    <col min="9218" max="9229" width="12.7109375" style="349" customWidth="1"/>
    <col min="9230" max="9230" width="11" style="349" customWidth="1"/>
    <col min="9231" max="9231" width="0" style="349" hidden="1" customWidth="1"/>
    <col min="9232" max="9233" width="11.7109375" style="349" customWidth="1"/>
    <col min="9234" max="9472" width="9.140625" style="349"/>
    <col min="9473" max="9473" width="70" style="349" customWidth="1"/>
    <col min="9474" max="9485" width="12.7109375" style="349" customWidth="1"/>
    <col min="9486" max="9486" width="11" style="349" customWidth="1"/>
    <col min="9487" max="9487" width="0" style="349" hidden="1" customWidth="1"/>
    <col min="9488" max="9489" width="11.7109375" style="349" customWidth="1"/>
    <col min="9490" max="9728" width="9.140625" style="349"/>
    <col min="9729" max="9729" width="70" style="349" customWidth="1"/>
    <col min="9730" max="9741" width="12.7109375" style="349" customWidth="1"/>
    <col min="9742" max="9742" width="11" style="349" customWidth="1"/>
    <col min="9743" max="9743" width="0" style="349" hidden="1" customWidth="1"/>
    <col min="9744" max="9745" width="11.7109375" style="349" customWidth="1"/>
    <col min="9746" max="9984" width="9.140625" style="349"/>
    <col min="9985" max="9985" width="70" style="349" customWidth="1"/>
    <col min="9986" max="9997" width="12.7109375" style="349" customWidth="1"/>
    <col min="9998" max="9998" width="11" style="349" customWidth="1"/>
    <col min="9999" max="9999" width="0" style="349" hidden="1" customWidth="1"/>
    <col min="10000" max="10001" width="11.7109375" style="349" customWidth="1"/>
    <col min="10002" max="10240" width="9.140625" style="349"/>
    <col min="10241" max="10241" width="70" style="349" customWidth="1"/>
    <col min="10242" max="10253" width="12.7109375" style="349" customWidth="1"/>
    <col min="10254" max="10254" width="11" style="349" customWidth="1"/>
    <col min="10255" max="10255" width="0" style="349" hidden="1" customWidth="1"/>
    <col min="10256" max="10257" width="11.7109375" style="349" customWidth="1"/>
    <col min="10258" max="10496" width="9.140625" style="349"/>
    <col min="10497" max="10497" width="70" style="349" customWidth="1"/>
    <col min="10498" max="10509" width="12.7109375" style="349" customWidth="1"/>
    <col min="10510" max="10510" width="11" style="349" customWidth="1"/>
    <col min="10511" max="10511" width="0" style="349" hidden="1" customWidth="1"/>
    <col min="10512" max="10513" width="11.7109375" style="349" customWidth="1"/>
    <col min="10514" max="10752" width="9.140625" style="349"/>
    <col min="10753" max="10753" width="70" style="349" customWidth="1"/>
    <col min="10754" max="10765" width="12.7109375" style="349" customWidth="1"/>
    <col min="10766" max="10766" width="11" style="349" customWidth="1"/>
    <col min="10767" max="10767" width="0" style="349" hidden="1" customWidth="1"/>
    <col min="10768" max="10769" width="11.7109375" style="349" customWidth="1"/>
    <col min="10770" max="11008" width="9.140625" style="349"/>
    <col min="11009" max="11009" width="70" style="349" customWidth="1"/>
    <col min="11010" max="11021" width="12.7109375" style="349" customWidth="1"/>
    <col min="11022" max="11022" width="11" style="349" customWidth="1"/>
    <col min="11023" max="11023" width="0" style="349" hidden="1" customWidth="1"/>
    <col min="11024" max="11025" width="11.7109375" style="349" customWidth="1"/>
    <col min="11026" max="11264" width="9.140625" style="349"/>
    <col min="11265" max="11265" width="70" style="349" customWidth="1"/>
    <col min="11266" max="11277" width="12.7109375" style="349" customWidth="1"/>
    <col min="11278" max="11278" width="11" style="349" customWidth="1"/>
    <col min="11279" max="11279" width="0" style="349" hidden="1" customWidth="1"/>
    <col min="11280" max="11281" width="11.7109375" style="349" customWidth="1"/>
    <col min="11282" max="11520" width="9.140625" style="349"/>
    <col min="11521" max="11521" width="70" style="349" customWidth="1"/>
    <col min="11522" max="11533" width="12.7109375" style="349" customWidth="1"/>
    <col min="11534" max="11534" width="11" style="349" customWidth="1"/>
    <col min="11535" max="11535" width="0" style="349" hidden="1" customWidth="1"/>
    <col min="11536" max="11537" width="11.7109375" style="349" customWidth="1"/>
    <col min="11538" max="11776" width="9.140625" style="349"/>
    <col min="11777" max="11777" width="70" style="349" customWidth="1"/>
    <col min="11778" max="11789" width="12.7109375" style="349" customWidth="1"/>
    <col min="11790" max="11790" width="11" style="349" customWidth="1"/>
    <col min="11791" max="11791" width="0" style="349" hidden="1" customWidth="1"/>
    <col min="11792" max="11793" width="11.7109375" style="349" customWidth="1"/>
    <col min="11794" max="12032" width="9.140625" style="349"/>
    <col min="12033" max="12033" width="70" style="349" customWidth="1"/>
    <col min="12034" max="12045" width="12.7109375" style="349" customWidth="1"/>
    <col min="12046" max="12046" width="11" style="349" customWidth="1"/>
    <col min="12047" max="12047" width="0" style="349" hidden="1" customWidth="1"/>
    <col min="12048" max="12049" width="11.7109375" style="349" customWidth="1"/>
    <col min="12050" max="12288" width="9.140625" style="349"/>
    <col min="12289" max="12289" width="70" style="349" customWidth="1"/>
    <col min="12290" max="12301" width="12.7109375" style="349" customWidth="1"/>
    <col min="12302" max="12302" width="11" style="349" customWidth="1"/>
    <col min="12303" max="12303" width="0" style="349" hidden="1" customWidth="1"/>
    <col min="12304" max="12305" width="11.7109375" style="349" customWidth="1"/>
    <col min="12306" max="12544" width="9.140625" style="349"/>
    <col min="12545" max="12545" width="70" style="349" customWidth="1"/>
    <col min="12546" max="12557" width="12.7109375" style="349" customWidth="1"/>
    <col min="12558" max="12558" width="11" style="349" customWidth="1"/>
    <col min="12559" max="12559" width="0" style="349" hidden="1" customWidth="1"/>
    <col min="12560" max="12561" width="11.7109375" style="349" customWidth="1"/>
    <col min="12562" max="12800" width="9.140625" style="349"/>
    <col min="12801" max="12801" width="70" style="349" customWidth="1"/>
    <col min="12802" max="12813" width="12.7109375" style="349" customWidth="1"/>
    <col min="12814" max="12814" width="11" style="349" customWidth="1"/>
    <col min="12815" max="12815" width="0" style="349" hidden="1" customWidth="1"/>
    <col min="12816" max="12817" width="11.7109375" style="349" customWidth="1"/>
    <col min="12818" max="13056" width="9.140625" style="349"/>
    <col min="13057" max="13057" width="70" style="349" customWidth="1"/>
    <col min="13058" max="13069" width="12.7109375" style="349" customWidth="1"/>
    <col min="13070" max="13070" width="11" style="349" customWidth="1"/>
    <col min="13071" max="13071" width="0" style="349" hidden="1" customWidth="1"/>
    <col min="13072" max="13073" width="11.7109375" style="349" customWidth="1"/>
    <col min="13074" max="13312" width="9.140625" style="349"/>
    <col min="13313" max="13313" width="70" style="349" customWidth="1"/>
    <col min="13314" max="13325" width="12.7109375" style="349" customWidth="1"/>
    <col min="13326" max="13326" width="11" style="349" customWidth="1"/>
    <col min="13327" max="13327" width="0" style="349" hidden="1" customWidth="1"/>
    <col min="13328" max="13329" width="11.7109375" style="349" customWidth="1"/>
    <col min="13330" max="13568" width="9.140625" style="349"/>
    <col min="13569" max="13569" width="70" style="349" customWidth="1"/>
    <col min="13570" max="13581" width="12.7109375" style="349" customWidth="1"/>
    <col min="13582" max="13582" width="11" style="349" customWidth="1"/>
    <col min="13583" max="13583" width="0" style="349" hidden="1" customWidth="1"/>
    <col min="13584" max="13585" width="11.7109375" style="349" customWidth="1"/>
    <col min="13586" max="13824" width="9.140625" style="349"/>
    <col min="13825" max="13825" width="70" style="349" customWidth="1"/>
    <col min="13826" max="13837" width="12.7109375" style="349" customWidth="1"/>
    <col min="13838" max="13838" width="11" style="349" customWidth="1"/>
    <col min="13839" max="13839" width="0" style="349" hidden="1" customWidth="1"/>
    <col min="13840" max="13841" width="11.7109375" style="349" customWidth="1"/>
    <col min="13842" max="14080" width="9.140625" style="349"/>
    <col min="14081" max="14081" width="70" style="349" customWidth="1"/>
    <col min="14082" max="14093" width="12.7109375" style="349" customWidth="1"/>
    <col min="14094" max="14094" width="11" style="349" customWidth="1"/>
    <col min="14095" max="14095" width="0" style="349" hidden="1" customWidth="1"/>
    <col min="14096" max="14097" width="11.7109375" style="349" customWidth="1"/>
    <col min="14098" max="14336" width="9.140625" style="349"/>
    <col min="14337" max="14337" width="70" style="349" customWidth="1"/>
    <col min="14338" max="14349" width="12.7109375" style="349" customWidth="1"/>
    <col min="14350" max="14350" width="11" style="349" customWidth="1"/>
    <col min="14351" max="14351" width="0" style="349" hidden="1" customWidth="1"/>
    <col min="14352" max="14353" width="11.7109375" style="349" customWidth="1"/>
    <col min="14354" max="14592" width="9.140625" style="349"/>
    <col min="14593" max="14593" width="70" style="349" customWidth="1"/>
    <col min="14594" max="14605" width="12.7109375" style="349" customWidth="1"/>
    <col min="14606" max="14606" width="11" style="349" customWidth="1"/>
    <col min="14607" max="14607" width="0" style="349" hidden="1" customWidth="1"/>
    <col min="14608" max="14609" width="11.7109375" style="349" customWidth="1"/>
    <col min="14610" max="14848" width="9.140625" style="349"/>
    <col min="14849" max="14849" width="70" style="349" customWidth="1"/>
    <col min="14850" max="14861" width="12.7109375" style="349" customWidth="1"/>
    <col min="14862" max="14862" width="11" style="349" customWidth="1"/>
    <col min="14863" max="14863" width="0" style="349" hidden="1" customWidth="1"/>
    <col min="14864" max="14865" width="11.7109375" style="349" customWidth="1"/>
    <col min="14866" max="15104" width="9.140625" style="349"/>
    <col min="15105" max="15105" width="70" style="349" customWidth="1"/>
    <col min="15106" max="15117" width="12.7109375" style="349" customWidth="1"/>
    <col min="15118" max="15118" width="11" style="349" customWidth="1"/>
    <col min="15119" max="15119" width="0" style="349" hidden="1" customWidth="1"/>
    <col min="15120" max="15121" width="11.7109375" style="349" customWidth="1"/>
    <col min="15122" max="15360" width="9.140625" style="349"/>
    <col min="15361" max="15361" width="70" style="349" customWidth="1"/>
    <col min="15362" max="15373" width="12.7109375" style="349" customWidth="1"/>
    <col min="15374" max="15374" width="11" style="349" customWidth="1"/>
    <col min="15375" max="15375" width="0" style="349" hidden="1" customWidth="1"/>
    <col min="15376" max="15377" width="11.7109375" style="349" customWidth="1"/>
    <col min="15378" max="15616" width="9.140625" style="349"/>
    <col min="15617" max="15617" width="70" style="349" customWidth="1"/>
    <col min="15618" max="15629" width="12.7109375" style="349" customWidth="1"/>
    <col min="15630" max="15630" width="11" style="349" customWidth="1"/>
    <col min="15631" max="15631" width="0" style="349" hidden="1" customWidth="1"/>
    <col min="15632" max="15633" width="11.7109375" style="349" customWidth="1"/>
    <col min="15634" max="15872" width="9.140625" style="349"/>
    <col min="15873" max="15873" width="70" style="349" customWidth="1"/>
    <col min="15874" max="15885" width="12.7109375" style="349" customWidth="1"/>
    <col min="15886" max="15886" width="11" style="349" customWidth="1"/>
    <col min="15887" max="15887" width="0" style="349" hidden="1" customWidth="1"/>
    <col min="15888" max="15889" width="11.7109375" style="349" customWidth="1"/>
    <col min="15890" max="16128" width="9.140625" style="349"/>
    <col min="16129" max="16129" width="70" style="349" customWidth="1"/>
    <col min="16130" max="16141" width="12.7109375" style="349" customWidth="1"/>
    <col min="16142" max="16142" width="11" style="349" customWidth="1"/>
    <col min="16143" max="16143" width="0" style="349" hidden="1" customWidth="1"/>
    <col min="16144" max="16145" width="11.7109375" style="349" customWidth="1"/>
    <col min="16146" max="16384" width="9.140625" style="349"/>
  </cols>
  <sheetData>
    <row r="1" spans="1:17" ht="13.5" customHeight="1" x14ac:dyDescent="0.2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  <c r="M1" s="348"/>
    </row>
    <row r="2" spans="1:17" s="355" customFormat="1" ht="18" customHeight="1" x14ac:dyDescent="0.25">
      <c r="A2" s="350" t="s">
        <v>221</v>
      </c>
      <c r="B2" s="351" t="s">
        <v>197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3"/>
      <c r="N2" s="452" t="s">
        <v>250</v>
      </c>
      <c r="O2" s="354"/>
      <c r="P2" s="454" t="s">
        <v>198</v>
      </c>
      <c r="Q2" s="452" t="s">
        <v>199</v>
      </c>
    </row>
    <row r="3" spans="1:17" s="355" customFormat="1" ht="27.75" customHeight="1" x14ac:dyDescent="0.2">
      <c r="A3" s="356"/>
      <c r="B3" s="357" t="s">
        <v>0</v>
      </c>
      <c r="C3" s="358" t="s">
        <v>1</v>
      </c>
      <c r="D3" s="358" t="s">
        <v>2</v>
      </c>
      <c r="E3" s="358" t="s">
        <v>3</v>
      </c>
      <c r="F3" s="358" t="s">
        <v>4</v>
      </c>
      <c r="G3" s="358" t="s">
        <v>5</v>
      </c>
      <c r="H3" s="358" t="s">
        <v>6</v>
      </c>
      <c r="I3" s="358" t="s">
        <v>7</v>
      </c>
      <c r="J3" s="358" t="s">
        <v>8</v>
      </c>
      <c r="K3" s="358" t="s">
        <v>9</v>
      </c>
      <c r="L3" s="358" t="s">
        <v>10</v>
      </c>
      <c r="M3" s="359" t="s">
        <v>11</v>
      </c>
      <c r="N3" s="453"/>
      <c r="O3" s="360" t="s">
        <v>200</v>
      </c>
      <c r="P3" s="455"/>
      <c r="Q3" s="453"/>
    </row>
    <row r="4" spans="1:17" s="348" customFormat="1" ht="15.75" x14ac:dyDescent="0.25">
      <c r="A4" s="361" t="s">
        <v>201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3"/>
      <c r="O4" s="363"/>
      <c r="P4" s="363"/>
      <c r="Q4" s="363"/>
    </row>
    <row r="5" spans="1:17" s="355" customFormat="1" ht="15" x14ac:dyDescent="0.2">
      <c r="A5" s="364" t="s">
        <v>251</v>
      </c>
      <c r="B5" s="365">
        <v>-1580</v>
      </c>
      <c r="C5" s="365">
        <v>-863817</v>
      </c>
      <c r="D5" s="365">
        <v>0</v>
      </c>
      <c r="E5" s="365">
        <v>960000</v>
      </c>
      <c r="F5" s="365">
        <v>0</v>
      </c>
      <c r="G5" s="365">
        <v>0</v>
      </c>
      <c r="H5" s="365">
        <v>0</v>
      </c>
      <c r="I5" s="365">
        <v>0</v>
      </c>
      <c r="J5" s="365">
        <v>0</v>
      </c>
      <c r="K5" s="365">
        <v>0</v>
      </c>
      <c r="L5" s="365">
        <v>0</v>
      </c>
      <c r="M5" s="365">
        <v>0</v>
      </c>
      <c r="N5" s="365">
        <f>SUM(B5:M5)</f>
        <v>94603</v>
      </c>
      <c r="O5" s="365" t="e">
        <f>#REF!+N5</f>
        <v>#REF!</v>
      </c>
      <c r="P5" s="365">
        <f>N5+848094</f>
        <v>942697</v>
      </c>
      <c r="Q5" s="365"/>
    </row>
    <row r="6" spans="1:17" s="355" customFormat="1" x14ac:dyDescent="0.2">
      <c r="A6" s="364" t="s">
        <v>202</v>
      </c>
      <c r="B6" s="365">
        <v>0</v>
      </c>
      <c r="C6" s="365">
        <v>0</v>
      </c>
      <c r="D6" s="365">
        <v>0</v>
      </c>
      <c r="E6" s="365">
        <v>0</v>
      </c>
      <c r="F6" s="365">
        <v>0</v>
      </c>
      <c r="G6" s="365">
        <v>0</v>
      </c>
      <c r="H6" s="365">
        <v>0</v>
      </c>
      <c r="I6" s="365">
        <v>0</v>
      </c>
      <c r="J6" s="365">
        <v>0</v>
      </c>
      <c r="K6" s="365">
        <v>0</v>
      </c>
      <c r="L6" s="365">
        <v>0</v>
      </c>
      <c r="M6" s="365">
        <v>0</v>
      </c>
      <c r="N6" s="365">
        <f>SUM(B6:M6)</f>
        <v>0</v>
      </c>
      <c r="O6" s="365"/>
      <c r="P6" s="365">
        <f>N6</f>
        <v>0</v>
      </c>
      <c r="Q6" s="365"/>
    </row>
    <row r="7" spans="1:17" s="355" customFormat="1" ht="15.75" x14ac:dyDescent="0.25">
      <c r="A7" s="366" t="s">
        <v>203</v>
      </c>
      <c r="B7" s="367">
        <f t="shared" ref="B7:D7" si="0">SUM(B5:B6)</f>
        <v>-1580</v>
      </c>
      <c r="C7" s="367">
        <f t="shared" si="0"/>
        <v>-863817</v>
      </c>
      <c r="D7" s="367">
        <f t="shared" si="0"/>
        <v>0</v>
      </c>
      <c r="E7" s="367">
        <f>SUM(E5:E6)</f>
        <v>960000</v>
      </c>
      <c r="F7" s="367">
        <f t="shared" ref="F7:P7" si="1">SUM(F5:F6)</f>
        <v>0</v>
      </c>
      <c r="G7" s="367">
        <f t="shared" si="1"/>
        <v>0</v>
      </c>
      <c r="H7" s="367">
        <f t="shared" si="1"/>
        <v>0</v>
      </c>
      <c r="I7" s="367">
        <f t="shared" si="1"/>
        <v>0</v>
      </c>
      <c r="J7" s="367">
        <f t="shared" si="1"/>
        <v>0</v>
      </c>
      <c r="K7" s="367">
        <f t="shared" si="1"/>
        <v>0</v>
      </c>
      <c r="L7" s="367">
        <f t="shared" si="1"/>
        <v>0</v>
      </c>
      <c r="M7" s="367">
        <f t="shared" si="1"/>
        <v>0</v>
      </c>
      <c r="N7" s="367">
        <f t="shared" si="1"/>
        <v>94603</v>
      </c>
      <c r="O7" s="367" t="e">
        <f t="shared" si="1"/>
        <v>#REF!</v>
      </c>
      <c r="P7" s="367">
        <f t="shared" si="1"/>
        <v>942697</v>
      </c>
      <c r="Q7" s="367"/>
    </row>
    <row r="8" spans="1:17" s="355" customFormat="1" x14ac:dyDescent="0.2">
      <c r="A8" s="368"/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48"/>
      <c r="M8" s="368"/>
      <c r="N8" s="365"/>
      <c r="O8" s="365"/>
      <c r="P8" s="365"/>
      <c r="Q8" s="365"/>
    </row>
    <row r="9" spans="1:17" s="355" customFormat="1" ht="15.75" x14ac:dyDescent="0.25">
      <c r="A9" s="369" t="s">
        <v>204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48"/>
      <c r="M9" s="368"/>
      <c r="N9" s="365"/>
      <c r="O9" s="365"/>
      <c r="P9" s="365"/>
      <c r="Q9" s="365"/>
    </row>
    <row r="10" spans="1:17" s="355" customFormat="1" x14ac:dyDescent="0.2">
      <c r="A10" s="370" t="s">
        <v>205</v>
      </c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2"/>
      <c r="O10" s="372"/>
      <c r="P10" s="372"/>
      <c r="Q10" s="365"/>
    </row>
    <row r="11" spans="1:17" s="355" customFormat="1" x14ac:dyDescent="0.2">
      <c r="A11" s="373"/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65"/>
      <c r="O11" s="365"/>
      <c r="P11" s="365"/>
      <c r="Q11" s="365"/>
    </row>
    <row r="12" spans="1:17" s="355" customFormat="1" ht="15" x14ac:dyDescent="0.2">
      <c r="A12" s="374" t="s">
        <v>222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6"/>
      <c r="M12" s="375"/>
      <c r="N12" s="377"/>
      <c r="O12" s="377"/>
      <c r="P12" s="377"/>
      <c r="Q12" s="377"/>
    </row>
    <row r="13" spans="1:17" s="355" customFormat="1" x14ac:dyDescent="0.2">
      <c r="A13" s="378" t="s">
        <v>206</v>
      </c>
      <c r="B13" s="365">
        <v>0</v>
      </c>
      <c r="C13" s="365">
        <v>0</v>
      </c>
      <c r="D13" s="365">
        <v>0</v>
      </c>
      <c r="E13" s="365">
        <v>82</v>
      </c>
      <c r="F13" s="365">
        <v>0</v>
      </c>
      <c r="G13" s="365">
        <v>0</v>
      </c>
      <c r="H13" s="365">
        <v>0</v>
      </c>
      <c r="I13" s="365">
        <v>0</v>
      </c>
      <c r="J13" s="365">
        <v>0</v>
      </c>
      <c r="K13" s="365">
        <v>0</v>
      </c>
      <c r="L13" s="365">
        <v>0</v>
      </c>
      <c r="M13" s="365">
        <v>0</v>
      </c>
      <c r="N13" s="365">
        <f t="shared" ref="N13:N30" si="2">SUM(B13:M13)</f>
        <v>82</v>
      </c>
      <c r="O13" s="365"/>
      <c r="P13" s="365">
        <f>N13+437</f>
        <v>519</v>
      </c>
      <c r="Q13" s="365"/>
    </row>
    <row r="14" spans="1:17" s="355" customFormat="1" x14ac:dyDescent="0.2">
      <c r="A14" s="378" t="s">
        <v>236</v>
      </c>
      <c r="B14" s="365">
        <v>0</v>
      </c>
      <c r="C14" s="365">
        <v>0</v>
      </c>
      <c r="D14" s="365">
        <v>0</v>
      </c>
      <c r="E14" s="365">
        <v>793</v>
      </c>
      <c r="F14" s="365">
        <v>-179</v>
      </c>
      <c r="G14" s="365">
        <v>185</v>
      </c>
      <c r="H14" s="365">
        <v>176</v>
      </c>
      <c r="I14" s="365">
        <v>2302</v>
      </c>
      <c r="J14" s="365">
        <v>0</v>
      </c>
      <c r="K14" s="365">
        <v>0</v>
      </c>
      <c r="L14" s="365">
        <v>0</v>
      </c>
      <c r="M14" s="365">
        <v>0</v>
      </c>
      <c r="N14" s="365">
        <f t="shared" si="2"/>
        <v>3277</v>
      </c>
      <c r="O14" s="365"/>
      <c r="P14" s="365">
        <f>N14+1803</f>
        <v>5080</v>
      </c>
      <c r="Q14" s="365"/>
    </row>
    <row r="15" spans="1:17" s="355" customFormat="1" x14ac:dyDescent="0.2">
      <c r="A15" s="378" t="s">
        <v>223</v>
      </c>
      <c r="B15" s="365">
        <v>0</v>
      </c>
      <c r="C15" s="365">
        <v>0</v>
      </c>
      <c r="D15" s="365">
        <v>0</v>
      </c>
      <c r="E15" s="365">
        <v>1982</v>
      </c>
      <c r="F15" s="365">
        <v>-446</v>
      </c>
      <c r="G15" s="365">
        <v>461</v>
      </c>
      <c r="H15" s="365">
        <v>441</v>
      </c>
      <c r="I15" s="365">
        <v>5839</v>
      </c>
      <c r="J15" s="365">
        <v>0</v>
      </c>
      <c r="K15" s="365">
        <v>0</v>
      </c>
      <c r="L15" s="365">
        <v>0</v>
      </c>
      <c r="M15" s="365">
        <v>0</v>
      </c>
      <c r="N15" s="365">
        <f t="shared" si="2"/>
        <v>8277</v>
      </c>
      <c r="O15" s="365"/>
      <c r="P15" s="365">
        <f t="shared" ref="P15:P19" si="3">N15</f>
        <v>8277</v>
      </c>
      <c r="Q15" s="365"/>
    </row>
    <row r="16" spans="1:17" s="355" customFormat="1" x14ac:dyDescent="0.2">
      <c r="A16" s="378" t="s">
        <v>67</v>
      </c>
      <c r="B16" s="365">
        <v>0</v>
      </c>
      <c r="C16" s="365">
        <v>0</v>
      </c>
      <c r="D16" s="365">
        <v>0</v>
      </c>
      <c r="E16" s="365">
        <v>0</v>
      </c>
      <c r="F16" s="365">
        <v>0</v>
      </c>
      <c r="G16" s="365">
        <v>408</v>
      </c>
      <c r="H16" s="365">
        <v>0</v>
      </c>
      <c r="I16" s="365">
        <v>0</v>
      </c>
      <c r="J16" s="365">
        <v>0</v>
      </c>
      <c r="K16" s="365">
        <v>0</v>
      </c>
      <c r="L16" s="365">
        <v>0</v>
      </c>
      <c r="M16" s="365">
        <v>0</v>
      </c>
      <c r="N16" s="365">
        <f t="shared" si="2"/>
        <v>408</v>
      </c>
      <c r="O16" s="365"/>
      <c r="P16" s="365">
        <f t="shared" si="3"/>
        <v>408</v>
      </c>
      <c r="Q16" s="365"/>
    </row>
    <row r="17" spans="1:122 16371:16371" s="355" customFormat="1" x14ac:dyDescent="0.2">
      <c r="A17" s="378" t="s">
        <v>261</v>
      </c>
      <c r="B17" s="365">
        <v>0</v>
      </c>
      <c r="C17" s="365">
        <v>0</v>
      </c>
      <c r="D17" s="365">
        <v>0</v>
      </c>
      <c r="E17" s="365">
        <v>361</v>
      </c>
      <c r="F17" s="365">
        <v>221</v>
      </c>
      <c r="G17" s="365">
        <v>212</v>
      </c>
      <c r="H17" s="365">
        <v>199</v>
      </c>
      <c r="I17" s="365">
        <v>4309</v>
      </c>
      <c r="J17" s="365">
        <v>0</v>
      </c>
      <c r="K17" s="365">
        <v>0</v>
      </c>
      <c r="L17" s="365">
        <v>0</v>
      </c>
      <c r="M17" s="365">
        <v>0</v>
      </c>
      <c r="N17" s="365">
        <f t="shared" si="2"/>
        <v>5302</v>
      </c>
      <c r="O17" s="365"/>
      <c r="P17" s="365">
        <f t="shared" si="3"/>
        <v>5302</v>
      </c>
      <c r="Q17" s="365"/>
    </row>
    <row r="18" spans="1:122 16371:16371" s="355" customFormat="1" x14ac:dyDescent="0.2">
      <c r="A18" s="378" t="s">
        <v>262</v>
      </c>
      <c r="B18" s="365">
        <v>0</v>
      </c>
      <c r="C18" s="365">
        <v>0</v>
      </c>
      <c r="D18" s="365">
        <v>0</v>
      </c>
      <c r="E18" s="365">
        <v>0</v>
      </c>
      <c r="F18" s="365">
        <v>5</v>
      </c>
      <c r="G18" s="365">
        <v>71</v>
      </c>
      <c r="H18" s="365">
        <v>55</v>
      </c>
      <c r="I18" s="365">
        <v>621</v>
      </c>
      <c r="J18" s="365">
        <v>0</v>
      </c>
      <c r="K18" s="365">
        <v>0</v>
      </c>
      <c r="L18" s="365">
        <v>0</v>
      </c>
      <c r="M18" s="365">
        <v>0</v>
      </c>
      <c r="N18" s="365">
        <f t="shared" si="2"/>
        <v>752</v>
      </c>
      <c r="O18" s="365"/>
      <c r="P18" s="365">
        <f t="shared" si="3"/>
        <v>752</v>
      </c>
      <c r="Q18" s="365"/>
    </row>
    <row r="19" spans="1:122 16371:16371" s="355" customFormat="1" x14ac:dyDescent="0.2">
      <c r="A19" s="378" t="s">
        <v>263</v>
      </c>
      <c r="B19" s="365">
        <v>0</v>
      </c>
      <c r="C19" s="365">
        <v>0</v>
      </c>
      <c r="D19" s="365">
        <v>0</v>
      </c>
      <c r="E19" s="365">
        <v>0</v>
      </c>
      <c r="F19" s="365">
        <v>5</v>
      </c>
      <c r="G19" s="365">
        <v>72</v>
      </c>
      <c r="H19" s="365">
        <v>55</v>
      </c>
      <c r="I19" s="365">
        <v>471</v>
      </c>
      <c r="J19" s="365">
        <v>0</v>
      </c>
      <c r="K19" s="365">
        <v>0</v>
      </c>
      <c r="L19" s="365">
        <v>0</v>
      </c>
      <c r="M19" s="365">
        <v>0</v>
      </c>
      <c r="N19" s="365">
        <f t="shared" si="2"/>
        <v>603</v>
      </c>
      <c r="O19" s="365"/>
      <c r="P19" s="365">
        <f t="shared" si="3"/>
        <v>603</v>
      </c>
      <c r="Q19" s="365"/>
    </row>
    <row r="20" spans="1:122 16371:16371" s="355" customFormat="1" x14ac:dyDescent="0.2">
      <c r="A20" s="379" t="s">
        <v>224</v>
      </c>
      <c r="B20" s="365">
        <v>-40616</v>
      </c>
      <c r="C20" s="365">
        <v>0</v>
      </c>
      <c r="D20" s="365">
        <v>115</v>
      </c>
      <c r="E20" s="365">
        <v>0</v>
      </c>
      <c r="F20" s="365">
        <v>0</v>
      </c>
      <c r="G20" s="365">
        <v>0</v>
      </c>
      <c r="H20" s="365">
        <v>148018</v>
      </c>
      <c r="I20" s="365">
        <v>29012</v>
      </c>
      <c r="J20" s="365">
        <v>0</v>
      </c>
      <c r="K20" s="365">
        <v>0</v>
      </c>
      <c r="L20" s="365">
        <v>0</v>
      </c>
      <c r="M20" s="365">
        <v>0</v>
      </c>
      <c r="N20" s="365">
        <f t="shared" si="2"/>
        <v>136529</v>
      </c>
      <c r="O20" s="365"/>
      <c r="P20" s="365">
        <f>N20+496277</f>
        <v>632806</v>
      </c>
      <c r="Q20" s="365"/>
    </row>
    <row r="21" spans="1:122 16371:16371" s="355" customFormat="1" x14ac:dyDescent="0.2">
      <c r="A21" s="379" t="s">
        <v>225</v>
      </c>
      <c r="B21" s="365">
        <v>36049</v>
      </c>
      <c r="C21" s="365">
        <v>196</v>
      </c>
      <c r="D21" s="365">
        <v>28892</v>
      </c>
      <c r="E21" s="365">
        <v>-13708</v>
      </c>
      <c r="F21" s="365">
        <v>26213</v>
      </c>
      <c r="G21" s="365">
        <v>11868</v>
      </c>
      <c r="H21" s="365">
        <v>273449</v>
      </c>
      <c r="I21" s="365">
        <v>-39046</v>
      </c>
      <c r="J21" s="365">
        <v>0</v>
      </c>
      <c r="K21" s="365">
        <v>0</v>
      </c>
      <c r="L21" s="365">
        <v>0</v>
      </c>
      <c r="M21" s="365">
        <v>0</v>
      </c>
      <c r="N21" s="365">
        <f t="shared" si="2"/>
        <v>323913</v>
      </c>
      <c r="O21" s="365"/>
      <c r="P21" s="365">
        <f>N21+289260</f>
        <v>613173</v>
      </c>
      <c r="Q21" s="365"/>
    </row>
    <row r="22" spans="1:122 16371:16371" s="355" customFormat="1" x14ac:dyDescent="0.2">
      <c r="A22" s="379" t="s">
        <v>257</v>
      </c>
      <c r="B22" s="365">
        <v>0</v>
      </c>
      <c r="C22" s="365">
        <v>0</v>
      </c>
      <c r="D22" s="365">
        <v>36728</v>
      </c>
      <c r="E22" s="365">
        <v>62547</v>
      </c>
      <c r="F22" s="365">
        <f>33942-1</f>
        <v>33941</v>
      </c>
      <c r="G22" s="365">
        <v>67895</v>
      </c>
      <c r="H22" s="365">
        <v>33027</v>
      </c>
      <c r="I22" s="365">
        <v>31153</v>
      </c>
      <c r="J22" s="365">
        <v>0</v>
      </c>
      <c r="K22" s="365">
        <v>0</v>
      </c>
      <c r="L22" s="365">
        <v>0</v>
      </c>
      <c r="M22" s="365">
        <v>0</v>
      </c>
      <c r="N22" s="365">
        <f t="shared" ref="N22" si="4">SUM(B22:M22)</f>
        <v>265291</v>
      </c>
      <c r="O22" s="365"/>
      <c r="P22" s="365">
        <f>N22</f>
        <v>265291</v>
      </c>
      <c r="Q22" s="365"/>
    </row>
    <row r="23" spans="1:122 16371:16371" s="348" customFormat="1" x14ac:dyDescent="0.2">
      <c r="A23" s="380"/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65"/>
      <c r="O23" s="381"/>
      <c r="P23" s="381"/>
      <c r="Q23" s="381"/>
    </row>
    <row r="24" spans="1:122 16371:16371" s="355" customFormat="1" ht="15" x14ac:dyDescent="0.2">
      <c r="A24" s="382" t="s">
        <v>226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</row>
    <row r="25" spans="1:122 16371:16371" s="355" customFormat="1" x14ac:dyDescent="0.2">
      <c r="A25" s="383" t="s">
        <v>227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</row>
    <row r="26" spans="1:122 16371:16371" s="355" customFormat="1" x14ac:dyDescent="0.2">
      <c r="A26" s="364" t="s">
        <v>207</v>
      </c>
      <c r="B26" s="365">
        <v>0</v>
      </c>
      <c r="C26" s="365">
        <v>0</v>
      </c>
      <c r="D26" s="365">
        <v>0</v>
      </c>
      <c r="E26" s="365">
        <v>0</v>
      </c>
      <c r="F26" s="365">
        <v>0</v>
      </c>
      <c r="G26" s="365">
        <v>0</v>
      </c>
      <c r="H26" s="365">
        <v>0</v>
      </c>
      <c r="I26" s="365">
        <v>0</v>
      </c>
      <c r="J26" s="365">
        <v>0</v>
      </c>
      <c r="K26" s="365">
        <v>0</v>
      </c>
      <c r="L26" s="365">
        <v>0</v>
      </c>
      <c r="M26" s="365">
        <v>0</v>
      </c>
      <c r="N26" s="365">
        <f t="shared" si="2"/>
        <v>0</v>
      </c>
      <c r="O26" s="365"/>
      <c r="P26" s="365">
        <f>N26+132</f>
        <v>132</v>
      </c>
      <c r="Q26" s="365"/>
    </row>
    <row r="27" spans="1:122 16371:16371" s="355" customFormat="1" x14ac:dyDescent="0.2">
      <c r="A27" s="364" t="s">
        <v>208</v>
      </c>
      <c r="B27" s="365">
        <v>0</v>
      </c>
      <c r="C27" s="365">
        <v>0</v>
      </c>
      <c r="D27" s="365">
        <v>0</v>
      </c>
      <c r="E27" s="365">
        <v>0</v>
      </c>
      <c r="F27" s="365">
        <v>0</v>
      </c>
      <c r="G27" s="365">
        <v>0</v>
      </c>
      <c r="H27" s="365">
        <v>0</v>
      </c>
      <c r="I27" s="365">
        <v>0</v>
      </c>
      <c r="J27" s="365">
        <v>0</v>
      </c>
      <c r="K27" s="365">
        <v>0</v>
      </c>
      <c r="L27" s="365">
        <v>0</v>
      </c>
      <c r="M27" s="365">
        <v>0</v>
      </c>
      <c r="N27" s="365">
        <f t="shared" si="2"/>
        <v>0</v>
      </c>
      <c r="O27" s="365"/>
      <c r="P27" s="365">
        <f>N27+177658</f>
        <v>177658</v>
      </c>
      <c r="Q27" s="365"/>
    </row>
    <row r="28" spans="1:122 16371:16371" s="355" customFormat="1" x14ac:dyDescent="0.2">
      <c r="A28" s="364" t="s">
        <v>211</v>
      </c>
      <c r="B28" s="365">
        <v>0</v>
      </c>
      <c r="C28" s="365">
        <v>0</v>
      </c>
      <c r="D28" s="365">
        <v>0</v>
      </c>
      <c r="E28" s="365">
        <v>1982</v>
      </c>
      <c r="F28" s="365">
        <v>-446</v>
      </c>
      <c r="G28" s="365">
        <v>462</v>
      </c>
      <c r="H28" s="365">
        <v>441</v>
      </c>
      <c r="I28" s="365">
        <v>5756</v>
      </c>
      <c r="J28" s="365">
        <v>0</v>
      </c>
      <c r="K28" s="365">
        <v>0</v>
      </c>
      <c r="L28" s="365">
        <v>0</v>
      </c>
      <c r="M28" s="365">
        <v>0</v>
      </c>
      <c r="N28" s="365">
        <f t="shared" si="2"/>
        <v>8195</v>
      </c>
      <c r="O28" s="365"/>
      <c r="P28" s="365">
        <f>N28+7361</f>
        <v>15556</v>
      </c>
      <c r="Q28" s="365"/>
    </row>
    <row r="29" spans="1:122 16371:16371" s="355" customFormat="1" x14ac:dyDescent="0.2">
      <c r="A29" s="364" t="s">
        <v>209</v>
      </c>
      <c r="B29" s="365">
        <v>0</v>
      </c>
      <c r="C29" s="365">
        <v>0</v>
      </c>
      <c r="D29" s="365">
        <v>0</v>
      </c>
      <c r="E29" s="365">
        <v>0</v>
      </c>
      <c r="F29" s="365">
        <v>9447</v>
      </c>
      <c r="G29" s="365">
        <v>0</v>
      </c>
      <c r="H29" s="365">
        <f>16277-2</f>
        <v>16275</v>
      </c>
      <c r="I29" s="365">
        <v>24488</v>
      </c>
      <c r="J29" s="365">
        <v>0</v>
      </c>
      <c r="K29" s="365">
        <v>0</v>
      </c>
      <c r="L29" s="365">
        <v>0</v>
      </c>
      <c r="M29" s="365">
        <v>0</v>
      </c>
      <c r="N29" s="365">
        <f t="shared" si="2"/>
        <v>50210</v>
      </c>
      <c r="O29" s="365"/>
      <c r="P29" s="365">
        <f>N29+211808</f>
        <v>262018</v>
      </c>
      <c r="Q29" s="365"/>
    </row>
    <row r="30" spans="1:122 16371:16371" s="355" customFormat="1" x14ac:dyDescent="0.2">
      <c r="A30" s="364" t="s">
        <v>210</v>
      </c>
      <c r="B30" s="365">
        <v>41667</v>
      </c>
      <c r="C30" s="365">
        <v>0</v>
      </c>
      <c r="D30" s="365">
        <v>0</v>
      </c>
      <c r="E30" s="365">
        <v>0</v>
      </c>
      <c r="F30" s="365">
        <v>0</v>
      </c>
      <c r="G30" s="365">
        <v>0</v>
      </c>
      <c r="H30" s="365">
        <v>5607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365">
        <f t="shared" si="2"/>
        <v>47274</v>
      </c>
      <c r="O30" s="365"/>
      <c r="P30" s="365">
        <f>N30+520551</f>
        <v>567825</v>
      </c>
      <c r="Q30" s="365"/>
    </row>
    <row r="31" spans="1:122 16371:16371" s="417" customFormat="1" ht="15.75" x14ac:dyDescent="0.25">
      <c r="A31" s="384" t="s">
        <v>212</v>
      </c>
      <c r="B31" s="385">
        <f t="shared" ref="B31:D31" si="5">SUM(B13:B30)</f>
        <v>37100</v>
      </c>
      <c r="C31" s="385">
        <f t="shared" si="5"/>
        <v>196</v>
      </c>
      <c r="D31" s="385">
        <f t="shared" si="5"/>
        <v>65735</v>
      </c>
      <c r="E31" s="385">
        <f t="shared" ref="E31:M31" si="6">SUM(E13:E30)</f>
        <v>54039</v>
      </c>
      <c r="F31" s="385">
        <f t="shared" si="6"/>
        <v>68761</v>
      </c>
      <c r="G31" s="385">
        <f t="shared" si="6"/>
        <v>81634</v>
      </c>
      <c r="H31" s="385">
        <f t="shared" si="6"/>
        <v>477743</v>
      </c>
      <c r="I31" s="385">
        <f t="shared" si="6"/>
        <v>64905</v>
      </c>
      <c r="J31" s="385">
        <f t="shared" si="6"/>
        <v>0</v>
      </c>
      <c r="K31" s="385">
        <f>SUM(K13:K30)</f>
        <v>0</v>
      </c>
      <c r="L31" s="385">
        <f t="shared" si="6"/>
        <v>0</v>
      </c>
      <c r="M31" s="385">
        <f t="shared" si="6"/>
        <v>0</v>
      </c>
      <c r="N31" s="385">
        <f>SUM(N13:N30)</f>
        <v>850113</v>
      </c>
      <c r="O31" s="385"/>
      <c r="P31" s="385">
        <f>SUM(P13:P30)</f>
        <v>2555400</v>
      </c>
      <c r="Q31" s="385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348"/>
      <c r="BI31" s="348"/>
      <c r="BJ31" s="348"/>
      <c r="BK31" s="348"/>
      <c r="BL31" s="348"/>
      <c r="BM31" s="348"/>
      <c r="BN31" s="348"/>
      <c r="BO31" s="348"/>
      <c r="BP31" s="348"/>
      <c r="BQ31" s="348"/>
      <c r="BR31" s="348"/>
      <c r="BS31" s="348"/>
      <c r="BT31" s="348"/>
      <c r="BU31" s="348"/>
      <c r="BV31" s="348"/>
      <c r="BW31" s="348"/>
      <c r="BX31" s="348"/>
      <c r="BY31" s="348"/>
      <c r="BZ31" s="348"/>
      <c r="CA31" s="348"/>
      <c r="CB31" s="348"/>
      <c r="CC31" s="348"/>
      <c r="CD31" s="348"/>
      <c r="CE31" s="348"/>
      <c r="CF31" s="348"/>
      <c r="CG31" s="348"/>
      <c r="CH31" s="348"/>
      <c r="CI31" s="348"/>
      <c r="CJ31" s="348"/>
      <c r="CK31" s="348"/>
      <c r="CL31" s="348"/>
      <c r="CM31" s="348"/>
      <c r="CN31" s="348"/>
      <c r="CO31" s="348"/>
      <c r="CP31" s="348"/>
      <c r="CQ31" s="348"/>
      <c r="CR31" s="348"/>
      <c r="CS31" s="348"/>
      <c r="CT31" s="348"/>
      <c r="CU31" s="348"/>
      <c r="CV31" s="348"/>
      <c r="CW31" s="348"/>
      <c r="CX31" s="348"/>
      <c r="CY31" s="348"/>
      <c r="CZ31" s="348"/>
      <c r="DA31" s="348"/>
      <c r="DB31" s="348"/>
      <c r="DC31" s="348"/>
      <c r="DD31" s="348"/>
      <c r="DE31" s="348"/>
      <c r="DF31" s="348"/>
      <c r="DG31" s="348"/>
      <c r="DH31" s="348"/>
      <c r="DI31" s="348"/>
      <c r="DJ31" s="348"/>
      <c r="DK31" s="348"/>
      <c r="DL31" s="348"/>
      <c r="DM31" s="348"/>
      <c r="DN31" s="348"/>
      <c r="DO31" s="348"/>
      <c r="DP31" s="348"/>
      <c r="DQ31" s="348"/>
      <c r="DR31" s="348"/>
    </row>
    <row r="32" spans="1:122 16371:16371" x14ac:dyDescent="0.2">
      <c r="A32" s="355"/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XEQ32" s="355"/>
    </row>
    <row r="33" spans="1:17" ht="15.75" x14ac:dyDescent="0.25">
      <c r="A33" s="386" t="s">
        <v>213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65"/>
      <c r="P33" s="377"/>
      <c r="Q33" s="377"/>
    </row>
    <row r="34" spans="1:17" x14ac:dyDescent="0.2">
      <c r="A34" s="378" t="s">
        <v>207</v>
      </c>
      <c r="B34" s="365">
        <v>0</v>
      </c>
      <c r="C34" s="365">
        <v>0</v>
      </c>
      <c r="D34" s="365">
        <v>0</v>
      </c>
      <c r="E34" s="365">
        <v>0</v>
      </c>
      <c r="F34" s="365">
        <v>0</v>
      </c>
      <c r="G34" s="365">
        <v>0</v>
      </c>
      <c r="H34" s="365">
        <v>0</v>
      </c>
      <c r="I34" s="365">
        <v>0</v>
      </c>
      <c r="J34" s="365">
        <v>0</v>
      </c>
      <c r="K34" s="365">
        <v>0</v>
      </c>
      <c r="L34" s="365">
        <v>0</v>
      </c>
      <c r="M34" s="365">
        <v>0</v>
      </c>
      <c r="N34" s="365">
        <f>SUM(B34:M34)</f>
        <v>0</v>
      </c>
      <c r="O34" s="365"/>
      <c r="P34" s="365">
        <f>N34+132</f>
        <v>132</v>
      </c>
      <c r="Q34" s="365"/>
    </row>
    <row r="35" spans="1:17" x14ac:dyDescent="0.2">
      <c r="A35" s="364" t="s">
        <v>208</v>
      </c>
      <c r="B35" s="365">
        <v>400</v>
      </c>
      <c r="C35" s="365">
        <v>196</v>
      </c>
      <c r="D35" s="365">
        <v>16204</v>
      </c>
      <c r="E35" s="365">
        <v>3428</v>
      </c>
      <c r="F35" s="365">
        <v>21737</v>
      </c>
      <c r="G35" s="365">
        <v>6613</v>
      </c>
      <c r="H35" s="365">
        <v>5591</v>
      </c>
      <c r="I35" s="365">
        <v>-2409</v>
      </c>
      <c r="J35" s="365">
        <v>0</v>
      </c>
      <c r="K35" s="365">
        <v>0</v>
      </c>
      <c r="L35" s="365">
        <v>0</v>
      </c>
      <c r="M35" s="365">
        <v>0</v>
      </c>
      <c r="N35" s="365">
        <f>SUM(B35:M35)</f>
        <v>51760</v>
      </c>
      <c r="O35" s="365"/>
      <c r="P35" s="365">
        <f>N35+187463</f>
        <v>239223</v>
      </c>
      <c r="Q35" s="365"/>
    </row>
    <row r="36" spans="1:17" s="355" customFormat="1" x14ac:dyDescent="0.2">
      <c r="A36" s="364" t="s">
        <v>211</v>
      </c>
      <c r="B36" s="365">
        <v>36050</v>
      </c>
      <c r="C36" s="365">
        <v>0</v>
      </c>
      <c r="D36" s="365">
        <v>25066</v>
      </c>
      <c r="E36" s="365">
        <v>24544</v>
      </c>
      <c r="F36" s="365">
        <v>29189</v>
      </c>
      <c r="G36" s="365">
        <v>23112</v>
      </c>
      <c r="H36" s="365">
        <v>70817</v>
      </c>
      <c r="I36" s="365">
        <v>39837</v>
      </c>
      <c r="J36" s="365">
        <v>0</v>
      </c>
      <c r="K36" s="365">
        <v>0</v>
      </c>
      <c r="L36" s="365">
        <v>0</v>
      </c>
      <c r="M36" s="365">
        <v>0</v>
      </c>
      <c r="N36" s="365">
        <f>SUM(B36:M36)</f>
        <v>248615</v>
      </c>
      <c r="O36" s="349"/>
      <c r="P36" s="365">
        <f>N36+108990</f>
        <v>357605</v>
      </c>
      <c r="Q36" s="349"/>
    </row>
    <row r="37" spans="1:17" s="355" customFormat="1" x14ac:dyDescent="0.2">
      <c r="A37" s="364" t="s">
        <v>209</v>
      </c>
      <c r="B37" s="365">
        <v>650</v>
      </c>
      <c r="C37" s="365">
        <v>0</v>
      </c>
      <c r="D37" s="365">
        <v>19386</v>
      </c>
      <c r="E37" s="365">
        <v>19705</v>
      </c>
      <c r="F37" s="365">
        <v>15966</v>
      </c>
      <c r="G37" s="365">
        <v>25151</v>
      </c>
      <c r="H37" s="365">
        <v>265096</v>
      </c>
      <c r="I37" s="365">
        <v>26861</v>
      </c>
      <c r="J37" s="365">
        <v>0</v>
      </c>
      <c r="K37" s="365">
        <v>0</v>
      </c>
      <c r="L37" s="365">
        <v>0</v>
      </c>
      <c r="M37" s="365">
        <v>0</v>
      </c>
      <c r="N37" s="365">
        <f>SUM(B37:M37)</f>
        <v>372815</v>
      </c>
      <c r="O37" s="349"/>
      <c r="P37" s="365">
        <f>N37+541733</f>
        <v>914548</v>
      </c>
      <c r="Q37" s="349"/>
    </row>
    <row r="38" spans="1:17" s="355" customFormat="1" x14ac:dyDescent="0.2">
      <c r="A38" s="379" t="s">
        <v>210</v>
      </c>
      <c r="B38" s="365">
        <v>0</v>
      </c>
      <c r="C38" s="365">
        <v>0</v>
      </c>
      <c r="D38" s="365">
        <v>5079</v>
      </c>
      <c r="E38" s="365">
        <v>6362</v>
      </c>
      <c r="F38" s="365">
        <v>1869</v>
      </c>
      <c r="G38" s="365">
        <v>26758</v>
      </c>
      <c r="H38" s="365">
        <v>136239</v>
      </c>
      <c r="I38" s="365">
        <v>616</v>
      </c>
      <c r="J38" s="365">
        <v>0</v>
      </c>
      <c r="K38" s="365">
        <v>0</v>
      </c>
      <c r="L38" s="365">
        <v>0</v>
      </c>
      <c r="M38" s="365">
        <v>0</v>
      </c>
      <c r="N38" s="365">
        <f>SUM(B38:M38)</f>
        <v>176923</v>
      </c>
      <c r="O38" s="349"/>
      <c r="P38" s="365">
        <f>N38+866969</f>
        <v>1043892</v>
      </c>
      <c r="Q38" s="349"/>
    </row>
    <row r="39" spans="1:17" s="355" customFormat="1" ht="15.75" x14ac:dyDescent="0.25">
      <c r="A39" s="387" t="s">
        <v>214</v>
      </c>
      <c r="B39" s="389">
        <f t="shared" ref="B39:D39" si="7">SUM(B34:B38)</f>
        <v>37100</v>
      </c>
      <c r="C39" s="389">
        <f t="shared" si="7"/>
        <v>196</v>
      </c>
      <c r="D39" s="389">
        <f t="shared" si="7"/>
        <v>65735</v>
      </c>
      <c r="E39" s="389">
        <f t="shared" ref="E39:M39" si="8">SUM(E34:E38)</f>
        <v>54039</v>
      </c>
      <c r="F39" s="389">
        <f t="shared" si="8"/>
        <v>68761</v>
      </c>
      <c r="G39" s="389">
        <f t="shared" si="8"/>
        <v>81634</v>
      </c>
      <c r="H39" s="389">
        <f t="shared" si="8"/>
        <v>477743</v>
      </c>
      <c r="I39" s="389">
        <f t="shared" si="8"/>
        <v>64905</v>
      </c>
      <c r="J39" s="389">
        <f t="shared" si="8"/>
        <v>0</v>
      </c>
      <c r="K39" s="389">
        <f t="shared" si="8"/>
        <v>0</v>
      </c>
      <c r="L39" s="389">
        <f t="shared" si="8"/>
        <v>0</v>
      </c>
      <c r="M39" s="389">
        <f t="shared" si="8"/>
        <v>0</v>
      </c>
      <c r="N39" s="389">
        <f>SUM(N34:N38)</f>
        <v>850113</v>
      </c>
      <c r="O39" s="388"/>
      <c r="P39" s="389">
        <f>SUM(P34:P38)</f>
        <v>2555400</v>
      </c>
      <c r="Q39" s="388"/>
    </row>
    <row r="40" spans="1:17" x14ac:dyDescent="0.2">
      <c r="A40" s="390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2"/>
      <c r="P40" s="391"/>
      <c r="Q40" s="391"/>
    </row>
    <row r="41" spans="1:17" ht="15.75" x14ac:dyDescent="0.25">
      <c r="A41" s="386" t="s">
        <v>215</v>
      </c>
      <c r="B41" s="377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65"/>
      <c r="P41" s="377"/>
      <c r="Q41" s="377"/>
    </row>
    <row r="42" spans="1:17" s="355" customFormat="1" x14ac:dyDescent="0.2">
      <c r="A42" s="364" t="s">
        <v>216</v>
      </c>
      <c r="B42" s="365">
        <v>0</v>
      </c>
      <c r="C42" s="365">
        <v>0</v>
      </c>
      <c r="D42" s="365">
        <v>0</v>
      </c>
      <c r="E42" s="365">
        <v>0</v>
      </c>
      <c r="F42" s="365">
        <v>5</v>
      </c>
      <c r="G42" s="365">
        <v>72</v>
      </c>
      <c r="H42" s="365">
        <v>55</v>
      </c>
      <c r="I42" s="365">
        <v>471</v>
      </c>
      <c r="J42" s="365">
        <v>0</v>
      </c>
      <c r="K42" s="365">
        <v>0</v>
      </c>
      <c r="L42" s="365">
        <v>0</v>
      </c>
      <c r="M42" s="365">
        <v>0</v>
      </c>
      <c r="N42" s="365">
        <f>SUM(B42:M42)</f>
        <v>603</v>
      </c>
      <c r="O42" s="365"/>
      <c r="P42" s="365">
        <f>N42</f>
        <v>603</v>
      </c>
      <c r="Q42" s="365"/>
    </row>
    <row r="43" spans="1:17" s="355" customFormat="1" x14ac:dyDescent="0.2">
      <c r="A43" s="378" t="s">
        <v>217</v>
      </c>
      <c r="B43" s="365">
        <v>6674</v>
      </c>
      <c r="C43" s="365">
        <v>196</v>
      </c>
      <c r="D43" s="365">
        <v>32112</v>
      </c>
      <c r="E43" s="365">
        <v>24108</v>
      </c>
      <c r="F43" s="365">
        <v>29674</v>
      </c>
      <c r="G43" s="365">
        <v>38025</v>
      </c>
      <c r="H43" s="365">
        <v>149334</v>
      </c>
      <c r="I43" s="365">
        <v>9490</v>
      </c>
      <c r="J43" s="365">
        <v>0</v>
      </c>
      <c r="K43" s="365">
        <v>0</v>
      </c>
      <c r="L43" s="365">
        <v>0</v>
      </c>
      <c r="M43" s="365">
        <v>0</v>
      </c>
      <c r="N43" s="365">
        <f>SUM(B43:M43)</f>
        <v>289613</v>
      </c>
      <c r="O43" s="365"/>
      <c r="P43" s="365">
        <f>N43+145592</f>
        <v>435205</v>
      </c>
      <c r="Q43" s="365"/>
    </row>
    <row r="44" spans="1:17" s="355" customFormat="1" ht="14.25" customHeight="1" x14ac:dyDescent="0.2">
      <c r="A44" s="364" t="s">
        <v>218</v>
      </c>
      <c r="B44" s="365">
        <v>9511</v>
      </c>
      <c r="C44" s="365">
        <v>0</v>
      </c>
      <c r="D44" s="365">
        <v>32220</v>
      </c>
      <c r="E44" s="365">
        <f>23426+1</f>
        <v>23427</v>
      </c>
      <c r="F44" s="365">
        <v>28914</v>
      </c>
      <c r="G44" s="365">
        <v>37546</v>
      </c>
      <c r="H44" s="365">
        <v>149280</v>
      </c>
      <c r="I44" s="365">
        <v>8869</v>
      </c>
      <c r="J44" s="365">
        <v>0</v>
      </c>
      <c r="K44" s="365">
        <v>0</v>
      </c>
      <c r="L44" s="365">
        <v>0</v>
      </c>
      <c r="M44" s="365">
        <v>0</v>
      </c>
      <c r="N44" s="365">
        <f>SUM(B44:M44)</f>
        <v>289767</v>
      </c>
      <c r="O44" s="365"/>
      <c r="P44" s="365">
        <f>N44+260842</f>
        <v>550609</v>
      </c>
      <c r="Q44" s="365"/>
    </row>
    <row r="45" spans="1:17" s="355" customFormat="1" x14ac:dyDescent="0.2">
      <c r="A45" s="364" t="s">
        <v>219</v>
      </c>
      <c r="B45" s="365">
        <v>20915</v>
      </c>
      <c r="C45" s="365">
        <v>0</v>
      </c>
      <c r="D45" s="365">
        <v>1403</v>
      </c>
      <c r="E45" s="365">
        <v>6504</v>
      </c>
      <c r="F45" s="365">
        <v>10168</v>
      </c>
      <c r="G45" s="365">
        <v>5991</v>
      </c>
      <c r="H45" s="365">
        <v>179074</v>
      </c>
      <c r="I45" s="365">
        <v>46075</v>
      </c>
      <c r="J45" s="365">
        <v>0</v>
      </c>
      <c r="K45" s="365">
        <v>0</v>
      </c>
      <c r="L45" s="365">
        <v>0</v>
      </c>
      <c r="M45" s="365">
        <v>0</v>
      </c>
      <c r="N45" s="365">
        <f>SUM(B45:M45)</f>
        <v>270130</v>
      </c>
      <c r="O45" s="349"/>
      <c r="P45" s="365">
        <f>N45+1298853</f>
        <v>1568983</v>
      </c>
      <c r="Q45" s="349"/>
    </row>
    <row r="46" spans="1:17" s="355" customFormat="1" ht="15.75" x14ac:dyDescent="0.25">
      <c r="A46" s="387" t="s">
        <v>220</v>
      </c>
      <c r="B46" s="389">
        <f t="shared" ref="B46:D46" si="9">SUM(B42:B45)</f>
        <v>37100</v>
      </c>
      <c r="C46" s="389">
        <f t="shared" si="9"/>
        <v>196</v>
      </c>
      <c r="D46" s="389">
        <f t="shared" si="9"/>
        <v>65735</v>
      </c>
      <c r="E46" s="389">
        <f t="shared" ref="E46:M46" si="10">SUM(E42:E45)</f>
        <v>54039</v>
      </c>
      <c r="F46" s="389">
        <f t="shared" si="10"/>
        <v>68761</v>
      </c>
      <c r="G46" s="389">
        <f t="shared" si="10"/>
        <v>81634</v>
      </c>
      <c r="H46" s="389">
        <f t="shared" si="10"/>
        <v>477743</v>
      </c>
      <c r="I46" s="389">
        <f t="shared" si="10"/>
        <v>64905</v>
      </c>
      <c r="J46" s="389">
        <f t="shared" si="10"/>
        <v>0</v>
      </c>
      <c r="K46" s="389">
        <f t="shared" si="10"/>
        <v>0</v>
      </c>
      <c r="L46" s="389">
        <f t="shared" si="10"/>
        <v>0</v>
      </c>
      <c r="M46" s="389">
        <f t="shared" si="10"/>
        <v>0</v>
      </c>
      <c r="N46" s="389">
        <f>SUM(N42:N45)</f>
        <v>850113</v>
      </c>
      <c r="O46" s="389">
        <f>SUM(O42:O45)</f>
        <v>0</v>
      </c>
      <c r="P46" s="389">
        <f>SUM(P42:P45)</f>
        <v>2555400</v>
      </c>
      <c r="Q46" s="388"/>
    </row>
    <row r="47" spans="1:17" s="355" customFormat="1" x14ac:dyDescent="0.2"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</row>
    <row r="48" spans="1:17" s="355" customFormat="1" x14ac:dyDescent="0.2">
      <c r="B48" s="365"/>
      <c r="C48" s="365"/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</row>
    <row r="49" spans="1:17" x14ac:dyDescent="0.2">
      <c r="A49" s="393" t="s">
        <v>25</v>
      </c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1"/>
      <c r="Q49" s="381"/>
    </row>
    <row r="50" spans="1:17" ht="30" customHeight="1" x14ac:dyDescent="0.2">
      <c r="A50" s="451" t="s">
        <v>228</v>
      </c>
      <c r="B50" s="451"/>
      <c r="C50" s="451"/>
      <c r="D50" s="451"/>
      <c r="N50" s="365"/>
      <c r="O50" s="365"/>
      <c r="P50" s="365"/>
      <c r="Q50" s="365"/>
    </row>
    <row r="51" spans="1:17" s="348" customFormat="1" ht="14.25" x14ac:dyDescent="0.2">
      <c r="A51" s="450" t="s">
        <v>229</v>
      </c>
      <c r="B51" s="451"/>
      <c r="C51" s="451"/>
      <c r="D51" s="451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</row>
    <row r="52" spans="1:17" ht="14.25" x14ac:dyDescent="0.2">
      <c r="A52" s="450" t="s">
        <v>230</v>
      </c>
      <c r="B52" s="451"/>
      <c r="C52" s="451"/>
      <c r="D52" s="451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</row>
    <row r="53" spans="1:17" ht="14.25" x14ac:dyDescent="0.2">
      <c r="A53" s="450" t="s">
        <v>231</v>
      </c>
      <c r="B53" s="451"/>
      <c r="C53" s="451"/>
      <c r="D53" s="451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</row>
    <row r="54" spans="1:17" ht="14.25" x14ac:dyDescent="0.2">
      <c r="A54" s="450" t="s">
        <v>252</v>
      </c>
      <c r="B54" s="451"/>
      <c r="C54" s="451"/>
      <c r="D54" s="451"/>
      <c r="E54" s="394"/>
      <c r="F54" s="394"/>
      <c r="G54" s="394"/>
      <c r="H54" s="394"/>
      <c r="I54" s="394"/>
      <c r="J54" s="394"/>
      <c r="K54" s="394"/>
      <c r="L54" s="394"/>
      <c r="M54" s="394"/>
      <c r="N54" s="394"/>
    </row>
    <row r="55" spans="1:17" x14ac:dyDescent="0.2">
      <c r="A55" s="396"/>
      <c r="B55" s="395"/>
      <c r="C55" s="395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</row>
    <row r="56" spans="1:17" x14ac:dyDescent="0.2">
      <c r="A56" s="348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</row>
    <row r="57" spans="1:17" x14ac:dyDescent="0.2">
      <c r="A57" s="348"/>
      <c r="B57" s="348"/>
      <c r="C57" s="348"/>
      <c r="D57" s="397"/>
      <c r="E57" s="400"/>
      <c r="F57" s="365"/>
      <c r="G57" s="348"/>
      <c r="H57" s="348"/>
      <c r="I57" s="348"/>
      <c r="J57" s="348"/>
      <c r="K57" s="348"/>
      <c r="M57" s="348"/>
    </row>
    <row r="58" spans="1:17" x14ac:dyDescent="0.2">
      <c r="A58" s="348"/>
      <c r="B58" s="348"/>
      <c r="C58" s="348"/>
      <c r="D58" s="397"/>
      <c r="E58" s="400"/>
      <c r="F58" s="365"/>
      <c r="G58" s="348"/>
      <c r="H58" s="348"/>
      <c r="I58" s="348"/>
      <c r="J58" s="348"/>
      <c r="K58" s="348"/>
      <c r="M58" s="348"/>
    </row>
    <row r="59" spans="1:17" x14ac:dyDescent="0.2">
      <c r="A59" s="348"/>
      <c r="B59" s="348"/>
      <c r="C59" s="348"/>
      <c r="D59" s="348"/>
      <c r="E59" s="400"/>
      <c r="F59" s="348"/>
      <c r="G59" s="348"/>
      <c r="H59" s="348"/>
      <c r="I59" s="348"/>
      <c r="J59" s="348"/>
      <c r="K59" s="348"/>
      <c r="M59" s="348"/>
    </row>
    <row r="60" spans="1:17" x14ac:dyDescent="0.2">
      <c r="B60" s="348"/>
      <c r="C60" s="348"/>
      <c r="D60" s="365"/>
      <c r="E60" s="400"/>
      <c r="F60" s="365"/>
      <c r="G60" s="348"/>
      <c r="H60" s="348"/>
      <c r="I60" s="348"/>
      <c r="J60" s="348"/>
      <c r="K60" s="348"/>
      <c r="M60" s="348"/>
    </row>
    <row r="61" spans="1:17" x14ac:dyDescent="0.2">
      <c r="B61" s="348"/>
      <c r="C61" s="348"/>
      <c r="D61" s="365"/>
      <c r="E61" s="400"/>
      <c r="F61" s="365"/>
      <c r="G61" s="348"/>
      <c r="H61" s="348"/>
      <c r="I61" s="348"/>
      <c r="J61" s="348"/>
      <c r="K61" s="348"/>
      <c r="M61" s="348"/>
    </row>
    <row r="62" spans="1:17" x14ac:dyDescent="0.2">
      <c r="D62" s="398"/>
      <c r="E62" s="401"/>
      <c r="F62" s="398"/>
    </row>
    <row r="63" spans="1:17" x14ac:dyDescent="0.2">
      <c r="D63" s="398"/>
      <c r="E63" s="401"/>
      <c r="F63" s="398"/>
    </row>
    <row r="64" spans="1:17" x14ac:dyDescent="0.2">
      <c r="D64" s="398"/>
      <c r="E64" s="401"/>
      <c r="F64" s="398"/>
    </row>
    <row r="65" spans="5:6" x14ac:dyDescent="0.2">
      <c r="E65" s="399"/>
      <c r="F65" s="398"/>
    </row>
  </sheetData>
  <mergeCells count="8">
    <mergeCell ref="A53:D53"/>
    <mergeCell ref="A54:D54"/>
    <mergeCell ref="N2:N3"/>
    <mergeCell ref="P2:P3"/>
    <mergeCell ref="Q2:Q3"/>
    <mergeCell ref="A50:D50"/>
    <mergeCell ref="A51:D51"/>
    <mergeCell ref="A52:D52"/>
  </mergeCells>
  <pageMargins left="0.75" right="0.75" top="1" bottom="1" header="0.5" footer="0.5"/>
  <pageSetup scale="4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31"/>
  <sheetViews>
    <sheetView zoomScaleNormal="100" workbookViewId="0">
      <selection activeCell="A13" sqref="A13"/>
    </sheetView>
  </sheetViews>
  <sheetFormatPr defaultRowHeight="12.75" x14ac:dyDescent="0.2"/>
  <cols>
    <col min="1" max="1" width="29.28515625" style="7" customWidth="1"/>
    <col min="2" max="2" width="15" style="7" customWidth="1"/>
    <col min="3" max="3" width="58.42578125" style="7" customWidth="1"/>
    <col min="4" max="4" width="10.85546875" style="7" customWidth="1"/>
    <col min="5" max="5" width="78.140625" style="7" customWidth="1"/>
    <col min="6" max="16384" width="9.140625" style="7"/>
  </cols>
  <sheetData>
    <row r="1" spans="1:5" x14ac:dyDescent="0.2">
      <c r="A1" s="9" t="s">
        <v>50</v>
      </c>
      <c r="B1" s="8"/>
      <c r="C1" s="8"/>
    </row>
    <row r="3" spans="1:5" s="9" customFormat="1" x14ac:dyDescent="0.2">
      <c r="A3" s="9" t="s">
        <v>51</v>
      </c>
      <c r="B3" s="9" t="s">
        <v>52</v>
      </c>
    </row>
    <row r="4" spans="1:5" s="9" customFormat="1" x14ac:dyDescent="0.2">
      <c r="B4" s="9" t="s">
        <v>53</v>
      </c>
    </row>
    <row r="7" spans="1:5" s="10" customFormat="1" x14ac:dyDescent="0.2">
      <c r="A7" s="11" t="s">
        <v>57</v>
      </c>
      <c r="B7" s="11" t="s">
        <v>54</v>
      </c>
      <c r="C7" s="11" t="s">
        <v>56</v>
      </c>
      <c r="D7" s="11" t="s">
        <v>19</v>
      </c>
      <c r="E7" s="11" t="s">
        <v>55</v>
      </c>
    </row>
    <row r="8" spans="1:5" s="10" customFormat="1" x14ac:dyDescent="0.2">
      <c r="A8" s="347" t="s">
        <v>192</v>
      </c>
      <c r="B8" s="13">
        <v>-6400000</v>
      </c>
      <c r="C8" s="12" t="s">
        <v>31</v>
      </c>
      <c r="D8" s="14">
        <v>41053</v>
      </c>
      <c r="E8" s="12" t="s">
        <v>194</v>
      </c>
    </row>
    <row r="9" spans="1:5" s="10" customFormat="1" x14ac:dyDescent="0.2">
      <c r="A9" s="11"/>
      <c r="B9" s="13">
        <v>6400000</v>
      </c>
      <c r="C9" s="12" t="s">
        <v>193</v>
      </c>
      <c r="D9" s="14">
        <v>41053</v>
      </c>
      <c r="E9" s="12" t="s">
        <v>194</v>
      </c>
    </row>
    <row r="10" spans="1:5" x14ac:dyDescent="0.2">
      <c r="A10" s="12" t="s">
        <v>189</v>
      </c>
      <c r="B10" s="13">
        <v>-1800000</v>
      </c>
      <c r="C10" s="12" t="s">
        <v>96</v>
      </c>
      <c r="D10" s="14">
        <v>41104</v>
      </c>
      <c r="E10" s="12" t="s">
        <v>191</v>
      </c>
    </row>
    <row r="11" spans="1:5" x14ac:dyDescent="0.2">
      <c r="A11" s="12"/>
      <c r="B11" s="13">
        <v>1800000</v>
      </c>
      <c r="C11" s="12" t="s">
        <v>190</v>
      </c>
      <c r="D11" s="14">
        <v>41104</v>
      </c>
      <c r="E11" s="12" t="s">
        <v>191</v>
      </c>
    </row>
    <row r="12" spans="1:5" x14ac:dyDescent="0.2">
      <c r="A12" s="12" t="s">
        <v>237</v>
      </c>
      <c r="B12" s="13">
        <v>-100000</v>
      </c>
      <c r="C12" s="12" t="s">
        <v>238</v>
      </c>
      <c r="D12" s="14">
        <v>41183</v>
      </c>
      <c r="E12" s="12" t="s">
        <v>240</v>
      </c>
    </row>
    <row r="13" spans="1:5" x14ac:dyDescent="0.2">
      <c r="A13" s="12"/>
      <c r="B13" s="13">
        <v>100000</v>
      </c>
      <c r="C13" s="12" t="s">
        <v>239</v>
      </c>
      <c r="D13" s="14">
        <v>41183</v>
      </c>
      <c r="E13" s="12" t="s">
        <v>240</v>
      </c>
    </row>
    <row r="14" spans="1:5" x14ac:dyDescent="0.2">
      <c r="A14" s="15"/>
      <c r="B14" s="16"/>
      <c r="C14" s="12"/>
      <c r="D14" s="14"/>
      <c r="E14" s="12"/>
    </row>
    <row r="15" spans="1:5" x14ac:dyDescent="0.2">
      <c r="A15" s="17" t="s">
        <v>58</v>
      </c>
      <c r="B15" s="18">
        <f>SUM(B10:B14)</f>
        <v>0</v>
      </c>
      <c r="C15" s="15"/>
      <c r="D15" s="15"/>
      <c r="E15" s="15"/>
    </row>
    <row r="16" spans="1:5" x14ac:dyDescent="0.2">
      <c r="A16" s="15"/>
      <c r="B16" s="15"/>
      <c r="C16" s="15"/>
      <c r="D16" s="15"/>
      <c r="E16" s="15"/>
    </row>
    <row r="18" spans="1:5" x14ac:dyDescent="0.2">
      <c r="A18" s="8" t="s">
        <v>25</v>
      </c>
      <c r="B18" s="8" t="s">
        <v>59</v>
      </c>
    </row>
    <row r="24" spans="1:5" ht="15" x14ac:dyDescent="0.25">
      <c r="E24" s="426"/>
    </row>
    <row r="31" spans="1:5" x14ac:dyDescent="0.2">
      <c r="C31" s="8"/>
    </row>
  </sheetData>
  <phoneticPr fontId="30" type="noConversion"/>
  <pageMargins left="0.75" right="0.75" top="1" bottom="1" header="0.5" footer="0.5"/>
  <pageSetup scale="50" orientation="landscape" r:id="rId1"/>
  <headerFooter alignWithMargins="0">
    <oddHeader>&amp;C&amp;"Arial,Bold"SDGE
FUND SHIFTING
2013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5"/>
  <sheetViews>
    <sheetView view="pageBreakPreview" zoomScale="75" zoomScaleNormal="75" zoomScaleSheetLayoutView="75" workbookViewId="0">
      <pane ySplit="3" topLeftCell="A4" activePane="bottomLeft" state="frozen"/>
      <selection pane="bottomLeft" activeCell="D54" sqref="D54"/>
    </sheetView>
  </sheetViews>
  <sheetFormatPr defaultRowHeight="14.1" customHeight="1" x14ac:dyDescent="0.2"/>
  <cols>
    <col min="1" max="1" width="34.7109375" style="420" bestFit="1" customWidth="1"/>
    <col min="2" max="2" width="15.28515625" style="418" customWidth="1"/>
    <col min="3" max="3" width="15.7109375" style="419" customWidth="1"/>
    <col min="4" max="4" width="26.5703125" style="420" customWidth="1"/>
    <col min="5" max="5" width="20.7109375" style="421" bestFit="1" customWidth="1"/>
    <col min="6" max="6" width="18.7109375" style="420" bestFit="1" customWidth="1"/>
    <col min="7" max="7" width="37" style="420" customWidth="1"/>
    <col min="8" max="16384" width="9.140625" style="422"/>
  </cols>
  <sheetData>
    <row r="1" spans="1:7" ht="14.1" customHeight="1" x14ac:dyDescent="0.2">
      <c r="A1" s="418" t="s">
        <v>63</v>
      </c>
    </row>
    <row r="2" spans="1:7" ht="14.1" customHeight="1" x14ac:dyDescent="0.2">
      <c r="A2" s="418" t="s">
        <v>57</v>
      </c>
      <c r="B2" s="418" t="s">
        <v>33</v>
      </c>
      <c r="C2" s="419" t="s">
        <v>19</v>
      </c>
      <c r="D2" s="420" t="s">
        <v>26</v>
      </c>
      <c r="E2" s="421" t="s">
        <v>154</v>
      </c>
      <c r="F2" s="420" t="s">
        <v>24</v>
      </c>
      <c r="G2" s="420" t="s">
        <v>155</v>
      </c>
    </row>
    <row r="3" spans="1:7" ht="14.1" customHeight="1" x14ac:dyDescent="0.2">
      <c r="A3" s="423" t="s">
        <v>153</v>
      </c>
      <c r="B3" s="423" t="s">
        <v>74</v>
      </c>
      <c r="C3" s="424">
        <v>41275</v>
      </c>
      <c r="D3" s="242" t="s">
        <v>153</v>
      </c>
      <c r="E3" s="425" t="s">
        <v>74</v>
      </c>
      <c r="F3" s="242" t="s">
        <v>74</v>
      </c>
      <c r="G3" s="242" t="s">
        <v>153</v>
      </c>
    </row>
    <row r="4" spans="1:7" ht="14.1" customHeight="1" x14ac:dyDescent="0.2">
      <c r="A4" s="429" t="s">
        <v>153</v>
      </c>
      <c r="B4" s="423" t="s">
        <v>74</v>
      </c>
      <c r="C4" s="424">
        <v>41306</v>
      </c>
      <c r="D4" s="429" t="s">
        <v>153</v>
      </c>
      <c r="E4" s="430" t="s">
        <v>74</v>
      </c>
      <c r="F4" s="429" t="s">
        <v>74</v>
      </c>
      <c r="G4" s="429" t="s">
        <v>153</v>
      </c>
    </row>
    <row r="5" spans="1:7" ht="14.1" customHeight="1" x14ac:dyDescent="0.2">
      <c r="A5" s="429" t="s">
        <v>153</v>
      </c>
      <c r="B5" s="423" t="s">
        <v>74</v>
      </c>
      <c r="C5" s="424">
        <v>41334</v>
      </c>
      <c r="D5" s="429" t="s">
        <v>153</v>
      </c>
      <c r="E5" s="430" t="s">
        <v>74</v>
      </c>
      <c r="F5" s="429" t="s">
        <v>74</v>
      </c>
      <c r="G5" s="429" t="s">
        <v>153</v>
      </c>
    </row>
    <row r="6" spans="1:7" ht="14.1" customHeight="1" x14ac:dyDescent="0.2">
      <c r="A6" s="429" t="s">
        <v>153</v>
      </c>
      <c r="B6" s="423" t="s">
        <v>74</v>
      </c>
      <c r="C6" s="424">
        <v>41365</v>
      </c>
      <c r="D6" s="429" t="s">
        <v>153</v>
      </c>
      <c r="E6" s="430" t="s">
        <v>74</v>
      </c>
      <c r="F6" s="429" t="s">
        <v>74</v>
      </c>
      <c r="G6" s="429" t="s">
        <v>153</v>
      </c>
    </row>
    <row r="7" spans="1:7" ht="14.1" customHeight="1" x14ac:dyDescent="0.2">
      <c r="A7" s="429" t="s">
        <v>153</v>
      </c>
      <c r="B7" s="423" t="s">
        <v>74</v>
      </c>
      <c r="C7" s="424">
        <v>41395</v>
      </c>
      <c r="D7" s="429" t="s">
        <v>153</v>
      </c>
      <c r="E7" s="430" t="s">
        <v>74</v>
      </c>
      <c r="F7" s="429" t="s">
        <v>74</v>
      </c>
      <c r="G7" s="429" t="s">
        <v>153</v>
      </c>
    </row>
    <row r="8" spans="1:7" ht="14.1" customHeight="1" x14ac:dyDescent="0.2">
      <c r="A8" s="429" t="s">
        <v>264</v>
      </c>
      <c r="B8" s="423">
        <v>1</v>
      </c>
      <c r="C8" s="424">
        <v>41453</v>
      </c>
      <c r="D8" s="429" t="s">
        <v>265</v>
      </c>
      <c r="E8" s="431">
        <v>8600</v>
      </c>
      <c r="F8" s="429" t="s">
        <v>266</v>
      </c>
      <c r="G8" s="429">
        <v>4</v>
      </c>
    </row>
    <row r="9" spans="1:7" ht="14.1" customHeight="1" x14ac:dyDescent="0.2">
      <c r="A9" s="429" t="s">
        <v>267</v>
      </c>
      <c r="B9" s="423">
        <v>2</v>
      </c>
      <c r="C9" s="424">
        <v>41456</v>
      </c>
      <c r="D9" s="429" t="s">
        <v>265</v>
      </c>
      <c r="E9" s="431">
        <v>8000</v>
      </c>
      <c r="F9" s="429" t="s">
        <v>266</v>
      </c>
      <c r="G9" s="429">
        <v>4</v>
      </c>
    </row>
    <row r="10" spans="1:7" ht="14.1" customHeight="1" x14ac:dyDescent="0.2">
      <c r="A10" s="429"/>
      <c r="B10" s="423"/>
      <c r="C10" s="424"/>
      <c r="D10" s="429"/>
      <c r="E10" s="430"/>
      <c r="F10" s="429"/>
      <c r="G10" s="429"/>
    </row>
    <row r="11" spans="1:7" ht="14.1" customHeight="1" x14ac:dyDescent="0.2">
      <c r="A11" s="429" t="s">
        <v>264</v>
      </c>
      <c r="B11" s="423">
        <v>3</v>
      </c>
      <c r="C11" s="424">
        <v>41514</v>
      </c>
      <c r="D11" s="429" t="s">
        <v>265</v>
      </c>
      <c r="E11" s="431">
        <v>9600</v>
      </c>
      <c r="F11" s="429" t="s">
        <v>268</v>
      </c>
      <c r="G11" s="429">
        <v>8</v>
      </c>
    </row>
    <row r="12" spans="1:7" ht="14.1" customHeight="1" x14ac:dyDescent="0.2">
      <c r="A12" s="429" t="s">
        <v>269</v>
      </c>
      <c r="B12" s="423">
        <v>4</v>
      </c>
      <c r="C12" s="424">
        <v>41514</v>
      </c>
      <c r="D12" s="429" t="s">
        <v>270</v>
      </c>
      <c r="E12" s="431">
        <v>12900</v>
      </c>
      <c r="F12" s="429" t="s">
        <v>268</v>
      </c>
      <c r="G12" s="429">
        <v>4</v>
      </c>
    </row>
    <row r="13" spans="1:7" ht="14.1" customHeight="1" x14ac:dyDescent="0.2">
      <c r="A13" s="429"/>
      <c r="B13" s="423"/>
      <c r="C13" s="424"/>
      <c r="D13" s="429"/>
      <c r="E13" s="430"/>
      <c r="F13" s="429"/>
      <c r="G13" s="429"/>
    </row>
    <row r="14" spans="1:7" ht="14.1" customHeight="1" x14ac:dyDescent="0.2">
      <c r="A14" s="429" t="s">
        <v>267</v>
      </c>
      <c r="B14" s="423">
        <v>5</v>
      </c>
      <c r="C14" s="424">
        <v>41515</v>
      </c>
      <c r="D14" s="429" t="s">
        <v>265</v>
      </c>
      <c r="E14" s="431">
        <v>9700</v>
      </c>
      <c r="F14" s="429" t="s">
        <v>268</v>
      </c>
      <c r="G14" s="429">
        <v>8</v>
      </c>
    </row>
    <row r="15" spans="1:7" ht="14.1" customHeight="1" x14ac:dyDescent="0.2">
      <c r="A15" s="429" t="s">
        <v>271</v>
      </c>
      <c r="B15" s="423">
        <v>6</v>
      </c>
      <c r="C15" s="424">
        <v>41515</v>
      </c>
      <c r="D15" s="429" t="s">
        <v>270</v>
      </c>
      <c r="E15" s="431">
        <v>11600</v>
      </c>
      <c r="F15" s="429" t="s">
        <v>272</v>
      </c>
      <c r="G15" s="429">
        <v>7</v>
      </c>
    </row>
    <row r="16" spans="1:7" ht="14.1" customHeight="1" x14ac:dyDescent="0.2">
      <c r="A16" s="429" t="s">
        <v>269</v>
      </c>
      <c r="B16" s="423">
        <v>7</v>
      </c>
      <c r="C16" s="424">
        <v>41515</v>
      </c>
      <c r="D16" s="429" t="s">
        <v>270</v>
      </c>
      <c r="E16" s="431">
        <v>11500</v>
      </c>
      <c r="F16" s="429" t="s">
        <v>266</v>
      </c>
      <c r="G16" s="429">
        <v>8</v>
      </c>
    </row>
    <row r="17" spans="1:7" ht="14.1" customHeight="1" x14ac:dyDescent="0.2">
      <c r="A17" s="432" t="s">
        <v>264</v>
      </c>
      <c r="B17" s="433">
        <v>8</v>
      </c>
      <c r="C17" s="434">
        <v>41515</v>
      </c>
      <c r="D17" s="432" t="s">
        <v>265</v>
      </c>
      <c r="E17" s="435">
        <v>9400</v>
      </c>
      <c r="F17" s="432" t="s">
        <v>268</v>
      </c>
      <c r="G17" s="432">
        <v>12</v>
      </c>
    </row>
    <row r="18" spans="1:7" ht="14.1" customHeight="1" x14ac:dyDescent="0.2">
      <c r="A18" s="432"/>
      <c r="B18" s="433"/>
      <c r="C18" s="434"/>
      <c r="D18" s="432"/>
      <c r="E18" s="435"/>
      <c r="F18" s="432"/>
      <c r="G18" s="432"/>
    </row>
    <row r="19" spans="1:7" ht="14.1" customHeight="1" x14ac:dyDescent="0.2">
      <c r="A19" s="429" t="s">
        <v>267</v>
      </c>
      <c r="B19" s="423">
        <v>9</v>
      </c>
      <c r="C19" s="424">
        <v>41516</v>
      </c>
      <c r="D19" s="429" t="s">
        <v>265</v>
      </c>
      <c r="E19" s="431">
        <v>10600</v>
      </c>
      <c r="F19" s="429" t="s">
        <v>266</v>
      </c>
      <c r="G19" s="429">
        <v>12</v>
      </c>
    </row>
    <row r="20" spans="1:7" ht="14.1" customHeight="1" x14ac:dyDescent="0.2">
      <c r="A20" s="429" t="s">
        <v>264</v>
      </c>
      <c r="B20" s="423">
        <v>10</v>
      </c>
      <c r="C20" s="424">
        <v>41516</v>
      </c>
      <c r="D20" s="429" t="s">
        <v>265</v>
      </c>
      <c r="E20" s="431">
        <v>8700</v>
      </c>
      <c r="F20" s="429" t="s">
        <v>273</v>
      </c>
      <c r="G20" s="429">
        <v>16</v>
      </c>
    </row>
    <row r="21" spans="1:7" ht="14.1" customHeight="1" x14ac:dyDescent="0.2">
      <c r="A21" s="429" t="s">
        <v>269</v>
      </c>
      <c r="B21" s="423">
        <v>11</v>
      </c>
      <c r="C21" s="424">
        <v>41516</v>
      </c>
      <c r="D21" s="429" t="s">
        <v>270</v>
      </c>
      <c r="E21" s="431">
        <v>20100</v>
      </c>
      <c r="F21" s="429" t="s">
        <v>273</v>
      </c>
      <c r="G21" s="429">
        <v>12</v>
      </c>
    </row>
    <row r="22" spans="1:7" ht="14.1" customHeight="1" x14ac:dyDescent="0.2">
      <c r="A22" s="429" t="s">
        <v>190</v>
      </c>
      <c r="B22" s="423">
        <v>12</v>
      </c>
      <c r="C22" s="424">
        <v>41516</v>
      </c>
      <c r="D22" s="429" t="s">
        <v>265</v>
      </c>
      <c r="E22" s="431">
        <v>4500</v>
      </c>
      <c r="F22" s="429" t="s">
        <v>274</v>
      </c>
      <c r="G22" s="429">
        <v>4</v>
      </c>
    </row>
    <row r="23" spans="1:7" ht="14.1" customHeight="1" x14ac:dyDescent="0.2">
      <c r="A23" s="429"/>
      <c r="B23" s="423"/>
      <c r="C23" s="424"/>
      <c r="D23" s="429"/>
      <c r="E23" s="430"/>
      <c r="F23" s="429"/>
      <c r="G23" s="429"/>
    </row>
    <row r="24" spans="1:7" ht="14.1" customHeight="1" x14ac:dyDescent="0.2">
      <c r="A24" s="429" t="s">
        <v>275</v>
      </c>
      <c r="B24" s="423">
        <v>13</v>
      </c>
      <c r="C24" s="424">
        <v>41517</v>
      </c>
      <c r="D24" s="429" t="s">
        <v>265</v>
      </c>
      <c r="E24" s="431">
        <v>5500</v>
      </c>
      <c r="F24" s="429" t="s">
        <v>272</v>
      </c>
      <c r="G24" s="429">
        <v>7</v>
      </c>
    </row>
    <row r="25" spans="1:7" ht="14.1" customHeight="1" x14ac:dyDescent="0.2">
      <c r="A25" s="429"/>
      <c r="B25" s="423"/>
      <c r="C25" s="424"/>
      <c r="D25" s="429"/>
      <c r="E25" s="430"/>
      <c r="F25" s="429"/>
      <c r="G25" s="429"/>
    </row>
  </sheetData>
  <phoneticPr fontId="0" type="noConversion"/>
  <printOptions horizontalCentered="1" gridLines="1"/>
  <pageMargins left="0.7" right="0.7" top="0.75" bottom="0.75" header="0.3" footer="0.3"/>
  <pageSetup scale="64" fitToWidth="0" fitToHeight="0" orientation="landscape" blackAndWhite="1" r:id="rId1"/>
  <headerFooter alignWithMargins="0">
    <oddHeader>&amp;C&amp;"Arial,Bold"SDGE Interruptible and Price Responsive Programs
 2013 Event Summary</oddHeader>
    <oddFooter>&amp;L&amp;F&amp;R&amp;D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view="pageBreakPreview" zoomScale="75" zoomScaleNormal="100" zoomScaleSheetLayoutView="75" workbookViewId="0">
      <pane xSplit="1" ySplit="3" topLeftCell="B10" activePane="bottomRight" state="frozen"/>
      <selection activeCell="I16" sqref="I16"/>
      <selection pane="topRight" activeCell="I16" sqref="I16"/>
      <selection pane="bottomLeft" activeCell="I16" sqref="I16"/>
      <selection pane="bottomRight" activeCell="I56" sqref="I56"/>
    </sheetView>
  </sheetViews>
  <sheetFormatPr defaultColWidth="17" defaultRowHeight="12.75" x14ac:dyDescent="0.2"/>
  <cols>
    <col min="1" max="1" width="42.5703125" style="232" customWidth="1"/>
    <col min="2" max="7" width="11.7109375" style="232" customWidth="1"/>
    <col min="8" max="8" width="14.85546875" style="232" customWidth="1"/>
    <col min="9" max="9" width="11.7109375" style="232" customWidth="1"/>
    <col min="10" max="10" width="11.7109375" style="233" customWidth="1"/>
    <col min="11" max="11" width="11.7109375" style="232" customWidth="1"/>
    <col min="12" max="12" width="12.28515625" style="232" customWidth="1"/>
    <col min="13" max="13" width="11.7109375" style="232" customWidth="1"/>
    <col min="14" max="14" width="12.7109375" style="232" customWidth="1"/>
    <col min="15" max="15" width="12.85546875" style="232" customWidth="1"/>
    <col min="16" max="16" width="12.42578125" style="232" customWidth="1"/>
    <col min="17" max="16384" width="17" style="232"/>
  </cols>
  <sheetData>
    <row r="1" spans="1:16" ht="13.5" thickBot="1" x14ac:dyDescent="0.25"/>
    <row r="2" spans="1:16" x14ac:dyDescent="0.2">
      <c r="A2" s="234"/>
      <c r="B2" s="235"/>
      <c r="C2" s="235"/>
      <c r="D2" s="235"/>
      <c r="E2" s="235"/>
      <c r="F2" s="235"/>
      <c r="G2" s="235"/>
      <c r="H2" s="235"/>
      <c r="I2" s="235"/>
      <c r="J2" s="236"/>
      <c r="K2" s="235"/>
      <c r="L2" s="235"/>
      <c r="M2" s="235"/>
      <c r="N2" s="235"/>
      <c r="O2" s="235"/>
      <c r="P2" s="237"/>
    </row>
    <row r="3" spans="1:16" ht="25.5" x14ac:dyDescent="0.2">
      <c r="A3" s="238" t="s">
        <v>17</v>
      </c>
      <c r="B3" s="239" t="s">
        <v>0</v>
      </c>
      <c r="C3" s="239" t="s">
        <v>1</v>
      </c>
      <c r="D3" s="239" t="s">
        <v>2</v>
      </c>
      <c r="E3" s="239" t="s">
        <v>3</v>
      </c>
      <c r="F3" s="239" t="s">
        <v>4</v>
      </c>
      <c r="G3" s="239" t="s">
        <v>5</v>
      </c>
      <c r="H3" s="239" t="s">
        <v>6</v>
      </c>
      <c r="I3" s="239" t="s">
        <v>7</v>
      </c>
      <c r="J3" s="240" t="s">
        <v>8</v>
      </c>
      <c r="K3" s="239" t="s">
        <v>9</v>
      </c>
      <c r="L3" s="239" t="s">
        <v>10</v>
      </c>
      <c r="M3" s="239" t="s">
        <v>11</v>
      </c>
      <c r="N3" s="241" t="s">
        <v>94</v>
      </c>
      <c r="O3" s="242"/>
      <c r="P3" s="243" t="s">
        <v>95</v>
      </c>
    </row>
    <row r="4" spans="1:16" x14ac:dyDescent="0.2">
      <c r="A4" s="244"/>
      <c r="B4" s="245"/>
      <c r="C4" s="245"/>
      <c r="D4" s="245"/>
      <c r="E4" s="245"/>
      <c r="F4" s="245"/>
      <c r="G4" s="245"/>
      <c r="H4" s="245"/>
      <c r="I4" s="245"/>
      <c r="J4" s="246"/>
      <c r="K4" s="245"/>
      <c r="L4" s="245"/>
      <c r="M4" s="245"/>
      <c r="N4" s="247"/>
      <c r="O4" s="248"/>
      <c r="P4" s="249"/>
    </row>
    <row r="5" spans="1:16" x14ac:dyDescent="0.2">
      <c r="A5" s="250" t="s">
        <v>78</v>
      </c>
      <c r="B5" s="245"/>
      <c r="C5" s="245"/>
      <c r="D5" s="245"/>
      <c r="E5" s="245"/>
      <c r="F5" s="245"/>
      <c r="G5" s="245"/>
      <c r="H5" s="245"/>
      <c r="I5" s="245"/>
      <c r="J5" s="246"/>
      <c r="K5" s="245"/>
      <c r="L5" s="245"/>
      <c r="M5" s="245"/>
      <c r="N5" s="251"/>
      <c r="O5" s="248"/>
      <c r="P5" s="249"/>
    </row>
    <row r="6" spans="1:16" x14ac:dyDescent="0.2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4"/>
      <c r="M6" s="253"/>
      <c r="N6" s="255"/>
      <c r="O6" s="256"/>
      <c r="P6" s="257"/>
    </row>
    <row r="7" spans="1:16" x14ac:dyDescent="0.2">
      <c r="A7" s="252" t="s">
        <v>31</v>
      </c>
      <c r="B7" s="253">
        <v>42.655000000000001</v>
      </c>
      <c r="C7" s="253">
        <v>15.238</v>
      </c>
      <c r="D7" s="253">
        <v>42.018000000000001</v>
      </c>
      <c r="E7" s="253">
        <v>3.5910000000000002</v>
      </c>
      <c r="F7" s="253">
        <v>20.446999999999999</v>
      </c>
      <c r="G7" s="253">
        <v>192.60599999999999</v>
      </c>
      <c r="H7" s="253">
        <v>71.227999999999994</v>
      </c>
      <c r="I7" s="253">
        <v>110.961</v>
      </c>
      <c r="J7" s="253">
        <v>0</v>
      </c>
      <c r="K7" s="253">
        <v>0</v>
      </c>
      <c r="L7" s="254">
        <v>0</v>
      </c>
      <c r="M7" s="253">
        <v>0</v>
      </c>
      <c r="N7" s="255">
        <f t="shared" ref="N7:N37" si="0">SUM(B7:M7)</f>
        <v>498.74400000000003</v>
      </c>
      <c r="O7" s="258">
        <v>0</v>
      </c>
      <c r="P7" s="257" t="s">
        <v>74</v>
      </c>
    </row>
    <row r="8" spans="1:16" x14ac:dyDescent="0.2">
      <c r="A8" s="252" t="s">
        <v>96</v>
      </c>
      <c r="B8" s="253">
        <v>1.59</v>
      </c>
      <c r="C8" s="253">
        <v>5.7759999999999998</v>
      </c>
      <c r="D8" s="253">
        <v>5.2290000000000001</v>
      </c>
      <c r="E8" s="253">
        <v>13.321</v>
      </c>
      <c r="F8" s="253">
        <v>11.711</v>
      </c>
      <c r="G8" s="253">
        <v>12.621</v>
      </c>
      <c r="H8" s="253">
        <v>9.1219999999999999</v>
      </c>
      <c r="I8" s="253">
        <v>2.4830000000000001</v>
      </c>
      <c r="J8" s="253">
        <v>0</v>
      </c>
      <c r="K8" s="253">
        <v>0</v>
      </c>
      <c r="L8" s="254">
        <v>0</v>
      </c>
      <c r="M8" s="253">
        <v>0</v>
      </c>
      <c r="N8" s="255">
        <f t="shared" si="0"/>
        <v>61.852999999999994</v>
      </c>
      <c r="O8" s="256">
        <v>0</v>
      </c>
      <c r="P8" s="257" t="s">
        <v>74</v>
      </c>
    </row>
    <row r="9" spans="1:16" x14ac:dyDescent="0.2">
      <c r="A9" s="252" t="s">
        <v>142</v>
      </c>
      <c r="B9" s="253">
        <v>0</v>
      </c>
      <c r="C9" s="253">
        <v>0</v>
      </c>
      <c r="D9" s="253">
        <v>0.40899999999999997</v>
      </c>
      <c r="E9" s="253">
        <v>0.45</v>
      </c>
      <c r="F9" s="253">
        <v>0.48399999999999999</v>
      </c>
      <c r="G9" s="253">
        <v>0.38700000000000001</v>
      </c>
      <c r="H9" s="253">
        <v>0.45</v>
      </c>
      <c r="I9" s="253">
        <v>0.28599999999999998</v>
      </c>
      <c r="J9" s="253">
        <v>0</v>
      </c>
      <c r="K9" s="253">
        <v>0</v>
      </c>
      <c r="L9" s="254">
        <v>0</v>
      </c>
      <c r="M9" s="253">
        <v>0</v>
      </c>
      <c r="N9" s="255">
        <f t="shared" si="0"/>
        <v>2.4660000000000002</v>
      </c>
      <c r="O9" s="256">
        <v>0</v>
      </c>
      <c r="P9" s="257" t="s">
        <v>74</v>
      </c>
    </row>
    <row r="10" spans="1:16" x14ac:dyDescent="0.2">
      <c r="A10" s="252" t="s">
        <v>97</v>
      </c>
      <c r="B10" s="253">
        <v>0.78700000000000003</v>
      </c>
      <c r="C10" s="253">
        <v>0</v>
      </c>
      <c r="D10" s="253">
        <v>0</v>
      </c>
      <c r="E10" s="253">
        <v>0</v>
      </c>
      <c r="F10" s="253">
        <v>0</v>
      </c>
      <c r="G10" s="253">
        <v>0</v>
      </c>
      <c r="H10" s="253">
        <v>0</v>
      </c>
      <c r="I10" s="253">
        <v>0</v>
      </c>
      <c r="J10" s="253">
        <v>0</v>
      </c>
      <c r="K10" s="253">
        <v>0</v>
      </c>
      <c r="L10" s="254">
        <v>0</v>
      </c>
      <c r="M10" s="253">
        <v>0</v>
      </c>
      <c r="N10" s="255">
        <f t="shared" si="0"/>
        <v>0.78700000000000003</v>
      </c>
      <c r="O10" s="256">
        <v>0</v>
      </c>
      <c r="P10" s="257" t="s">
        <v>74</v>
      </c>
    </row>
    <row r="11" spans="1:16" x14ac:dyDescent="0.2">
      <c r="A11" s="252" t="s">
        <v>98</v>
      </c>
      <c r="B11" s="253">
        <v>25.542000000000002</v>
      </c>
      <c r="C11" s="253">
        <v>24.565000000000001</v>
      </c>
      <c r="D11" s="253">
        <v>5.5259999999999998</v>
      </c>
      <c r="E11" s="253">
        <v>28.89</v>
      </c>
      <c r="F11" s="253">
        <v>14.366</v>
      </c>
      <c r="G11" s="253">
        <v>17.734999999999999</v>
      </c>
      <c r="H11" s="253">
        <v>21.198</v>
      </c>
      <c r="I11" s="253">
        <v>32.439</v>
      </c>
      <c r="J11" s="253">
        <v>0</v>
      </c>
      <c r="K11" s="253">
        <v>0</v>
      </c>
      <c r="L11" s="254">
        <v>0</v>
      </c>
      <c r="M11" s="253">
        <v>0</v>
      </c>
      <c r="N11" s="255">
        <f t="shared" si="0"/>
        <v>170.261</v>
      </c>
      <c r="O11" s="256">
        <v>0</v>
      </c>
      <c r="P11" s="257" t="s">
        <v>74</v>
      </c>
    </row>
    <row r="12" spans="1:16" x14ac:dyDescent="0.2">
      <c r="A12" s="252" t="s">
        <v>99</v>
      </c>
      <c r="B12" s="253">
        <v>77.116</v>
      </c>
      <c r="C12" s="253">
        <v>-18.474</v>
      </c>
      <c r="D12" s="253">
        <v>-36.917000000000002</v>
      </c>
      <c r="E12" s="253">
        <v>-20.396999999999998</v>
      </c>
      <c r="F12" s="253">
        <v>4.16</v>
      </c>
      <c r="G12" s="253">
        <v>0</v>
      </c>
      <c r="H12" s="253">
        <v>0</v>
      </c>
      <c r="I12" s="253">
        <v>0</v>
      </c>
      <c r="J12" s="253">
        <v>0</v>
      </c>
      <c r="K12" s="253">
        <v>0</v>
      </c>
      <c r="L12" s="254">
        <v>0</v>
      </c>
      <c r="M12" s="253">
        <v>0</v>
      </c>
      <c r="N12" s="255">
        <f t="shared" si="0"/>
        <v>5.487999999999996</v>
      </c>
      <c r="O12" s="256">
        <v>0</v>
      </c>
      <c r="P12" s="257" t="s">
        <v>74</v>
      </c>
    </row>
    <row r="13" spans="1:16" ht="14.25" x14ac:dyDescent="0.2">
      <c r="A13" s="252" t="s">
        <v>253</v>
      </c>
      <c r="B13" s="253">
        <v>-1.58</v>
      </c>
      <c r="C13" s="253">
        <v>-863.81700000000001</v>
      </c>
      <c r="D13" s="253">
        <v>0</v>
      </c>
      <c r="E13" s="253">
        <v>960</v>
      </c>
      <c r="F13" s="253">
        <v>0</v>
      </c>
      <c r="G13" s="253">
        <v>0</v>
      </c>
      <c r="H13" s="253">
        <v>0</v>
      </c>
      <c r="I13" s="253">
        <v>0</v>
      </c>
      <c r="J13" s="253">
        <v>0</v>
      </c>
      <c r="K13" s="253">
        <v>0</v>
      </c>
      <c r="L13" s="254">
        <v>0</v>
      </c>
      <c r="M13" s="253">
        <v>0</v>
      </c>
      <c r="N13" s="255">
        <f t="shared" si="0"/>
        <v>94.602999999999952</v>
      </c>
      <c r="O13" s="256">
        <v>0</v>
      </c>
      <c r="P13" s="257" t="s">
        <v>74</v>
      </c>
    </row>
    <row r="14" spans="1:16" x14ac:dyDescent="0.2">
      <c r="A14" s="252" t="s">
        <v>100</v>
      </c>
      <c r="B14" s="253">
        <v>-40.521000000000001</v>
      </c>
      <c r="C14" s="253">
        <v>-0.111</v>
      </c>
      <c r="D14" s="253">
        <v>0</v>
      </c>
      <c r="E14" s="253">
        <v>0</v>
      </c>
      <c r="F14" s="253">
        <v>0</v>
      </c>
      <c r="G14" s="253">
        <v>0</v>
      </c>
      <c r="H14" s="253">
        <v>-193.191</v>
      </c>
      <c r="I14" s="253">
        <v>29.012</v>
      </c>
      <c r="J14" s="253">
        <v>0</v>
      </c>
      <c r="K14" s="253">
        <v>0</v>
      </c>
      <c r="L14" s="254">
        <v>0</v>
      </c>
      <c r="M14" s="253">
        <v>0</v>
      </c>
      <c r="N14" s="255">
        <f t="shared" si="0"/>
        <v>-204.81100000000001</v>
      </c>
      <c r="O14" s="256">
        <v>0</v>
      </c>
      <c r="P14" s="257" t="s">
        <v>74</v>
      </c>
    </row>
    <row r="15" spans="1:16" x14ac:dyDescent="0.2">
      <c r="A15" s="252" t="s">
        <v>158</v>
      </c>
      <c r="B15" s="253">
        <f>26.766+7.404</f>
        <v>34.17</v>
      </c>
      <c r="C15" s="253">
        <f>36.502+26.539</f>
        <v>63.041000000000004</v>
      </c>
      <c r="D15" s="253">
        <f>13.483+30.223</f>
        <v>43.706000000000003</v>
      </c>
      <c r="E15" s="253">
        <f>-13.708-21.79</f>
        <v>-35.497999999999998</v>
      </c>
      <c r="F15" s="253">
        <f>26.213+40.138</f>
        <v>66.350999999999999</v>
      </c>
      <c r="G15" s="253">
        <f>11.868+42.798</f>
        <v>54.666000000000004</v>
      </c>
      <c r="H15" s="253">
        <f>273.449-3.426</f>
        <v>270.02300000000002</v>
      </c>
      <c r="I15" s="253">
        <f>-39.046+4.588</f>
        <v>-34.457999999999998</v>
      </c>
      <c r="J15" s="253">
        <v>0</v>
      </c>
      <c r="K15" s="253">
        <v>0</v>
      </c>
      <c r="L15" s="254">
        <v>0</v>
      </c>
      <c r="M15" s="253">
        <v>0</v>
      </c>
      <c r="N15" s="255">
        <f t="shared" si="0"/>
        <v>462.00100000000009</v>
      </c>
      <c r="O15" s="256">
        <v>0</v>
      </c>
      <c r="P15" s="257" t="s">
        <v>74</v>
      </c>
    </row>
    <row r="16" spans="1:16" x14ac:dyDescent="0.2">
      <c r="A16" s="252" t="s">
        <v>101</v>
      </c>
      <c r="B16" s="253">
        <v>89.881</v>
      </c>
      <c r="C16" s="253">
        <v>50.25</v>
      </c>
      <c r="D16" s="253">
        <v>11.207000000000001</v>
      </c>
      <c r="E16" s="253">
        <v>60.637999999999998</v>
      </c>
      <c r="F16" s="253">
        <v>25.048999999999999</v>
      </c>
      <c r="G16" s="253">
        <v>59.921999999999997</v>
      </c>
      <c r="H16" s="253">
        <v>17.815000000000001</v>
      </c>
      <c r="I16" s="253">
        <v>8.3109999999999999</v>
      </c>
      <c r="J16" s="253">
        <v>0</v>
      </c>
      <c r="K16" s="253">
        <v>0</v>
      </c>
      <c r="L16" s="254">
        <v>0</v>
      </c>
      <c r="M16" s="253">
        <v>0</v>
      </c>
      <c r="N16" s="255">
        <f t="shared" si="0"/>
        <v>323.07299999999998</v>
      </c>
      <c r="O16" s="256">
        <v>0</v>
      </c>
      <c r="P16" s="257" t="s">
        <v>74</v>
      </c>
    </row>
    <row r="17" spans="1:18" x14ac:dyDescent="0.2">
      <c r="A17" s="252" t="s">
        <v>165</v>
      </c>
      <c r="B17" s="253">
        <v>41.667000000000002</v>
      </c>
      <c r="C17" s="253">
        <v>0</v>
      </c>
      <c r="D17" s="253">
        <v>0</v>
      </c>
      <c r="E17" s="253">
        <v>5.1989999999999998</v>
      </c>
      <c r="F17" s="253">
        <v>8.6059999999999999</v>
      </c>
      <c r="G17" s="253">
        <v>1.871</v>
      </c>
      <c r="H17" s="253">
        <v>23.248999999999999</v>
      </c>
      <c r="I17" s="253">
        <v>43.786000000000001</v>
      </c>
      <c r="J17" s="253">
        <v>0</v>
      </c>
      <c r="K17" s="253">
        <v>0</v>
      </c>
      <c r="L17" s="254">
        <v>0</v>
      </c>
      <c r="M17" s="253">
        <v>0</v>
      </c>
      <c r="N17" s="255">
        <f t="shared" si="0"/>
        <v>124.378</v>
      </c>
      <c r="O17" s="256">
        <v>0</v>
      </c>
      <c r="P17" s="257" t="s">
        <v>74</v>
      </c>
    </row>
    <row r="18" spans="1:18" x14ac:dyDescent="0.2">
      <c r="A18" s="252" t="s">
        <v>163</v>
      </c>
      <c r="B18" s="253">
        <v>9.6690000000000005</v>
      </c>
      <c r="C18" s="253">
        <v>17.332000000000001</v>
      </c>
      <c r="D18" s="253">
        <v>9.8130000000000006</v>
      </c>
      <c r="E18" s="253">
        <v>20.167999999999999</v>
      </c>
      <c r="F18" s="253">
        <v>20.603000000000002</v>
      </c>
      <c r="G18" s="253">
        <v>-22.914000000000001</v>
      </c>
      <c r="H18" s="253">
        <v>17.989999999999998</v>
      </c>
      <c r="I18" s="253">
        <v>8.7729999999999997</v>
      </c>
      <c r="J18" s="253">
        <v>0</v>
      </c>
      <c r="K18" s="253">
        <v>0</v>
      </c>
      <c r="L18" s="254">
        <v>0</v>
      </c>
      <c r="M18" s="253">
        <v>0</v>
      </c>
      <c r="N18" s="255">
        <f t="shared" si="0"/>
        <v>81.433999999999997</v>
      </c>
      <c r="O18" s="256">
        <v>0</v>
      </c>
      <c r="P18" s="257" t="s">
        <v>74</v>
      </c>
    </row>
    <row r="19" spans="1:18" x14ac:dyDescent="0.2">
      <c r="A19" s="252" t="s">
        <v>195</v>
      </c>
      <c r="B19" s="253">
        <v>5.9429999999999996</v>
      </c>
      <c r="C19" s="253">
        <v>-2.4820000000000002</v>
      </c>
      <c r="D19" s="253">
        <v>0.441</v>
      </c>
      <c r="E19" s="253">
        <v>-5.0350000000000001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4">
        <v>0</v>
      </c>
      <c r="M19" s="253">
        <v>0</v>
      </c>
      <c r="N19" s="255">
        <f>SUM(B19:M19)</f>
        <v>-1.1330000000000009</v>
      </c>
      <c r="O19" s="256">
        <v>0</v>
      </c>
      <c r="P19" s="257" t="s">
        <v>74</v>
      </c>
    </row>
    <row r="20" spans="1:18" x14ac:dyDescent="0.2">
      <c r="A20" s="252" t="s">
        <v>185</v>
      </c>
      <c r="B20" s="253">
        <v>5.7670000000000003</v>
      </c>
      <c r="C20" s="253">
        <v>6.2690000000000001</v>
      </c>
      <c r="D20" s="253">
        <v>7.3330000000000002</v>
      </c>
      <c r="E20" s="253">
        <v>6.5540000000000003</v>
      </c>
      <c r="F20" s="253">
        <v>10.829000000000001</v>
      </c>
      <c r="G20" s="253">
        <v>46.802999999999997</v>
      </c>
      <c r="H20" s="253">
        <v>74.382000000000005</v>
      </c>
      <c r="I20" s="253">
        <v>27.917000000000002</v>
      </c>
      <c r="J20" s="253">
        <v>0</v>
      </c>
      <c r="K20" s="253">
        <v>0</v>
      </c>
      <c r="L20" s="254">
        <v>0</v>
      </c>
      <c r="M20" s="253">
        <v>0</v>
      </c>
      <c r="N20" s="255">
        <f t="shared" si="0"/>
        <v>185.85400000000001</v>
      </c>
      <c r="O20" s="256">
        <v>0</v>
      </c>
      <c r="P20" s="257" t="s">
        <v>74</v>
      </c>
    </row>
    <row r="21" spans="1:18" x14ac:dyDescent="0.2">
      <c r="A21" s="252" t="s">
        <v>186</v>
      </c>
      <c r="B21" s="253">
        <v>0.23</v>
      </c>
      <c r="C21" s="253">
        <v>0.26100000000000001</v>
      </c>
      <c r="D21" s="253">
        <v>-0.245</v>
      </c>
      <c r="E21" s="253">
        <v>0.03</v>
      </c>
      <c r="F21" s="253">
        <v>0</v>
      </c>
      <c r="G21" s="253">
        <v>0</v>
      </c>
      <c r="H21" s="253">
        <v>0</v>
      </c>
      <c r="I21" s="253">
        <v>0</v>
      </c>
      <c r="J21" s="253">
        <v>0</v>
      </c>
      <c r="K21" s="253">
        <v>0</v>
      </c>
      <c r="L21" s="254">
        <v>0</v>
      </c>
      <c r="M21" s="253">
        <v>0</v>
      </c>
      <c r="N21" s="255">
        <f t="shared" si="0"/>
        <v>0.27600000000000002</v>
      </c>
      <c r="O21" s="256">
        <v>0</v>
      </c>
      <c r="P21" s="257" t="s">
        <v>74</v>
      </c>
    </row>
    <row r="22" spans="1:18" x14ac:dyDescent="0.2">
      <c r="A22" s="252" t="s">
        <v>187</v>
      </c>
      <c r="B22" s="253">
        <v>5.0869999999999997</v>
      </c>
      <c r="C22" s="253">
        <v>5.5730000000000004</v>
      </c>
      <c r="D22" s="253">
        <v>5.0309999999999997</v>
      </c>
      <c r="E22" s="253">
        <v>5.1959999999999997</v>
      </c>
      <c r="F22" s="253">
        <v>27.905999999999999</v>
      </c>
      <c r="G22" s="253">
        <v>-14.617000000000001</v>
      </c>
      <c r="H22" s="253">
        <v>3.7189999999999999</v>
      </c>
      <c r="I22" s="253">
        <v>3.1920000000000002</v>
      </c>
      <c r="J22" s="253">
        <v>0</v>
      </c>
      <c r="K22" s="253">
        <v>0</v>
      </c>
      <c r="L22" s="254">
        <v>0</v>
      </c>
      <c r="M22" s="253">
        <v>0</v>
      </c>
      <c r="N22" s="255">
        <f t="shared" si="0"/>
        <v>41.087000000000003</v>
      </c>
      <c r="O22" s="256">
        <v>0</v>
      </c>
      <c r="P22" s="257" t="s">
        <v>74</v>
      </c>
    </row>
    <row r="23" spans="1:18" x14ac:dyDescent="0.2">
      <c r="A23" s="252" t="s">
        <v>156</v>
      </c>
      <c r="B23" s="253">
        <v>-1.8129999999999999</v>
      </c>
      <c r="C23" s="253">
        <v>0.151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  <c r="I23" s="253">
        <v>0</v>
      </c>
      <c r="J23" s="253">
        <v>0</v>
      </c>
      <c r="K23" s="253">
        <v>0</v>
      </c>
      <c r="L23" s="254">
        <v>0</v>
      </c>
      <c r="M23" s="253">
        <v>0</v>
      </c>
      <c r="N23" s="255">
        <f t="shared" si="0"/>
        <v>-1.6619999999999999</v>
      </c>
      <c r="O23" s="256">
        <v>0</v>
      </c>
      <c r="P23" s="257" t="s">
        <v>74</v>
      </c>
    </row>
    <row r="24" spans="1:18" s="259" customFormat="1" x14ac:dyDescent="0.2">
      <c r="A24" s="252" t="s">
        <v>102</v>
      </c>
      <c r="B24" s="253">
        <v>0.115</v>
      </c>
      <c r="C24" s="253">
        <v>0.11899999999999999</v>
      </c>
      <c r="D24" s="253">
        <v>0.125</v>
      </c>
      <c r="E24" s="253">
        <v>0.121</v>
      </c>
      <c r="F24" s="253">
        <v>0.125</v>
      </c>
      <c r="G24" s="253">
        <v>0.121</v>
      </c>
      <c r="H24" s="253">
        <v>0.12</v>
      </c>
      <c r="I24" s="253">
        <v>0.122</v>
      </c>
      <c r="J24" s="253">
        <v>0</v>
      </c>
      <c r="K24" s="253">
        <v>0</v>
      </c>
      <c r="L24" s="254">
        <v>0</v>
      </c>
      <c r="M24" s="253">
        <v>0</v>
      </c>
      <c r="N24" s="255">
        <f t="shared" si="0"/>
        <v>0.96799999999999997</v>
      </c>
      <c r="O24" s="256">
        <v>0</v>
      </c>
      <c r="P24" s="257" t="s">
        <v>74</v>
      </c>
      <c r="Q24" s="232"/>
      <c r="R24" s="232"/>
    </row>
    <row r="25" spans="1:18" s="259" customFormat="1" x14ac:dyDescent="0.2">
      <c r="A25" s="252" t="s">
        <v>103</v>
      </c>
      <c r="B25" s="253">
        <v>318.69099999999997</v>
      </c>
      <c r="C25" s="253">
        <v>59.96</v>
      </c>
      <c r="D25" s="253">
        <v>29.887</v>
      </c>
      <c r="E25" s="253">
        <v>37.268999999999998</v>
      </c>
      <c r="F25" s="253">
        <v>761.87800000000004</v>
      </c>
      <c r="G25" s="253">
        <v>-298.17099999999999</v>
      </c>
      <c r="H25" s="253">
        <v>392.98599999999999</v>
      </c>
      <c r="I25" s="253">
        <v>28.957000000000001</v>
      </c>
      <c r="J25" s="253">
        <v>0</v>
      </c>
      <c r="K25" s="253">
        <v>0</v>
      </c>
      <c r="L25" s="254">
        <v>0</v>
      </c>
      <c r="M25" s="253">
        <v>0</v>
      </c>
      <c r="N25" s="255">
        <f t="shared" si="0"/>
        <v>1331.4570000000001</v>
      </c>
      <c r="O25" s="256">
        <v>0</v>
      </c>
      <c r="P25" s="257" t="s">
        <v>74</v>
      </c>
      <c r="Q25" s="232"/>
      <c r="R25" s="232"/>
    </row>
    <row r="26" spans="1:18" s="259" customFormat="1" x14ac:dyDescent="0.2">
      <c r="A26" s="252" t="s">
        <v>104</v>
      </c>
      <c r="B26" s="253">
        <v>7.8650000000000002</v>
      </c>
      <c r="C26" s="253">
        <v>8.391</v>
      </c>
      <c r="D26" s="253">
        <v>8.4269999999999996</v>
      </c>
      <c r="E26" s="253">
        <v>13.946</v>
      </c>
      <c r="F26" s="253">
        <v>8.8789999999999996</v>
      </c>
      <c r="G26" s="253">
        <v>10.315</v>
      </c>
      <c r="H26" s="253">
        <v>9.1820000000000004</v>
      </c>
      <c r="I26" s="253">
        <v>11.208</v>
      </c>
      <c r="J26" s="253">
        <v>0</v>
      </c>
      <c r="K26" s="253">
        <v>0</v>
      </c>
      <c r="L26" s="254">
        <v>0</v>
      </c>
      <c r="M26" s="253">
        <v>0</v>
      </c>
      <c r="N26" s="255">
        <f t="shared" si="0"/>
        <v>78.212999999999994</v>
      </c>
      <c r="O26" s="256">
        <v>0</v>
      </c>
      <c r="P26" s="257" t="s">
        <v>74</v>
      </c>
      <c r="Q26" s="232"/>
      <c r="R26" s="232"/>
    </row>
    <row r="27" spans="1:18" s="259" customFormat="1" x14ac:dyDescent="0.2">
      <c r="A27" s="252" t="s">
        <v>242</v>
      </c>
      <c r="B27" s="253">
        <v>0</v>
      </c>
      <c r="C27" s="253">
        <v>0.754</v>
      </c>
      <c r="D27" s="253">
        <v>22.245000000000001</v>
      </c>
      <c r="E27" s="253">
        <v>24.85</v>
      </c>
      <c r="F27" s="253">
        <v>44.234000000000002</v>
      </c>
      <c r="G27" s="253">
        <v>11.601000000000001</v>
      </c>
      <c r="H27" s="253">
        <v>13.555999999999999</v>
      </c>
      <c r="I27" s="253">
        <v>61.564999999999998</v>
      </c>
      <c r="J27" s="253">
        <v>0</v>
      </c>
      <c r="K27" s="253">
        <v>0</v>
      </c>
      <c r="L27" s="254">
        <v>0</v>
      </c>
      <c r="M27" s="253">
        <v>0</v>
      </c>
      <c r="N27" s="255">
        <f t="shared" si="0"/>
        <v>178.80500000000001</v>
      </c>
      <c r="O27" s="256">
        <v>0</v>
      </c>
      <c r="P27" s="257" t="s">
        <v>74</v>
      </c>
      <c r="Q27" s="232"/>
      <c r="R27" s="232"/>
    </row>
    <row r="28" spans="1:18" s="259" customFormat="1" x14ac:dyDescent="0.2">
      <c r="A28" s="252" t="s">
        <v>243</v>
      </c>
      <c r="B28" s="253">
        <v>0</v>
      </c>
      <c r="C28" s="253">
        <v>7.8E-2</v>
      </c>
      <c r="D28" s="253">
        <v>10.952999999999999</v>
      </c>
      <c r="E28" s="253">
        <v>1.6639999999999999</v>
      </c>
      <c r="F28" s="253">
        <v>13.68</v>
      </c>
      <c r="G28" s="253">
        <v>4.7960000000000003</v>
      </c>
      <c r="H28" s="253">
        <v>5.3979999999999997</v>
      </c>
      <c r="I28" s="253">
        <v>12.193</v>
      </c>
      <c r="J28" s="253">
        <v>0</v>
      </c>
      <c r="K28" s="253">
        <v>0</v>
      </c>
      <c r="L28" s="254">
        <v>0</v>
      </c>
      <c r="M28" s="253">
        <v>0</v>
      </c>
      <c r="N28" s="255">
        <f t="shared" si="0"/>
        <v>48.762</v>
      </c>
      <c r="O28" s="256">
        <v>0</v>
      </c>
      <c r="P28" s="257" t="s">
        <v>74</v>
      </c>
      <c r="Q28" s="232"/>
      <c r="R28" s="232"/>
    </row>
    <row r="29" spans="1:18" s="259" customFormat="1" x14ac:dyDescent="0.2">
      <c r="A29" s="252" t="s">
        <v>244</v>
      </c>
      <c r="B29" s="253">
        <v>0</v>
      </c>
      <c r="C29" s="253">
        <v>7.8E-2</v>
      </c>
      <c r="D29" s="253">
        <v>3.4220000000000002</v>
      </c>
      <c r="E29" s="253">
        <v>3.3650000000000002</v>
      </c>
      <c r="F29" s="253">
        <v>8.3230000000000004</v>
      </c>
      <c r="G29" s="253">
        <v>2.8660000000000001</v>
      </c>
      <c r="H29" s="253">
        <v>4.1079999999999997</v>
      </c>
      <c r="I29" s="253">
        <v>8.3460000000000001</v>
      </c>
      <c r="J29" s="253">
        <v>0</v>
      </c>
      <c r="K29" s="253">
        <v>0</v>
      </c>
      <c r="L29" s="254">
        <v>0</v>
      </c>
      <c r="M29" s="253">
        <v>0</v>
      </c>
      <c r="N29" s="255">
        <f t="shared" si="0"/>
        <v>30.508000000000003</v>
      </c>
      <c r="O29" s="256">
        <v>0</v>
      </c>
      <c r="P29" s="257" t="s">
        <v>74</v>
      </c>
      <c r="Q29" s="232"/>
      <c r="R29" s="232"/>
    </row>
    <row r="30" spans="1:18" s="259" customFormat="1" x14ac:dyDescent="0.2">
      <c r="A30" s="252" t="s">
        <v>247</v>
      </c>
      <c r="B30" s="253">
        <v>0</v>
      </c>
      <c r="C30" s="253">
        <v>0</v>
      </c>
      <c r="D30" s="253">
        <v>0</v>
      </c>
      <c r="E30" s="253">
        <v>0</v>
      </c>
      <c r="F30" s="253">
        <v>0</v>
      </c>
      <c r="G30" s="253">
        <v>0</v>
      </c>
      <c r="H30" s="253">
        <v>0</v>
      </c>
      <c r="I30" s="253">
        <v>0</v>
      </c>
      <c r="J30" s="253">
        <v>0</v>
      </c>
      <c r="K30" s="253">
        <v>0</v>
      </c>
      <c r="L30" s="254">
        <v>0</v>
      </c>
      <c r="M30" s="253">
        <v>0</v>
      </c>
      <c r="N30" s="255">
        <f t="shared" si="0"/>
        <v>0</v>
      </c>
      <c r="O30" s="256">
        <v>0</v>
      </c>
      <c r="P30" s="257" t="s">
        <v>74</v>
      </c>
      <c r="Q30" s="232"/>
      <c r="R30" s="232"/>
    </row>
    <row r="31" spans="1:18" s="259" customFormat="1" x14ac:dyDescent="0.2">
      <c r="A31" s="252" t="s">
        <v>245</v>
      </c>
      <c r="B31" s="253">
        <v>0</v>
      </c>
      <c r="C31" s="253">
        <v>0</v>
      </c>
      <c r="D31" s="253">
        <v>0</v>
      </c>
      <c r="E31" s="253">
        <v>0</v>
      </c>
      <c r="F31" s="253">
        <v>0</v>
      </c>
      <c r="G31" s="253">
        <v>0</v>
      </c>
      <c r="H31" s="253">
        <v>0</v>
      </c>
      <c r="I31" s="253">
        <v>0</v>
      </c>
      <c r="J31" s="253">
        <v>0</v>
      </c>
      <c r="K31" s="253">
        <v>0</v>
      </c>
      <c r="L31" s="254">
        <v>0</v>
      </c>
      <c r="M31" s="253">
        <v>0</v>
      </c>
      <c r="N31" s="255">
        <f t="shared" si="0"/>
        <v>0</v>
      </c>
      <c r="O31" s="256">
        <v>0</v>
      </c>
      <c r="P31" s="257" t="s">
        <v>74</v>
      </c>
      <c r="Q31" s="232"/>
      <c r="R31" s="232"/>
    </row>
    <row r="32" spans="1:18" s="259" customFormat="1" x14ac:dyDescent="0.2">
      <c r="A32" s="252" t="s">
        <v>248</v>
      </c>
      <c r="B32" s="253">
        <v>0</v>
      </c>
      <c r="C32" s="253">
        <v>0</v>
      </c>
      <c r="D32" s="253">
        <v>36.843000000000004</v>
      </c>
      <c r="E32" s="253">
        <v>69.082999999999998</v>
      </c>
      <c r="F32" s="253">
        <v>33.942</v>
      </c>
      <c r="G32" s="253">
        <v>167.89400000000001</v>
      </c>
      <c r="H32" s="253">
        <v>-66.974000000000004</v>
      </c>
      <c r="I32" s="253">
        <v>31.152999999999999</v>
      </c>
      <c r="J32" s="253">
        <v>0</v>
      </c>
      <c r="K32" s="253">
        <v>0</v>
      </c>
      <c r="L32" s="254">
        <v>0</v>
      </c>
      <c r="M32" s="253">
        <v>0</v>
      </c>
      <c r="N32" s="255">
        <f t="shared" si="0"/>
        <v>271.94100000000003</v>
      </c>
      <c r="O32" s="256">
        <v>0</v>
      </c>
      <c r="P32" s="257" t="s">
        <v>74</v>
      </c>
      <c r="Q32" s="232"/>
      <c r="R32" s="232"/>
    </row>
    <row r="33" spans="1:18" s="259" customFormat="1" x14ac:dyDescent="0.2">
      <c r="A33" s="252" t="s">
        <v>246</v>
      </c>
      <c r="B33" s="253">
        <v>0</v>
      </c>
      <c r="C33" s="253">
        <v>0</v>
      </c>
      <c r="D33" s="253">
        <v>0</v>
      </c>
      <c r="E33" s="253">
        <v>0</v>
      </c>
      <c r="F33" s="253">
        <v>0</v>
      </c>
      <c r="G33" s="253">
        <v>0</v>
      </c>
      <c r="H33" s="253">
        <v>0</v>
      </c>
      <c r="I33" s="253">
        <v>0</v>
      </c>
      <c r="J33" s="253">
        <v>0</v>
      </c>
      <c r="K33" s="253">
        <v>0</v>
      </c>
      <c r="L33" s="254">
        <v>0</v>
      </c>
      <c r="M33" s="253">
        <v>0</v>
      </c>
      <c r="N33" s="255">
        <f t="shared" si="0"/>
        <v>0</v>
      </c>
      <c r="O33" s="256">
        <v>0</v>
      </c>
      <c r="P33" s="257" t="s">
        <v>74</v>
      </c>
      <c r="Q33" s="232"/>
      <c r="R33" s="232"/>
    </row>
    <row r="34" spans="1:18" s="259" customFormat="1" x14ac:dyDescent="0.2">
      <c r="A34" s="252" t="s">
        <v>65</v>
      </c>
      <c r="B34" s="253">
        <v>0.13300000000000001</v>
      </c>
      <c r="C34" s="253">
        <v>0</v>
      </c>
      <c r="D34" s="253">
        <v>0</v>
      </c>
      <c r="E34" s="253">
        <v>0</v>
      </c>
      <c r="F34" s="253">
        <v>0</v>
      </c>
      <c r="G34" s="253">
        <v>0</v>
      </c>
      <c r="H34" s="253">
        <v>0</v>
      </c>
      <c r="I34" s="253">
        <v>0</v>
      </c>
      <c r="J34" s="253">
        <v>0</v>
      </c>
      <c r="K34" s="253">
        <v>0</v>
      </c>
      <c r="L34" s="254">
        <v>0</v>
      </c>
      <c r="M34" s="253">
        <v>0</v>
      </c>
      <c r="N34" s="255">
        <f t="shared" si="0"/>
        <v>0.13300000000000001</v>
      </c>
      <c r="O34" s="256">
        <v>0</v>
      </c>
      <c r="P34" s="257" t="s">
        <v>74</v>
      </c>
      <c r="Q34" s="232"/>
      <c r="R34" s="232"/>
    </row>
    <row r="35" spans="1:18" s="259" customFormat="1" x14ac:dyDescent="0.2">
      <c r="A35" s="252" t="s">
        <v>105</v>
      </c>
      <c r="B35" s="253">
        <v>0</v>
      </c>
      <c r="C35" s="253">
        <v>0</v>
      </c>
      <c r="D35" s="253">
        <v>0</v>
      </c>
      <c r="E35" s="253">
        <v>0</v>
      </c>
      <c r="F35" s="253">
        <v>0</v>
      </c>
      <c r="G35" s="253">
        <v>0</v>
      </c>
      <c r="H35" s="253">
        <v>0</v>
      </c>
      <c r="I35" s="253">
        <v>0</v>
      </c>
      <c r="J35" s="253">
        <v>0</v>
      </c>
      <c r="K35" s="253">
        <v>0</v>
      </c>
      <c r="L35" s="254">
        <v>0</v>
      </c>
      <c r="M35" s="253">
        <v>0</v>
      </c>
      <c r="N35" s="255">
        <f t="shared" si="0"/>
        <v>0</v>
      </c>
      <c r="O35" s="256">
        <v>0</v>
      </c>
      <c r="P35" s="257" t="s">
        <v>74</v>
      </c>
      <c r="Q35" s="232"/>
      <c r="R35" s="232"/>
    </row>
    <row r="36" spans="1:18" s="259" customFormat="1" x14ac:dyDescent="0.2">
      <c r="A36" s="252" t="s">
        <v>161</v>
      </c>
      <c r="B36" s="253">
        <v>16.847999999999999</v>
      </c>
      <c r="C36" s="253">
        <v>23.303000000000001</v>
      </c>
      <c r="D36" s="253">
        <v>16.803000000000001</v>
      </c>
      <c r="E36" s="253">
        <v>17.234000000000002</v>
      </c>
      <c r="F36" s="253">
        <v>12.531000000000001</v>
      </c>
      <c r="G36" s="253">
        <v>62.476999999999997</v>
      </c>
      <c r="H36" s="253">
        <v>83.075000000000003</v>
      </c>
      <c r="I36" s="253">
        <v>44.534999999999997</v>
      </c>
      <c r="J36" s="253">
        <v>0</v>
      </c>
      <c r="K36" s="253">
        <v>0</v>
      </c>
      <c r="L36" s="254">
        <v>0</v>
      </c>
      <c r="M36" s="253">
        <v>0</v>
      </c>
      <c r="N36" s="260">
        <f t="shared" si="0"/>
        <v>276.80600000000004</v>
      </c>
      <c r="O36" s="256">
        <v>0</v>
      </c>
      <c r="P36" s="257" t="s">
        <v>74</v>
      </c>
      <c r="Q36" s="232"/>
      <c r="R36" s="232"/>
    </row>
    <row r="37" spans="1:18" s="259" customFormat="1" x14ac:dyDescent="0.2">
      <c r="A37" s="252" t="s">
        <v>160</v>
      </c>
      <c r="B37" s="253">
        <v>68.730999999999995</v>
      </c>
      <c r="C37" s="253">
        <v>104.967</v>
      </c>
      <c r="D37" s="253">
        <v>49.905000000000001</v>
      </c>
      <c r="E37" s="253">
        <v>59.581000000000003</v>
      </c>
      <c r="F37" s="253">
        <v>79.2</v>
      </c>
      <c r="G37" s="253">
        <v>60.731000000000002</v>
      </c>
      <c r="H37" s="253">
        <v>57.427</v>
      </c>
      <c r="I37" s="253">
        <v>53.695</v>
      </c>
      <c r="J37" s="253">
        <v>0</v>
      </c>
      <c r="K37" s="253">
        <v>0</v>
      </c>
      <c r="L37" s="254">
        <v>0</v>
      </c>
      <c r="M37" s="253">
        <v>0</v>
      </c>
      <c r="N37" s="260">
        <f t="shared" si="0"/>
        <v>534.23699999999997</v>
      </c>
      <c r="O37" s="253"/>
      <c r="P37" s="257"/>
      <c r="Q37" s="232"/>
      <c r="R37" s="232"/>
    </row>
    <row r="38" spans="1:18" x14ac:dyDescent="0.2">
      <c r="A38" s="261" t="s">
        <v>106</v>
      </c>
      <c r="B38" s="262">
        <f t="shared" ref="B38:N38" si="1">SUM(B6:B37)</f>
        <v>708.57299999999998</v>
      </c>
      <c r="C38" s="262">
        <f t="shared" si="1"/>
        <v>-498.77800000000002</v>
      </c>
      <c r="D38" s="262">
        <f t="shared" si="1"/>
        <v>272.16100000000006</v>
      </c>
      <c r="E38" s="262">
        <f t="shared" si="1"/>
        <v>1270.2199999999996</v>
      </c>
      <c r="F38" s="262">
        <f t="shared" si="1"/>
        <v>1173.3040000000003</v>
      </c>
      <c r="G38" s="262">
        <f t="shared" si="1"/>
        <v>371.71</v>
      </c>
      <c r="H38" s="262">
        <f t="shared" si="1"/>
        <v>814.86300000000006</v>
      </c>
      <c r="I38" s="262">
        <f t="shared" si="1"/>
        <v>484.47600000000006</v>
      </c>
      <c r="J38" s="262">
        <f t="shared" si="1"/>
        <v>0</v>
      </c>
      <c r="K38" s="262">
        <f t="shared" si="1"/>
        <v>0</v>
      </c>
      <c r="L38" s="262">
        <f t="shared" si="1"/>
        <v>0</v>
      </c>
      <c r="M38" s="262">
        <f t="shared" si="1"/>
        <v>0</v>
      </c>
      <c r="N38" s="263">
        <f t="shared" si="1"/>
        <v>4596.5289999999995</v>
      </c>
      <c r="O38" s="262">
        <f>SUM(O6:O24)</f>
        <v>0</v>
      </c>
      <c r="P38" s="264" t="s">
        <v>74</v>
      </c>
    </row>
    <row r="39" spans="1:18" ht="13.5" customHeight="1" x14ac:dyDescent="0.2">
      <c r="A39" s="265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5"/>
      <c r="O39" s="256"/>
      <c r="P39" s="266"/>
      <c r="Q39" s="267"/>
      <c r="R39" s="253"/>
    </row>
    <row r="40" spans="1:18" x14ac:dyDescent="0.2">
      <c r="A40" s="250" t="s">
        <v>107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5"/>
      <c r="O40" s="256"/>
      <c r="P40" s="266"/>
    </row>
    <row r="41" spans="1:18" x14ac:dyDescent="0.2">
      <c r="A41" s="252" t="s">
        <v>96</v>
      </c>
      <c r="B41" s="253">
        <v>0</v>
      </c>
      <c r="C41" s="253">
        <v>0</v>
      </c>
      <c r="D41" s="253">
        <v>0</v>
      </c>
      <c r="E41" s="253">
        <v>0</v>
      </c>
      <c r="F41" s="253">
        <v>0</v>
      </c>
      <c r="G41" s="253">
        <v>0</v>
      </c>
      <c r="H41" s="253">
        <v>0</v>
      </c>
      <c r="I41" s="253">
        <v>0</v>
      </c>
      <c r="J41" s="253">
        <v>0</v>
      </c>
      <c r="K41" s="253">
        <v>0</v>
      </c>
      <c r="L41" s="253">
        <v>0</v>
      </c>
      <c r="M41" s="253">
        <v>0</v>
      </c>
      <c r="N41" s="255">
        <f>B41+C41+D41+E41+F41+G41+H41+I41+J41+K41+L41+M41</f>
        <v>0</v>
      </c>
      <c r="O41" s="256">
        <v>0</v>
      </c>
      <c r="P41" s="257" t="s">
        <v>74</v>
      </c>
    </row>
    <row r="42" spans="1:18" x14ac:dyDescent="0.2">
      <c r="A42" s="252" t="s">
        <v>108</v>
      </c>
      <c r="B42" s="253">
        <v>0</v>
      </c>
      <c r="C42" s="253">
        <v>0</v>
      </c>
      <c r="D42" s="253">
        <v>0</v>
      </c>
      <c r="E42" s="253">
        <v>0</v>
      </c>
      <c r="F42" s="253">
        <v>0</v>
      </c>
      <c r="G42" s="253">
        <v>0</v>
      </c>
      <c r="H42" s="253">
        <v>0</v>
      </c>
      <c r="I42" s="253">
        <v>0</v>
      </c>
      <c r="J42" s="253">
        <v>0</v>
      </c>
      <c r="K42" s="253">
        <v>0</v>
      </c>
      <c r="L42" s="253">
        <v>0</v>
      </c>
      <c r="M42" s="253">
        <v>0</v>
      </c>
      <c r="N42" s="255">
        <f>B42+C42+D42+E42+F42+G42+H42+I42+J42+K42+L42+M42</f>
        <v>0</v>
      </c>
      <c r="O42" s="256">
        <v>0</v>
      </c>
      <c r="P42" s="257" t="s">
        <v>74</v>
      </c>
    </row>
    <row r="43" spans="1:18" x14ac:dyDescent="0.2">
      <c r="A43" s="261" t="s">
        <v>109</v>
      </c>
      <c r="B43" s="268">
        <f t="shared" ref="B43:I43" si="2">SUM(B41:B42)</f>
        <v>0</v>
      </c>
      <c r="C43" s="268">
        <f t="shared" si="2"/>
        <v>0</v>
      </c>
      <c r="D43" s="268">
        <f t="shared" si="2"/>
        <v>0</v>
      </c>
      <c r="E43" s="268">
        <f t="shared" si="2"/>
        <v>0</v>
      </c>
      <c r="F43" s="268">
        <f t="shared" si="2"/>
        <v>0</v>
      </c>
      <c r="G43" s="268">
        <f t="shared" si="2"/>
        <v>0</v>
      </c>
      <c r="H43" s="268">
        <f t="shared" si="2"/>
        <v>0</v>
      </c>
      <c r="I43" s="268">
        <f t="shared" si="2"/>
        <v>0</v>
      </c>
      <c r="J43" s="268">
        <v>0</v>
      </c>
      <c r="K43" s="268">
        <f>SUM(K41:K42)</f>
        <v>0</v>
      </c>
      <c r="L43" s="268">
        <f>SUM(L41:L42)</f>
        <v>0</v>
      </c>
      <c r="M43" s="268">
        <f>SUM(M41:M42)</f>
        <v>0</v>
      </c>
      <c r="N43" s="269">
        <f>B43+C43+D43+E43+F43+G43+H43+I43+J43+K43+L43+M43</f>
        <v>0</v>
      </c>
      <c r="O43" s="270">
        <f>SUM(O41:O42)</f>
        <v>0</v>
      </c>
      <c r="P43" s="264" t="s">
        <v>74</v>
      </c>
    </row>
    <row r="44" spans="1:18" x14ac:dyDescent="0.2">
      <c r="A44" s="265" t="s">
        <v>13</v>
      </c>
      <c r="B44" s="253"/>
      <c r="C44" s="253"/>
      <c r="D44" s="253"/>
      <c r="E44" s="253"/>
      <c r="F44" s="253"/>
      <c r="G44" s="253"/>
      <c r="H44" s="253"/>
      <c r="I44" s="253"/>
      <c r="K44" s="253"/>
      <c r="L44" s="253"/>
      <c r="M44" s="253"/>
      <c r="N44" s="255"/>
      <c r="O44" s="256"/>
      <c r="P44" s="266"/>
    </row>
    <row r="45" spans="1:18" x14ac:dyDescent="0.2">
      <c r="A45" s="250" t="s">
        <v>110</v>
      </c>
      <c r="B45" s="253"/>
      <c r="C45" s="253"/>
      <c r="D45" s="253"/>
      <c r="E45" s="253"/>
      <c r="F45" s="253"/>
      <c r="H45" s="253"/>
      <c r="I45" s="253"/>
      <c r="K45" s="271"/>
      <c r="L45" s="253"/>
      <c r="M45" s="253"/>
      <c r="N45" s="255" t="s">
        <v>13</v>
      </c>
      <c r="O45" s="256"/>
      <c r="P45" s="266"/>
    </row>
    <row r="46" spans="1:18" x14ac:dyDescent="0.2">
      <c r="A46" s="252" t="s">
        <v>164</v>
      </c>
      <c r="B46" s="253">
        <v>-3.28</v>
      </c>
      <c r="C46" s="253">
        <v>33.74</v>
      </c>
      <c r="D46" s="253">
        <v>-33.74</v>
      </c>
      <c r="E46" s="253">
        <v>0</v>
      </c>
      <c r="F46" s="253">
        <v>0</v>
      </c>
      <c r="G46" s="253">
        <v>0</v>
      </c>
      <c r="H46" s="253">
        <v>0</v>
      </c>
      <c r="I46" s="253">
        <v>0</v>
      </c>
      <c r="J46" s="253">
        <v>0</v>
      </c>
      <c r="K46" s="253">
        <v>0</v>
      </c>
      <c r="L46" s="253">
        <v>0</v>
      </c>
      <c r="M46" s="253">
        <v>0</v>
      </c>
      <c r="N46" s="255">
        <f>B46+C46+D46+E46+F46+G46+H46+I46+J46+K46+L46+M46</f>
        <v>-3.2800000000000011</v>
      </c>
      <c r="O46" s="272">
        <v>0</v>
      </c>
      <c r="P46" s="257" t="s">
        <v>74</v>
      </c>
    </row>
    <row r="47" spans="1:18" x14ac:dyDescent="0.2">
      <c r="A47" s="252" t="s">
        <v>112</v>
      </c>
      <c r="B47" s="253">
        <v>200.77799999999999</v>
      </c>
      <c r="C47" s="253">
        <f>187.041+92.914</f>
        <v>279.95499999999998</v>
      </c>
      <c r="D47" s="253">
        <f>182.435+5.745</f>
        <v>188.18</v>
      </c>
      <c r="E47" s="253">
        <v>253.03</v>
      </c>
      <c r="F47" s="253">
        <v>73.415000000000006</v>
      </c>
      <c r="G47" s="253">
        <f>40.222-180.96</f>
        <v>-140.738</v>
      </c>
      <c r="H47" s="253">
        <v>197.7</v>
      </c>
      <c r="I47" s="253">
        <v>118.107</v>
      </c>
      <c r="J47" s="253">
        <v>0</v>
      </c>
      <c r="K47" s="253">
        <v>0</v>
      </c>
      <c r="L47" s="254">
        <v>0</v>
      </c>
      <c r="M47" s="253">
        <v>0</v>
      </c>
      <c r="N47" s="255">
        <f>B47+C47+D47+E47+F47+G47+H47+I47+J47+K47+L47+M47</f>
        <v>1170.4269999999999</v>
      </c>
      <c r="O47" s="272">
        <v>0</v>
      </c>
      <c r="P47" s="257" t="s">
        <v>74</v>
      </c>
    </row>
    <row r="48" spans="1:18" x14ac:dyDescent="0.2">
      <c r="A48" s="273" t="s">
        <v>113</v>
      </c>
      <c r="B48" s="268">
        <f t="shared" ref="B48:O48" si="3">SUM(B46:B47)</f>
        <v>197.49799999999999</v>
      </c>
      <c r="C48" s="268">
        <f t="shared" si="3"/>
        <v>313.69499999999999</v>
      </c>
      <c r="D48" s="268">
        <f t="shared" si="3"/>
        <v>154.44</v>
      </c>
      <c r="E48" s="268">
        <f t="shared" si="3"/>
        <v>253.03</v>
      </c>
      <c r="F48" s="268">
        <f t="shared" si="3"/>
        <v>73.415000000000006</v>
      </c>
      <c r="G48" s="268">
        <f t="shared" si="3"/>
        <v>-140.738</v>
      </c>
      <c r="H48" s="268">
        <f t="shared" si="3"/>
        <v>197.7</v>
      </c>
      <c r="I48" s="268">
        <f t="shared" si="3"/>
        <v>118.107</v>
      </c>
      <c r="J48" s="268">
        <f t="shared" si="3"/>
        <v>0</v>
      </c>
      <c r="K48" s="268">
        <f t="shared" si="3"/>
        <v>0</v>
      </c>
      <c r="L48" s="268">
        <f t="shared" si="3"/>
        <v>0</v>
      </c>
      <c r="M48" s="268">
        <f t="shared" si="3"/>
        <v>0</v>
      </c>
      <c r="N48" s="274">
        <f t="shared" si="3"/>
        <v>1167.1469999999999</v>
      </c>
      <c r="O48" s="275">
        <f t="shared" si="3"/>
        <v>0</v>
      </c>
      <c r="P48" s="264" t="s">
        <v>74</v>
      </c>
    </row>
    <row r="49" spans="1:26" x14ac:dyDescent="0.2">
      <c r="A49" s="276"/>
      <c r="B49" s="253"/>
      <c r="C49" s="253"/>
      <c r="D49" s="253"/>
      <c r="E49" s="253"/>
      <c r="F49" s="253"/>
      <c r="G49" s="253"/>
      <c r="H49" s="253"/>
      <c r="I49" s="253"/>
      <c r="K49" s="253"/>
      <c r="L49" s="253"/>
      <c r="M49" s="253"/>
      <c r="N49" s="255"/>
      <c r="O49" s="256"/>
      <c r="P49" s="266"/>
    </row>
    <row r="50" spans="1:26" s="259" customFormat="1" x14ac:dyDescent="0.2">
      <c r="A50" s="250" t="s">
        <v>88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5"/>
      <c r="O50" s="256"/>
      <c r="P50" s="266"/>
      <c r="Q50" s="232"/>
      <c r="R50" s="232"/>
    </row>
    <row r="51" spans="1:26" x14ac:dyDescent="0.2">
      <c r="A51" s="252" t="s">
        <v>31</v>
      </c>
      <c r="B51" s="253">
        <v>0</v>
      </c>
      <c r="C51" s="253">
        <v>0</v>
      </c>
      <c r="D51" s="253">
        <v>0</v>
      </c>
      <c r="E51" s="253">
        <v>2.895</v>
      </c>
      <c r="F51" s="253">
        <v>0</v>
      </c>
      <c r="G51" s="253">
        <v>0</v>
      </c>
      <c r="H51" s="253">
        <v>0</v>
      </c>
      <c r="I51" s="253">
        <v>0</v>
      </c>
      <c r="J51" s="253">
        <v>0</v>
      </c>
      <c r="K51" s="253">
        <v>0</v>
      </c>
      <c r="L51" s="254">
        <v>0</v>
      </c>
      <c r="M51" s="253">
        <v>0</v>
      </c>
      <c r="N51" s="255">
        <f t="shared" ref="N51:N56" si="4">B51+C51+D51+E51+F51+G51+H51+I51+J51+K51+L51+M51</f>
        <v>2.895</v>
      </c>
      <c r="O51" s="256">
        <v>0</v>
      </c>
      <c r="P51" s="257" t="s">
        <v>74</v>
      </c>
    </row>
    <row r="52" spans="1:26" x14ac:dyDescent="0.2">
      <c r="A52" s="252" t="s">
        <v>114</v>
      </c>
      <c r="B52" s="253">
        <v>2.8809999999999998</v>
      </c>
      <c r="C52" s="253">
        <v>2.3130000000000002</v>
      </c>
      <c r="D52" s="253">
        <v>5.0869999999999997</v>
      </c>
      <c r="E52" s="253">
        <v>0</v>
      </c>
      <c r="F52" s="253">
        <v>2.819</v>
      </c>
      <c r="G52" s="253">
        <v>17.573</v>
      </c>
      <c r="H52" s="253">
        <v>0</v>
      </c>
      <c r="I52" s="253">
        <v>18.401</v>
      </c>
      <c r="J52" s="253">
        <v>0</v>
      </c>
      <c r="K52" s="253">
        <v>0</v>
      </c>
      <c r="L52" s="253">
        <v>0</v>
      </c>
      <c r="M52" s="253">
        <v>0</v>
      </c>
      <c r="N52" s="255">
        <f t="shared" si="4"/>
        <v>49.073999999999998</v>
      </c>
      <c r="O52" s="256">
        <v>0</v>
      </c>
      <c r="P52" s="257" t="s">
        <v>74</v>
      </c>
    </row>
    <row r="53" spans="1:26" x14ac:dyDescent="0.2">
      <c r="A53" s="252" t="s">
        <v>255</v>
      </c>
      <c r="B53" s="253">
        <v>0</v>
      </c>
      <c r="C53" s="253">
        <v>42.47</v>
      </c>
      <c r="D53" s="253">
        <v>0</v>
      </c>
      <c r="E53" s="253">
        <v>0</v>
      </c>
      <c r="F53" s="253">
        <v>0</v>
      </c>
      <c r="G53" s="253">
        <v>0</v>
      </c>
      <c r="H53" s="253">
        <v>0</v>
      </c>
      <c r="I53" s="253">
        <v>0</v>
      </c>
      <c r="J53" s="253">
        <v>0</v>
      </c>
      <c r="K53" s="253">
        <v>0</v>
      </c>
      <c r="L53" s="254">
        <v>0</v>
      </c>
      <c r="M53" s="253">
        <v>0</v>
      </c>
      <c r="N53" s="255">
        <f t="shared" si="4"/>
        <v>42.47</v>
      </c>
      <c r="O53" s="256">
        <v>0</v>
      </c>
      <c r="P53" s="257" t="s">
        <v>74</v>
      </c>
    </row>
    <row r="54" spans="1:26" x14ac:dyDescent="0.2">
      <c r="A54" s="252" t="s">
        <v>99</v>
      </c>
      <c r="B54" s="253">
        <v>0</v>
      </c>
      <c r="C54" s="253">
        <v>0</v>
      </c>
      <c r="D54" s="253">
        <v>0</v>
      </c>
      <c r="E54" s="253">
        <v>0</v>
      </c>
      <c r="F54" s="253">
        <v>0</v>
      </c>
      <c r="G54" s="253">
        <v>0</v>
      </c>
      <c r="H54" s="253">
        <v>0</v>
      </c>
      <c r="I54" s="253">
        <v>0</v>
      </c>
      <c r="J54" s="253">
        <v>0</v>
      </c>
      <c r="K54" s="253">
        <v>0</v>
      </c>
      <c r="L54" s="254">
        <v>0</v>
      </c>
      <c r="M54" s="253">
        <v>0</v>
      </c>
      <c r="N54" s="255">
        <f t="shared" si="4"/>
        <v>0</v>
      </c>
      <c r="O54" s="256">
        <v>0</v>
      </c>
      <c r="P54" s="257" t="s">
        <v>74</v>
      </c>
    </row>
    <row r="55" spans="1:26" x14ac:dyDescent="0.2">
      <c r="A55" s="252" t="s">
        <v>115</v>
      </c>
      <c r="B55" s="253">
        <v>0</v>
      </c>
      <c r="C55" s="253">
        <v>0</v>
      </c>
      <c r="D55" s="253">
        <v>0</v>
      </c>
      <c r="E55" s="253">
        <v>0</v>
      </c>
      <c r="F55" s="253">
        <v>0</v>
      </c>
      <c r="G55" s="253">
        <v>0</v>
      </c>
      <c r="H55" s="253">
        <v>0</v>
      </c>
      <c r="I55" s="253">
        <v>0</v>
      </c>
      <c r="J55" s="253">
        <v>0</v>
      </c>
      <c r="K55" s="253">
        <v>0</v>
      </c>
      <c r="L55" s="254">
        <v>0</v>
      </c>
      <c r="M55" s="253">
        <v>0</v>
      </c>
      <c r="N55" s="255">
        <f t="shared" si="4"/>
        <v>0</v>
      </c>
      <c r="O55" s="256">
        <v>0</v>
      </c>
      <c r="P55" s="257" t="s">
        <v>74</v>
      </c>
    </row>
    <row r="56" spans="1:26" x14ac:dyDescent="0.2">
      <c r="A56" s="252" t="s">
        <v>111</v>
      </c>
      <c r="B56" s="253">
        <v>1.2909999999999999</v>
      </c>
      <c r="C56" s="253">
        <v>1.901</v>
      </c>
      <c r="D56" s="253">
        <v>0.31900000000000001</v>
      </c>
      <c r="E56" s="253">
        <v>0</v>
      </c>
      <c r="F56" s="253">
        <v>0.38800000000000001</v>
      </c>
      <c r="G56" s="253">
        <v>0</v>
      </c>
      <c r="H56" s="253">
        <v>7.9000000000000001E-2</v>
      </c>
      <c r="I56" s="253">
        <v>0</v>
      </c>
      <c r="J56" s="253">
        <v>0</v>
      </c>
      <c r="K56" s="253">
        <v>0</v>
      </c>
      <c r="L56" s="254">
        <v>0</v>
      </c>
      <c r="M56" s="253">
        <v>0</v>
      </c>
      <c r="N56" s="255">
        <f t="shared" si="4"/>
        <v>3.9780000000000002</v>
      </c>
      <c r="O56" s="256">
        <v>0</v>
      </c>
      <c r="P56" s="257" t="s">
        <v>74</v>
      </c>
    </row>
    <row r="57" spans="1:26" x14ac:dyDescent="0.2">
      <c r="A57" s="273" t="s">
        <v>90</v>
      </c>
      <c r="B57" s="268">
        <f t="shared" ref="B57:O57" si="5">SUM(B51:B56)</f>
        <v>4.1719999999999997</v>
      </c>
      <c r="C57" s="268">
        <f t="shared" si="5"/>
        <v>46.684000000000005</v>
      </c>
      <c r="D57" s="268">
        <f t="shared" si="5"/>
        <v>5.4059999999999997</v>
      </c>
      <c r="E57" s="268">
        <f t="shared" si="5"/>
        <v>2.895</v>
      </c>
      <c r="F57" s="268">
        <f t="shared" si="5"/>
        <v>3.2069999999999999</v>
      </c>
      <c r="G57" s="268">
        <f t="shared" si="5"/>
        <v>17.573</v>
      </c>
      <c r="H57" s="268">
        <f t="shared" si="5"/>
        <v>7.9000000000000001E-2</v>
      </c>
      <c r="I57" s="268">
        <f t="shared" si="5"/>
        <v>18.401</v>
      </c>
      <c r="J57" s="268">
        <f t="shared" si="5"/>
        <v>0</v>
      </c>
      <c r="K57" s="268">
        <f t="shared" si="5"/>
        <v>0</v>
      </c>
      <c r="L57" s="268">
        <f t="shared" si="5"/>
        <v>0</v>
      </c>
      <c r="M57" s="277">
        <f t="shared" si="5"/>
        <v>0</v>
      </c>
      <c r="N57" s="278">
        <f t="shared" si="5"/>
        <v>98.416999999999987</v>
      </c>
      <c r="O57" s="275">
        <f t="shared" si="5"/>
        <v>0</v>
      </c>
      <c r="P57" s="264" t="s">
        <v>74</v>
      </c>
    </row>
    <row r="58" spans="1:26" ht="30.2" customHeight="1" x14ac:dyDescent="0.2">
      <c r="A58" s="279" t="s">
        <v>116</v>
      </c>
      <c r="B58" s="268">
        <f t="shared" ref="B58:O58" si="6">+B57+B48+B43+B38</f>
        <v>910.24299999999994</v>
      </c>
      <c r="C58" s="268">
        <f t="shared" si="6"/>
        <v>-138.399</v>
      </c>
      <c r="D58" s="268">
        <f t="shared" si="6"/>
        <v>432.00700000000006</v>
      </c>
      <c r="E58" s="268">
        <f t="shared" si="6"/>
        <v>1526.1449999999995</v>
      </c>
      <c r="F58" s="268">
        <f t="shared" si="6"/>
        <v>1249.9260000000004</v>
      </c>
      <c r="G58" s="268">
        <f t="shared" si="6"/>
        <v>248.54499999999999</v>
      </c>
      <c r="H58" s="268">
        <f t="shared" si="6"/>
        <v>1012.6420000000001</v>
      </c>
      <c r="I58" s="268">
        <f t="shared" si="6"/>
        <v>620.98400000000004</v>
      </c>
      <c r="J58" s="268">
        <f t="shared" si="6"/>
        <v>0</v>
      </c>
      <c r="K58" s="268">
        <f t="shared" si="6"/>
        <v>0</v>
      </c>
      <c r="L58" s="268">
        <f t="shared" si="6"/>
        <v>0</v>
      </c>
      <c r="M58" s="277">
        <f t="shared" si="6"/>
        <v>0</v>
      </c>
      <c r="N58" s="274">
        <f t="shared" si="6"/>
        <v>5862.0929999999989</v>
      </c>
      <c r="O58" s="270">
        <f t="shared" si="6"/>
        <v>0</v>
      </c>
      <c r="P58" s="264" t="s">
        <v>74</v>
      </c>
    </row>
    <row r="59" spans="1:26" ht="15.95" customHeight="1" x14ac:dyDescent="0.2">
      <c r="A59" s="280"/>
      <c r="B59" s="281"/>
      <c r="C59" s="268"/>
      <c r="D59" s="282"/>
      <c r="E59" s="282"/>
      <c r="F59" s="282"/>
      <c r="G59" s="282"/>
      <c r="H59" s="282"/>
      <c r="I59" s="282"/>
      <c r="J59" s="283"/>
      <c r="K59" s="282"/>
      <c r="L59" s="282"/>
      <c r="M59" s="282"/>
      <c r="N59" s="282"/>
      <c r="O59" s="281"/>
      <c r="P59" s="281"/>
    </row>
    <row r="60" spans="1:26" ht="30.2" customHeight="1" thickBot="1" x14ac:dyDescent="0.25">
      <c r="A60" s="284" t="s">
        <v>117</v>
      </c>
      <c r="B60" s="285">
        <v>782.1</v>
      </c>
      <c r="C60" s="286">
        <f>-166.192+42.47</f>
        <v>-123.72200000000001</v>
      </c>
      <c r="D60" s="331">
        <f>438.9-0.9</f>
        <v>438</v>
      </c>
      <c r="E60" s="331">
        <v>1533.0940000000001</v>
      </c>
      <c r="F60" s="331">
        <v>1257</v>
      </c>
      <c r="G60" s="427">
        <v>244</v>
      </c>
      <c r="H60" s="333">
        <v>1018.8</v>
      </c>
      <c r="I60" s="333">
        <v>626.9</v>
      </c>
      <c r="J60" s="335"/>
      <c r="K60" s="335"/>
      <c r="L60" s="335"/>
      <c r="M60" s="335"/>
      <c r="N60" s="287">
        <f>SUM(B60:M60)</f>
        <v>5776.1719999999996</v>
      </c>
      <c r="O60" s="288"/>
      <c r="P60" s="289"/>
    </row>
    <row r="61" spans="1:26" x14ac:dyDescent="0.2">
      <c r="A61" s="232" t="s">
        <v>118</v>
      </c>
      <c r="G61" s="253"/>
      <c r="H61" s="253"/>
    </row>
    <row r="62" spans="1:26" x14ac:dyDescent="0.2">
      <c r="A62" s="232" t="s">
        <v>159</v>
      </c>
      <c r="B62" s="253"/>
      <c r="C62" s="253"/>
      <c r="D62" s="253"/>
      <c r="E62" s="253"/>
      <c r="F62" s="253"/>
      <c r="G62" s="253"/>
      <c r="H62" s="253"/>
      <c r="I62" s="253"/>
      <c r="J62" s="334"/>
      <c r="K62" s="253"/>
      <c r="L62" s="253"/>
      <c r="M62" s="253"/>
    </row>
    <row r="63" spans="1:26" ht="15" x14ac:dyDescent="0.25">
      <c r="A63" s="339" t="s">
        <v>25</v>
      </c>
      <c r="B63" s="336" t="s">
        <v>276</v>
      </c>
      <c r="C63" s="336"/>
      <c r="D63" s="340"/>
      <c r="E63" s="336"/>
      <c r="F63" s="338"/>
      <c r="G63" s="346"/>
      <c r="H63" s="338"/>
      <c r="I63" s="336"/>
      <c r="J63" s="346"/>
      <c r="K63" s="336"/>
      <c r="L63" s="336"/>
      <c r="M63" s="346"/>
      <c r="N63" s="336"/>
      <c r="O63" s="336"/>
      <c r="P63" s="337"/>
      <c r="Q63" s="336"/>
      <c r="R63" s="336"/>
      <c r="S63" s="336"/>
      <c r="T63" s="336"/>
      <c r="U63" s="336"/>
      <c r="V63" s="336"/>
      <c r="W63" s="336"/>
      <c r="X63" s="336"/>
      <c r="Y63" s="336"/>
      <c r="Z63" s="336"/>
    </row>
    <row r="64" spans="1:26" x14ac:dyDescent="0.2">
      <c r="A64" s="449" t="s">
        <v>157</v>
      </c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49"/>
      <c r="U64" s="449"/>
      <c r="V64" s="449"/>
      <c r="W64" s="449"/>
      <c r="X64" s="449"/>
      <c r="Y64" s="449"/>
      <c r="Z64" s="449"/>
    </row>
    <row r="65" spans="1:14" ht="14.25" x14ac:dyDescent="0.2">
      <c r="A65" s="232" t="s">
        <v>254</v>
      </c>
      <c r="B65" s="253"/>
      <c r="D65" s="253"/>
    </row>
    <row r="66" spans="1:14" x14ac:dyDescent="0.2"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</row>
    <row r="69" spans="1:14" x14ac:dyDescent="0.2">
      <c r="L69" s="253"/>
    </row>
    <row r="71" spans="1:14" x14ac:dyDescent="0.2">
      <c r="C71" s="253"/>
      <c r="I71" s="253"/>
      <c r="M71" s="253"/>
      <c r="N71" s="253"/>
    </row>
  </sheetData>
  <mergeCells count="1">
    <mergeCell ref="A64:Z64"/>
  </mergeCells>
  <printOptions horizontalCentered="1"/>
  <pageMargins left="0.55000000000000004" right="0.2" top="0.81" bottom="0.38" header="0.21" footer="0.19"/>
  <pageSetup scale="46" orientation="landscape" r:id="rId1"/>
  <headerFooter alignWithMargins="0">
    <oddHeader>&amp;C&amp;"Arial,Bold"SDGE
Demand Response Programs 
Total Cost and AMDRMA 2013 Accounts Balance
$000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Program MW </vt:lpstr>
      <vt:lpstr>Ex ante LI &amp; Eligibility Stats</vt:lpstr>
      <vt:lpstr>Ex post LI &amp; Eligibility Stats</vt:lpstr>
      <vt:lpstr>TA-TI Distribution</vt:lpstr>
      <vt:lpstr>DRP Expenditures </vt:lpstr>
      <vt:lpstr>Marketing</vt:lpstr>
      <vt:lpstr>Fund Shift Log</vt:lpstr>
      <vt:lpstr>Event Summary</vt:lpstr>
      <vt:lpstr>SDGE Costs - AMDRMA Balance </vt:lpstr>
      <vt:lpstr>SDGE Costs -GRC</vt:lpstr>
      <vt:lpstr>'DRP Expenditures '!Print_Area</vt:lpstr>
      <vt:lpstr>'Event Summary'!Print_Area</vt:lpstr>
      <vt:lpstr>'Ex ante LI &amp; Eligibility Stats'!Print_Area</vt:lpstr>
      <vt:lpstr>'Ex post LI &amp; Eligibility Stats'!Print_Area</vt:lpstr>
      <vt:lpstr>Marketing!Print_Area</vt:lpstr>
      <vt:lpstr>'Program MW '!Print_Area</vt:lpstr>
      <vt:lpstr>'SDGE Costs - AMDRMA Balance '!Print_Area</vt:lpstr>
      <vt:lpstr>'SDGE Costs -GRC'!Print_Area</vt:lpstr>
    </vt:vector>
  </TitlesOfParts>
  <Company>Edison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 Configuration</dc:creator>
  <cp:lastModifiedBy>TKinjo</cp:lastModifiedBy>
  <cp:lastPrinted>2013-09-17T22:00:51Z</cp:lastPrinted>
  <dcterms:created xsi:type="dcterms:W3CDTF">2001-06-12T23:12:10Z</dcterms:created>
  <dcterms:modified xsi:type="dcterms:W3CDTF">2013-09-17T22:14:28Z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