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720" windowHeight="12405" tabRatio="887"/>
  </bookViews>
  <sheets>
    <sheet name="Program MW " sheetId="33" r:id="rId1"/>
    <sheet name="Ex ante LI &amp; Eligibility Stats" sheetId="34" r:id="rId2"/>
    <sheet name="Ex post LI &amp; Eligibility Stats" sheetId="35" r:id="rId3"/>
    <sheet name="TA-TI Distribution" sheetId="36" r:id="rId4"/>
    <sheet name="DRP Expenditures" sheetId="63" r:id="rId5"/>
    <sheet name="Marketing " sheetId="72" r:id="rId6"/>
    <sheet name="Fund Shift Log" sheetId="29" r:id="rId7"/>
    <sheet name="Event Summary" sheetId="57" r:id="rId8"/>
    <sheet name="SDGE Costs - AMDRMA Balance" sheetId="61" r:id="rId9"/>
    <sheet name="SDGE Costs -GRC" sheetId="62" r:id="rId10"/>
  </sheets>
  <externalReferences>
    <externalReference r:id="rId11"/>
    <externalReference r:id="rId12"/>
    <externalReference r:id="rId13"/>
  </externalReferences>
  <definedNames>
    <definedName name="_DAT1" localSheetId="4">#REF!</definedName>
    <definedName name="_DAT1" localSheetId="5">#REF!</definedName>
    <definedName name="_DAT1">#REF!</definedName>
    <definedName name="_DAT10" localSheetId="4">#REF!</definedName>
    <definedName name="_DAT10" localSheetId="5">#REF!</definedName>
    <definedName name="_DAT10">#REF!</definedName>
    <definedName name="_DAT11" localSheetId="4">#REF!</definedName>
    <definedName name="_DAT11" localSheetId="5">#REF!</definedName>
    <definedName name="_DAT11">#REF!</definedName>
    <definedName name="_DAT12" localSheetId="4">#REF!</definedName>
    <definedName name="_DAT12">#REF!</definedName>
    <definedName name="_DAT13" localSheetId="4">#REF!</definedName>
    <definedName name="_DAT13">#REF!</definedName>
    <definedName name="_DAT14" localSheetId="4">#REF!</definedName>
    <definedName name="_DAT14">#REF!</definedName>
    <definedName name="_DAT15" localSheetId="4">#REF!</definedName>
    <definedName name="_DAT15">#REF!</definedName>
    <definedName name="_DAT16" localSheetId="4">#REF!</definedName>
    <definedName name="_DAT16">#REF!</definedName>
    <definedName name="_DAT17" localSheetId="4">#REF!</definedName>
    <definedName name="_DAT17">#REF!</definedName>
    <definedName name="_DAT2" localSheetId="4">#REF!</definedName>
    <definedName name="_DAT2">#REF!</definedName>
    <definedName name="_DAT3" localSheetId="4">#REF!</definedName>
    <definedName name="_DAT3">#REF!</definedName>
    <definedName name="_DAT4" localSheetId="4">#REF!</definedName>
    <definedName name="_DAT4">#REF!</definedName>
    <definedName name="_DAT5" localSheetId="4">#REF!</definedName>
    <definedName name="_DAT5">#REF!</definedName>
    <definedName name="_DAT6" localSheetId="4">#REF!</definedName>
    <definedName name="_DAT6">#REF!</definedName>
    <definedName name="_DAT7" localSheetId="4">#REF!</definedName>
    <definedName name="_DAT7">#REF!</definedName>
    <definedName name="_DAT8" localSheetId="4">#REF!</definedName>
    <definedName name="_DAT8">#REF!</definedName>
    <definedName name="_DAT9" localSheetId="4">#REF!</definedName>
    <definedName name="_DAT9">#REF!</definedName>
    <definedName name="_xlnm._FilterDatabase" localSheetId="7" hidden="1">'Event Summary'!$A$2:$G$3</definedName>
    <definedName name="Achieve_GRC" localSheetId="4">#REF!</definedName>
    <definedName name="Achieve_GRC" localSheetId="1">#REF!</definedName>
    <definedName name="Achieve_GRC" localSheetId="2">#REF!</definedName>
    <definedName name="Achieve_GRC" localSheetId="0">#REF!</definedName>
    <definedName name="Achieve_GRC" localSheetId="3">#REF!</definedName>
    <definedName name="Achieve_GRC">#REF!</definedName>
    <definedName name="Achieve_Service_Excellenc" localSheetId="4">#REF!</definedName>
    <definedName name="Achieve_Service_Excellenc" localSheetId="1">#REF!</definedName>
    <definedName name="Achieve_Service_Excellenc" localSheetId="2">#REF!</definedName>
    <definedName name="Achieve_Service_Excellenc" localSheetId="0">#REF!</definedName>
    <definedName name="Achieve_Service_Excellenc" localSheetId="3">#REF!</definedName>
    <definedName name="Achieve_Service_Excellenc">#REF!</definedName>
    <definedName name="Achieve_Service_Excellence" localSheetId="4">#REF!</definedName>
    <definedName name="Achieve_Service_Excellence" localSheetId="1">#REF!</definedName>
    <definedName name="Achieve_Service_Excellence" localSheetId="2">#REF!</definedName>
    <definedName name="Achieve_Service_Excellence" localSheetId="0">#REF!</definedName>
    <definedName name="Achieve_Service_Excellence" localSheetId="3">#REF!</definedName>
    <definedName name="Achieve_Service_Excellence">#REF!</definedName>
    <definedName name="Collect_Revenue" localSheetId="4">#REF!</definedName>
    <definedName name="Collect_Revenue" localSheetId="1">#REF!</definedName>
    <definedName name="Collect_Revenue" localSheetId="2">#REF!</definedName>
    <definedName name="Collect_Revenue" localSheetId="0">#REF!</definedName>
    <definedName name="Collect_Revenue" localSheetId="3">#REF!</definedName>
    <definedName name="Collect_Revenue">#REF!</definedName>
    <definedName name="DATA1" localSheetId="4">#REF!</definedName>
    <definedName name="DATA1">#REF!</definedName>
    <definedName name="DATA10" localSheetId="4">#REF!</definedName>
    <definedName name="DATA10">#REF!</definedName>
    <definedName name="DATA11" localSheetId="4">#REF!</definedName>
    <definedName name="DATA11">#REF!</definedName>
    <definedName name="DATA12" localSheetId="4">#REF!</definedName>
    <definedName name="DATA12">#REF!</definedName>
    <definedName name="DATA13" localSheetId="4">#REF!</definedName>
    <definedName name="DATA13">#REF!</definedName>
    <definedName name="DATA14" localSheetId="4">#REF!</definedName>
    <definedName name="DATA14">#REF!</definedName>
    <definedName name="DATA15" localSheetId="4">#REF!</definedName>
    <definedName name="DATA15">#REF!</definedName>
    <definedName name="DATA16" localSheetId="4">#REF!</definedName>
    <definedName name="DATA16">#REF!</definedName>
    <definedName name="DATA17" localSheetId="4">#REF!</definedName>
    <definedName name="DATA17">#REF!</definedName>
    <definedName name="DATA18" localSheetId="4">#REF!</definedName>
    <definedName name="DATA18">#REF!</definedName>
    <definedName name="DATA19" localSheetId="4">#REF!</definedName>
    <definedName name="DATA19">#REF!</definedName>
    <definedName name="DATA2" localSheetId="4">#REF!</definedName>
    <definedName name="DATA2">#REF!</definedName>
    <definedName name="DATA20" localSheetId="4">#REF!</definedName>
    <definedName name="DATA20">#REF!</definedName>
    <definedName name="DATA3" localSheetId="4">#REF!</definedName>
    <definedName name="DATA3">#REF!</definedName>
    <definedName name="DATA4" localSheetId="4">#REF!</definedName>
    <definedName name="DATA4">#REF!</definedName>
    <definedName name="DATA5" localSheetId="4">#REF!</definedName>
    <definedName name="DATA5">#REF!</definedName>
    <definedName name="data5000">'[1]ACTMA Detail'!$N$2:$N$102</definedName>
    <definedName name="DATA6" localSheetId="4">#REF!</definedName>
    <definedName name="DATA6" localSheetId="5">#REF!</definedName>
    <definedName name="DATA6">#REF!</definedName>
    <definedName name="DATA7" localSheetId="4">#REF!</definedName>
    <definedName name="DATA7" localSheetId="5">#REF!</definedName>
    <definedName name="DATA7">#REF!</definedName>
    <definedName name="DATA8" localSheetId="4">#REF!</definedName>
    <definedName name="DATA8" localSheetId="5">#REF!</definedName>
    <definedName name="DATA8">#REF!</definedName>
    <definedName name="DATA9" localSheetId="4">#REF!</definedName>
    <definedName name="DATA9">#REF!</definedName>
    <definedName name="DayTypeList">[2]LOOKUP!$E$2:$E$14</definedName>
    <definedName name="Enhance_Delivery_Channels" localSheetId="4">#REF!</definedName>
    <definedName name="Enhance_Delivery_Channels" localSheetId="1">#REF!</definedName>
    <definedName name="Enhance_Delivery_Channels" localSheetId="2">#REF!</definedName>
    <definedName name="Enhance_Delivery_Channels" localSheetId="0">#REF!</definedName>
    <definedName name="Enhance_Delivery_Channels" localSheetId="3">#REF!</definedName>
    <definedName name="Enhance_Delivery_Channels">#REF!</definedName>
    <definedName name="Ethics_and_Compliance" localSheetId="4">#REF!</definedName>
    <definedName name="Ethics_and_Compliance" localSheetId="1">#REF!</definedName>
    <definedName name="Ethics_and_Compliance" localSheetId="2">#REF!</definedName>
    <definedName name="Ethics_and_Compliance" localSheetId="0">#REF!</definedName>
    <definedName name="Ethics_and_Compliance" localSheetId="3">#REF!</definedName>
    <definedName name="Ethics_and_Compliance">#REF!</definedName>
    <definedName name="Launch_Refine_Market" localSheetId="4">#REF!</definedName>
    <definedName name="Launch_Refine_Market" localSheetId="1">#REF!</definedName>
    <definedName name="Launch_Refine_Market" localSheetId="2">#REF!</definedName>
    <definedName name="Launch_Refine_Market" localSheetId="0">#REF!</definedName>
    <definedName name="Launch_Refine_Market" localSheetId="3">#REF!</definedName>
    <definedName name="Launch_Refine_Market">#REF!</definedName>
    <definedName name="Manage_AMI" localSheetId="4">#REF!</definedName>
    <definedName name="Manage_AMI" localSheetId="1">#REF!</definedName>
    <definedName name="Manage_AMI" localSheetId="2">#REF!</definedName>
    <definedName name="Manage_AMI" localSheetId="0">#REF!</definedName>
    <definedName name="Manage_AMI" localSheetId="3">#REF!</definedName>
    <definedName name="Manage_AMI">#REF!</definedName>
    <definedName name="Meet_Financial_Targets" localSheetId="4">#REF!</definedName>
    <definedName name="Meet_Financial_Targets" localSheetId="1">#REF!</definedName>
    <definedName name="Meet_Financial_Targets" localSheetId="2">#REF!</definedName>
    <definedName name="Meet_Financial_Targets" localSheetId="0">#REF!</definedName>
    <definedName name="Meet_Financial_Targets" localSheetId="3">#REF!</definedName>
    <definedName name="Meet_Financial_Targets">#REF!</definedName>
    <definedName name="nnnnnn">'[1]ACTMA Detail'!$P$2:$P$102</definedName>
    <definedName name="_xlnm.Print_Area" localSheetId="7">'Event Summary'!$A$1:$G$5</definedName>
    <definedName name="_xlnm.Print_Area" localSheetId="1">'Ex ante LI &amp; Eligibility Stats'!$A$1:$P$32</definedName>
    <definedName name="_xlnm.Print_Area" localSheetId="2">'Ex post LI &amp; Eligibility Stats'!$A$1:$O$29</definedName>
    <definedName name="_xlnm.Print_Area" localSheetId="5">'Marketing '!$A$1:$Q$49</definedName>
    <definedName name="_xlnm.Print_Area" localSheetId="0">'Program MW '!$A$1:$T$58</definedName>
    <definedName name="_xlnm.Print_Area" localSheetId="8">'SDGE Costs - AMDRMA Balance'!$A$1:$R$67</definedName>
    <definedName name="_xlnm.Print_Area" localSheetId="9">'SDGE Costs -GRC'!$A$1:$Q$37</definedName>
    <definedName name="Reliability_Expectations" localSheetId="4">#REF!</definedName>
    <definedName name="Reliability_Expectations" localSheetId="1">#REF!</definedName>
    <definedName name="Reliability_Expectations" localSheetId="2">#REF!</definedName>
    <definedName name="Reliability_Expectations" localSheetId="5">#REF!</definedName>
    <definedName name="Reliability_Expectations" localSheetId="0">#REF!</definedName>
    <definedName name="Reliability_Expectations" localSheetId="3">#REF!</definedName>
    <definedName name="Reliability_Expectations">#REF!</definedName>
    <definedName name="Stabilization_Customer_Base" localSheetId="4">#REF!</definedName>
    <definedName name="Stabilization_Customer_Base" localSheetId="1">#REF!</definedName>
    <definedName name="Stabilization_Customer_Base" localSheetId="2">#REF!</definedName>
    <definedName name="Stabilization_Customer_Base" localSheetId="5">#REF!</definedName>
    <definedName name="Stabilization_Customer_Base" localSheetId="0">#REF!</definedName>
    <definedName name="Stabilization_Customer_Base" localSheetId="3">#REF!</definedName>
    <definedName name="Stabilization_Customer_Base">#REF!</definedName>
    <definedName name="TEST0" localSheetId="4">#REF!</definedName>
    <definedName name="TEST0" localSheetId="5">#REF!</definedName>
    <definedName name="TEST0">#REF!</definedName>
    <definedName name="TEST1" localSheetId="4">#REF!</definedName>
    <definedName name="TEST1">#REF!</definedName>
    <definedName name="TEST10" localSheetId="4">#REF!</definedName>
    <definedName name="TEST10">#REF!</definedName>
    <definedName name="TEST11" localSheetId="4">#REF!</definedName>
    <definedName name="TEST11">#REF!</definedName>
    <definedName name="TEST12" localSheetId="4">#REF!</definedName>
    <definedName name="TEST12">#REF!</definedName>
    <definedName name="TEST13" localSheetId="4">#REF!</definedName>
    <definedName name="TEST13">#REF!</definedName>
    <definedName name="TEST14" localSheetId="4">#REF!</definedName>
    <definedName name="TEST14">#REF!</definedName>
    <definedName name="TEST15" localSheetId="4">#REF!</definedName>
    <definedName name="TEST15">#REF!</definedName>
    <definedName name="TEST16" localSheetId="4">#REF!</definedName>
    <definedName name="TEST16">#REF!</definedName>
    <definedName name="TEST17" localSheetId="4">#REF!</definedName>
    <definedName name="TEST17">#REF!</definedName>
    <definedName name="TEST18" localSheetId="4">#REF!</definedName>
    <definedName name="TEST18">#REF!</definedName>
    <definedName name="TEST19" localSheetId="4">#REF!</definedName>
    <definedName name="TEST19">#REF!</definedName>
    <definedName name="TEST2" localSheetId="4">#REF!</definedName>
    <definedName name="TEST2">#REF!</definedName>
    <definedName name="TEST20" localSheetId="4">#REF!</definedName>
    <definedName name="TEST20">#REF!</definedName>
    <definedName name="TEST21" localSheetId="4">#REF!</definedName>
    <definedName name="TEST21">#REF!</definedName>
    <definedName name="TEST22" localSheetId="4">#REF!</definedName>
    <definedName name="TEST22">#REF!</definedName>
    <definedName name="TEST23" localSheetId="4">#REF!</definedName>
    <definedName name="TEST23">#REF!</definedName>
    <definedName name="TEST24" localSheetId="4">#REF!</definedName>
    <definedName name="TEST24">#REF!</definedName>
    <definedName name="TEST25" localSheetId="4">#REF!</definedName>
    <definedName name="TEST25">#REF!</definedName>
    <definedName name="TEST26" localSheetId="4">#REF!</definedName>
    <definedName name="TEST26">#REF!</definedName>
    <definedName name="TEST27" localSheetId="4">#REF!</definedName>
    <definedName name="TEST27">#REF!</definedName>
    <definedName name="TEST28" localSheetId="4">#REF!</definedName>
    <definedName name="TEST28">#REF!</definedName>
    <definedName name="TEST3" localSheetId="4">#REF!</definedName>
    <definedName name="TEST3">#REF!</definedName>
    <definedName name="TEST4" localSheetId="4">#REF!</definedName>
    <definedName name="TEST4">#REF!</definedName>
    <definedName name="TEST5" localSheetId="4">#REF!</definedName>
    <definedName name="TEST5">#REF!</definedName>
    <definedName name="TEST6" localSheetId="4">#REF!</definedName>
    <definedName name="TEST6">#REF!</definedName>
    <definedName name="TEST7" localSheetId="4">#REF!</definedName>
    <definedName name="TEST7">#REF!</definedName>
    <definedName name="TEST8" localSheetId="4">#REF!</definedName>
    <definedName name="TEST8">#REF!</definedName>
    <definedName name="TEST9" localSheetId="4">#REF!</definedName>
    <definedName name="TEST9">#REF!</definedName>
    <definedName name="TESTHKEY" localSheetId="4">#REF!</definedName>
    <definedName name="TESTHKEY">#REF!</definedName>
    <definedName name="TESTKEYS" localSheetId="4">#REF!</definedName>
    <definedName name="TESTKEYS">#REF!</definedName>
    <definedName name="TESTVKEY" localSheetId="4">#REF!</definedName>
    <definedName name="TESTVKEY">#REF!</definedName>
    <definedName name="Valued_Service_Provider" localSheetId="4">#REF!</definedName>
    <definedName name="Valued_Service_Provider" localSheetId="1">#REF!</definedName>
    <definedName name="Valued_Service_Provider" localSheetId="2">#REF!</definedName>
    <definedName name="Valued_Service_Provider" localSheetId="0">#REF!</definedName>
    <definedName name="Valued_Service_Provider" localSheetId="3">#REF!</definedName>
    <definedName name="Valued_Service_Provider">#REF!</definedName>
    <definedName name="Voice_of_Customer" localSheetId="4">#REF!</definedName>
    <definedName name="Voice_of_Customer" localSheetId="1">#REF!</definedName>
    <definedName name="Voice_of_Customer" localSheetId="2">#REF!</definedName>
    <definedName name="Voice_of_Customer" localSheetId="0">#REF!</definedName>
    <definedName name="Voice_of_Customer" localSheetId="3">#REF!</definedName>
    <definedName name="Voice_of_Customer">#REF!</definedName>
    <definedName name="Z_E5DF83AA_DC53_4EBF_A523_33DA0FE284E8_.wvu.PrintArea" localSheetId="2" hidden="1">'Ex post LI &amp; Eligibility Stats'!$A$1:$O$29</definedName>
    <definedName name="Z_E5DF83AA_DC53_4EBF_A523_33DA0FE284E8_.wvu.PrintArea" localSheetId="0" hidden="1">'Program MW '!$A$1:$Z$57</definedName>
    <definedName name="Z_E5DF83AA_DC53_4EBF_A523_33DA0FE284E8_.wvu.PrintArea" localSheetId="3" hidden="1">'TA-TI Distribution'!#REF!</definedName>
  </definedNames>
  <calcPr calcId="145621"/>
</workbook>
</file>

<file path=xl/calcChain.xml><?xml version="1.0" encoding="utf-8"?>
<calcChain xmlns="http://schemas.openxmlformats.org/spreadsheetml/2006/main">
  <c r="O42" i="72" l="1"/>
  <c r="M42" i="72"/>
  <c r="L42" i="72"/>
  <c r="K42" i="72"/>
  <c r="J42" i="72"/>
  <c r="I42" i="72"/>
  <c r="H42" i="72"/>
  <c r="G42" i="72"/>
  <c r="F42" i="72"/>
  <c r="E42" i="72"/>
  <c r="D42" i="72"/>
  <c r="C42" i="72"/>
  <c r="B42" i="72"/>
  <c r="P41" i="72"/>
  <c r="N41" i="72"/>
  <c r="N40" i="72"/>
  <c r="P40" i="72" s="1"/>
  <c r="P39" i="72"/>
  <c r="N39" i="72"/>
  <c r="N38" i="72"/>
  <c r="P38" i="72" s="1"/>
  <c r="M35" i="72"/>
  <c r="L35" i="72"/>
  <c r="K35" i="72"/>
  <c r="J35" i="72"/>
  <c r="I35" i="72"/>
  <c r="H35" i="72"/>
  <c r="G35" i="72"/>
  <c r="F35" i="72"/>
  <c r="E35" i="72"/>
  <c r="D35" i="72"/>
  <c r="C35" i="72"/>
  <c r="B35" i="72"/>
  <c r="N34" i="72"/>
  <c r="P34" i="72" s="1"/>
  <c r="P33" i="72"/>
  <c r="N33" i="72"/>
  <c r="N32" i="72"/>
  <c r="P32" i="72" s="1"/>
  <c r="P31" i="72"/>
  <c r="N31" i="72"/>
  <c r="N30" i="72"/>
  <c r="N35" i="72" s="1"/>
  <c r="M27" i="72"/>
  <c r="L27" i="72"/>
  <c r="K27" i="72"/>
  <c r="J27" i="72"/>
  <c r="I27" i="72"/>
  <c r="H27" i="72"/>
  <c r="G27" i="72"/>
  <c r="F27" i="72"/>
  <c r="E27" i="72"/>
  <c r="D27" i="72"/>
  <c r="C27" i="72"/>
  <c r="B27" i="72"/>
  <c r="N26" i="72"/>
  <c r="P26" i="72" s="1"/>
  <c r="P25" i="72"/>
  <c r="N25" i="72"/>
  <c r="N24" i="72"/>
  <c r="P24" i="72" s="1"/>
  <c r="P23" i="72"/>
  <c r="N23" i="72"/>
  <c r="N22" i="72"/>
  <c r="P22" i="72" s="1"/>
  <c r="P18" i="72"/>
  <c r="N18" i="72"/>
  <c r="N17" i="72"/>
  <c r="P17" i="72" s="1"/>
  <c r="P16" i="72"/>
  <c r="N16" i="72"/>
  <c r="N15" i="72"/>
  <c r="P15" i="72" s="1"/>
  <c r="P14" i="72"/>
  <c r="N14" i="72"/>
  <c r="N13" i="72"/>
  <c r="N27" i="72" s="1"/>
  <c r="M7" i="72"/>
  <c r="L7" i="72"/>
  <c r="K7" i="72"/>
  <c r="J7" i="72"/>
  <c r="I7" i="72"/>
  <c r="H7" i="72"/>
  <c r="G7" i="72"/>
  <c r="F7" i="72"/>
  <c r="E7" i="72"/>
  <c r="D7" i="72"/>
  <c r="C7" i="72"/>
  <c r="B7" i="72"/>
  <c r="N6" i="72"/>
  <c r="P6" i="72" s="1"/>
  <c r="N5" i="72"/>
  <c r="P5" i="72" s="1"/>
  <c r="P7" i="72" s="1"/>
  <c r="D21" i="33"/>
  <c r="C21" i="33"/>
  <c r="F21" i="33"/>
  <c r="G21" i="33"/>
  <c r="I21" i="33"/>
  <c r="J21" i="33"/>
  <c r="L21" i="33"/>
  <c r="M21" i="33"/>
  <c r="O21" i="33"/>
  <c r="P21" i="33"/>
  <c r="R21" i="33"/>
  <c r="S21" i="33"/>
  <c r="C43" i="33"/>
  <c r="D43" i="33"/>
  <c r="F43" i="33"/>
  <c r="G43" i="33"/>
  <c r="I43" i="33"/>
  <c r="J43" i="33"/>
  <c r="L43" i="33"/>
  <c r="M43" i="33"/>
  <c r="O43" i="33"/>
  <c r="P43" i="33"/>
  <c r="R43" i="33"/>
  <c r="S43" i="33"/>
  <c r="P42" i="72" l="1"/>
  <c r="N42" i="72"/>
  <c r="O5" i="72"/>
  <c r="O7" i="72" s="1"/>
  <c r="N7" i="72"/>
  <c r="P13" i="72"/>
  <c r="P27" i="72" s="1"/>
  <c r="P30" i="72"/>
  <c r="P35" i="72" s="1"/>
  <c r="L15" i="33"/>
  <c r="D12" i="33"/>
  <c r="E25" i="63" l="1"/>
  <c r="C45" i="63"/>
  <c r="C13" i="63"/>
  <c r="N33" i="61"/>
  <c r="N32" i="61"/>
  <c r="N31" i="61"/>
  <c r="N30" i="61"/>
  <c r="N29" i="61"/>
  <c r="N28" i="61"/>
  <c r="N27" i="61"/>
  <c r="B15" i="61"/>
  <c r="O13" i="63" l="1"/>
  <c r="M11" i="34" l="1"/>
  <c r="L11" i="34"/>
  <c r="K11" i="34"/>
  <c r="N9" i="61"/>
  <c r="L50" i="63"/>
  <c r="L20" i="63"/>
  <c r="J14" i="63"/>
  <c r="J9" i="63"/>
  <c r="K48" i="61"/>
  <c r="I38" i="61"/>
  <c r="K50" i="63"/>
  <c r="K36" i="63"/>
  <c r="K30" i="63"/>
  <c r="K14" i="63"/>
  <c r="K9" i="63"/>
  <c r="J57" i="61"/>
  <c r="J50" i="63"/>
  <c r="J46" i="63"/>
  <c r="J20" i="63"/>
  <c r="S44" i="33"/>
  <c r="R44" i="33"/>
  <c r="S42" i="33"/>
  <c r="R42" i="33"/>
  <c r="S41" i="33"/>
  <c r="R41" i="33"/>
  <c r="S40" i="33"/>
  <c r="R40" i="33"/>
  <c r="S39" i="33"/>
  <c r="R39" i="33"/>
  <c r="S38" i="33"/>
  <c r="R38" i="33"/>
  <c r="S37" i="33"/>
  <c r="R37" i="33"/>
  <c r="P44" i="33"/>
  <c r="O44" i="33"/>
  <c r="P42" i="33"/>
  <c r="O42" i="33"/>
  <c r="P41" i="33"/>
  <c r="O41" i="33"/>
  <c r="P40" i="33"/>
  <c r="O40" i="33"/>
  <c r="P39" i="33"/>
  <c r="O39" i="33"/>
  <c r="P38" i="33"/>
  <c r="O38" i="33"/>
  <c r="P37" i="33"/>
  <c r="O37" i="33"/>
  <c r="M44" i="33"/>
  <c r="L44" i="33"/>
  <c r="M42" i="33"/>
  <c r="L42" i="33"/>
  <c r="M41" i="33"/>
  <c r="L41" i="33"/>
  <c r="M40" i="33"/>
  <c r="L40" i="33"/>
  <c r="M39" i="33"/>
  <c r="L39" i="33"/>
  <c r="M38" i="33"/>
  <c r="L38" i="33"/>
  <c r="M37" i="33"/>
  <c r="L37" i="33"/>
  <c r="J44" i="33"/>
  <c r="I44" i="33"/>
  <c r="J42" i="33"/>
  <c r="I42" i="33"/>
  <c r="I37" i="33"/>
  <c r="I38" i="33"/>
  <c r="I39" i="33"/>
  <c r="I40" i="33"/>
  <c r="I41" i="33"/>
  <c r="J41" i="33"/>
  <c r="J40" i="33"/>
  <c r="J39" i="33"/>
  <c r="J38" i="33"/>
  <c r="J37" i="33"/>
  <c r="G44" i="33"/>
  <c r="F44" i="33"/>
  <c r="G42" i="33"/>
  <c r="F42" i="33"/>
  <c r="G41" i="33"/>
  <c r="F41" i="33"/>
  <c r="G40" i="33"/>
  <c r="F40" i="33"/>
  <c r="G39" i="33"/>
  <c r="F39" i="33"/>
  <c r="G38" i="33"/>
  <c r="F38" i="33"/>
  <c r="G37" i="33"/>
  <c r="F37" i="33"/>
  <c r="D44" i="33"/>
  <c r="C44" i="33"/>
  <c r="D42" i="33"/>
  <c r="C42" i="33"/>
  <c r="D41" i="33"/>
  <c r="C41" i="33"/>
  <c r="D40" i="33"/>
  <c r="C40" i="33"/>
  <c r="D39" i="33"/>
  <c r="C39" i="33"/>
  <c r="D38" i="33"/>
  <c r="C38" i="33"/>
  <c r="D37" i="33"/>
  <c r="C37" i="33"/>
  <c r="S34" i="33"/>
  <c r="R34" i="33"/>
  <c r="S33" i="33"/>
  <c r="R33" i="33"/>
  <c r="S32" i="33"/>
  <c r="R32" i="33"/>
  <c r="P34" i="33"/>
  <c r="O34" i="33"/>
  <c r="P33" i="33"/>
  <c r="O33" i="33"/>
  <c r="P32" i="33"/>
  <c r="O32" i="33"/>
  <c r="M34" i="33"/>
  <c r="L34" i="33"/>
  <c r="M33" i="33"/>
  <c r="L33" i="33"/>
  <c r="M32" i="33"/>
  <c r="L32" i="33"/>
  <c r="J34" i="33"/>
  <c r="I34" i="33"/>
  <c r="J33" i="33"/>
  <c r="I33" i="33"/>
  <c r="I32" i="33"/>
  <c r="J32" i="33"/>
  <c r="G34" i="33"/>
  <c r="F34" i="33"/>
  <c r="G33" i="33"/>
  <c r="F33" i="33"/>
  <c r="G32" i="33"/>
  <c r="F32" i="33"/>
  <c r="D34" i="33"/>
  <c r="C34" i="33"/>
  <c r="D33" i="33"/>
  <c r="C33" i="33"/>
  <c r="D32" i="33"/>
  <c r="C32" i="33"/>
  <c r="S22" i="33"/>
  <c r="R22" i="33"/>
  <c r="S20" i="33"/>
  <c r="R20" i="33"/>
  <c r="S19" i="33"/>
  <c r="R19" i="33"/>
  <c r="S18" i="33"/>
  <c r="R18" i="33"/>
  <c r="S17" i="33"/>
  <c r="R17" i="33"/>
  <c r="S16" i="33"/>
  <c r="R16" i="33"/>
  <c r="S15" i="33"/>
  <c r="R15" i="33"/>
  <c r="P22" i="33"/>
  <c r="O22" i="33"/>
  <c r="P20" i="33"/>
  <c r="O20" i="33"/>
  <c r="P19" i="33"/>
  <c r="O19" i="33"/>
  <c r="P18" i="33"/>
  <c r="O18" i="33"/>
  <c r="P17" i="33"/>
  <c r="O17" i="33"/>
  <c r="P16" i="33"/>
  <c r="O16" i="33"/>
  <c r="P15" i="33"/>
  <c r="O15" i="33"/>
  <c r="M22" i="33"/>
  <c r="L22" i="33"/>
  <c r="M20" i="33"/>
  <c r="L20" i="33"/>
  <c r="M19" i="33"/>
  <c r="L19" i="33"/>
  <c r="M18" i="33"/>
  <c r="L18" i="33"/>
  <c r="M17" i="33"/>
  <c r="L17" i="33"/>
  <c r="M16" i="33"/>
  <c r="L16" i="33"/>
  <c r="M15" i="33"/>
  <c r="J22" i="33"/>
  <c r="I22" i="33"/>
  <c r="J20" i="33"/>
  <c r="I20" i="33"/>
  <c r="J19" i="33"/>
  <c r="I19" i="33"/>
  <c r="J18" i="33"/>
  <c r="I18" i="33"/>
  <c r="J17" i="33"/>
  <c r="I17" i="33"/>
  <c r="J16" i="33"/>
  <c r="I16" i="33"/>
  <c r="J15" i="33"/>
  <c r="J10" i="33"/>
  <c r="J11" i="33"/>
  <c r="J12" i="33"/>
  <c r="I15" i="33"/>
  <c r="G22" i="33"/>
  <c r="F22" i="33"/>
  <c r="G20" i="33"/>
  <c r="F20" i="33"/>
  <c r="G19" i="33"/>
  <c r="F19" i="33"/>
  <c r="G18" i="33"/>
  <c r="F18" i="33"/>
  <c r="G17" i="33"/>
  <c r="F17" i="33"/>
  <c r="G16" i="33"/>
  <c r="F16" i="33"/>
  <c r="G15" i="33"/>
  <c r="F15" i="33"/>
  <c r="D22" i="33"/>
  <c r="D20" i="33"/>
  <c r="D19" i="33"/>
  <c r="D18" i="33"/>
  <c r="D17" i="33"/>
  <c r="D16" i="33"/>
  <c r="C22" i="33"/>
  <c r="C20" i="33"/>
  <c r="C19" i="33"/>
  <c r="C18" i="33"/>
  <c r="C17" i="33"/>
  <c r="C16" i="33"/>
  <c r="D15" i="33"/>
  <c r="C15" i="33"/>
  <c r="S12" i="33"/>
  <c r="S11" i="33"/>
  <c r="S10" i="33"/>
  <c r="L10" i="33"/>
  <c r="O10" i="33"/>
  <c r="R10" i="33"/>
  <c r="P12" i="33"/>
  <c r="P11" i="33"/>
  <c r="P10" i="33"/>
  <c r="M12" i="33"/>
  <c r="M10" i="33"/>
  <c r="M11" i="33"/>
  <c r="R12" i="33"/>
  <c r="R11" i="33"/>
  <c r="O12" i="33"/>
  <c r="O11" i="33"/>
  <c r="L12" i="33"/>
  <c r="L11" i="33"/>
  <c r="I12" i="33"/>
  <c r="I11" i="33"/>
  <c r="I10" i="33"/>
  <c r="G12" i="33"/>
  <c r="G11" i="33"/>
  <c r="G10" i="33"/>
  <c r="F12" i="33"/>
  <c r="F11" i="33"/>
  <c r="F10" i="33"/>
  <c r="D11" i="33"/>
  <c r="D10" i="33"/>
  <c r="C12" i="33"/>
  <c r="C11" i="33"/>
  <c r="C10" i="33"/>
  <c r="Q45" i="33"/>
  <c r="Q35" i="33"/>
  <c r="N45" i="33"/>
  <c r="N35" i="33"/>
  <c r="K45" i="33"/>
  <c r="H45" i="33"/>
  <c r="E45" i="33"/>
  <c r="E35" i="33"/>
  <c r="B45" i="33"/>
  <c r="Q23" i="33"/>
  <c r="N23" i="33"/>
  <c r="K23" i="33"/>
  <c r="H23" i="33"/>
  <c r="H13" i="33"/>
  <c r="E23" i="33"/>
  <c r="B23" i="33"/>
  <c r="B13" i="33"/>
  <c r="I46" i="63"/>
  <c r="I36" i="63"/>
  <c r="I20" i="63"/>
  <c r="P13" i="63"/>
  <c r="I9" i="63"/>
  <c r="N19" i="61"/>
  <c r="N51" i="61"/>
  <c r="N22" i="61"/>
  <c r="N21" i="61"/>
  <c r="N20" i="61"/>
  <c r="N18" i="61"/>
  <c r="R9" i="63"/>
  <c r="Q9" i="63"/>
  <c r="N9" i="63"/>
  <c r="M9" i="63"/>
  <c r="L9" i="63"/>
  <c r="C9" i="63"/>
  <c r="O8" i="63"/>
  <c r="P8" i="63" s="1"/>
  <c r="G48" i="61"/>
  <c r="H50" i="63"/>
  <c r="H41" i="63"/>
  <c r="H36" i="63"/>
  <c r="H30" i="63"/>
  <c r="H20" i="63"/>
  <c r="H9" i="63"/>
  <c r="R50" i="63"/>
  <c r="Q50" i="63"/>
  <c r="N50" i="63"/>
  <c r="M50" i="63"/>
  <c r="I50" i="63"/>
  <c r="C50" i="63"/>
  <c r="B50" i="63"/>
  <c r="G50" i="63"/>
  <c r="F50" i="63"/>
  <c r="E50" i="63"/>
  <c r="D50" i="63"/>
  <c r="R46" i="63"/>
  <c r="Q46" i="63"/>
  <c r="N46" i="63"/>
  <c r="M46" i="63"/>
  <c r="L46" i="63"/>
  <c r="K46" i="63"/>
  <c r="B46" i="63"/>
  <c r="F46" i="63"/>
  <c r="E46" i="63"/>
  <c r="D46" i="63"/>
  <c r="R41" i="63"/>
  <c r="Q41" i="63"/>
  <c r="N41" i="63"/>
  <c r="M41" i="63"/>
  <c r="L41" i="63"/>
  <c r="K41" i="63"/>
  <c r="J41" i="63"/>
  <c r="I41" i="63"/>
  <c r="B41" i="63"/>
  <c r="G41" i="63"/>
  <c r="E41" i="63"/>
  <c r="O40" i="63"/>
  <c r="P40" i="63" s="1"/>
  <c r="S40" i="63" s="1"/>
  <c r="R36" i="63"/>
  <c r="Q36" i="63"/>
  <c r="N36" i="63"/>
  <c r="M36" i="63"/>
  <c r="L36" i="63"/>
  <c r="J36" i="63"/>
  <c r="C36" i="63"/>
  <c r="B36" i="63"/>
  <c r="O35" i="63"/>
  <c r="P35" i="63" s="1"/>
  <c r="S35" i="63" s="1"/>
  <c r="F36" i="63"/>
  <c r="E36" i="63"/>
  <c r="R30" i="63"/>
  <c r="Q30" i="63"/>
  <c r="N30" i="63"/>
  <c r="M30" i="63"/>
  <c r="L30" i="63"/>
  <c r="J30" i="63"/>
  <c r="I30" i="63"/>
  <c r="C30" i="63"/>
  <c r="B30" i="63"/>
  <c r="O29" i="63"/>
  <c r="P29" i="63" s="1"/>
  <c r="S29" i="63" s="1"/>
  <c r="G30" i="63"/>
  <c r="F30" i="63"/>
  <c r="E30" i="63"/>
  <c r="D30" i="63"/>
  <c r="R25" i="63"/>
  <c r="Q25" i="63"/>
  <c r="N25" i="63"/>
  <c r="M25" i="63"/>
  <c r="L25" i="63"/>
  <c r="K25" i="63"/>
  <c r="J25" i="63"/>
  <c r="I25" i="63"/>
  <c r="H25" i="63"/>
  <c r="G25" i="63"/>
  <c r="F25" i="63"/>
  <c r="D25" i="63"/>
  <c r="C25" i="63"/>
  <c r="B25" i="63"/>
  <c r="O24" i="63"/>
  <c r="P24" i="63" s="1"/>
  <c r="O23" i="63"/>
  <c r="P23" i="63" s="1"/>
  <c r="S23" i="63" s="1"/>
  <c r="R20" i="63"/>
  <c r="Q20" i="63"/>
  <c r="N20" i="63"/>
  <c r="M20" i="63"/>
  <c r="K20" i="63"/>
  <c r="B20" i="63"/>
  <c r="O18" i="63"/>
  <c r="P18" i="63" s="1"/>
  <c r="S18" i="63" s="1"/>
  <c r="E20" i="63"/>
  <c r="D20" i="63"/>
  <c r="R14" i="63"/>
  <c r="N14" i="63"/>
  <c r="M14" i="63"/>
  <c r="L14" i="63"/>
  <c r="H14" i="63"/>
  <c r="B14" i="63"/>
  <c r="Q13" i="63"/>
  <c r="Q14" i="63" s="1"/>
  <c r="G14" i="63"/>
  <c r="F14" i="63"/>
  <c r="E14" i="63"/>
  <c r="D14" i="63"/>
  <c r="C14" i="63"/>
  <c r="B9" i="63"/>
  <c r="G9" i="63"/>
  <c r="F9" i="63"/>
  <c r="E9" i="63"/>
  <c r="D9" i="63"/>
  <c r="F48" i="61"/>
  <c r="D48" i="61"/>
  <c r="D38" i="61"/>
  <c r="N12" i="61"/>
  <c r="C48" i="61"/>
  <c r="C53" i="61"/>
  <c r="N53" i="61" s="1"/>
  <c r="Q7" i="62"/>
  <c r="Q8" i="62"/>
  <c r="Q9" i="62"/>
  <c r="Q10" i="62"/>
  <c r="Q11" i="62"/>
  <c r="B12" i="62"/>
  <c r="C12" i="62"/>
  <c r="D12" i="62"/>
  <c r="E12" i="62"/>
  <c r="F12" i="62"/>
  <c r="G12" i="62"/>
  <c r="G30" i="62" s="1"/>
  <c r="H12" i="62"/>
  <c r="J12" i="62"/>
  <c r="L12" i="62"/>
  <c r="N12" i="62"/>
  <c r="O12" i="62"/>
  <c r="P12" i="62"/>
  <c r="Q15" i="62"/>
  <c r="B16" i="62"/>
  <c r="C16" i="62"/>
  <c r="D16" i="62"/>
  <c r="E16" i="62"/>
  <c r="F16" i="62"/>
  <c r="G16" i="62"/>
  <c r="H16" i="62"/>
  <c r="J16" i="62"/>
  <c r="L16" i="62"/>
  <c r="N16" i="62"/>
  <c r="O16" i="62"/>
  <c r="P16" i="62"/>
  <c r="Q19" i="62"/>
  <c r="B20" i="62"/>
  <c r="C20" i="62"/>
  <c r="D20" i="62"/>
  <c r="E20" i="62"/>
  <c r="F20" i="62"/>
  <c r="G20" i="62"/>
  <c r="H20" i="62"/>
  <c r="J20" i="62"/>
  <c r="L20" i="62"/>
  <c r="N20" i="62"/>
  <c r="O20" i="62"/>
  <c r="P20" i="62"/>
  <c r="Q23" i="62"/>
  <c r="Q24" i="62"/>
  <c r="Q25" i="62"/>
  <c r="Q26" i="62"/>
  <c r="B27" i="62"/>
  <c r="C27" i="62"/>
  <c r="D27" i="62"/>
  <c r="E27" i="62"/>
  <c r="F27" i="62"/>
  <c r="G27" i="62"/>
  <c r="H27" i="62"/>
  <c r="J27" i="62"/>
  <c r="L27" i="62"/>
  <c r="N27" i="62"/>
  <c r="O27" i="62"/>
  <c r="P27" i="62"/>
  <c r="Q29" i="62"/>
  <c r="N10" i="61"/>
  <c r="N17" i="61"/>
  <c r="N23" i="61"/>
  <c r="N24" i="61"/>
  <c r="B38" i="61"/>
  <c r="N34" i="61"/>
  <c r="N35" i="61"/>
  <c r="K38" i="61"/>
  <c r="L38" i="61"/>
  <c r="M38" i="61"/>
  <c r="O38" i="61"/>
  <c r="N41" i="61"/>
  <c r="N42" i="61"/>
  <c r="B43" i="61"/>
  <c r="C43" i="61"/>
  <c r="D43" i="61"/>
  <c r="E43" i="61"/>
  <c r="F43" i="61"/>
  <c r="G43" i="61"/>
  <c r="H43" i="61"/>
  <c r="I43" i="61"/>
  <c r="K43" i="61"/>
  <c r="L43" i="61"/>
  <c r="M43" i="61"/>
  <c r="O43" i="61"/>
  <c r="N46" i="61"/>
  <c r="B48" i="61"/>
  <c r="E48" i="61"/>
  <c r="H48" i="61"/>
  <c r="I48" i="61"/>
  <c r="J48" i="61"/>
  <c r="L48" i="61"/>
  <c r="M48" i="61"/>
  <c r="O48" i="61"/>
  <c r="N52" i="61"/>
  <c r="N54" i="61"/>
  <c r="N55" i="61"/>
  <c r="N56" i="61"/>
  <c r="B57" i="61"/>
  <c r="C57" i="61"/>
  <c r="D57" i="61"/>
  <c r="E57" i="61"/>
  <c r="F57" i="61"/>
  <c r="G57" i="61"/>
  <c r="H57" i="61"/>
  <c r="I57" i="61"/>
  <c r="K57" i="61"/>
  <c r="L57" i="61"/>
  <c r="M57" i="61"/>
  <c r="O57" i="61"/>
  <c r="N60" i="61"/>
  <c r="E13" i="33"/>
  <c r="N13" i="33"/>
  <c r="K13" i="33"/>
  <c r="V12" i="33"/>
  <c r="W12" i="33"/>
  <c r="Y5" i="36"/>
  <c r="Y8" i="36"/>
  <c r="Y9" i="36"/>
  <c r="Y10" i="36"/>
  <c r="Y13" i="36"/>
  <c r="Y14" i="36"/>
  <c r="Y15" i="36"/>
  <c r="Y16" i="36"/>
  <c r="X11" i="36"/>
  <c r="X18" i="36"/>
  <c r="W11" i="36"/>
  <c r="W18" i="36"/>
  <c r="V11" i="36"/>
  <c r="R25" i="36"/>
  <c r="R27" i="36" s="1"/>
  <c r="U13" i="36"/>
  <c r="U14" i="36"/>
  <c r="U15" i="36"/>
  <c r="U16" i="36"/>
  <c r="T18" i="36"/>
  <c r="S18" i="36"/>
  <c r="U5" i="36"/>
  <c r="U8" i="36"/>
  <c r="U9" i="36"/>
  <c r="U10" i="36"/>
  <c r="T11" i="36"/>
  <c r="S11" i="36"/>
  <c r="R11" i="36"/>
  <c r="N25" i="36"/>
  <c r="N27" i="36" s="1"/>
  <c r="Q13" i="36"/>
  <c r="Q14" i="36"/>
  <c r="Q15" i="36"/>
  <c r="Q16" i="36"/>
  <c r="P18" i="36"/>
  <c r="O18" i="36"/>
  <c r="Q5" i="36"/>
  <c r="Q8" i="36"/>
  <c r="Q9" i="36"/>
  <c r="Q10" i="36"/>
  <c r="P11" i="36"/>
  <c r="O11" i="36"/>
  <c r="N11" i="36"/>
  <c r="D5" i="33"/>
  <c r="D28" i="33" s="1"/>
  <c r="F5" i="33"/>
  <c r="F28" i="33" s="1"/>
  <c r="Q13" i="33"/>
  <c r="C28" i="33"/>
  <c r="B35" i="33"/>
  <c r="H35" i="33"/>
  <c r="K35" i="33"/>
  <c r="L11" i="36"/>
  <c r="L18" i="36"/>
  <c r="K11" i="36"/>
  <c r="J11" i="36"/>
  <c r="H11" i="36"/>
  <c r="G11" i="36"/>
  <c r="D11" i="36"/>
  <c r="D18" i="36"/>
  <c r="C11" i="36"/>
  <c r="C20" i="36" s="1"/>
  <c r="M9" i="36"/>
  <c r="E9" i="36"/>
  <c r="I10" i="36"/>
  <c r="M5" i="36"/>
  <c r="E5" i="36"/>
  <c r="I14" i="36"/>
  <c r="I18" i="36" s="1"/>
  <c r="V52" i="36"/>
  <c r="V54" i="36" s="1"/>
  <c r="R52" i="36"/>
  <c r="R54" i="36"/>
  <c r="N52" i="36"/>
  <c r="N54" i="36" s="1"/>
  <c r="J52" i="36"/>
  <c r="J54" i="36" s="1"/>
  <c r="F52" i="36"/>
  <c r="F54" i="36" s="1"/>
  <c r="B52" i="36"/>
  <c r="B54" i="36" s="1"/>
  <c r="Y32" i="36"/>
  <c r="Y33" i="36"/>
  <c r="Y34" i="36"/>
  <c r="Y35" i="36"/>
  <c r="Y36" i="36"/>
  <c r="Y37" i="36"/>
  <c r="Y40" i="36"/>
  <c r="Y41" i="36"/>
  <c r="Y42" i="36"/>
  <c r="Y43" i="36"/>
  <c r="Y44" i="36"/>
  <c r="X38" i="36"/>
  <c r="X45" i="36"/>
  <c r="W38" i="36"/>
  <c r="W45" i="36"/>
  <c r="U32" i="36"/>
  <c r="U33" i="36"/>
  <c r="U34" i="36"/>
  <c r="U35" i="36"/>
  <c r="U36" i="36"/>
  <c r="U37" i="36"/>
  <c r="U40" i="36"/>
  <c r="U41" i="36"/>
  <c r="U42" i="36"/>
  <c r="U43" i="36"/>
  <c r="U44" i="36"/>
  <c r="T38" i="36"/>
  <c r="T45" i="36"/>
  <c r="T47" i="36" s="1"/>
  <c r="S38" i="36"/>
  <c r="S45" i="36"/>
  <c r="Q32" i="36"/>
  <c r="Q33" i="36"/>
  <c r="Q34" i="36"/>
  <c r="Q35" i="36"/>
  <c r="Q36" i="36"/>
  <c r="Q37" i="36"/>
  <c r="Q40" i="36"/>
  <c r="Q41" i="36"/>
  <c r="Q42" i="36"/>
  <c r="Q43" i="36"/>
  <c r="Q44" i="36"/>
  <c r="P38" i="36"/>
  <c r="P45" i="36"/>
  <c r="P47" i="36" s="1"/>
  <c r="O38" i="36"/>
  <c r="O45" i="36"/>
  <c r="M32" i="36"/>
  <c r="M33" i="36"/>
  <c r="M34" i="36"/>
  <c r="M35" i="36"/>
  <c r="M36" i="36"/>
  <c r="M37" i="36"/>
  <c r="M40" i="36"/>
  <c r="M41" i="36"/>
  <c r="M42" i="36"/>
  <c r="M43" i="36"/>
  <c r="M44" i="36"/>
  <c r="L38" i="36"/>
  <c r="L45" i="36"/>
  <c r="K38" i="36"/>
  <c r="K45" i="36"/>
  <c r="I32" i="36"/>
  <c r="I33" i="36"/>
  <c r="I34" i="36"/>
  <c r="I35" i="36"/>
  <c r="I36" i="36"/>
  <c r="I37" i="36"/>
  <c r="I40" i="36"/>
  <c r="I41" i="36"/>
  <c r="I42" i="36"/>
  <c r="I43" i="36"/>
  <c r="I44" i="36"/>
  <c r="H38" i="36"/>
  <c r="H45" i="36"/>
  <c r="G38" i="36"/>
  <c r="G45" i="36"/>
  <c r="E32" i="36"/>
  <c r="E33" i="36"/>
  <c r="E34" i="36"/>
  <c r="E35" i="36"/>
  <c r="E36" i="36"/>
  <c r="E41" i="36"/>
  <c r="E42" i="36"/>
  <c r="E43" i="36"/>
  <c r="D38" i="36"/>
  <c r="D45" i="36"/>
  <c r="D47" i="36" s="1"/>
  <c r="C38" i="36"/>
  <c r="C45" i="36"/>
  <c r="V25" i="36"/>
  <c r="V27" i="36" s="1"/>
  <c r="J25" i="36"/>
  <c r="J27" i="36" s="1"/>
  <c r="F25" i="36"/>
  <c r="F27" i="36" s="1"/>
  <c r="B25" i="36"/>
  <c r="B27" i="36" s="1"/>
  <c r="M8" i="36"/>
  <c r="M10" i="36"/>
  <c r="M13" i="36"/>
  <c r="M14" i="36"/>
  <c r="M15" i="36"/>
  <c r="M16" i="36"/>
  <c r="K18" i="36"/>
  <c r="I8" i="36"/>
  <c r="I5" i="36"/>
  <c r="I11" i="36" s="1"/>
  <c r="H18" i="36"/>
  <c r="G18" i="36"/>
  <c r="E8" i="36"/>
  <c r="E14" i="36"/>
  <c r="E15" i="36"/>
  <c r="E16" i="36"/>
  <c r="B15" i="29"/>
  <c r="I14" i="63"/>
  <c r="O33" i="63"/>
  <c r="P33" i="63" s="1"/>
  <c r="C46" i="63"/>
  <c r="H46" i="63"/>
  <c r="C35" i="33"/>
  <c r="E30" i="62" l="1"/>
  <c r="E11" i="36"/>
  <c r="F30" i="62"/>
  <c r="B46" i="33"/>
  <c r="K46" i="33"/>
  <c r="Y45" i="36"/>
  <c r="M35" i="33"/>
  <c r="L47" i="36"/>
  <c r="J30" i="62"/>
  <c r="E46" i="33"/>
  <c r="D35" i="33"/>
  <c r="S23" i="33"/>
  <c r="Q24" i="33"/>
  <c r="R23" i="33"/>
  <c r="P23" i="33"/>
  <c r="O23" i="33"/>
  <c r="M23" i="33"/>
  <c r="L23" i="33"/>
  <c r="R13" i="33"/>
  <c r="S13" i="33"/>
  <c r="S24" i="33" s="1"/>
  <c r="J23" i="33"/>
  <c r="H24" i="33"/>
  <c r="J13" i="33"/>
  <c r="E24" i="33"/>
  <c r="G23" i="33"/>
  <c r="B24" i="33"/>
  <c r="D13" i="33"/>
  <c r="E18" i="36"/>
  <c r="M19" i="36"/>
  <c r="O20" i="36"/>
  <c r="S20" i="36"/>
  <c r="U19" i="36"/>
  <c r="I35" i="33"/>
  <c r="L35" i="33"/>
  <c r="C45" i="33"/>
  <c r="C46" i="33" s="1"/>
  <c r="F45" i="33"/>
  <c r="L45" i="33"/>
  <c r="O45" i="33"/>
  <c r="H47" i="36"/>
  <c r="S47" i="36"/>
  <c r="W47" i="36"/>
  <c r="L20" i="36"/>
  <c r="Q11" i="36"/>
  <c r="K24" i="33"/>
  <c r="N16" i="61"/>
  <c r="N15" i="61"/>
  <c r="E38" i="61"/>
  <c r="E58" i="61" s="1"/>
  <c r="N24" i="33"/>
  <c r="F13" i="33"/>
  <c r="P13" i="33"/>
  <c r="L13" i="33"/>
  <c r="C23" i="33"/>
  <c r="D23" i="33"/>
  <c r="F23" i="33"/>
  <c r="I23" i="33"/>
  <c r="G35" i="33"/>
  <c r="G45" i="33"/>
  <c r="N37" i="61"/>
  <c r="N8" i="61"/>
  <c r="M11" i="36"/>
  <c r="G47" i="36"/>
  <c r="D20" i="36"/>
  <c r="K20" i="36"/>
  <c r="T20" i="36"/>
  <c r="U18" i="36"/>
  <c r="Y18" i="36"/>
  <c r="V13" i="33"/>
  <c r="V14" i="33" s="1"/>
  <c r="L30" i="62"/>
  <c r="F38" i="61"/>
  <c r="F58" i="61" s="1"/>
  <c r="B53" i="63"/>
  <c r="S13" i="63"/>
  <c r="J38" i="61"/>
  <c r="J58" i="61" s="1"/>
  <c r="Q46" i="33"/>
  <c r="R35" i="33"/>
  <c r="P25" i="63"/>
  <c r="M58" i="61"/>
  <c r="I53" i="63"/>
  <c r="I20" i="36"/>
  <c r="D58" i="61"/>
  <c r="Q16" i="62"/>
  <c r="R45" i="33"/>
  <c r="O28" i="63"/>
  <c r="P28" i="63" s="1"/>
  <c r="P30" i="63" s="1"/>
  <c r="U46" i="36"/>
  <c r="Y38" i="36"/>
  <c r="W20" i="36"/>
  <c r="N36" i="61"/>
  <c r="F20" i="63"/>
  <c r="G38" i="61"/>
  <c r="G58" i="61" s="1"/>
  <c r="M18" i="36"/>
  <c r="M20" i="36" s="1"/>
  <c r="I38" i="36"/>
  <c r="M38" i="36"/>
  <c r="Q45" i="36"/>
  <c r="U45" i="36"/>
  <c r="X47" i="36"/>
  <c r="G20" i="36"/>
  <c r="H46" i="33"/>
  <c r="P20" i="36"/>
  <c r="P30" i="62"/>
  <c r="N30" i="62"/>
  <c r="G20" i="63"/>
  <c r="K53" i="63"/>
  <c r="C30" i="62"/>
  <c r="N14" i="61"/>
  <c r="E53" i="63"/>
  <c r="C47" i="36"/>
  <c r="N25" i="61"/>
  <c r="O45" i="63"/>
  <c r="P45" i="63" s="1"/>
  <c r="S45" i="63" s="1"/>
  <c r="C13" i="33"/>
  <c r="M46" i="36"/>
  <c r="H20" i="36"/>
  <c r="Q19" i="36"/>
  <c r="K58" i="61"/>
  <c r="O58" i="61"/>
  <c r="I58" i="61"/>
  <c r="H30" i="62"/>
  <c r="N26" i="61"/>
  <c r="N13" i="61"/>
  <c r="J53" i="63"/>
  <c r="N53" i="63"/>
  <c r="C41" i="63"/>
  <c r="F41" i="63"/>
  <c r="L53" i="63"/>
  <c r="R53" i="63"/>
  <c r="F35" i="33"/>
  <c r="J35" i="33"/>
  <c r="S35" i="33"/>
  <c r="D45" i="33"/>
  <c r="J45" i="33"/>
  <c r="I45" i="33"/>
  <c r="S45" i="33"/>
  <c r="O35" i="33"/>
  <c r="P35" i="33"/>
  <c r="M45" i="33"/>
  <c r="P45" i="33"/>
  <c r="N46" i="33"/>
  <c r="N57" i="61"/>
  <c r="Q12" i="62"/>
  <c r="H53" i="63"/>
  <c r="S33" i="63"/>
  <c r="D36" i="63"/>
  <c r="O34" i="63"/>
  <c r="S24" i="63"/>
  <c r="S25" i="63" s="1"/>
  <c r="O17" i="63"/>
  <c r="Q38" i="36"/>
  <c r="Y19" i="36"/>
  <c r="O30" i="62"/>
  <c r="M13" i="33"/>
  <c r="N47" i="61"/>
  <c r="N48" i="61" s="1"/>
  <c r="Q53" i="63"/>
  <c r="O12" i="63"/>
  <c r="G5" i="33"/>
  <c r="G28" i="33" s="1"/>
  <c r="O25" i="63"/>
  <c r="B30" i="62"/>
  <c r="I45" i="36"/>
  <c r="I46" i="36"/>
  <c r="O44" i="63"/>
  <c r="Q46" i="36"/>
  <c r="Q18" i="36"/>
  <c r="Q20" i="36" s="1"/>
  <c r="O7" i="63"/>
  <c r="E45" i="36"/>
  <c r="E38" i="36"/>
  <c r="K47" i="36"/>
  <c r="U38" i="36"/>
  <c r="U11" i="36"/>
  <c r="U20" i="36" s="1"/>
  <c r="L58" i="61"/>
  <c r="Q27" i="62"/>
  <c r="N11" i="61"/>
  <c r="C20" i="63"/>
  <c r="O19" i="63"/>
  <c r="P19" i="63" s="1"/>
  <c r="S19" i="63" s="1"/>
  <c r="O49" i="63"/>
  <c r="M53" i="63"/>
  <c r="H38" i="61"/>
  <c r="H58" i="61" s="1"/>
  <c r="I5" i="33"/>
  <c r="D30" i="62"/>
  <c r="M45" i="36"/>
  <c r="M47" i="36" s="1"/>
  <c r="O47" i="36"/>
  <c r="Y46" i="36"/>
  <c r="X20" i="36"/>
  <c r="Y11" i="36"/>
  <c r="N43" i="61"/>
  <c r="B58" i="61"/>
  <c r="Q20" i="62"/>
  <c r="C38" i="61"/>
  <c r="C58" i="61" s="1"/>
  <c r="N7" i="61"/>
  <c r="G36" i="63"/>
  <c r="D41" i="63"/>
  <c r="O39" i="63"/>
  <c r="G46" i="63"/>
  <c r="G13" i="33"/>
  <c r="I13" i="33"/>
  <c r="O13" i="33"/>
  <c r="O24" i="33" s="1"/>
  <c r="U47" i="36" l="1"/>
  <c r="Y47" i="36"/>
  <c r="E20" i="36"/>
  <c r="G24" i="33"/>
  <c r="M46" i="33"/>
  <c r="M24" i="33"/>
  <c r="R46" i="33"/>
  <c r="I47" i="36"/>
  <c r="L24" i="33"/>
  <c r="J24" i="33"/>
  <c r="D46" i="33"/>
  <c r="G46" i="33"/>
  <c r="J46" i="33"/>
  <c r="I46" i="33"/>
  <c r="F46" i="33"/>
  <c r="R24" i="33"/>
  <c r="P24" i="33"/>
  <c r="D24" i="33"/>
  <c r="I24" i="33"/>
  <c r="C24" i="33"/>
  <c r="C53" i="63"/>
  <c r="F53" i="63"/>
  <c r="Y20" i="36"/>
  <c r="Q47" i="36"/>
  <c r="O46" i="33"/>
  <c r="F24" i="33"/>
  <c r="L46" i="33"/>
  <c r="G53" i="63"/>
  <c r="D53" i="63"/>
  <c r="S28" i="63"/>
  <c r="S30" i="63" s="1"/>
  <c r="O30" i="63"/>
  <c r="S46" i="33"/>
  <c r="E47" i="36"/>
  <c r="P46" i="33"/>
  <c r="Q30" i="62"/>
  <c r="N38" i="61"/>
  <c r="N58" i="61" s="1"/>
  <c r="P39" i="63"/>
  <c r="O41" i="63"/>
  <c r="P49" i="63"/>
  <c r="O50" i="63"/>
  <c r="P12" i="63"/>
  <c r="O14" i="63"/>
  <c r="P44" i="63"/>
  <c r="O46" i="63"/>
  <c r="O36" i="63"/>
  <c r="P34" i="63"/>
  <c r="I28" i="33"/>
  <c r="L5" i="33"/>
  <c r="J5" i="33"/>
  <c r="J28" i="33" s="1"/>
  <c r="P7" i="63"/>
  <c r="O9" i="63"/>
  <c r="O20" i="63"/>
  <c r="P17" i="63"/>
  <c r="O53" i="63" l="1"/>
  <c r="P14" i="63"/>
  <c r="S12" i="63"/>
  <c r="S14" i="63" s="1"/>
  <c r="S39" i="63"/>
  <c r="S41" i="63" s="1"/>
  <c r="P41" i="63"/>
  <c r="S7" i="63"/>
  <c r="S9" i="63" s="1"/>
  <c r="P9" i="63"/>
  <c r="S17" i="63"/>
  <c r="P20" i="63"/>
  <c r="S20" i="63" s="1"/>
  <c r="P46" i="63"/>
  <c r="S44" i="63"/>
  <c r="S46" i="63" s="1"/>
  <c r="P50" i="63"/>
  <c r="S50" i="63" s="1"/>
  <c r="S49" i="63"/>
  <c r="O5" i="33"/>
  <c r="L28" i="33"/>
  <c r="M5" i="33"/>
  <c r="M28" i="33" s="1"/>
  <c r="S34" i="63"/>
  <c r="P36" i="63"/>
  <c r="S36" i="63" s="1"/>
  <c r="P5" i="33" l="1"/>
  <c r="P28" i="33" s="1"/>
  <c r="O28" i="33"/>
  <c r="R5" i="33"/>
  <c r="P53" i="63"/>
  <c r="S53" i="63" s="1"/>
  <c r="R28" i="33" l="1"/>
  <c r="S5" i="33"/>
  <c r="S28" i="33" s="1"/>
</calcChain>
</file>

<file path=xl/sharedStrings.xml><?xml version="1.0" encoding="utf-8"?>
<sst xmlns="http://schemas.openxmlformats.org/spreadsheetml/2006/main" count="727" uniqueCount="262">
  <si>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</si>
  <si>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</si>
  <si>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</si>
  <si>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</si>
  <si>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</si>
  <si>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</si>
  <si>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</si>
  <si>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</si>
  <si>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</si>
  <si>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</si>
  <si>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</si>
  <si>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</si>
  <si>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BIP</t>
  </si>
  <si>
    <t xml:space="preserve"> </t>
  </si>
  <si>
    <t>OBMC</t>
  </si>
  <si>
    <t>Service Accounts</t>
  </si>
  <si>
    <t>Year-to-Date Total Cost</t>
  </si>
  <si>
    <t>Annual Total Cost</t>
  </si>
  <si>
    <t>Cost Item</t>
  </si>
  <si>
    <t>Date</t>
  </si>
  <si>
    <t xml:space="preserve">  Sub-Total Interruptible</t>
  </si>
  <si>
    <t>Programs</t>
  </si>
  <si>
    <t>Interruptible/Reliability</t>
  </si>
  <si>
    <t>Total All Programs</t>
  </si>
  <si>
    <t>Event Beginning:End</t>
  </si>
  <si>
    <t>Notes:</t>
  </si>
  <si>
    <t>Event Trigger(1)</t>
  </si>
  <si>
    <t>Total Incremental Cost</t>
  </si>
  <si>
    <t>SLRP</t>
  </si>
  <si>
    <t xml:space="preserve"> Budget Category 1 Total</t>
  </si>
  <si>
    <t xml:space="preserve"> Budget Category 2 Total</t>
  </si>
  <si>
    <t>Capacity Bidding Program</t>
  </si>
  <si>
    <t>DR Contracts</t>
  </si>
  <si>
    <t>Event No.</t>
  </si>
  <si>
    <t xml:space="preserve">  Sub-Total Price Response</t>
  </si>
  <si>
    <t>Category 2:  Price Responsive Programs</t>
  </si>
  <si>
    <t xml:space="preserve"> Budget Category 4 Total</t>
  </si>
  <si>
    <t xml:space="preserve"> Budget Category 5 Total</t>
  </si>
  <si>
    <t xml:space="preserve"> Budget Category 6 Total</t>
  </si>
  <si>
    <t xml:space="preserve"> Budget Category 7 Total</t>
  </si>
  <si>
    <t xml:space="preserve"> Budget Category 8 Total</t>
  </si>
  <si>
    <t xml:space="preserve"> Budget Category 9 Total</t>
  </si>
  <si>
    <t xml:space="preserve"> Budget Category 10 Total</t>
  </si>
  <si>
    <t>Price Responsive</t>
  </si>
  <si>
    <t>Program</t>
  </si>
  <si>
    <t xml:space="preserve">August </t>
  </si>
  <si>
    <t xml:space="preserve">September </t>
  </si>
  <si>
    <t xml:space="preserve">November </t>
  </si>
  <si>
    <t>Percent Funding</t>
  </si>
  <si>
    <t>3-Year Funding</t>
  </si>
  <si>
    <t>FUND SHIFTING DOCUMENTATION PER DECISION 09-08-027 ORDERING PARAGRAPH 35</t>
  </si>
  <si>
    <t>OP 35:</t>
  </si>
  <si>
    <t>The utilities may shift up to 50% of a program funds to another program's funds to another program within the same budget category.</t>
  </si>
  <si>
    <t>The utilities shall document the amount of and reason for each shift in their monthly demand response reports.</t>
  </si>
  <si>
    <t>Fund Shift</t>
  </si>
  <si>
    <t>Rationale for Fundshift</t>
  </si>
  <si>
    <t>Programs Impacted</t>
  </si>
  <si>
    <t>Program Category</t>
  </si>
  <si>
    <t>Total</t>
  </si>
  <si>
    <t>Provide concise rationale for the fund shift in colum "Rationale for Fund Shift"</t>
  </si>
  <si>
    <t>Fundshift Adjustments (a)</t>
  </si>
  <si>
    <t>(a) See "Fund Shift Log" for explanations.</t>
  </si>
  <si>
    <t>Year-to-Date Program Expenditures</t>
  </si>
  <si>
    <t>Year-to-Date Event Summary</t>
  </si>
  <si>
    <t>General Program</t>
  </si>
  <si>
    <t>CPP-E</t>
  </si>
  <si>
    <t>PLP</t>
  </si>
  <si>
    <t>BIP - 3 hour option</t>
  </si>
  <si>
    <t>BIP - 30 minute option</t>
  </si>
  <si>
    <t>CPP-D</t>
  </si>
  <si>
    <t>Summer Saver Residential</t>
  </si>
  <si>
    <t>Summer Saver Commercial</t>
  </si>
  <si>
    <t xml:space="preserve">CBP - Day-Ahead </t>
  </si>
  <si>
    <t xml:space="preserve">CBP - Day-Of </t>
  </si>
  <si>
    <t>All C &amp; I customers &gt; 100kW</t>
  </si>
  <si>
    <t>All non-residential customers with interval meter</t>
  </si>
  <si>
    <t>n/a</t>
  </si>
  <si>
    <t>All C&amp;I customers</t>
  </si>
  <si>
    <t>Residential customers with AC</t>
  </si>
  <si>
    <t>Commercial Customers &lt; 100kw</t>
  </si>
  <si>
    <t>Programs in General Rate Case</t>
  </si>
  <si>
    <t>Administrative (O&amp;M)</t>
  </si>
  <si>
    <t xml:space="preserve">AL-TOU-CP </t>
  </si>
  <si>
    <t>Peak Generation (RBRP)</t>
  </si>
  <si>
    <t xml:space="preserve">  Total Administrative (O&amp;M)</t>
  </si>
  <si>
    <t>Capital</t>
  </si>
  <si>
    <t>Peak Generation (RBRP) (1)</t>
  </si>
  <si>
    <t xml:space="preserve">  Total Capital</t>
  </si>
  <si>
    <t>Measurement and Evaluation</t>
  </si>
  <si>
    <t xml:space="preserve">Peak Generation (RBRP) </t>
  </si>
  <si>
    <t>Total M&amp;E</t>
  </si>
  <si>
    <t>Customer Incentives</t>
  </si>
  <si>
    <t>AL-TOU-CP (2)</t>
  </si>
  <si>
    <t>Total Customer Incentives</t>
  </si>
  <si>
    <t xml:space="preserve">Revenue from Penalties </t>
  </si>
  <si>
    <t>Total GRC Program Costs</t>
  </si>
  <si>
    <t>(1) Capital costs for meters provided free to customers and charged to the programs.</t>
  </si>
  <si>
    <t>Year-to-Date Cost</t>
  </si>
  <si>
    <t>% of Budget</t>
  </si>
  <si>
    <t>Base Interruptible Program</t>
  </si>
  <si>
    <t>CPP-Emergency</t>
  </si>
  <si>
    <t>Technology Incentives</t>
  </si>
  <si>
    <t>Technology Assistance</t>
  </si>
  <si>
    <t>Flex Alert Network</t>
  </si>
  <si>
    <t>Customer Education, Awareness &amp; Outreach</t>
  </si>
  <si>
    <t>Emerging Markets/Technologies</t>
  </si>
  <si>
    <t>Celerity **</t>
  </si>
  <si>
    <t>Summer Saver **</t>
  </si>
  <si>
    <t>Permanent Load Shifting</t>
  </si>
  <si>
    <t>RACT</t>
  </si>
  <si>
    <t xml:space="preserve">  Total Administrative (O&amp;M) </t>
  </si>
  <si>
    <t xml:space="preserve">Capital </t>
  </si>
  <si>
    <t>Emerging Markets</t>
  </si>
  <si>
    <t xml:space="preserve">  Total Capital </t>
  </si>
  <si>
    <t xml:space="preserve">Measurement and Evaluation </t>
  </si>
  <si>
    <t xml:space="preserve">Summer Saver </t>
  </si>
  <si>
    <t>General Administration</t>
  </si>
  <si>
    <t xml:space="preserve">Total M&amp;E </t>
  </si>
  <si>
    <t xml:space="preserve">Base Interruptible Program </t>
  </si>
  <si>
    <t xml:space="preserve">Celerity </t>
  </si>
  <si>
    <t xml:space="preserve">Total </t>
  </si>
  <si>
    <t>AMDRMA Account End of Month Balance for WG2</t>
  </si>
  <si>
    <t>** Budgeted under a different proceeding</t>
  </si>
  <si>
    <t>Base Interruptible Program (BIP)</t>
  </si>
  <si>
    <t>Capacity Bidding Program (CBP)</t>
  </si>
  <si>
    <t>Technical Assistance (TA)</t>
  </si>
  <si>
    <t>Technical Incentives (TI)</t>
  </si>
  <si>
    <t>Emerging Technologies (ET)</t>
  </si>
  <si>
    <t>Ex Ante Estimated MW</t>
  </si>
  <si>
    <t>Ex Post Estimated MW</t>
  </si>
  <si>
    <t>Price Response</t>
  </si>
  <si>
    <t>Average Ex Ante Load Impact kW / Customer</t>
  </si>
  <si>
    <t>Eligibility Criteria (Refer to tariff for specifics)</t>
  </si>
  <si>
    <t xml:space="preserve">Estimated Average Ex Ante Load Impact kW/Customer = Average kW / Customer, under 1-in-2 weather conditions, of an event that would occur from 2 - 6 pm on the system peak day of the month, as reported in the load impact reports filed in April 2009. </t>
  </si>
  <si>
    <t>Average Ex Post Load Impact kW / Customer</t>
  </si>
  <si>
    <t>Detailed Breakdown of MWs To Date in TA/Auto DR/TI Programs</t>
  </si>
  <si>
    <t>TA Identified MWs</t>
  </si>
  <si>
    <t>Auto DR Verified MWs</t>
  </si>
  <si>
    <t>TI Verified MWs</t>
  </si>
  <si>
    <t>Total Technology MWs</t>
  </si>
  <si>
    <t>CBP</t>
  </si>
  <si>
    <t>-</t>
  </si>
  <si>
    <t xml:space="preserve">  </t>
  </si>
  <si>
    <t>TA (may also be enrolled in TI and AutoDR)</t>
  </si>
  <si>
    <t>Total TA MWs</t>
  </si>
  <si>
    <t>N/A</t>
  </si>
  <si>
    <t>AMP</t>
  </si>
  <si>
    <t>DBP</t>
  </si>
  <si>
    <t>Peak Choice - Best Effort</t>
  </si>
  <si>
    <t>Peak Choice - Committed</t>
  </si>
  <si>
    <t>Represents "Identified MW" from TA Program participants' service accounts from completed TA audits.</t>
  </si>
  <si>
    <t>AutoDR Verified MWs</t>
  </si>
  <si>
    <t>Represents verified i.e.tested MW for service accounts that participate in Auto DR.</t>
  </si>
  <si>
    <t>Represents verified MW for service accounts that participated in Technology Incentives (TI). Customer service accounts must be enrolled in a DR program however not in AutoDR. MW reported in this column are not necessarily the amount enrolled in a DR Program.</t>
  </si>
  <si>
    <t>Represents the sum of verified MWs associated with the service accounts that participated in TI plus Auto DR programs.</t>
  </si>
  <si>
    <t>General Program category</t>
  </si>
  <si>
    <t xml:space="preserve">Represents MW of participants in the TA stage i.e."Identified MW". </t>
  </si>
  <si>
    <t xml:space="preserve">Estimated Average Ex Post Load Impact kW / Customer = Average kW / Customer service account over all actual event hours for the preceeding year when or if events occurred. </t>
  </si>
  <si>
    <t>None</t>
  </si>
  <si>
    <t xml:space="preserve">Load Reduction     kW </t>
  </si>
  <si>
    <t>Program Tolled Hours (Annual)</t>
  </si>
  <si>
    <t>WMP</t>
  </si>
  <si>
    <t>DRWMP</t>
  </si>
  <si>
    <t>Effective May 23, 2011 The DemandSMART Agreement was mutually terminated.</t>
  </si>
  <si>
    <t>Year-to Date 2012 Expenditures</t>
  </si>
  <si>
    <t>CEAO-IDSM</t>
  </si>
  <si>
    <t>*** General Admin Overhead will be allocated when a final budget is approved.</t>
  </si>
  <si>
    <t>General Admin***</t>
  </si>
  <si>
    <t>Information Technology***</t>
  </si>
  <si>
    <t xml:space="preserve">Effective Dec 31, 2011, Demand Response Wholesale Market Program was terminated. </t>
  </si>
  <si>
    <t>PTR</t>
  </si>
  <si>
    <t>Research</t>
  </si>
  <si>
    <t>Other Local Marketing</t>
  </si>
  <si>
    <t>2012 Expenditures</t>
  </si>
  <si>
    <t>Program-to-Date Total Expenditures 2012-2014</t>
  </si>
  <si>
    <t>Category 1:  Reliability Programs</t>
  </si>
  <si>
    <t>Peak Time Rebate (PTR)</t>
  </si>
  <si>
    <t>Category 4:  Emerging &amp; Enabling Technologies</t>
  </si>
  <si>
    <t>Small Customer Technology Incentives (SCTD)</t>
  </si>
  <si>
    <t xml:space="preserve">Category 5:  Pilots </t>
  </si>
  <si>
    <t>Locational DR</t>
  </si>
  <si>
    <t>New Construction DR</t>
  </si>
  <si>
    <t>Category 6:  Evaluation, Measurement &amp; Verification</t>
  </si>
  <si>
    <t>DRMEC</t>
  </si>
  <si>
    <t>Category 7:  Marketing Education &amp; Outreach</t>
  </si>
  <si>
    <t>Statewide Marketing - Flex Alert Network (FAN)</t>
  </si>
  <si>
    <t>Category 8:  DR System Support Activities</t>
  </si>
  <si>
    <t>Regulatory Policy &amp; Program Support</t>
  </si>
  <si>
    <t>IT Infrastructure &amp; System Support</t>
  </si>
  <si>
    <t>Category 9:  Integrated Programs and Activities</t>
  </si>
  <si>
    <t>Customer, Education &amp; Outreach - IDSM</t>
  </si>
  <si>
    <t>Category 10:  Special Projects</t>
  </si>
  <si>
    <t>D.12-04-045</t>
  </si>
  <si>
    <t>SCTD</t>
  </si>
  <si>
    <t>LDR</t>
  </si>
  <si>
    <t>NCDRP</t>
  </si>
  <si>
    <t>Demand Bidding</t>
  </si>
  <si>
    <t>Reliability Programs</t>
  </si>
  <si>
    <t>Demand Bidding Program</t>
  </si>
  <si>
    <t>To fund the Demand Bidding Program per AL. 2370-E</t>
  </si>
  <si>
    <t>Price-Responsive Programs</t>
  </si>
  <si>
    <t>Peak Time Rebate (A)</t>
  </si>
  <si>
    <t>To fund PTR(A) per AL. 2351-E</t>
  </si>
  <si>
    <t>PTR-A</t>
  </si>
  <si>
    <t>;</t>
  </si>
  <si>
    <t>2012- 2014 Funding Cycle Customer Communication, Marketing, and Outreach</t>
  </si>
  <si>
    <t>2012-2014 Total Expenditures</t>
  </si>
  <si>
    <t>Authorized Budget (if Applicable)</t>
  </si>
  <si>
    <t>Carryover Expenditures to Date 2012 - 2014</t>
  </si>
  <si>
    <t xml:space="preserve">I. STATEWIDE MARKETING </t>
  </si>
  <si>
    <t>IOU Administrative Costs</t>
  </si>
  <si>
    <t>Statewide ME&amp;O contract</t>
  </si>
  <si>
    <t xml:space="preserve">I. TOTAL STATEWIDE MARKETING </t>
  </si>
  <si>
    <t>II. UTILITY MARKETING BY ACTIVITY * (1)</t>
  </si>
  <si>
    <t>TOTAL AUTHORIZED UTILITY MARKETING BUDGET FOR 2012-2014</t>
  </si>
  <si>
    <t>Technical Incentives</t>
  </si>
  <si>
    <t>Customer Research</t>
  </si>
  <si>
    <t>Collateral- Development, Printing, Distribution etc. (all non-labor costs)</t>
  </si>
  <si>
    <t>Paid Media</t>
  </si>
  <si>
    <t>Other Costs</t>
  </si>
  <si>
    <t>Labor</t>
  </si>
  <si>
    <t>II. TOTAL UTILITY MARKETING BY ACTIVITY</t>
  </si>
  <si>
    <t xml:space="preserve">III. UTILITY MARKETING BY ITEMIZED COST </t>
  </si>
  <si>
    <t xml:space="preserve">III. TOTAL UTILITY MARKETING BY ITEMIZED COST </t>
  </si>
  <si>
    <t>IV. UTILITY MARKETING BY CUSTOMER SEGMENT</t>
  </si>
  <si>
    <t>Agricultrual</t>
  </si>
  <si>
    <t>Large Commercial and Industrial</t>
  </si>
  <si>
    <t>Small and Medium Commercial</t>
  </si>
  <si>
    <t>Residential</t>
  </si>
  <si>
    <t>IV. TOTAL UTILITY MARKETING BY CUSTOMER SEGMENT</t>
  </si>
  <si>
    <t>SAN DIEGO GAS AND ELECTRIC</t>
  </si>
  <si>
    <r>
      <t>PROGRAMS, RATES &amp; ACTIVITES WHICH DO NOT REQUIRE ITEMIZED ACCOUNTING</t>
    </r>
    <r>
      <rPr>
        <b/>
        <vertAlign val="superscript"/>
        <sz val="10"/>
        <rFont val="Calibri"/>
        <family val="2"/>
      </rPr>
      <t xml:space="preserve"> 1,2</t>
    </r>
  </si>
  <si>
    <t>Small Customer Technology Deployment</t>
  </si>
  <si>
    <t>Peak Load Shifting</t>
  </si>
  <si>
    <t>Customer Awareness, Education and Outreach (CEAO - DR)</t>
  </si>
  <si>
    <t xml:space="preserve">Integrated Demand Side Marketing (CEAO - IDSM) </t>
  </si>
  <si>
    <r>
      <t>PROGRAMS &amp; RATES WHICH REQUIRE ITEMIZED ACCOUNTING</t>
    </r>
    <r>
      <rPr>
        <b/>
        <vertAlign val="superscript"/>
        <sz val="10"/>
        <rFont val="Calibri"/>
        <family val="2"/>
      </rPr>
      <t xml:space="preserve"> 3,4  </t>
    </r>
  </si>
  <si>
    <t xml:space="preserve">Reduce Your Use (PTR) </t>
  </si>
  <si>
    <r>
      <t>1</t>
    </r>
    <r>
      <rPr>
        <sz val="9"/>
        <rFont val="Calibri"/>
        <family val="2"/>
      </rPr>
      <t xml:space="preserve"> Programs, Rates &amp; Activities does not include "Marketing My Account/Energy and Integrated Online Audit Tools" - the 2012 ICEAT program is funded through D.09-09-047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</si>
  <si>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Programs, Rates &amp; Activities does not include "Critical Peak Pricing &gt; 200kW" (CPP-D) as program funding is not approved or directed in D.12-04-045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</si>
  <si>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Programs, Rates &amp; Activities does not include SDG&amp;E's Summer Saver program as program funding is not approved or directed in D.12-04-045</t>
    </r>
  </si>
  <si>
    <r>
      <rPr>
        <vertAlign val="superscript"/>
        <sz val="9"/>
        <rFont val="Calibri"/>
        <family val="2"/>
      </rPr>
      <t>4</t>
    </r>
    <r>
      <rPr>
        <sz val="9"/>
        <rFont val="Calibri"/>
        <family val="2"/>
      </rPr>
      <t xml:space="preserve"> Programs, Rates &amp; Activities does not include "Critical Peak Pricing &lt; 200kW" as program funding is not approved or directed in D.12-04-045</t>
    </r>
  </si>
  <si>
    <t>PTR Residential</t>
  </si>
  <si>
    <t>Eligible Accounts as of Aug 31, 2012</t>
  </si>
  <si>
    <t>Non-residential customers &gt; 20kw</t>
  </si>
  <si>
    <t xml:space="preserve">All residential customers </t>
  </si>
  <si>
    <t>Non-residential customers</t>
  </si>
  <si>
    <t>Summer Saver</t>
  </si>
  <si>
    <t>Marketing Education &amp; Outreach</t>
  </si>
  <si>
    <t>Flex Alert</t>
  </si>
  <si>
    <t>Customer Eduacation and Outreach</t>
  </si>
  <si>
    <t>To support SDG&amp;E Marketing outreach for Summer 2012</t>
  </si>
  <si>
    <t>PTR Jul-Sept updated for Incentives (12/17/2012)</t>
  </si>
  <si>
    <t>SW-COM-Customer Services (TA)</t>
  </si>
  <si>
    <t>SW-IND-Customer Services (TA)</t>
  </si>
  <si>
    <t>SW-AG-Customer Services (TA)</t>
  </si>
  <si>
    <t>SW-ME&amp;O</t>
  </si>
  <si>
    <t>Local-IDSM-ME&amp;O-Behavioral Programs</t>
  </si>
  <si>
    <t>SW-CALS-Energy Advisor-HEES</t>
  </si>
  <si>
    <t>Local-IDSM-ME&amp;O-Local Marketing</t>
  </si>
  <si>
    <t>small customer technology deployment</t>
  </si>
  <si>
    <t>Year-to Date 2013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</si>
</sst>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#,##0.0_);[Red]\(#,##0.0\)"/>
    <numFmt numFmtId="166" formatCode="#,##0.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mm/dd/yy;@"/>
    <numFmt numFmtId="172" formatCode="0.0"/>
    <numFmt numFmtId="173" formatCode="0.0_);[Red]\(0.0\)"/>
    <numFmt numFmtId="174" formatCode="_(* #,##0.0_);_(* \(#,##0.0\);_(* &quot;-&quot;_);_(@_)"/>
    <numFmt numFmtId="175" formatCode="_(&quot;$&quot;* #,##0.0_);_(&quot;$&quot;* \(#,##0.0\);_(&quot;$&quot;* &quot;-&quot;??_);_(@_)"/>
  </numFmts>
  <fonts count="5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11"/>
      <color indexed="56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vertAlign val="superscript"/>
      <sz val="10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1F497D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8" fillId="27" borderId="0" applyNumberFormat="0" applyBorder="0" applyAlignment="0" applyProtection="0"/>
    <xf numFmtId="0" fontId="10" fillId="18" borderId="0" applyNumberFormat="0" applyBorder="0" applyAlignment="0" applyProtection="0"/>
    <xf numFmtId="0" fontId="11" fillId="28" borderId="1" applyNumberFormat="0" applyAlignment="0" applyProtection="0"/>
    <xf numFmtId="0" fontId="12" fillId="19" borderId="2" applyNumberFormat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2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7" borderId="1" applyNumberFormat="0" applyAlignment="0" applyProtection="0"/>
    <xf numFmtId="0" fontId="20" fillId="0" borderId="6" applyNumberFormat="0" applyFill="0" applyAlignment="0" applyProtection="0"/>
    <xf numFmtId="0" fontId="21" fillId="27" borderId="0" applyNumberFormat="0" applyBorder="0" applyAlignment="0" applyProtection="0"/>
    <xf numFmtId="0" fontId="1" fillId="0" borderId="0"/>
    <xf numFmtId="0" fontId="4" fillId="0" borderId="0"/>
    <xf numFmtId="0" fontId="1" fillId="26" borderId="7" applyNumberFormat="0" applyFont="0" applyAlignment="0" applyProtection="0"/>
    <xf numFmtId="0" fontId="22" fillId="28" borderId="8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3" fillId="33" borderId="9" applyNumberFormat="0" applyProtection="0">
      <alignment vertical="center"/>
    </xf>
    <xf numFmtId="4" fontId="24" fillId="33" borderId="9" applyNumberFormat="0" applyProtection="0">
      <alignment vertical="center"/>
    </xf>
    <xf numFmtId="4" fontId="23" fillId="33" borderId="9" applyNumberFormat="0" applyProtection="0">
      <alignment horizontal="left" vertical="center" indent="1"/>
    </xf>
    <xf numFmtId="0" fontId="23" fillId="33" borderId="9" applyNumberFormat="0" applyProtection="0">
      <alignment horizontal="left" vertical="top" indent="1"/>
    </xf>
    <xf numFmtId="4" fontId="23" fillId="2" borderId="0" applyNumberFormat="0" applyProtection="0">
      <alignment horizontal="left" vertical="center" indent="1"/>
    </xf>
    <xf numFmtId="4" fontId="6" fillId="7" borderId="9" applyNumberFormat="0" applyProtection="0">
      <alignment horizontal="right" vertical="center"/>
    </xf>
    <xf numFmtId="4" fontId="6" fillId="3" borderId="9" applyNumberFormat="0" applyProtection="0">
      <alignment horizontal="right" vertical="center"/>
    </xf>
    <xf numFmtId="4" fontId="6" fillId="34" borderId="9" applyNumberFormat="0" applyProtection="0">
      <alignment horizontal="right" vertical="center"/>
    </xf>
    <xf numFmtId="4" fontId="6" fillId="35" borderId="9" applyNumberFormat="0" applyProtection="0">
      <alignment horizontal="right" vertical="center"/>
    </xf>
    <xf numFmtId="4" fontId="6" fillId="36" borderId="9" applyNumberFormat="0" applyProtection="0">
      <alignment horizontal="right" vertical="center"/>
    </xf>
    <xf numFmtId="4" fontId="6" fillId="37" borderId="9" applyNumberFormat="0" applyProtection="0">
      <alignment horizontal="right" vertical="center"/>
    </xf>
    <xf numFmtId="4" fontId="6" fillId="9" borderId="9" applyNumberFormat="0" applyProtection="0">
      <alignment horizontal="right" vertical="center"/>
    </xf>
    <xf numFmtId="4" fontId="6" fillId="38" borderId="9" applyNumberFormat="0" applyProtection="0">
      <alignment horizontal="right" vertical="center"/>
    </xf>
    <xf numFmtId="4" fontId="6" fillId="39" borderId="9" applyNumberFormat="0" applyProtection="0">
      <alignment horizontal="right" vertical="center"/>
    </xf>
    <xf numFmtId="4" fontId="23" fillId="40" borderId="10" applyNumberFormat="0" applyProtection="0">
      <alignment horizontal="left" vertical="center" indent="1"/>
    </xf>
    <xf numFmtId="4" fontId="6" fillId="41" borderId="0" applyNumberFormat="0" applyProtection="0">
      <alignment horizontal="left" vertical="center" indent="1"/>
    </xf>
    <xf numFmtId="4" fontId="25" fillId="8" borderId="0" applyNumberFormat="0" applyProtection="0">
      <alignment horizontal="left" vertical="center" indent="1"/>
    </xf>
    <xf numFmtId="4" fontId="6" fillId="2" borderId="9" applyNumberFormat="0" applyProtection="0">
      <alignment horizontal="right" vertical="center"/>
    </xf>
    <xf numFmtId="4" fontId="4" fillId="41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top" indent="1"/>
    </xf>
    <xf numFmtId="0" fontId="1" fillId="6" borderId="9" applyNumberFormat="0" applyProtection="0">
      <alignment horizontal="left" vertical="center" indent="1"/>
    </xf>
    <xf numFmtId="0" fontId="1" fillId="6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5" borderId="11" applyNumberFormat="0">
      <protection locked="0"/>
    </xf>
    <xf numFmtId="4" fontId="6" fillId="4" borderId="9" applyNumberFormat="0" applyProtection="0">
      <alignment vertical="center"/>
    </xf>
    <xf numFmtId="4" fontId="26" fillId="4" borderId="9" applyNumberFormat="0" applyProtection="0">
      <alignment vertical="center"/>
    </xf>
    <xf numFmtId="4" fontId="6" fillId="4" borderId="9" applyNumberFormat="0" applyProtection="0">
      <alignment horizontal="left" vertical="center" indent="1"/>
    </xf>
    <xf numFmtId="0" fontId="6" fillId="4" borderId="9" applyNumberFormat="0" applyProtection="0">
      <alignment horizontal="left" vertical="top" indent="1"/>
    </xf>
    <xf numFmtId="4" fontId="6" fillId="41" borderId="9" applyNumberFormat="0" applyProtection="0">
      <alignment horizontal="right" vertical="center"/>
    </xf>
    <xf numFmtId="4" fontId="26" fillId="41" borderId="9" applyNumberFormat="0" applyProtection="0">
      <alignment horizontal="right" vertical="center"/>
    </xf>
    <xf numFmtId="4" fontId="6" fillId="2" borderId="9" applyNumberFormat="0" applyProtection="0">
      <alignment horizontal="left" vertical="center" indent="1"/>
    </xf>
    <xf numFmtId="0" fontId="6" fillId="2" borderId="9" applyNumberFormat="0" applyProtection="0">
      <alignment horizontal="left" vertical="top" indent="1"/>
    </xf>
    <xf numFmtId="4" fontId="27" fillId="42" borderId="0" applyNumberFormat="0" applyProtection="0">
      <alignment horizontal="left" vertical="center" indent="1"/>
    </xf>
    <xf numFmtId="4" fontId="28" fillId="41" borderId="9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30" fillId="0" borderId="0" applyNumberFormat="0" applyFill="0" applyBorder="0" applyAlignment="0" applyProtection="0"/>
  </cellStyleXfs>
  <cellXfs count="456">
    <xf numFmtId="0" fontId="0" fillId="0" borderId="0" xfId="0"/>
    <xf numFmtId="0" fontId="0" fillId="0" borderId="0" xfId="0" applyBorder="1"/>
    <xf numFmtId="0" fontId="0" fillId="0" borderId="13" xfId="0" applyBorder="1"/>
    <xf numFmtId="0" fontId="0" fillId="0" borderId="13" xfId="0" applyFill="1" applyBorder="1"/>
    <xf numFmtId="0" fontId="0" fillId="0" borderId="0" xfId="0" applyFill="1"/>
    <xf numFmtId="0" fontId="2" fillId="0" borderId="14" xfId="0" applyFont="1" applyFill="1" applyBorder="1" applyAlignment="1">
      <alignment horizontal="center"/>
    </xf>
    <xf numFmtId="0" fontId="0" fillId="0" borderId="15" xfId="0" applyFill="1" applyBorder="1"/>
    <xf numFmtId="0" fontId="4" fillId="0" borderId="0" xfId="68"/>
    <xf numFmtId="0" fontId="4" fillId="0" borderId="0" xfId="68" applyFont="1"/>
    <xf numFmtId="0" fontId="23" fillId="0" borderId="0" xfId="68" applyFont="1"/>
    <xf numFmtId="0" fontId="23" fillId="0" borderId="0" xfId="68" applyFont="1" applyAlignment="1">
      <alignment horizontal="center"/>
    </xf>
    <xf numFmtId="0" fontId="23" fillId="0" borderId="11" xfId="68" applyFont="1" applyBorder="1" applyAlignment="1">
      <alignment horizontal="center"/>
    </xf>
    <xf numFmtId="0" fontId="4" fillId="0" borderId="11" xfId="68" applyFont="1" applyBorder="1"/>
    <xf numFmtId="6" fontId="4" fillId="0" borderId="11" xfId="68" applyNumberFormat="1" applyFont="1" applyBorder="1"/>
    <xf numFmtId="14" fontId="4" fillId="0" borderId="11" xfId="68" applyNumberFormat="1" applyBorder="1"/>
    <xf numFmtId="0" fontId="4" fillId="0" borderId="11" xfId="68" applyBorder="1"/>
    <xf numFmtId="6" fontId="4" fillId="0" borderId="11" xfId="68" applyNumberFormat="1" applyBorder="1"/>
    <xf numFmtId="0" fontId="23" fillId="0" borderId="11" xfId="68" applyFont="1" applyBorder="1"/>
    <xf numFmtId="6" fontId="23" fillId="0" borderId="11" xfId="68" applyNumberFormat="1" applyFont="1" applyBorder="1"/>
    <xf numFmtId="0" fontId="2" fillId="0" borderId="0" xfId="0" applyFont="1" applyFill="1"/>
    <xf numFmtId="0" fontId="2" fillId="0" borderId="11" xfId="0" applyFont="1" applyFill="1" applyBorder="1" applyAlignment="1">
      <alignment horizontal="center"/>
    </xf>
    <xf numFmtId="0" fontId="1" fillId="0" borderId="0" xfId="0" applyFont="1" applyProtection="1"/>
    <xf numFmtId="0" fontId="1" fillId="0" borderId="16" xfId="0" applyFont="1" applyBorder="1" applyProtection="1"/>
    <xf numFmtId="0" fontId="33" fillId="0" borderId="17" xfId="0" applyFont="1" applyBorder="1" applyAlignment="1" applyProtection="1"/>
    <xf numFmtId="0" fontId="33" fillId="0" borderId="11" xfId="0" applyFont="1" applyBorder="1" applyProtection="1"/>
    <xf numFmtId="0" fontId="33" fillId="0" borderId="18" xfId="0" applyFont="1" applyBorder="1" applyAlignment="1" applyProtection="1">
      <alignment horizontal="center" wrapText="1"/>
    </xf>
    <xf numFmtId="0" fontId="33" fillId="0" borderId="11" xfId="0" applyFont="1" applyBorder="1" applyAlignment="1" applyProtection="1">
      <alignment horizontal="center" wrapText="1"/>
    </xf>
    <xf numFmtId="0" fontId="33" fillId="0" borderId="19" xfId="0" applyFont="1" applyBorder="1" applyAlignment="1" applyProtection="1">
      <alignment horizontal="center" wrapText="1"/>
    </xf>
    <xf numFmtId="0" fontId="33" fillId="0" borderId="20" xfId="0" applyFont="1" applyBorder="1" applyAlignment="1" applyProtection="1">
      <alignment horizontal="center" wrapText="1"/>
    </xf>
    <xf numFmtId="0" fontId="33" fillId="0" borderId="21" xfId="0" applyFont="1" applyBorder="1" applyAlignment="1" applyProtection="1">
      <alignment horizontal="center" wrapText="1"/>
    </xf>
    <xf numFmtId="0" fontId="33" fillId="0" borderId="11" xfId="0" applyFont="1" applyFill="1" applyBorder="1" applyAlignment="1" applyProtection="1">
      <alignment horizontal="left"/>
    </xf>
    <xf numFmtId="0" fontId="33" fillId="0" borderId="18" xfId="0" applyFont="1" applyBorder="1" applyAlignment="1" applyProtection="1">
      <alignment horizontal="center"/>
    </xf>
    <xf numFmtId="0" fontId="33" fillId="0" borderId="19" xfId="0" applyFont="1" applyBorder="1" applyAlignment="1" applyProtection="1">
      <alignment horizontal="center"/>
    </xf>
    <xf numFmtId="38" fontId="35" fillId="0" borderId="22" xfId="0" applyNumberFormat="1" applyFont="1" applyFill="1" applyBorder="1" applyAlignment="1" applyProtection="1">
      <alignment horizontal="center"/>
      <protection locked="0"/>
    </xf>
    <xf numFmtId="3" fontId="35" fillId="0" borderId="17" xfId="0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wrapText="1"/>
    </xf>
    <xf numFmtId="38" fontId="35" fillId="0" borderId="17" xfId="0" applyNumberFormat="1" applyFont="1" applyFill="1" applyBorder="1" applyAlignment="1" applyProtection="1">
      <alignment horizontal="center"/>
      <protection locked="0"/>
    </xf>
    <xf numFmtId="3" fontId="1" fillId="0" borderId="13" xfId="0" applyNumberFormat="1" applyFont="1" applyBorder="1" applyAlignment="1" applyProtection="1">
      <alignment wrapText="1"/>
    </xf>
    <xf numFmtId="0" fontId="33" fillId="0" borderId="23" xfId="0" applyFont="1" applyFill="1" applyBorder="1" applyProtection="1"/>
    <xf numFmtId="3" fontId="1" fillId="0" borderId="24" xfId="0" applyNumberFormat="1" applyFont="1" applyFill="1" applyBorder="1" applyAlignment="1" applyProtection="1">
      <alignment horizontal="center"/>
    </xf>
    <xf numFmtId="2" fontId="1" fillId="0" borderId="24" xfId="0" applyNumberFormat="1" applyFont="1" applyFill="1" applyBorder="1" applyAlignment="1" applyProtection="1">
      <alignment horizontal="center"/>
    </xf>
    <xf numFmtId="165" fontId="1" fillId="0" borderId="25" xfId="0" applyNumberFormat="1" applyFont="1" applyFill="1" applyBorder="1" applyAlignment="1" applyProtection="1">
      <alignment horizontal="center"/>
    </xf>
    <xf numFmtId="165" fontId="1" fillId="0" borderId="24" xfId="0" applyNumberFormat="1" applyFont="1" applyFill="1" applyBorder="1" applyAlignment="1" applyProtection="1">
      <alignment horizontal="center"/>
    </xf>
    <xf numFmtId="3" fontId="33" fillId="0" borderId="18" xfId="0" applyNumberFormat="1" applyFont="1" applyFill="1" applyBorder="1" applyAlignment="1" applyProtection="1">
      <alignment horizontal="center" wrapText="1"/>
    </xf>
    <xf numFmtId="0" fontId="33" fillId="0" borderId="26" xfId="0" applyFont="1" applyFill="1" applyBorder="1" applyAlignment="1" applyProtection="1">
      <alignment horizontal="center"/>
    </xf>
    <xf numFmtId="3" fontId="33" fillId="0" borderId="20" xfId="0" applyNumberFormat="1" applyFont="1" applyFill="1" applyBorder="1" applyAlignment="1" applyProtection="1">
      <alignment horizontal="center" wrapText="1"/>
    </xf>
    <xf numFmtId="2" fontId="33" fillId="0" borderId="18" xfId="0" applyNumberFormat="1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/>
    </xf>
    <xf numFmtId="165" fontId="1" fillId="0" borderId="0" xfId="0" applyNumberFormat="1" applyFont="1" applyBorder="1" applyProtection="1"/>
    <xf numFmtId="3" fontId="35" fillId="0" borderId="27" xfId="0" applyNumberFormat="1" applyFont="1" applyFill="1" applyBorder="1" applyAlignment="1" applyProtection="1">
      <alignment horizontal="center"/>
      <protection locked="0"/>
    </xf>
    <xf numFmtId="3" fontId="35" fillId="0" borderId="0" xfId="0" applyNumberFormat="1" applyFont="1" applyFill="1" applyBorder="1" applyAlignment="1" applyProtection="1">
      <alignment horizontal="center"/>
      <protection locked="0"/>
    </xf>
    <xf numFmtId="38" fontId="35" fillId="0" borderId="0" xfId="0" applyNumberFormat="1" applyFont="1" applyFill="1" applyBorder="1" applyAlignment="1" applyProtection="1">
      <alignment horizontal="center"/>
      <protection locked="0"/>
    </xf>
    <xf numFmtId="172" fontId="1" fillId="0" borderId="24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Protection="1"/>
    <xf numFmtId="0" fontId="33" fillId="0" borderId="28" xfId="0" applyFont="1" applyFill="1" applyBorder="1" applyProtection="1"/>
    <xf numFmtId="166" fontId="1" fillId="0" borderId="29" xfId="0" applyNumberFormat="1" applyFont="1" applyBorder="1" applyAlignment="1" applyProtection="1">
      <alignment horizontal="center"/>
    </xf>
    <xf numFmtId="173" fontId="1" fillId="0" borderId="30" xfId="0" applyNumberFormat="1" applyFont="1" applyFill="1" applyBorder="1" applyAlignment="1" applyProtection="1">
      <alignment horizontal="center"/>
    </xf>
    <xf numFmtId="3" fontId="1" fillId="0" borderId="31" xfId="0" applyNumberFormat="1" applyFont="1" applyBorder="1" applyAlignment="1" applyProtection="1">
      <alignment horizontal="center"/>
    </xf>
    <xf numFmtId="165" fontId="1" fillId="0" borderId="32" xfId="0" applyNumberFormat="1" applyFont="1" applyBorder="1" applyAlignment="1" applyProtection="1">
      <alignment horizontal="center"/>
    </xf>
    <xf numFmtId="165" fontId="1" fillId="0" borderId="32" xfId="0" applyNumberFormat="1" applyFont="1" applyFill="1" applyBorder="1" applyAlignment="1" applyProtection="1">
      <alignment horizontal="center"/>
    </xf>
    <xf numFmtId="0" fontId="33" fillId="0" borderId="0" xfId="0" applyFont="1" applyFill="1" applyBorder="1" applyProtection="1"/>
    <xf numFmtId="3" fontId="1" fillId="0" borderId="0" xfId="0" applyNumberFormat="1" applyFont="1" applyBorder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center"/>
    </xf>
    <xf numFmtId="173" fontId="1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16" xfId="0" applyFont="1" applyFill="1" applyBorder="1" applyProtection="1"/>
    <xf numFmtId="0" fontId="33" fillId="0" borderId="0" xfId="0" applyFont="1" applyFill="1" applyBorder="1" applyAlignment="1" applyProtection="1"/>
    <xf numFmtId="0" fontId="33" fillId="0" borderId="20" xfId="0" applyFont="1" applyFill="1" applyBorder="1" applyAlignment="1" applyProtection="1">
      <alignment horizontal="center" wrapText="1"/>
    </xf>
    <xf numFmtId="0" fontId="33" fillId="0" borderId="11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1" fillId="0" borderId="0" xfId="0" applyFont="1" applyFill="1" applyBorder="1" applyProtection="1"/>
    <xf numFmtId="0" fontId="33" fillId="0" borderId="18" xfId="0" applyFont="1" applyFill="1" applyBorder="1" applyAlignment="1" applyProtection="1">
      <alignment horizontal="center" wrapText="1"/>
    </xf>
    <xf numFmtId="3" fontId="1" fillId="0" borderId="33" xfId="0" applyNumberFormat="1" applyFont="1" applyFill="1" applyBorder="1" applyAlignment="1" applyProtection="1">
      <alignment horizontal="center"/>
    </xf>
    <xf numFmtId="165" fontId="1" fillId="0" borderId="30" xfId="0" applyNumberFormat="1" applyFont="1" applyBorder="1" applyAlignment="1" applyProtection="1">
      <alignment horizontal="center"/>
    </xf>
    <xf numFmtId="3" fontId="1" fillId="0" borderId="31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3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0" fontId="36" fillId="0" borderId="0" xfId="0" applyFont="1" applyProtection="1"/>
    <xf numFmtId="0" fontId="33" fillId="0" borderId="0" xfId="0" applyFont="1" applyAlignment="1" applyProtection="1">
      <alignment wrapText="1"/>
    </xf>
    <xf numFmtId="0" fontId="33" fillId="0" borderId="0" xfId="0" applyFont="1" applyProtection="1"/>
    <xf numFmtId="0" fontId="33" fillId="0" borderId="0" xfId="0" applyFont="1" applyFill="1" applyProtection="1"/>
    <xf numFmtId="0" fontId="37" fillId="0" borderId="0" xfId="0" applyFont="1"/>
    <xf numFmtId="43" fontId="1" fillId="0" borderId="0" xfId="46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34" xfId="0" applyFont="1" applyFill="1" applyBorder="1"/>
    <xf numFmtId="0" fontId="23" fillId="0" borderId="0" xfId="0" applyFont="1" applyFill="1"/>
    <xf numFmtId="0" fontId="6" fillId="0" borderId="0" xfId="0" applyFont="1" applyFill="1"/>
    <xf numFmtId="0" fontId="23" fillId="0" borderId="16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wrapText="1"/>
    </xf>
    <xf numFmtId="0" fontId="6" fillId="0" borderId="11" xfId="0" applyFont="1" applyFill="1" applyBorder="1"/>
    <xf numFmtId="172" fontId="6" fillId="0" borderId="11" xfId="0" applyNumberFormat="1" applyFont="1" applyFill="1" applyBorder="1"/>
    <xf numFmtId="172" fontId="6" fillId="0" borderId="11" xfId="46" applyNumberFormat="1" applyFont="1" applyFill="1" applyBorder="1" applyAlignment="1">
      <alignment horizontal="right"/>
    </xf>
    <xf numFmtId="172" fontId="23" fillId="0" borderId="11" xfId="46" applyNumberFormat="1" applyFont="1" applyFill="1" applyBorder="1" applyAlignment="1">
      <alignment horizontal="right" wrapText="1"/>
    </xf>
    <xf numFmtId="166" fontId="6" fillId="0" borderId="11" xfId="46" applyNumberFormat="1" applyFont="1" applyFill="1" applyBorder="1" applyAlignment="1">
      <alignment horizontal="right"/>
    </xf>
    <xf numFmtId="166" fontId="23" fillId="0" borderId="11" xfId="0" applyNumberFormat="1" applyFont="1" applyFill="1" applyBorder="1"/>
    <xf numFmtId="166" fontId="6" fillId="0" borderId="11" xfId="0" applyNumberFormat="1" applyFont="1" applyFill="1" applyBorder="1"/>
    <xf numFmtId="172" fontId="6" fillId="0" borderId="11" xfId="0" quotePrefix="1" applyNumberFormat="1" applyFont="1" applyFill="1" applyBorder="1" applyAlignment="1">
      <alignment horizontal="center"/>
    </xf>
    <xf numFmtId="166" fontId="6" fillId="0" borderId="11" xfId="46" applyNumberFormat="1" applyFont="1" applyFill="1" applyBorder="1" applyAlignment="1">
      <alignment horizontal="right" wrapText="1"/>
    </xf>
    <xf numFmtId="0" fontId="23" fillId="0" borderId="20" xfId="0" applyFont="1" applyFill="1" applyBorder="1"/>
    <xf numFmtId="172" fontId="23" fillId="0" borderId="20" xfId="0" quotePrefix="1" applyNumberFormat="1" applyFont="1" applyFill="1" applyBorder="1" applyAlignment="1">
      <alignment horizontal="center"/>
    </xf>
    <xf numFmtId="172" fontId="23" fillId="0" borderId="20" xfId="0" applyNumberFormat="1" applyFont="1" applyFill="1" applyBorder="1"/>
    <xf numFmtId="166" fontId="23" fillId="0" borderId="20" xfId="0" applyNumberFormat="1" applyFont="1" applyFill="1" applyBorder="1"/>
    <xf numFmtId="38" fontId="6" fillId="0" borderId="11" xfId="0" applyNumberFormat="1" applyFont="1" applyFill="1" applyBorder="1"/>
    <xf numFmtId="165" fontId="23" fillId="0" borderId="11" xfId="0" applyNumberFormat="1" applyFont="1" applyFill="1" applyBorder="1" applyAlignment="1"/>
    <xf numFmtId="166" fontId="6" fillId="0" borderId="11" xfId="0" applyNumberFormat="1" applyFont="1" applyFill="1" applyBorder="1" applyAlignment="1"/>
    <xf numFmtId="0" fontId="23" fillId="0" borderId="20" xfId="0" applyFont="1" applyFill="1" applyBorder="1" applyAlignment="1">
      <alignment horizontal="center"/>
    </xf>
    <xf numFmtId="166" fontId="23" fillId="0" borderId="11" xfId="0" applyNumberFormat="1" applyFont="1" applyFill="1" applyBorder="1" applyAlignment="1">
      <alignment horizontal="center" wrapText="1"/>
    </xf>
    <xf numFmtId="166" fontId="23" fillId="0" borderId="11" xfId="0" applyNumberFormat="1" applyFont="1" applyFill="1" applyBorder="1" applyAlignment="1">
      <alignment horizontal="center"/>
    </xf>
    <xf numFmtId="166" fontId="23" fillId="0" borderId="20" xfId="0" applyNumberFormat="1" applyFont="1" applyFill="1" applyBorder="1" applyAlignment="1">
      <alignment horizontal="center"/>
    </xf>
    <xf numFmtId="172" fontId="23" fillId="0" borderId="11" xfId="46" applyNumberFormat="1" applyFont="1" applyFill="1" applyBorder="1" applyAlignment="1">
      <alignment horizontal="right"/>
    </xf>
    <xf numFmtId="166" fontId="23" fillId="0" borderId="11" xfId="0" applyNumberFormat="1" applyFont="1" applyFill="1" applyBorder="1" applyAlignment="1"/>
    <xf numFmtId="0" fontId="23" fillId="0" borderId="22" xfId="0" applyFont="1" applyFill="1" applyBorder="1"/>
    <xf numFmtId="0" fontId="23" fillId="0" borderId="27" xfId="0" applyFont="1" applyFill="1" applyBorder="1"/>
    <xf numFmtId="38" fontId="6" fillId="0" borderId="27" xfId="0" applyNumberFormat="1" applyFont="1" applyFill="1" applyBorder="1"/>
    <xf numFmtId="165" fontId="23" fillId="0" borderId="27" xfId="0" applyNumberFormat="1" applyFont="1" applyFill="1" applyBorder="1" applyAlignment="1"/>
    <xf numFmtId="166" fontId="6" fillId="0" borderId="27" xfId="0" applyNumberFormat="1" applyFont="1" applyFill="1" applyBorder="1"/>
    <xf numFmtId="166" fontId="6" fillId="0" borderId="27" xfId="0" applyNumberFormat="1" applyFont="1" applyFill="1" applyBorder="1" applyAlignment="1"/>
    <xf numFmtId="166" fontId="23" fillId="0" borderId="27" xfId="0" applyNumberFormat="1" applyFont="1" applyFill="1" applyBorder="1"/>
    <xf numFmtId="0" fontId="6" fillId="0" borderId="20" xfId="0" applyFont="1" applyFill="1" applyBorder="1"/>
    <xf numFmtId="170" fontId="6" fillId="0" borderId="18" xfId="46" applyNumberFormat="1" applyFont="1" applyFill="1" applyBorder="1" applyAlignment="1">
      <alignment horizontal="right"/>
    </xf>
    <xf numFmtId="169" fontId="23" fillId="0" borderId="18" xfId="46" applyNumberFormat="1" applyFont="1" applyFill="1" applyBorder="1" applyAlignment="1">
      <alignment horizontal="right"/>
    </xf>
    <xf numFmtId="0" fontId="6" fillId="0" borderId="18" xfId="0" applyFont="1" applyFill="1" applyBorder="1"/>
    <xf numFmtId="166" fontId="6" fillId="0" borderId="18" xfId="46" applyNumberFormat="1" applyFont="1" applyFill="1" applyBorder="1" applyAlignment="1">
      <alignment horizontal="right"/>
    </xf>
    <xf numFmtId="166" fontId="6" fillId="0" borderId="18" xfId="0" applyNumberFormat="1" applyFont="1" applyFill="1" applyBorder="1"/>
    <xf numFmtId="166" fontId="6" fillId="0" borderId="19" xfId="0" applyNumberFormat="1" applyFont="1" applyFill="1" applyBorder="1"/>
    <xf numFmtId="0" fontId="6" fillId="0" borderId="11" xfId="0" applyFont="1" applyFill="1" applyBorder="1" applyAlignment="1">
      <alignment wrapText="1" shrinkToFit="1"/>
    </xf>
    <xf numFmtId="170" fontId="6" fillId="0" borderId="11" xfId="46" applyNumberFormat="1" applyFont="1" applyFill="1" applyBorder="1" applyAlignment="1">
      <alignment horizontal="right"/>
    </xf>
    <xf numFmtId="169" fontId="23" fillId="0" borderId="11" xfId="46" applyNumberFormat="1" applyFont="1" applyFill="1" applyBorder="1" applyAlignment="1">
      <alignment horizontal="right"/>
    </xf>
    <xf numFmtId="0" fontId="23" fillId="0" borderId="11" xfId="0" applyFont="1" applyFill="1" applyBorder="1"/>
    <xf numFmtId="172" fontId="23" fillId="0" borderId="11" xfId="0" applyNumberFormat="1" applyFont="1" applyFill="1" applyBorder="1"/>
    <xf numFmtId="166" fontId="23" fillId="0" borderId="11" xfId="46" applyNumberFormat="1" applyFont="1" applyFill="1" applyBorder="1" applyAlignment="1">
      <alignment horizontal="right"/>
    </xf>
    <xf numFmtId="172" fontId="23" fillId="0" borderId="20" xfId="0" applyNumberFormat="1" applyFont="1" applyFill="1" applyBorder="1" applyAlignment="1">
      <alignment horizontal="right"/>
    </xf>
    <xf numFmtId="172" fontId="23" fillId="0" borderId="20" xfId="0" applyNumberFormat="1" applyFont="1" applyFill="1" applyBorder="1" applyAlignment="1">
      <alignment horizontal="center"/>
    </xf>
    <xf numFmtId="0" fontId="23" fillId="0" borderId="0" xfId="0" applyFont="1" applyFill="1" applyBorder="1"/>
    <xf numFmtId="38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0" fontId="6" fillId="0" borderId="16" xfId="0" applyFont="1" applyFill="1" applyBorder="1"/>
    <xf numFmtId="166" fontId="6" fillId="0" borderId="11" xfId="0" quotePrefix="1" applyNumberFormat="1" applyFont="1" applyFill="1" applyBorder="1" applyAlignment="1">
      <alignment horizontal="center"/>
    </xf>
    <xf numFmtId="166" fontId="23" fillId="0" borderId="11" xfId="46" applyNumberFormat="1" applyFont="1" applyFill="1" applyBorder="1" applyAlignment="1">
      <alignment horizontal="right" wrapText="1"/>
    </xf>
    <xf numFmtId="166" fontId="6" fillId="0" borderId="11" xfId="46" applyNumberFormat="1" applyFont="1" applyFill="1" applyBorder="1" applyAlignment="1">
      <alignment horizontal="center"/>
    </xf>
    <xf numFmtId="166" fontId="23" fillId="0" borderId="20" xfId="0" quotePrefix="1" applyNumberFormat="1" applyFont="1" applyFill="1" applyBorder="1" applyAlignment="1">
      <alignment horizontal="center"/>
    </xf>
    <xf numFmtId="166" fontId="23" fillId="0" borderId="27" xfId="0" applyNumberFormat="1" applyFont="1" applyFill="1" applyBorder="1" applyAlignment="1"/>
    <xf numFmtId="166" fontId="6" fillId="0" borderId="20" xfId="0" applyNumberFormat="1" applyFont="1" applyFill="1" applyBorder="1"/>
    <xf numFmtId="166" fontId="23" fillId="0" borderId="18" xfId="46" applyNumberFormat="1" applyFont="1" applyFill="1" applyBorder="1" applyAlignment="1">
      <alignment horizontal="right"/>
    </xf>
    <xf numFmtId="166" fontId="23" fillId="0" borderId="20" xfId="0" applyNumberFormat="1" applyFont="1" applyFill="1" applyBorder="1" applyAlignment="1">
      <alignment horizontal="right"/>
    </xf>
    <xf numFmtId="0" fontId="38" fillId="0" borderId="0" xfId="0" applyFont="1" applyFill="1"/>
    <xf numFmtId="172" fontId="23" fillId="0" borderId="0" xfId="0" applyNumberFormat="1" applyFont="1" applyFill="1" applyBorder="1" applyAlignment="1">
      <alignment horizontal="right"/>
    </xf>
    <xf numFmtId="172" fontId="23" fillId="0" borderId="0" xfId="0" applyNumberFormat="1" applyFont="1" applyFill="1" applyBorder="1" applyAlignment="1">
      <alignment horizontal="center"/>
    </xf>
    <xf numFmtId="0" fontId="38" fillId="0" borderId="0" xfId="0" applyFont="1" applyFill="1" applyBorder="1"/>
    <xf numFmtId="38" fontId="39" fillId="0" borderId="0" xfId="0" applyNumberFormat="1" applyFont="1" applyFill="1" applyBorder="1" applyAlignment="1"/>
    <xf numFmtId="165" fontId="39" fillId="0" borderId="0" xfId="0" applyNumberFormat="1" applyFont="1" applyFill="1" applyBorder="1" applyAlignment="1"/>
    <xf numFmtId="0" fontId="39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left" indent="1"/>
    </xf>
    <xf numFmtId="3" fontId="36" fillId="0" borderId="0" xfId="0" applyNumberFormat="1" applyFont="1" applyProtection="1"/>
    <xf numFmtId="1" fontId="1" fillId="0" borderId="0" xfId="0" applyNumberFormat="1" applyFont="1" applyBorder="1" applyProtection="1"/>
    <xf numFmtId="1" fontId="36" fillId="0" borderId="0" xfId="0" applyNumberFormat="1" applyFont="1" applyProtection="1"/>
    <xf numFmtId="3" fontId="35" fillId="43" borderId="17" xfId="0" applyNumberFormat="1" applyFont="1" applyFill="1" applyBorder="1" applyAlignment="1" applyProtection="1">
      <alignment horizontal="center"/>
      <protection locked="0"/>
    </xf>
    <xf numFmtId="3" fontId="33" fillId="43" borderId="18" xfId="0" applyNumberFormat="1" applyFont="1" applyFill="1" applyBorder="1" applyAlignment="1" applyProtection="1">
      <alignment horizontal="center" wrapText="1"/>
    </xf>
    <xf numFmtId="0" fontId="33" fillId="43" borderId="26" xfId="0" applyFont="1" applyFill="1" applyBorder="1" applyAlignment="1" applyProtection="1">
      <alignment horizontal="center"/>
    </xf>
    <xf numFmtId="3" fontId="1" fillId="0" borderId="0" xfId="0" applyNumberFormat="1" applyFont="1" applyProtection="1"/>
    <xf numFmtId="43" fontId="40" fillId="43" borderId="0" xfId="46" quotePrefix="1" applyFont="1" applyFill="1" applyBorder="1" applyAlignment="1">
      <alignment horizontal="left"/>
    </xf>
    <xf numFmtId="4" fontId="1" fillId="0" borderId="24" xfId="0" applyNumberFormat="1" applyFont="1" applyFill="1" applyBorder="1" applyAlignment="1" applyProtection="1">
      <alignment horizontal="center"/>
    </xf>
    <xf numFmtId="0" fontId="2" fillId="0" borderId="0" xfId="67" applyFont="1" applyFill="1"/>
    <xf numFmtId="0" fontId="1" fillId="0" borderId="0" xfId="67" applyFill="1"/>
    <xf numFmtId="0" fontId="2" fillId="0" borderId="35" xfId="67" applyFont="1" applyFill="1" applyBorder="1"/>
    <xf numFmtId="0" fontId="2" fillId="0" borderId="36" xfId="67" applyFont="1" applyFill="1" applyBorder="1"/>
    <xf numFmtId="0" fontId="1" fillId="0" borderId="37" xfId="67" applyFill="1" applyBorder="1"/>
    <xf numFmtId="0" fontId="1" fillId="0" borderId="38" xfId="67" applyFill="1" applyBorder="1"/>
    <xf numFmtId="0" fontId="1" fillId="0" borderId="39" xfId="67" applyFill="1" applyBorder="1"/>
    <xf numFmtId="0" fontId="2" fillId="0" borderId="40" xfId="67" applyFont="1" applyFill="1" applyBorder="1"/>
    <xf numFmtId="0" fontId="2" fillId="0" borderId="41" xfId="67" applyFont="1" applyFill="1" applyBorder="1"/>
    <xf numFmtId="0" fontId="1" fillId="0" borderId="14" xfId="67" applyFill="1" applyBorder="1"/>
    <xf numFmtId="0" fontId="1" fillId="0" borderId="18" xfId="67" applyFill="1" applyBorder="1"/>
    <xf numFmtId="0" fontId="1" fillId="0" borderId="19" xfId="67" applyFill="1" applyBorder="1"/>
    <xf numFmtId="0" fontId="2" fillId="0" borderId="42" xfId="67" applyFont="1" applyFill="1" applyBorder="1" applyAlignment="1">
      <alignment horizontal="center"/>
    </xf>
    <xf numFmtId="0" fontId="2" fillId="0" borderId="41" xfId="67" applyFont="1" applyFill="1" applyBorder="1" applyAlignment="1">
      <alignment horizontal="center" wrapText="1"/>
    </xf>
    <xf numFmtId="0" fontId="2" fillId="0" borderId="14" xfId="67" applyFont="1" applyFill="1" applyBorder="1" applyAlignment="1">
      <alignment horizontal="center"/>
    </xf>
    <xf numFmtId="0" fontId="2" fillId="0" borderId="11" xfId="67" applyFont="1" applyFill="1" applyBorder="1" applyAlignment="1">
      <alignment horizontal="center" wrapText="1"/>
    </xf>
    <xf numFmtId="0" fontId="5" fillId="0" borderId="43" xfId="67" applyFont="1" applyFill="1" applyBorder="1" applyAlignment="1">
      <alignment wrapText="1"/>
    </xf>
    <xf numFmtId="0" fontId="5" fillId="0" borderId="44" xfId="67" applyFont="1" applyFill="1" applyBorder="1" applyAlignment="1">
      <alignment wrapText="1"/>
    </xf>
    <xf numFmtId="6" fontId="1" fillId="0" borderId="0" xfId="67" applyNumberFormat="1" applyFill="1" applyBorder="1"/>
    <xf numFmtId="0" fontId="2" fillId="0" borderId="13" xfId="67" applyFont="1" applyFill="1" applyBorder="1" applyAlignment="1">
      <alignment horizontal="center" wrapText="1"/>
    </xf>
    <xf numFmtId="0" fontId="1" fillId="0" borderId="13" xfId="67" applyFill="1" applyBorder="1"/>
    <xf numFmtId="0" fontId="1" fillId="0" borderId="45" xfId="67" applyFill="1" applyBorder="1" applyAlignment="1">
      <alignment horizontal="left" indent="1"/>
    </xf>
    <xf numFmtId="6" fontId="1" fillId="0" borderId="43" xfId="67" applyNumberFormat="1" applyFill="1" applyBorder="1"/>
    <xf numFmtId="6" fontId="1" fillId="0" borderId="0" xfId="67" applyNumberFormat="1" applyFont="1" applyFill="1" applyBorder="1"/>
    <xf numFmtId="6" fontId="1" fillId="0" borderId="13" xfId="67" applyNumberFormat="1" applyFill="1" applyBorder="1"/>
    <xf numFmtId="6" fontId="1" fillId="0" borderId="13" xfId="67" applyNumberFormat="1" applyFont="1" applyFill="1" applyBorder="1" applyAlignment="1">
      <alignment horizontal="right"/>
    </xf>
    <xf numFmtId="167" fontId="1" fillId="0" borderId="13" xfId="67" applyNumberFormat="1" applyFont="1" applyFill="1" applyBorder="1" applyAlignment="1">
      <alignment horizontal="right"/>
    </xf>
    <xf numFmtId="6" fontId="1" fillId="0" borderId="46" xfId="67" applyNumberFormat="1" applyFill="1" applyBorder="1"/>
    <xf numFmtId="0" fontId="2" fillId="0" borderId="47" xfId="67" applyFont="1" applyFill="1" applyBorder="1"/>
    <xf numFmtId="6" fontId="1" fillId="0" borderId="42" xfId="67" applyNumberFormat="1" applyFill="1" applyBorder="1"/>
    <xf numFmtId="6" fontId="1" fillId="0" borderId="18" xfId="67" applyNumberFormat="1" applyFont="1" applyFill="1" applyBorder="1"/>
    <xf numFmtId="6" fontId="1" fillId="0" borderId="11" xfId="67" applyNumberFormat="1" applyFill="1" applyBorder="1"/>
    <xf numFmtId="167" fontId="1" fillId="0" borderId="11" xfId="67" applyNumberFormat="1" applyFont="1" applyFill="1" applyBorder="1" applyAlignment="1">
      <alignment horizontal="right"/>
    </xf>
    <xf numFmtId="0" fontId="1" fillId="0" borderId="0" xfId="67"/>
    <xf numFmtId="0" fontId="1" fillId="0" borderId="43" xfId="67" applyFill="1" applyBorder="1" applyAlignment="1">
      <alignment horizontal="left" indent="1"/>
    </xf>
    <xf numFmtId="0" fontId="2" fillId="0" borderId="42" xfId="67" applyFont="1" applyFill="1" applyBorder="1"/>
    <xf numFmtId="6" fontId="1" fillId="0" borderId="13" xfId="67" applyNumberFormat="1" applyFill="1" applyBorder="1" applyAlignment="1">
      <alignment horizontal="right" vertical="center"/>
    </xf>
    <xf numFmtId="6" fontId="1" fillId="0" borderId="17" xfId="67" applyNumberFormat="1" applyFill="1" applyBorder="1"/>
    <xf numFmtId="167" fontId="1" fillId="0" borderId="11" xfId="67" applyNumberFormat="1" applyFill="1" applyBorder="1"/>
    <xf numFmtId="6" fontId="1" fillId="0" borderId="13" xfId="67" applyNumberFormat="1" applyFont="1" applyFill="1" applyBorder="1"/>
    <xf numFmtId="167" fontId="1" fillId="0" borderId="13" xfId="67" applyNumberFormat="1" applyFill="1" applyBorder="1"/>
    <xf numFmtId="6" fontId="1" fillId="0" borderId="0" xfId="67" applyNumberFormat="1" applyFill="1" applyBorder="1" applyAlignment="1">
      <alignment horizontal="right"/>
    </xf>
    <xf numFmtId="0" fontId="2" fillId="0" borderId="43" xfId="67" applyFont="1" applyFill="1" applyBorder="1" applyAlignment="1">
      <alignment horizontal="left" indent="1"/>
    </xf>
    <xf numFmtId="0" fontId="2" fillId="0" borderId="44" xfId="67" applyFont="1" applyFill="1" applyBorder="1" applyAlignment="1">
      <alignment horizontal="left" indent="1"/>
    </xf>
    <xf numFmtId="0" fontId="2" fillId="0" borderId="42" xfId="67" applyFont="1" applyFill="1" applyBorder="1" applyAlignment="1">
      <alignment wrapText="1"/>
    </xf>
    <xf numFmtId="6" fontId="1" fillId="0" borderId="48" xfId="67" applyNumberFormat="1" applyFont="1" applyFill="1" applyBorder="1" applyAlignment="1">
      <alignment wrapText="1"/>
    </xf>
    <xf numFmtId="6" fontId="1" fillId="0" borderId="24" xfId="67" applyNumberFormat="1" applyFill="1" applyBorder="1"/>
    <xf numFmtId="6" fontId="1" fillId="0" borderId="23" xfId="67" applyNumberFormat="1" applyFill="1" applyBorder="1"/>
    <xf numFmtId="167" fontId="1" fillId="0" borderId="23" xfId="67" applyNumberFormat="1" applyFill="1" applyBorder="1"/>
    <xf numFmtId="0" fontId="2" fillId="0" borderId="43" xfId="67" applyFont="1" applyFill="1" applyBorder="1" applyAlignment="1">
      <alignment wrapText="1"/>
    </xf>
    <xf numFmtId="0" fontId="2" fillId="0" borderId="0" xfId="67" applyFont="1" applyFill="1" applyBorder="1" applyAlignment="1">
      <alignment wrapText="1"/>
    </xf>
    <xf numFmtId="0" fontId="2" fillId="0" borderId="49" xfId="67" applyFont="1" applyBorder="1"/>
    <xf numFmtId="0" fontId="2" fillId="0" borderId="50" xfId="67" applyFont="1" applyBorder="1"/>
    <xf numFmtId="164" fontId="1" fillId="0" borderId="50" xfId="67" applyNumberFormat="1" applyBorder="1"/>
    <xf numFmtId="0" fontId="1" fillId="0" borderId="50" xfId="67" applyFill="1" applyBorder="1"/>
    <xf numFmtId="6" fontId="1" fillId="0" borderId="0" xfId="67" applyNumberFormat="1" applyFill="1"/>
    <xf numFmtId="0" fontId="1" fillId="0" borderId="0" xfId="67" applyNumberFormat="1" applyFill="1" applyAlignment="1">
      <alignment horizontal="left"/>
    </xf>
    <xf numFmtId="0" fontId="1" fillId="0" borderId="0" xfId="67" applyFill="1" applyBorder="1"/>
    <xf numFmtId="44" fontId="1" fillId="0" borderId="0" xfId="51" applyFill="1"/>
    <xf numFmtId="6" fontId="1" fillId="0" borderId="0" xfId="67" applyNumberFormat="1"/>
    <xf numFmtId="6" fontId="1" fillId="0" borderId="0" xfId="67" applyNumberFormat="1" applyBorder="1" applyAlignment="1">
      <alignment horizontal="right"/>
    </xf>
    <xf numFmtId="168" fontId="1" fillId="0" borderId="0" xfId="51" applyNumberFormat="1"/>
    <xf numFmtId="0" fontId="1" fillId="0" borderId="0" xfId="67" applyBorder="1"/>
    <xf numFmtId="168" fontId="1" fillId="0" borderId="0" xfId="51" applyNumberFormat="1" applyFont="1"/>
    <xf numFmtId="6" fontId="1" fillId="0" borderId="0" xfId="67" applyNumberFormat="1" applyFont="1" applyBorder="1"/>
    <xf numFmtId="168" fontId="1" fillId="0" borderId="0" xfId="67" applyNumberFormat="1"/>
    <xf numFmtId="0" fontId="1" fillId="44" borderId="0" xfId="67" applyFont="1" applyFill="1" applyBorder="1"/>
    <xf numFmtId="44" fontId="1" fillId="44" borderId="0" xfId="51" applyFont="1" applyFill="1" applyBorder="1"/>
    <xf numFmtId="0" fontId="2" fillId="45" borderId="35" xfId="67" applyFont="1" applyFill="1" applyBorder="1"/>
    <xf numFmtId="0" fontId="1" fillId="44" borderId="38" xfId="67" applyFont="1" applyFill="1" applyBorder="1"/>
    <xf numFmtId="44" fontId="1" fillId="44" borderId="38" xfId="51" applyFont="1" applyFill="1" applyBorder="1"/>
    <xf numFmtId="0" fontId="1" fillId="44" borderId="51" xfId="67" applyFont="1" applyFill="1" applyBorder="1"/>
    <xf numFmtId="0" fontId="2" fillId="45" borderId="52" xfId="67" applyFont="1" applyFill="1" applyBorder="1" applyAlignment="1">
      <alignment horizontal="center"/>
    </xf>
    <xf numFmtId="0" fontId="2" fillId="44" borderId="18" xfId="67" applyFont="1" applyFill="1" applyBorder="1" applyAlignment="1">
      <alignment horizontal="center"/>
    </xf>
    <xf numFmtId="44" fontId="2" fillId="44" borderId="18" xfId="51" applyFont="1" applyFill="1" applyBorder="1" applyAlignment="1">
      <alignment horizontal="center"/>
    </xf>
    <xf numFmtId="0" fontId="2" fillId="44" borderId="20" xfId="67" applyFont="1" applyFill="1" applyBorder="1" applyAlignment="1">
      <alignment horizontal="center" wrapText="1"/>
    </xf>
    <xf numFmtId="0" fontId="2" fillId="44" borderId="11" xfId="67" applyFont="1" applyFill="1" applyBorder="1" applyAlignment="1">
      <alignment horizontal="center" wrapText="1"/>
    </xf>
    <xf numFmtId="0" fontId="2" fillId="44" borderId="53" xfId="67" applyFont="1" applyFill="1" applyBorder="1" applyAlignment="1">
      <alignment horizontal="center" wrapText="1"/>
    </xf>
    <xf numFmtId="0" fontId="2" fillId="45" borderId="54" xfId="67" applyFont="1" applyFill="1" applyBorder="1" applyAlignment="1">
      <alignment horizontal="center"/>
    </xf>
    <xf numFmtId="0" fontId="2" fillId="44" borderId="0" xfId="67" applyFont="1" applyFill="1" applyBorder="1" applyAlignment="1">
      <alignment horizontal="center"/>
    </xf>
    <xf numFmtId="44" fontId="2" fillId="44" borderId="0" xfId="51" applyFont="1" applyFill="1" applyBorder="1" applyAlignment="1">
      <alignment horizontal="center"/>
    </xf>
    <xf numFmtId="0" fontId="2" fillId="44" borderId="17" xfId="67" applyFont="1" applyFill="1" applyBorder="1" applyAlignment="1">
      <alignment horizontal="center" wrapText="1"/>
    </xf>
    <xf numFmtId="0" fontId="2" fillId="44" borderId="13" xfId="67" applyFont="1" applyFill="1" applyBorder="1" applyAlignment="1">
      <alignment horizontal="center" wrapText="1"/>
    </xf>
    <xf numFmtId="0" fontId="2" fillId="44" borderId="55" xfId="67" applyFont="1" applyFill="1" applyBorder="1" applyAlignment="1">
      <alignment horizontal="center" wrapText="1"/>
    </xf>
    <xf numFmtId="0" fontId="2" fillId="0" borderId="54" xfId="67" applyFont="1" applyFill="1" applyBorder="1" applyAlignment="1">
      <alignment horizontal="center"/>
    </xf>
    <xf numFmtId="0" fontId="2" fillId="0" borderId="17" xfId="67" applyFont="1" applyFill="1" applyBorder="1" applyAlignment="1">
      <alignment horizontal="center" wrapText="1"/>
    </xf>
    <xf numFmtId="0" fontId="1" fillId="0" borderId="54" xfId="67" applyFill="1" applyBorder="1"/>
    <xf numFmtId="164" fontId="1" fillId="44" borderId="0" xfId="67" applyNumberFormat="1" applyFont="1" applyFill="1" applyBorder="1"/>
    <xf numFmtId="164" fontId="1" fillId="0" borderId="0" xfId="67" applyNumberFormat="1" applyFont="1" applyFill="1" applyBorder="1"/>
    <xf numFmtId="164" fontId="1" fillId="0" borderId="17" xfId="67" applyNumberFormat="1" applyFont="1" applyFill="1" applyBorder="1"/>
    <xf numFmtId="164" fontId="1" fillId="44" borderId="13" xfId="67" applyNumberFormat="1" applyFont="1" applyFill="1" applyBorder="1"/>
    <xf numFmtId="167" fontId="1" fillId="44" borderId="55" xfId="72" applyNumberFormat="1" applyFont="1" applyFill="1" applyBorder="1" applyAlignment="1">
      <alignment horizontal="center"/>
    </xf>
    <xf numFmtId="164" fontId="1" fillId="44" borderId="13" xfId="67" applyNumberFormat="1" applyFont="1" applyFill="1" applyBorder="1" applyAlignment="1">
      <alignment horizontal="right"/>
    </xf>
    <xf numFmtId="0" fontId="1" fillId="0" borderId="0" xfId="67" applyFont="1" applyFill="1" applyBorder="1"/>
    <xf numFmtId="164" fontId="1" fillId="0" borderId="13" xfId="67" applyNumberFormat="1" applyFont="1" applyFill="1" applyBorder="1"/>
    <xf numFmtId="0" fontId="2" fillId="0" borderId="52" xfId="67" applyFont="1" applyFill="1" applyBorder="1"/>
    <xf numFmtId="164" fontId="2" fillId="44" borderId="18" xfId="67" applyNumberFormat="1" applyFont="1" applyFill="1" applyBorder="1" applyAlignment="1">
      <alignment horizontal="right"/>
    </xf>
    <xf numFmtId="164" fontId="2" fillId="0" borderId="11" xfId="67" applyNumberFormat="1" applyFont="1" applyFill="1" applyBorder="1" applyAlignment="1">
      <alignment horizontal="right"/>
    </xf>
    <xf numFmtId="167" fontId="2" fillId="44" borderId="53" xfId="72" applyNumberFormat="1" applyFont="1" applyFill="1" applyBorder="1" applyAlignment="1">
      <alignment horizontal="center"/>
    </xf>
    <xf numFmtId="0" fontId="1" fillId="0" borderId="54" xfId="67" applyFont="1" applyFill="1" applyBorder="1"/>
    <xf numFmtId="164" fontId="1" fillId="44" borderId="55" xfId="67" applyNumberFormat="1" applyFont="1" applyFill="1" applyBorder="1"/>
    <xf numFmtId="8" fontId="1" fillId="44" borderId="0" xfId="67" applyNumberFormat="1" applyFont="1" applyFill="1" applyBorder="1"/>
    <xf numFmtId="164" fontId="2" fillId="44" borderId="18" xfId="67" applyNumberFormat="1" applyFont="1" applyFill="1" applyBorder="1"/>
    <xf numFmtId="164" fontId="2" fillId="0" borderId="20" xfId="67" applyNumberFormat="1" applyFont="1" applyFill="1" applyBorder="1"/>
    <xf numFmtId="164" fontId="2" fillId="44" borderId="11" xfId="67" applyNumberFormat="1" applyFont="1" applyFill="1" applyBorder="1"/>
    <xf numFmtId="49" fontId="2" fillId="44" borderId="0" xfId="67" applyNumberFormat="1" applyFont="1" applyFill="1" applyBorder="1" applyAlignment="1">
      <alignment horizontal="center"/>
    </xf>
    <xf numFmtId="164" fontId="1" fillId="44" borderId="17" xfId="67" applyNumberFormat="1" applyFont="1" applyFill="1" applyBorder="1"/>
    <xf numFmtId="0" fontId="2" fillId="0" borderId="52" xfId="67" applyFont="1" applyFill="1" applyBorder="1" applyAlignment="1">
      <alignment horizontal="left" wrapText="1" indent="1"/>
    </xf>
    <xf numFmtId="164" fontId="2" fillId="0" borderId="11" xfId="67" applyNumberFormat="1" applyFont="1" applyFill="1" applyBorder="1"/>
    <xf numFmtId="164" fontId="2" fillId="44" borderId="20" xfId="67" applyNumberFormat="1" applyFont="1" applyFill="1" applyBorder="1"/>
    <xf numFmtId="0" fontId="2" fillId="0" borderId="54" xfId="67" applyFont="1" applyFill="1" applyBorder="1"/>
    <xf numFmtId="164" fontId="2" fillId="44" borderId="19" xfId="67" applyNumberFormat="1" applyFont="1" applyFill="1" applyBorder="1"/>
    <xf numFmtId="164" fontId="2" fillId="0" borderId="18" xfId="67" applyNumberFormat="1" applyFont="1" applyFill="1" applyBorder="1"/>
    <xf numFmtId="0" fontId="2" fillId="0" borderId="52" xfId="67" applyFont="1" applyFill="1" applyBorder="1" applyAlignment="1">
      <alignment wrapText="1"/>
    </xf>
    <xf numFmtId="0" fontId="2" fillId="0" borderId="27" xfId="67" applyFont="1" applyFill="1" applyBorder="1"/>
    <xf numFmtId="164" fontId="2" fillId="44" borderId="27" xfId="67" applyNumberFormat="1" applyFont="1" applyFill="1" applyBorder="1"/>
    <xf numFmtId="164" fontId="2" fillId="44" borderId="0" xfId="67" applyNumberFormat="1" applyFont="1" applyFill="1" applyBorder="1"/>
    <xf numFmtId="44" fontId="2" fillId="44" borderId="0" xfId="51" applyFont="1" applyFill="1" applyBorder="1"/>
    <xf numFmtId="0" fontId="2" fillId="0" borderId="56" xfId="67" applyFont="1" applyFill="1" applyBorder="1" applyAlignment="1">
      <alignment wrapText="1"/>
    </xf>
    <xf numFmtId="164" fontId="2" fillId="44" borderId="57" xfId="67" applyNumberFormat="1" applyFont="1" applyFill="1" applyBorder="1"/>
    <xf numFmtId="164" fontId="2" fillId="44" borderId="50" xfId="67" applyNumberFormat="1" applyFont="1" applyFill="1" applyBorder="1"/>
    <xf numFmtId="164" fontId="2" fillId="0" borderId="57" xfId="67" applyNumberFormat="1" applyFont="1" applyFill="1" applyBorder="1" applyAlignment="1">
      <alignment horizontal="center"/>
    </xf>
    <xf numFmtId="164" fontId="2" fillId="44" borderId="59" xfId="67" applyNumberFormat="1" applyFont="1" applyFill="1" applyBorder="1" applyAlignment="1">
      <alignment horizontal="center"/>
    </xf>
    <xf numFmtId="164" fontId="2" fillId="44" borderId="60" xfId="67" applyNumberFormat="1" applyFont="1" applyFill="1" applyBorder="1" applyAlignment="1">
      <alignment horizontal="center"/>
    </xf>
    <xf numFmtId="0" fontId="32" fillId="0" borderId="0" xfId="67" applyFont="1"/>
    <xf numFmtId="0" fontId="2" fillId="45" borderId="35" xfId="67" applyFont="1" applyFill="1" applyBorder="1" applyAlignment="1">
      <alignment horizontal="center"/>
    </xf>
    <xf numFmtId="0" fontId="2" fillId="0" borderId="37" xfId="67" applyFont="1" applyBorder="1" applyAlignment="1">
      <alignment horizontal="center"/>
    </xf>
    <xf numFmtId="0" fontId="2" fillId="0" borderId="61" xfId="67" applyFont="1" applyBorder="1" applyAlignment="1">
      <alignment horizontal="center" wrapText="1"/>
    </xf>
    <xf numFmtId="0" fontId="34" fillId="0" borderId="54" xfId="67" applyFont="1" applyBorder="1" applyAlignment="1">
      <alignment horizontal="center"/>
    </xf>
    <xf numFmtId="0" fontId="1" fillId="0" borderId="0" xfId="67" applyBorder="1" applyAlignment="1"/>
    <xf numFmtId="0" fontId="1" fillId="0" borderId="55" xfId="67" applyBorder="1" applyAlignment="1"/>
    <xf numFmtId="0" fontId="2" fillId="0" borderId="54" xfId="67" applyFont="1" applyBorder="1" applyAlignment="1">
      <alignment horizontal="center"/>
    </xf>
    <xf numFmtId="0" fontId="1" fillId="0" borderId="54" xfId="67" applyBorder="1"/>
    <xf numFmtId="164" fontId="1" fillId="0" borderId="0" xfId="67" applyNumberFormat="1" applyBorder="1" applyAlignment="1"/>
    <xf numFmtId="164" fontId="1" fillId="0" borderId="0" xfId="67" applyNumberFormat="1" applyFill="1" applyBorder="1" applyAlignment="1"/>
    <xf numFmtId="164" fontId="1" fillId="0" borderId="0" xfId="67" applyNumberFormat="1" applyBorder="1" applyAlignment="1">
      <alignment horizontal="right"/>
    </xf>
    <xf numFmtId="164" fontId="1" fillId="0" borderId="55" xfId="67" applyNumberFormat="1" applyBorder="1" applyAlignment="1"/>
    <xf numFmtId="164" fontId="1" fillId="0" borderId="0" xfId="67" applyNumberFormat="1"/>
    <xf numFmtId="164" fontId="1" fillId="0" borderId="18" xfId="67" applyNumberFormat="1" applyFill="1" applyBorder="1" applyAlignment="1"/>
    <xf numFmtId="164" fontId="1" fillId="0" borderId="53" xfId="67" applyNumberFormat="1" applyFill="1" applyBorder="1" applyAlignment="1"/>
    <xf numFmtId="164" fontId="1" fillId="0" borderId="55" xfId="67" applyNumberFormat="1" applyFill="1" applyBorder="1" applyAlignment="1"/>
    <xf numFmtId="164" fontId="1" fillId="0" borderId="0" xfId="67" applyNumberFormat="1" applyFill="1" applyBorder="1" applyAlignment="1">
      <alignment horizontal="right"/>
    </xf>
    <xf numFmtId="0" fontId="2" fillId="0" borderId="54" xfId="67" applyFont="1" applyFill="1" applyBorder="1" applyAlignment="1">
      <alignment horizontal="left" indent="1"/>
    </xf>
    <xf numFmtId="164" fontId="1" fillId="0" borderId="27" xfId="67" applyNumberFormat="1" applyFill="1" applyBorder="1" applyAlignment="1"/>
    <xf numFmtId="0" fontId="2" fillId="0" borderId="54" xfId="67" applyFont="1" applyFill="1" applyBorder="1" applyAlignment="1">
      <alignment horizontal="center" wrapText="1"/>
    </xf>
    <xf numFmtId="164" fontId="1" fillId="0" borderId="14" xfId="67" applyNumberFormat="1" applyFill="1" applyBorder="1" applyAlignment="1">
      <alignment horizontal="right"/>
    </xf>
    <xf numFmtId="0" fontId="2" fillId="0" borderId="52" xfId="67" applyFont="1" applyFill="1" applyBorder="1" applyAlignment="1">
      <alignment horizontal="left" indent="1"/>
    </xf>
    <xf numFmtId="0" fontId="2" fillId="0" borderId="62" xfId="67" applyFont="1" applyFill="1" applyBorder="1" applyAlignment="1">
      <alignment horizontal="left" indent="1"/>
    </xf>
    <xf numFmtId="164" fontId="1" fillId="0" borderId="63" xfId="67" applyNumberFormat="1" applyFill="1" applyBorder="1" applyAlignment="1"/>
    <xf numFmtId="0" fontId="2" fillId="0" borderId="11" xfId="67" applyFont="1" applyFill="1" applyBorder="1"/>
    <xf numFmtId="164" fontId="1" fillId="45" borderId="18" xfId="67" applyNumberFormat="1" applyFill="1" applyBorder="1" applyAlignment="1"/>
    <xf numFmtId="164" fontId="1" fillId="45" borderId="18" xfId="67" quotePrefix="1" applyNumberFormat="1" applyFill="1" applyBorder="1" applyAlignment="1"/>
    <xf numFmtId="49" fontId="1" fillId="0" borderId="0" xfId="67" applyNumberFormat="1"/>
    <xf numFmtId="164" fontId="1" fillId="45" borderId="18" xfId="67" applyNumberFormat="1" applyFill="1" applyBorder="1" applyAlignment="1">
      <alignment horizontal="right"/>
    </xf>
    <xf numFmtId="164" fontId="1" fillId="45" borderId="19" xfId="67" applyNumberFormat="1" applyFill="1" applyBorder="1" applyAlignment="1">
      <alignment horizontal="right"/>
    </xf>
    <xf numFmtId="164" fontId="1" fillId="45" borderId="53" xfId="67" applyNumberFormat="1" applyFill="1" applyBorder="1" applyAlignment="1">
      <alignment horizontal="right"/>
    </xf>
    <xf numFmtId="164" fontId="1" fillId="45" borderId="0" xfId="67" applyNumberFormat="1" applyFill="1" applyBorder="1" applyAlignment="1"/>
    <xf numFmtId="164" fontId="2" fillId="0" borderId="58" xfId="67" applyNumberFormat="1" applyFont="1" applyFill="1" applyBorder="1" applyAlignment="1"/>
    <xf numFmtId="164" fontId="2" fillId="0" borderId="60" xfId="67" applyNumberFormat="1" applyFont="1" applyFill="1" applyBorder="1" applyAlignment="1"/>
    <xf numFmtId="0" fontId="2" fillId="0" borderId="38" xfId="67" applyFont="1" applyFill="1" applyBorder="1" applyAlignment="1">
      <alignment wrapText="1"/>
    </xf>
    <xf numFmtId="164" fontId="2" fillId="0" borderId="38" xfId="67" applyNumberFormat="1" applyFont="1" applyFill="1" applyBorder="1" applyAlignment="1"/>
    <xf numFmtId="0" fontId="2" fillId="0" borderId="0" xfId="67" applyFont="1" applyBorder="1" applyAlignment="1">
      <alignment wrapText="1"/>
    </xf>
    <xf numFmtId="164" fontId="1" fillId="0" borderId="0" xfId="67" applyNumberFormat="1" applyBorder="1"/>
    <xf numFmtId="40" fontId="1" fillId="0" borderId="32" xfId="0" applyNumberFormat="1" applyFont="1" applyBorder="1" applyAlignment="1" applyProtection="1">
      <alignment horizontal="center"/>
    </xf>
    <xf numFmtId="3" fontId="35" fillId="44" borderId="17" xfId="0" applyNumberFormat="1" applyFont="1" applyFill="1" applyBorder="1" applyAlignment="1" applyProtection="1">
      <alignment horizontal="center"/>
      <protection locked="0"/>
    </xf>
    <xf numFmtId="164" fontId="2" fillId="44" borderId="58" xfId="67" applyNumberFormat="1" applyFont="1" applyFill="1" applyBorder="1"/>
    <xf numFmtId="0" fontId="42" fillId="0" borderId="0" xfId="0" applyFont="1" applyAlignment="1"/>
    <xf numFmtId="174" fontId="2" fillId="44" borderId="58" xfId="67" applyNumberFormat="1" applyFont="1" applyFill="1" applyBorder="1"/>
    <xf numFmtId="164" fontId="1" fillId="44" borderId="0" xfId="51" applyNumberFormat="1" applyFont="1" applyFill="1" applyBorder="1"/>
    <xf numFmtId="169" fontId="2" fillId="44" borderId="58" xfId="48" applyNumberFormat="1" applyFont="1" applyFill="1" applyBorder="1"/>
    <xf numFmtId="0" fontId="28" fillId="0" borderId="0" xfId="67" applyFont="1" applyProtection="1"/>
    <xf numFmtId="1" fontId="28" fillId="0" borderId="0" xfId="67" applyNumberFormat="1" applyFont="1" applyProtection="1"/>
    <xf numFmtId="3" fontId="28" fillId="0" borderId="0" xfId="67" applyNumberFormat="1" applyFont="1" applyProtection="1"/>
    <xf numFmtId="0" fontId="42" fillId="0" borderId="0" xfId="67" applyFont="1" applyAlignment="1"/>
    <xf numFmtId="8" fontId="28" fillId="0" borderId="0" xfId="67" applyNumberFormat="1" applyFont="1" applyProtection="1"/>
    <xf numFmtId="0" fontId="5" fillId="0" borderId="45" xfId="67" applyFont="1" applyFill="1" applyBorder="1" applyAlignment="1">
      <alignment wrapText="1"/>
    </xf>
    <xf numFmtId="6" fontId="1" fillId="0" borderId="64" xfId="67" applyNumberFormat="1" applyFill="1" applyBorder="1"/>
    <xf numFmtId="0" fontId="1" fillId="0" borderId="0" xfId="67" applyNumberFormat="1" applyFont="1" applyFill="1" applyBorder="1" applyAlignment="1">
      <alignment horizontal="left" wrapText="1"/>
    </xf>
    <xf numFmtId="6" fontId="2" fillId="0" borderId="0" xfId="67" applyNumberFormat="1" applyFont="1" applyFill="1" applyBorder="1"/>
    <xf numFmtId="0" fontId="1" fillId="0" borderId="65" xfId="67" applyBorder="1"/>
    <xf numFmtId="164" fontId="28" fillId="0" borderId="0" xfId="67" applyNumberFormat="1" applyFont="1" applyProtection="1"/>
    <xf numFmtId="0" fontId="4" fillId="0" borderId="11" xfId="68" applyFont="1" applyBorder="1" applyAlignment="1">
      <alignment horizontal="left"/>
    </xf>
    <xf numFmtId="175" fontId="2" fillId="44" borderId="58" xfId="49" applyNumberFormat="1" applyFont="1" applyFill="1" applyBorder="1"/>
    <xf numFmtId="0" fontId="45" fillId="0" borderId="0" xfId="67" applyFont="1" applyFill="1" applyBorder="1"/>
    <xf numFmtId="0" fontId="45" fillId="0" borderId="0" xfId="67" applyFont="1"/>
    <xf numFmtId="0" fontId="46" fillId="0" borderId="46" xfId="67" applyFont="1" applyFill="1" applyBorder="1" applyAlignment="1"/>
    <xf numFmtId="0" fontId="47" fillId="46" borderId="20" xfId="67" applyFont="1" applyFill="1" applyBorder="1" applyAlignment="1"/>
    <xf numFmtId="0" fontId="47" fillId="46" borderId="18" xfId="67" applyFont="1" applyFill="1" applyBorder="1" applyAlignment="1"/>
    <xf numFmtId="0" fontId="47" fillId="46" borderId="19" xfId="67" applyFont="1" applyFill="1" applyBorder="1" applyAlignment="1"/>
    <xf numFmtId="0" fontId="45" fillId="0" borderId="27" xfId="67" applyFont="1" applyFill="1" applyBorder="1" applyAlignment="1">
      <alignment horizontal="center" vertical="center"/>
    </xf>
    <xf numFmtId="0" fontId="45" fillId="0" borderId="0" xfId="67" applyFont="1" applyFill="1"/>
    <xf numFmtId="0" fontId="46" fillId="0" borderId="16" xfId="67" applyFont="1" applyFill="1" applyBorder="1" applyAlignment="1"/>
    <xf numFmtId="0" fontId="46" fillId="0" borderId="21" xfId="67" applyFont="1" applyFill="1" applyBorder="1" applyAlignment="1">
      <alignment horizontal="center"/>
    </xf>
    <xf numFmtId="0" fontId="46" fillId="0" borderId="14" xfId="67" applyFont="1" applyFill="1" applyBorder="1" applyAlignment="1">
      <alignment horizontal="center"/>
    </xf>
    <xf numFmtId="0" fontId="46" fillId="0" borderId="16" xfId="67" applyFont="1" applyFill="1" applyBorder="1" applyAlignment="1">
      <alignment horizontal="center"/>
    </xf>
    <xf numFmtId="0" fontId="46" fillId="0" borderId="14" xfId="67" applyFont="1" applyFill="1" applyBorder="1" applyAlignment="1">
      <alignment horizontal="center" vertical="center" wrapText="1"/>
    </xf>
    <xf numFmtId="0" fontId="47" fillId="0" borderId="18" xfId="67" applyFont="1" applyFill="1" applyBorder="1" applyAlignment="1">
      <alignment wrapText="1"/>
    </xf>
    <xf numFmtId="6" fontId="45" fillId="0" borderId="18" xfId="67" applyNumberFormat="1" applyFont="1" applyFill="1" applyBorder="1"/>
    <xf numFmtId="0" fontId="46" fillId="0" borderId="18" xfId="67" applyFont="1" applyFill="1" applyBorder="1" applyAlignment="1">
      <alignment horizontal="center" wrapText="1"/>
    </xf>
    <xf numFmtId="0" fontId="45" fillId="0" borderId="0" xfId="67" applyFont="1" applyFill="1" applyBorder="1" applyAlignment="1">
      <alignment horizontal="left" indent="2"/>
    </xf>
    <xf numFmtId="6" fontId="45" fillId="0" borderId="0" xfId="67" applyNumberFormat="1" applyFont="1" applyFill="1" applyBorder="1"/>
    <xf numFmtId="0" fontId="47" fillId="46" borderId="20" xfId="67" applyFont="1" applyFill="1" applyBorder="1"/>
    <xf numFmtId="6" fontId="46" fillId="46" borderId="18" xfId="67" applyNumberFormat="1" applyFont="1" applyFill="1" applyBorder="1"/>
    <xf numFmtId="0" fontId="45" fillId="0" borderId="0" xfId="67" applyFont="1" applyBorder="1"/>
    <xf numFmtId="0" fontId="47" fillId="0" borderId="0" xfId="67" applyFont="1" applyBorder="1"/>
    <xf numFmtId="0" fontId="45" fillId="0" borderId="0" xfId="67" applyFont="1" applyBorder="1" applyAlignment="1">
      <alignment horizontal="left" indent="2"/>
    </xf>
    <xf numFmtId="0" fontId="45" fillId="47" borderId="0" xfId="67" applyFont="1" applyFill="1" applyBorder="1"/>
    <xf numFmtId="6" fontId="45" fillId="47" borderId="0" xfId="67" applyNumberFormat="1" applyFont="1" applyFill="1" applyBorder="1"/>
    <xf numFmtId="0" fontId="46" fillId="0" borderId="0" xfId="67" applyFont="1" applyBorder="1"/>
    <xf numFmtId="0" fontId="46" fillId="0" borderId="14" xfId="67" applyFont="1" applyFill="1" applyBorder="1" applyAlignment="1">
      <alignment wrapText="1"/>
    </xf>
    <xf numFmtId="0" fontId="45" fillId="0" borderId="14" xfId="67" applyFont="1" applyBorder="1"/>
    <xf numFmtId="0" fontId="45" fillId="0" borderId="14" xfId="67" applyFont="1" applyFill="1" applyBorder="1"/>
    <xf numFmtId="6" fontId="45" fillId="0" borderId="14" xfId="67" applyNumberFormat="1" applyFont="1" applyFill="1" applyBorder="1"/>
    <xf numFmtId="0" fontId="45" fillId="0" borderId="0" xfId="67" applyFont="1" applyFill="1" applyBorder="1" applyAlignment="1">
      <alignment horizontal="left" wrapText="1" indent="2"/>
    </xf>
    <xf numFmtId="0" fontId="45" fillId="0" borderId="0" xfId="67" applyFont="1" applyFill="1" applyAlignment="1">
      <alignment horizontal="left" indent="2"/>
    </xf>
    <xf numFmtId="0" fontId="46" fillId="0" borderId="17" xfId="67" applyFont="1" applyFill="1" applyBorder="1"/>
    <xf numFmtId="6" fontId="46" fillId="0" borderId="0" xfId="67" applyNumberFormat="1" applyFont="1" applyFill="1" applyBorder="1"/>
    <xf numFmtId="0" fontId="46" fillId="0" borderId="0" xfId="67" applyFont="1" applyFill="1" applyBorder="1"/>
    <xf numFmtId="0" fontId="46" fillId="0" borderId="0" xfId="67" applyFont="1" applyFill="1" applyBorder="1" applyAlignment="1">
      <alignment wrapText="1"/>
    </xf>
    <xf numFmtId="0" fontId="47" fillId="48" borderId="18" xfId="67" applyFont="1" applyFill="1" applyBorder="1"/>
    <xf numFmtId="6" fontId="45" fillId="48" borderId="18" xfId="67" applyNumberFormat="1" applyFont="1" applyFill="1" applyBorder="1"/>
    <xf numFmtId="0" fontId="47" fillId="0" borderId="14" xfId="67" applyFont="1" applyFill="1" applyBorder="1"/>
    <xf numFmtId="0" fontId="47" fillId="46" borderId="18" xfId="67" applyFont="1" applyFill="1" applyBorder="1"/>
    <xf numFmtId="0" fontId="45" fillId="46" borderId="18" xfId="67" applyFont="1" applyFill="1" applyBorder="1"/>
    <xf numFmtId="6" fontId="45" fillId="46" borderId="18" xfId="67" applyNumberFormat="1" applyFont="1" applyFill="1" applyBorder="1"/>
    <xf numFmtId="0" fontId="46" fillId="0" borderId="27" xfId="67" applyFont="1" applyFill="1" applyBorder="1"/>
    <xf numFmtId="0" fontId="45" fillId="0" borderId="27" xfId="67" applyFont="1" applyFill="1" applyBorder="1"/>
    <xf numFmtId="0" fontId="45" fillId="46" borderId="0" xfId="67" applyFont="1" applyFill="1" applyBorder="1"/>
    <xf numFmtId="0" fontId="48" fillId="0" borderId="0" xfId="67" applyFont="1" applyFill="1" applyBorder="1"/>
    <xf numFmtId="0" fontId="45" fillId="0" borderId="0" xfId="67" applyFont="1" applyFill="1" applyBorder="1" applyAlignment="1">
      <alignment vertical="top" wrapText="1"/>
    </xf>
    <xf numFmtId="0" fontId="45" fillId="0" borderId="0" xfId="67" applyFont="1" applyFill="1" applyBorder="1" applyAlignment="1">
      <alignment horizontal="left" vertical="top" wrapText="1"/>
    </xf>
    <xf numFmtId="0" fontId="49" fillId="0" borderId="0" xfId="67" applyFont="1" applyFill="1" applyBorder="1"/>
    <xf numFmtId="6" fontId="45" fillId="0" borderId="0" xfId="67" applyNumberFormat="1" applyFont="1" applyFill="1" applyBorder="1" applyAlignment="1">
      <alignment horizontal="right"/>
    </xf>
    <xf numFmtId="6" fontId="45" fillId="0" borderId="0" xfId="67" applyNumberFormat="1" applyFont="1" applyBorder="1"/>
    <xf numFmtId="168" fontId="45" fillId="0" borderId="0" xfId="67" applyNumberFormat="1" applyFont="1" applyBorder="1"/>
    <xf numFmtId="168" fontId="45" fillId="0" borderId="0" xfId="53" applyNumberFormat="1" applyFont="1" applyFill="1" applyBorder="1"/>
    <xf numFmtId="168" fontId="45" fillId="0" borderId="0" xfId="53" applyNumberFormat="1" applyFont="1" applyBorder="1"/>
    <xf numFmtId="43" fontId="40" fillId="43" borderId="46" xfId="46" quotePrefix="1" applyFont="1" applyFill="1" applyBorder="1" applyAlignment="1">
      <alignment horizontal="left"/>
    </xf>
    <xf numFmtId="43" fontId="40" fillId="43" borderId="16" xfId="46" quotePrefix="1" applyFont="1" applyFill="1" applyBorder="1" applyAlignment="1">
      <alignment horizontal="left"/>
    </xf>
    <xf numFmtId="4" fontId="1" fillId="0" borderId="25" xfId="0" applyNumberFormat="1" applyFont="1" applyFill="1" applyBorder="1" applyAlignment="1" applyProtection="1">
      <alignment horizontal="center"/>
    </xf>
    <xf numFmtId="165" fontId="1" fillId="0" borderId="25" xfId="0" applyNumberFormat="1" applyFont="1" applyBorder="1" applyAlignment="1" applyProtection="1">
      <alignment horizontal="center"/>
    </xf>
    <xf numFmtId="172" fontId="41" fillId="49" borderId="11" xfId="0" applyNumberFormat="1" applyFont="1" applyFill="1" applyBorder="1" applyAlignment="1">
      <alignment horizontal="right"/>
    </xf>
    <xf numFmtId="172" fontId="3" fillId="49" borderId="11" xfId="0" applyNumberFormat="1" applyFont="1" applyFill="1" applyBorder="1" applyAlignment="1"/>
    <xf numFmtId="172" fontId="3" fillId="49" borderId="11" xfId="0" applyNumberFormat="1" applyFont="1" applyFill="1" applyBorder="1" applyAlignment="1">
      <alignment horizontal="right"/>
    </xf>
    <xf numFmtId="1" fontId="3" fillId="49" borderId="11" xfId="0" applyNumberFormat="1" applyFont="1" applyFill="1" applyBorder="1" applyAlignment="1">
      <alignment horizontal="right"/>
    </xf>
    <xf numFmtId="172" fontId="41" fillId="49" borderId="11" xfId="0" applyNumberFormat="1" applyFont="1" applyFill="1" applyBorder="1" applyAlignment="1"/>
    <xf numFmtId="172" fontId="4" fillId="49" borderId="11" xfId="0" applyNumberFormat="1" applyFont="1" applyFill="1" applyBorder="1" applyAlignment="1">
      <alignment horizontal="right"/>
    </xf>
    <xf numFmtId="172" fontId="4" fillId="49" borderId="11" xfId="0" applyNumberFormat="1" applyFont="1" applyFill="1" applyBorder="1" applyAlignment="1"/>
    <xf numFmtId="172" fontId="41" fillId="49" borderId="0" xfId="0" applyNumberFormat="1" applyFont="1" applyFill="1" applyBorder="1" applyAlignment="1"/>
    <xf numFmtId="2" fontId="41" fillId="49" borderId="11" xfId="0" applyNumberFormat="1" applyFont="1" applyFill="1" applyBorder="1" applyAlignment="1">
      <alignment horizontal="right"/>
    </xf>
    <xf numFmtId="172" fontId="4" fillId="49" borderId="13" xfId="0" applyNumberFormat="1" applyFont="1" applyFill="1" applyBorder="1" applyAlignment="1">
      <alignment horizontal="right"/>
    </xf>
    <xf numFmtId="0" fontId="53" fillId="0" borderId="0" xfId="0" applyFont="1" applyFill="1"/>
    <xf numFmtId="3" fontId="53" fillId="50" borderId="11" xfId="0" applyNumberFormat="1" applyFont="1" applyFill="1" applyBorder="1" applyAlignment="1">
      <alignment wrapText="1"/>
    </xf>
    <xf numFmtId="0" fontId="53" fillId="0" borderId="0" xfId="0" applyFont="1"/>
    <xf numFmtId="0" fontId="53" fillId="0" borderId="0" xfId="0" applyFont="1" applyProtection="1"/>
    <xf numFmtId="172" fontId="41" fillId="49" borderId="0" xfId="0" applyNumberFormat="1" applyFont="1" applyFill="1" applyAlignment="1">
      <alignment horizontal="right"/>
    </xf>
    <xf numFmtId="3" fontId="53" fillId="50" borderId="11" xfId="0" applyNumberFormat="1" applyFont="1" applyFill="1" applyBorder="1" applyAlignment="1">
      <alignment horizontal="right" wrapText="1"/>
    </xf>
    <xf numFmtId="0" fontId="45" fillId="48" borderId="0" xfId="67" applyFont="1" applyFill="1" applyBorder="1"/>
    <xf numFmtId="0" fontId="2" fillId="44" borderId="0" xfId="67" applyFont="1" applyFill="1" applyAlignment="1">
      <alignment horizontal="center"/>
    </xf>
    <xf numFmtId="171" fontId="1" fillId="44" borderId="0" xfId="67" applyNumberFormat="1" applyFont="1" applyFill="1" applyAlignment="1">
      <alignment horizontal="center"/>
    </xf>
    <xf numFmtId="0" fontId="1" fillId="44" borderId="0" xfId="67" applyFont="1" applyFill="1" applyAlignment="1">
      <alignment horizontal="center"/>
    </xf>
    <xf numFmtId="0" fontId="1" fillId="44" borderId="0" xfId="67" applyFont="1" applyFill="1" applyAlignment="1"/>
    <xf numFmtId="0" fontId="1" fillId="44" borderId="0" xfId="67" applyFont="1" applyFill="1"/>
    <xf numFmtId="0" fontId="2" fillId="44" borderId="11" xfId="67" applyFont="1" applyFill="1" applyBorder="1" applyAlignment="1">
      <alignment horizontal="center"/>
    </xf>
    <xf numFmtId="171" fontId="1" fillId="44" borderId="11" xfId="67" applyNumberFormat="1" applyFont="1" applyFill="1" applyBorder="1" applyAlignment="1">
      <alignment horizontal="center"/>
    </xf>
    <xf numFmtId="0" fontId="2" fillId="44" borderId="11" xfId="67" applyFont="1" applyFill="1" applyBorder="1" applyAlignment="1">
      <alignment wrapText="1"/>
    </xf>
    <xf numFmtId="0" fontId="55" fillId="0" borderId="0" xfId="0" applyFont="1"/>
    <xf numFmtId="0" fontId="33" fillId="0" borderId="0" xfId="0" applyFont="1" applyAlignment="1" applyProtection="1">
      <alignment vertical="top" wrapText="1"/>
    </xf>
    <xf numFmtId="0" fontId="0" fillId="0" borderId="0" xfId="0"/>
    <xf numFmtId="0" fontId="2" fillId="0" borderId="0" xfId="0" applyNumberFormat="1" applyFont="1" applyAlignment="1" applyProtection="1">
      <alignment vertical="top" wrapText="1"/>
    </xf>
    <xf numFmtId="0" fontId="0" fillId="0" borderId="0" xfId="0" applyAlignment="1">
      <alignment vertical="top" wrapText="1"/>
    </xf>
    <xf numFmtId="0" fontId="33" fillId="0" borderId="0" xfId="0" applyNumberFormat="1" applyFont="1" applyAlignment="1" applyProtection="1">
      <alignment vertical="top" wrapText="1"/>
    </xf>
    <xf numFmtId="0" fontId="2" fillId="0" borderId="0" xfId="0" applyFont="1" applyFill="1" applyAlignment="1" applyProtection="1">
      <alignment wrapText="1"/>
    </xf>
    <xf numFmtId="0" fontId="2" fillId="0" borderId="11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 wrapText="1"/>
    </xf>
    <xf numFmtId="0" fontId="54" fillId="0" borderId="3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3" fillId="0" borderId="11" xfId="0" applyFont="1" applyFill="1" applyBorder="1" applyAlignment="1">
      <alignment horizontal="center"/>
    </xf>
    <xf numFmtId="0" fontId="2" fillId="0" borderId="0" xfId="67" applyFont="1" applyFill="1" applyAlignment="1" applyProtection="1">
      <alignment wrapText="1"/>
    </xf>
    <xf numFmtId="0" fontId="52" fillId="0" borderId="0" xfId="67" applyFont="1" applyFill="1" applyBorder="1" applyAlignment="1">
      <alignment horizontal="left" vertical="top" wrapText="1"/>
    </xf>
    <xf numFmtId="0" fontId="51" fillId="0" borderId="0" xfId="67" applyFont="1" applyFill="1" applyBorder="1" applyAlignment="1">
      <alignment horizontal="left" vertical="top" wrapText="1"/>
    </xf>
    <xf numFmtId="0" fontId="46" fillId="0" borderId="22" xfId="67" applyFont="1" applyFill="1" applyBorder="1" applyAlignment="1">
      <alignment horizontal="center" vertical="center" wrapText="1"/>
    </xf>
    <xf numFmtId="0" fontId="46" fillId="0" borderId="21" xfId="67" applyFont="1" applyFill="1" applyBorder="1" applyAlignment="1">
      <alignment horizontal="center" vertical="center" wrapText="1"/>
    </xf>
    <xf numFmtId="0" fontId="46" fillId="0" borderId="15" xfId="67" applyFont="1" applyFill="1" applyBorder="1" applyAlignment="1">
      <alignment horizontal="center" vertical="center" wrapText="1"/>
    </xf>
    <xf numFmtId="0" fontId="46" fillId="0" borderId="34" xfId="67" applyFont="1" applyFill="1" applyBorder="1" applyAlignment="1">
      <alignment horizontal="center" vertical="center" wrapText="1"/>
    </xf>
    <xf numFmtId="0" fontId="1" fillId="0" borderId="0" xfId="67" applyAlignment="1">
      <alignment wrapText="1"/>
    </xf>
  </cellXfs>
  <cellStyles count="11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2" xfId="47"/>
    <cellStyle name="Comma 2 2" xfId="48"/>
    <cellStyle name="Currency" xfId="49" builtinId="4"/>
    <cellStyle name="Currency 2" xfId="50"/>
    <cellStyle name="Currency 2 2" xfId="51"/>
    <cellStyle name="Currency 3" xfId="52"/>
    <cellStyle name="Currency 3 2" xfId="53"/>
    <cellStyle name="Currency 4" xfId="54"/>
    <cellStyle name="Emphasis 1" xfId="55"/>
    <cellStyle name="Emphasis 2" xfId="56"/>
    <cellStyle name="Emphasis 3" xfId="57"/>
    <cellStyle name="Explanatory Text" xfId="58" builtinId="53" customBuiltin="1"/>
    <cellStyle name="Good" xfId="59" builtinId="26" customBuiltin="1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Input" xfId="64" builtinId="20" customBuiltin="1"/>
    <cellStyle name="Linked Cell" xfId="65" builtinId="24" customBuiltin="1"/>
    <cellStyle name="Neutral" xfId="66" builtinId="28" customBuiltin="1"/>
    <cellStyle name="Normal" xfId="0" builtinId="0"/>
    <cellStyle name="Normal 2" xfId="67"/>
    <cellStyle name="Normal_Funding Shift Table Sample" xfId="68"/>
    <cellStyle name="Note" xfId="69" builtinId="10" customBuiltin="1"/>
    <cellStyle name="Output" xfId="70" builtinId="21" customBuiltin="1"/>
    <cellStyle name="Percent 2" xfId="71"/>
    <cellStyle name="Percent 2 2" xfId="72"/>
    <cellStyle name="SAPBEXaggData" xfId="73"/>
    <cellStyle name="SAPBEXaggDataEmph" xfId="74"/>
    <cellStyle name="SAPBEXaggItem" xfId="75"/>
    <cellStyle name="SAPBEXaggItemX" xfId="76"/>
    <cellStyle name="SAPBEXchaText" xfId="77"/>
    <cellStyle name="SAPBEXexcBad7" xfId="78"/>
    <cellStyle name="SAPBEXexcBad8" xfId="79"/>
    <cellStyle name="SAPBEXexcBad9" xfId="80"/>
    <cellStyle name="SAPBEXexcCritical4" xfId="81"/>
    <cellStyle name="SAPBEXexcCritical5" xfId="82"/>
    <cellStyle name="SAPBEXexcCritical6" xfId="83"/>
    <cellStyle name="SAPBEXexcGood1" xfId="84"/>
    <cellStyle name="SAPBEXexcGood2" xfId="85"/>
    <cellStyle name="SAPBEXexcGood3" xfId="86"/>
    <cellStyle name="SAPBEXfilterDrill" xfId="87"/>
    <cellStyle name="SAPBEXfilterItem" xfId="88"/>
    <cellStyle name="SAPBEXfilterText" xfId="89"/>
    <cellStyle name="SAPBEXformats" xfId="90"/>
    <cellStyle name="SAPBEXheaderItem" xfId="91"/>
    <cellStyle name="SAPBEXheaderText" xfId="92"/>
    <cellStyle name="SAPBEXHLevel0" xfId="93"/>
    <cellStyle name="SAPBEXHLevel0X" xfId="94"/>
    <cellStyle name="SAPBEXHLevel1" xfId="95"/>
    <cellStyle name="SAPBEXHLevel1X" xfId="96"/>
    <cellStyle name="SAPBEXHLevel2" xfId="97"/>
    <cellStyle name="SAPBEXHLevel2X" xfId="98"/>
    <cellStyle name="SAPBEXHLevel3" xfId="99"/>
    <cellStyle name="SAPBEXHLevel3X" xfId="100"/>
    <cellStyle name="SAPBEXinputData" xfId="101"/>
    <cellStyle name="SAPBEXresData" xfId="102"/>
    <cellStyle name="SAPBEXresDataEmph" xfId="103"/>
    <cellStyle name="SAPBEXresItem" xfId="104"/>
    <cellStyle name="SAPBEXresItemX" xfId="105"/>
    <cellStyle name="SAPBEXstdData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heet Title" xfId="112"/>
    <cellStyle name="Title" xfId="113" builtinId="15" customBuiltin="1"/>
    <cellStyle name="Total" xfId="114" builtinId="25" customBuiltin="1"/>
    <cellStyle name="Warning Text" xfId="1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14</xdr:col>
      <xdr:colOff>0</xdr:colOff>
      <xdr:row>4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86350" y="600075"/>
          <a:ext cx="92583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2012 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Kinjo\AppData\Local\Microsoft\Windows\Temporary%20Internet%20Files\Content.Outlook\XGUO2WB4\BIP%20Study%20Appendix%20FF%20%20Ex-Ante%20Load%20Impact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3%20CPUC%20M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 t="str">
            <v/>
          </cell>
          <cell r="P33">
            <v>0</v>
          </cell>
        </row>
        <row r="34">
          <cell r="N34" t="str">
            <v/>
          </cell>
          <cell r="P34">
            <v>0</v>
          </cell>
        </row>
        <row r="35">
          <cell r="N35" t="str">
            <v/>
          </cell>
          <cell r="P35">
            <v>0</v>
          </cell>
        </row>
        <row r="36">
          <cell r="N36" t="str">
            <v/>
          </cell>
          <cell r="P36">
            <v>0</v>
          </cell>
        </row>
        <row r="37">
          <cell r="N37" t="str">
            <v/>
          </cell>
          <cell r="P37">
            <v>0</v>
          </cell>
        </row>
        <row r="38">
          <cell r="N38" t="str">
            <v/>
          </cell>
          <cell r="P38">
            <v>0</v>
          </cell>
        </row>
        <row r="39">
          <cell r="N39" t="str">
            <v/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 t="str">
            <v/>
          </cell>
          <cell r="P46">
            <v>0</v>
          </cell>
        </row>
        <row r="47">
          <cell r="N47" t="str">
            <v/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 t="str">
            <v/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 t="str">
            <v/>
          </cell>
          <cell r="P82">
            <v>0</v>
          </cell>
        </row>
        <row r="83">
          <cell r="N83" t="str">
            <v/>
          </cell>
          <cell r="P83">
            <v>0</v>
          </cell>
        </row>
        <row r="84">
          <cell r="N84" t="str">
            <v/>
          </cell>
          <cell r="P84">
            <v>8</v>
          </cell>
        </row>
        <row r="85">
          <cell r="N85" t="str">
            <v/>
          </cell>
          <cell r="P85">
            <v>0</v>
          </cell>
        </row>
        <row r="86">
          <cell r="N86" t="str">
            <v/>
          </cell>
          <cell r="P86">
            <v>0</v>
          </cell>
        </row>
        <row r="87">
          <cell r="N87" t="str">
            <v/>
          </cell>
          <cell r="P87">
            <v>0</v>
          </cell>
        </row>
        <row r="88">
          <cell r="N88" t="str">
            <v/>
          </cell>
          <cell r="P88">
            <v>0</v>
          </cell>
        </row>
        <row r="89">
          <cell r="N89" t="str">
            <v/>
          </cell>
          <cell r="P89">
            <v>1</v>
          </cell>
        </row>
        <row r="90">
          <cell r="N90" t="str">
            <v/>
          </cell>
          <cell r="P90">
            <v>1</v>
          </cell>
        </row>
        <row r="91">
          <cell r="N91" t="str">
            <v/>
          </cell>
          <cell r="P91">
            <v>1</v>
          </cell>
        </row>
        <row r="92">
          <cell r="N92" t="str">
            <v/>
          </cell>
          <cell r="P92">
            <v>1</v>
          </cell>
        </row>
        <row r="93">
          <cell r="N93" t="str">
            <v/>
          </cell>
          <cell r="P93">
            <v>1</v>
          </cell>
        </row>
        <row r="94">
          <cell r="N94" t="str">
            <v/>
          </cell>
          <cell r="P94">
            <v>1</v>
          </cell>
        </row>
        <row r="95">
          <cell r="N95" t="str">
            <v/>
          </cell>
          <cell r="P95">
            <v>1</v>
          </cell>
        </row>
        <row r="96">
          <cell r="N96" t="str">
            <v/>
          </cell>
          <cell r="P96">
            <v>1</v>
          </cell>
        </row>
        <row r="97">
          <cell r="N97" t="str">
            <v/>
          </cell>
          <cell r="P97">
            <v>2</v>
          </cell>
        </row>
        <row r="98">
          <cell r="N98" t="str">
            <v/>
          </cell>
          <cell r="P98">
            <v>1</v>
          </cell>
        </row>
        <row r="99">
          <cell r="N99" t="str">
            <v/>
          </cell>
          <cell r="P99">
            <v>1</v>
          </cell>
        </row>
        <row r="100">
          <cell r="N100" t="str">
            <v/>
          </cell>
          <cell r="P100">
            <v>1</v>
          </cell>
        </row>
        <row r="101">
          <cell r="N101" t="str">
            <v/>
          </cell>
          <cell r="P101">
            <v>1</v>
          </cell>
        </row>
        <row r="102">
          <cell r="N102" t="str">
            <v/>
          </cell>
          <cell r="P102">
            <v>2442.12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OUTPUTS"/>
      <sheetName val="LOOKUP"/>
      <sheetName val="DATA"/>
      <sheetName val="ENROLLMENT"/>
    </sheetNames>
    <sheetDataSet>
      <sheetData sheetId="0" refreshError="1"/>
      <sheetData sheetId="1">
        <row r="2">
          <cell r="E2" t="str">
            <v>Typical Event Day</v>
          </cell>
        </row>
        <row r="3">
          <cell r="E3" t="str">
            <v>January Monthly Peak</v>
          </cell>
        </row>
        <row r="4">
          <cell r="E4" t="str">
            <v>February Monthly Peak</v>
          </cell>
        </row>
        <row r="5">
          <cell r="E5" t="str">
            <v>March Monthly Peak</v>
          </cell>
        </row>
        <row r="6">
          <cell r="E6" t="str">
            <v>April Monthly Peak</v>
          </cell>
        </row>
        <row r="7">
          <cell r="E7" t="str">
            <v>May Monthly Peak</v>
          </cell>
        </row>
        <row r="8">
          <cell r="E8" t="str">
            <v>June Monthly Peak</v>
          </cell>
        </row>
        <row r="9">
          <cell r="E9" t="str">
            <v>July Monthly Peak</v>
          </cell>
        </row>
        <row r="10">
          <cell r="E10" t="str">
            <v>August Monthly Peak</v>
          </cell>
        </row>
        <row r="11">
          <cell r="E11" t="str">
            <v>September Monthly Peak</v>
          </cell>
        </row>
        <row r="12">
          <cell r="E12" t="str">
            <v>October Monthly Peak</v>
          </cell>
        </row>
        <row r="13">
          <cell r="E13" t="str">
            <v>November Monthly Peak</v>
          </cell>
        </row>
        <row r="14">
          <cell r="E14" t="str">
            <v>December Monthly Peak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61"/>
  <sheetViews>
    <sheetView showGridLines="0" tabSelected="1" view="pageBreakPreview" zoomScaleNormal="100" zoomScaleSheetLayoutView="100" workbookViewId="0">
      <pane xSplit="1" topLeftCell="B1" activePane="topRight" state="frozen"/>
      <selection activeCell="A14" sqref="A14"/>
      <selection pane="topRight" activeCell="C25" sqref="C25"/>
    </sheetView>
  </sheetViews>
  <sheetFormatPr defaultRowHeight="12.75" x14ac:dyDescent="0.2"/>
  <cols>
    <col min="1" max="1" width="36.28515625" style="21" customWidth="1"/>
    <col min="2" max="2" width="9.42578125" style="21" bestFit="1" customWidth="1"/>
    <col min="3" max="3" width="11.5703125" style="21" customWidth="1"/>
    <col min="4" max="4" width="14" style="21" bestFit="1" customWidth="1"/>
    <col min="5" max="5" width="12" style="21" customWidth="1"/>
    <col min="6" max="6" width="9.140625" style="21"/>
    <col min="7" max="7" width="9.85546875" style="21" bestFit="1" customWidth="1"/>
    <col min="8" max="8" width="9.140625" style="21" bestFit="1"/>
    <col min="9" max="9" width="11.5703125" style="21" bestFit="1" customWidth="1"/>
    <col min="10" max="10" width="7.7109375" style="21" bestFit="1" customWidth="1"/>
    <col min="11" max="16" width="12.5703125" style="21" customWidth="1"/>
    <col min="17" max="17" width="10.7109375" style="21" customWidth="1"/>
    <col min="18" max="18" width="11" style="21" customWidth="1"/>
    <col min="19" max="19" width="11.28515625" style="21" customWidth="1"/>
    <col min="20" max="20" width="14.140625" style="21" hidden="1" customWidth="1"/>
    <col min="21" max="21" width="9.7109375" style="21" customWidth="1"/>
    <col min="22" max="22" width="11.42578125" style="21" customWidth="1"/>
    <col min="23" max="23" width="11" style="21" customWidth="1"/>
    <col min="24" max="25" width="9.7109375" style="21" customWidth="1"/>
    <col min="26" max="26" width="12.85546875" style="21" customWidth="1"/>
    <col min="27" max="27" width="8.85546875" style="21" bestFit="1" customWidth="1"/>
    <col min="28" max="28" width="10.5703125" style="21" customWidth="1"/>
    <col min="29" max="29" width="9.85546875" style="21" bestFit="1" customWidth="1"/>
    <col min="30" max="30" width="11.140625" style="21" customWidth="1"/>
    <col min="31" max="31" width="9.85546875" style="21" bestFit="1" customWidth="1"/>
    <col min="32" max="32" width="10.85546875" style="21" customWidth="1"/>
    <col min="33" max="33" width="12.140625" style="21" bestFit="1" customWidth="1"/>
    <col min="34" max="34" width="12.140625" style="21" customWidth="1"/>
    <col min="35" max="35" width="9.5703125" style="21" bestFit="1" customWidth="1"/>
    <col min="36" max="36" width="11.140625" style="21" customWidth="1"/>
    <col min="37" max="37" width="11.7109375" style="21" bestFit="1" customWidth="1"/>
    <col min="38" max="38" width="11.7109375" style="21" customWidth="1"/>
    <col min="39" max="16384" width="9.140625" style="21"/>
  </cols>
  <sheetData>
    <row r="1" spans="1:31" x14ac:dyDescent="0.2">
      <c r="E1" s="87"/>
    </row>
    <row r="3" spans="1:31" ht="14.25" customHeight="1" x14ac:dyDescent="0.2"/>
    <row r="4" spans="1:31" ht="14.25" customHeight="1" x14ac:dyDescent="0.2"/>
    <row r="5" spans="1:31" hidden="1" x14ac:dyDescent="0.2">
      <c r="C5" s="21">
        <v>2</v>
      </c>
      <c r="D5" s="21">
        <f>C5</f>
        <v>2</v>
      </c>
      <c r="F5" s="21">
        <f>C5+1</f>
        <v>3</v>
      </c>
      <c r="G5" s="21">
        <f>F5</f>
        <v>3</v>
      </c>
      <c r="I5" s="21">
        <f>F5+1</f>
        <v>4</v>
      </c>
      <c r="J5" s="21">
        <f>I5</f>
        <v>4</v>
      </c>
      <c r="L5" s="21">
        <f>I5+1</f>
        <v>5</v>
      </c>
      <c r="M5" s="21">
        <f>L5</f>
        <v>5</v>
      </c>
      <c r="O5" s="21">
        <f>L5+1</f>
        <v>6</v>
      </c>
      <c r="P5" s="21">
        <f>O5</f>
        <v>6</v>
      </c>
      <c r="R5" s="21">
        <f>O5+1</f>
        <v>7</v>
      </c>
      <c r="S5" s="21">
        <f>R5</f>
        <v>7</v>
      </c>
    </row>
    <row r="6" spans="1:31" x14ac:dyDescent="0.2">
      <c r="C6" s="5"/>
    </row>
    <row r="7" spans="1:31" ht="15" customHeight="1" x14ac:dyDescent="0.2">
      <c r="A7" s="22"/>
      <c r="B7" s="20"/>
      <c r="C7" s="88" t="s">
        <v>0</v>
      </c>
      <c r="D7" s="20"/>
      <c r="E7" s="20"/>
      <c r="F7" s="20" t="s">
        <v>1</v>
      </c>
      <c r="G7" s="20"/>
      <c r="H7" s="20"/>
      <c r="I7" s="20" t="s">
        <v>2</v>
      </c>
      <c r="J7" s="20"/>
      <c r="K7" s="20"/>
      <c r="L7" s="20" t="s">
        <v>3</v>
      </c>
      <c r="M7" s="20"/>
      <c r="N7" s="20"/>
      <c r="O7" s="20" t="s">
        <v>4</v>
      </c>
      <c r="P7" s="20"/>
      <c r="Q7" s="20"/>
      <c r="R7" s="20" t="s">
        <v>5</v>
      </c>
      <c r="S7" s="20"/>
      <c r="T7" s="23"/>
    </row>
    <row r="8" spans="1:31" ht="41.25" customHeight="1" x14ac:dyDescent="0.2">
      <c r="A8" s="24" t="s">
        <v>21</v>
      </c>
      <c r="B8" s="25" t="s">
        <v>15</v>
      </c>
      <c r="C8" s="26" t="s">
        <v>128</v>
      </c>
      <c r="D8" s="27" t="s">
        <v>129</v>
      </c>
      <c r="E8" s="25" t="s">
        <v>15</v>
      </c>
      <c r="F8" s="26" t="s">
        <v>128</v>
      </c>
      <c r="G8" s="27" t="s">
        <v>129</v>
      </c>
      <c r="H8" s="28" t="s">
        <v>15</v>
      </c>
      <c r="I8" s="26" t="s">
        <v>128</v>
      </c>
      <c r="J8" s="27" t="s">
        <v>129</v>
      </c>
      <c r="K8" s="29" t="s">
        <v>15</v>
      </c>
      <c r="L8" s="26" t="s">
        <v>128</v>
      </c>
      <c r="M8" s="27" t="s">
        <v>129</v>
      </c>
      <c r="N8" s="29" t="s">
        <v>15</v>
      </c>
      <c r="O8" s="26" t="s">
        <v>128</v>
      </c>
      <c r="P8" s="27" t="s">
        <v>129</v>
      </c>
      <c r="Q8" s="28" t="s">
        <v>15</v>
      </c>
      <c r="R8" s="26" t="s">
        <v>128</v>
      </c>
      <c r="S8" s="27" t="s">
        <v>129</v>
      </c>
      <c r="T8" s="27" t="s">
        <v>243</v>
      </c>
    </row>
    <row r="9" spans="1:31" ht="12.75" customHeight="1" x14ac:dyDescent="0.2">
      <c r="A9" s="30" t="s">
        <v>22</v>
      </c>
      <c r="B9" s="25"/>
      <c r="C9" s="25"/>
      <c r="D9" s="31"/>
      <c r="E9" s="28"/>
      <c r="F9" s="25"/>
      <c r="G9" s="31"/>
      <c r="H9" s="28"/>
      <c r="I9" s="25"/>
      <c r="J9" s="25"/>
      <c r="K9" s="28"/>
      <c r="L9" s="25"/>
      <c r="M9" s="32"/>
      <c r="N9" s="28"/>
      <c r="O9" s="25"/>
      <c r="P9" s="32"/>
      <c r="Q9" s="28"/>
      <c r="R9" s="25"/>
      <c r="S9" s="32"/>
      <c r="T9" s="32"/>
    </row>
    <row r="10" spans="1:31" x14ac:dyDescent="0.2">
      <c r="A10" s="2" t="s">
        <v>67</v>
      </c>
      <c r="B10" s="33">
        <v>0</v>
      </c>
      <c r="C10" s="167">
        <f>B10*(INDEX('Ex ante LI &amp; Eligibility Stats'!$A$5:$M$20,MATCH('Program MW '!$A10,'Ex ante LI &amp; Eligibility Stats'!$A$5:$A$20,0),MATCH('Program MW '!C$7,'Ex ante LI &amp; Eligibility Stats'!$A$5:$M$5,0))/1000)</f>
        <v>0</v>
      </c>
      <c r="D10" s="167">
        <f>B10*(INDEX('Ex post LI &amp; Eligibility Stats'!$A$6:$N$21,MATCH($A10,'Ex post LI &amp; Eligibility Stats'!$A$6:$A$21,0),MATCH('Program MW '!C$7,'Ex post LI &amp; Eligibility Stats'!$A$6:$N$6,0))/1000)</f>
        <v>0</v>
      </c>
      <c r="E10" s="34">
        <v>0</v>
      </c>
      <c r="F10" s="167">
        <f>E10*(INDEX('Ex ante LI &amp; Eligibility Stats'!$A$5:$M$20,MATCH('Program MW '!$A10,'Ex ante LI &amp; Eligibility Stats'!$A$5:$A$20,0),MATCH('Program MW '!F$7,'Ex ante LI &amp; Eligibility Stats'!$A$5:$M$5,0))/1000)</f>
        <v>0</v>
      </c>
      <c r="G10" s="167">
        <f>E10*(INDEX('Ex post LI &amp; Eligibility Stats'!$A$6:$N$21,MATCH($A10,'Ex post LI &amp; Eligibility Stats'!$A$6:$A$21,0),MATCH('Program MW '!F$7,'Ex post LI &amp; Eligibility Stats'!$A$6:$N$6,0))/1000)</f>
        <v>0</v>
      </c>
      <c r="H10" s="34">
        <v>0</v>
      </c>
      <c r="I10" s="167">
        <f>H10*(INDEX('Ex ante LI &amp; Eligibility Stats'!$A$5:$M$20,MATCH('Program MW '!$A10,'Ex ante LI &amp; Eligibility Stats'!$A$5:$A$20,0),MATCH('Program MW '!I$7,'Ex ante LI &amp; Eligibility Stats'!$A$5:$M$5,0))/1000)</f>
        <v>0</v>
      </c>
      <c r="J10" s="167">
        <f>H10*(INDEX('Ex post LI &amp; Eligibility Stats'!$A$6:$N$21,MATCH($A10,'Ex post LI &amp; Eligibility Stats'!$A$6:$A$21,0),MATCH('Program MW '!I$7,'Ex post LI &amp; Eligibility Stats'!$A$6:$N$6,0))/1000)</f>
        <v>0</v>
      </c>
      <c r="K10" s="34">
        <v>0</v>
      </c>
      <c r="L10" s="167">
        <f>K10*(INDEX('Ex ante LI &amp; Eligibility Stats'!$A$5:$M$20,MATCH('Program MW '!$A10,'Ex ante LI &amp; Eligibility Stats'!$A$5:$A$20,0),MATCH('Program MW '!L$7,'Ex ante LI &amp; Eligibility Stats'!$A$5:$M$5,0))/1000)</f>
        <v>0</v>
      </c>
      <c r="M10" s="167">
        <f>K10*(INDEX('Ex post LI &amp; Eligibility Stats'!$A$6:$N$21,MATCH($A10,'Ex post LI &amp; Eligibility Stats'!$A$6:$A$21,0),MATCH('Program MW '!L$7,'Ex post LI &amp; Eligibility Stats'!$A$6:$N$6,0))/1000)</f>
        <v>0</v>
      </c>
      <c r="N10" s="34">
        <v>0</v>
      </c>
      <c r="O10" s="167">
        <f>N10*(INDEX('Ex ante LI &amp; Eligibility Stats'!$A$5:$M$20,MATCH('Program MW '!$A10,'Ex ante LI &amp; Eligibility Stats'!$A$5:$A$20,0),MATCH('Program MW '!O$7,'Ex ante LI &amp; Eligibility Stats'!$A$5:$M$5,0))/1000)</f>
        <v>0</v>
      </c>
      <c r="P10" s="167">
        <f>N10*(INDEX('Ex post LI &amp; Eligibility Stats'!$A$6:$N$21,MATCH($A10,'Ex post LI &amp; Eligibility Stats'!$A$6:$A$21,0),MATCH('Program MW '!O$7,'Ex post LI &amp; Eligibility Stats'!$A$6:$N$6,0))/1000)</f>
        <v>0</v>
      </c>
      <c r="Q10" s="34">
        <v>0</v>
      </c>
      <c r="R10" s="167">
        <f>Q10*(INDEX('Ex ante LI &amp; Eligibility Stats'!$A$5:$M$20,MATCH('Program MW '!$A10,'Ex ante LI &amp; Eligibility Stats'!$A$5:$A$20,0),MATCH('Program MW '!R$7,'Ex ante LI &amp; Eligibility Stats'!$A$5:$M$5,0))/1000)</f>
        <v>0</v>
      </c>
      <c r="S10" s="167">
        <f>Q10*(INDEX('Ex post LI &amp; Eligibility Stats'!$A$6:$N$21,MATCH($A10,'Ex post LI &amp; Eligibility Stats'!$A$6:$A$21,0),MATCH('Program MW '!R$7,'Ex post LI &amp; Eligibility Stats'!$A$6:$N$6,0))/1000)</f>
        <v>0</v>
      </c>
      <c r="T10" s="35">
        <v>5276</v>
      </c>
      <c r="V10" s="163">
        <v>37157.9098099326</v>
      </c>
      <c r="W10" s="34">
        <v>30725</v>
      </c>
    </row>
    <row r="11" spans="1:31" x14ac:dyDescent="0.2">
      <c r="A11" s="2" t="s">
        <v>68</v>
      </c>
      <c r="B11" s="36">
        <v>7</v>
      </c>
      <c r="C11" s="167">
        <f>B11*(INDEX('Ex ante LI &amp; Eligibility Stats'!$A$5:$M$20,MATCH('Program MW '!$A11,'Ex ante LI &amp; Eligibility Stats'!$A$5:$A$20,0),MATCH('Program MW '!C$7,'Ex ante LI &amp; Eligibility Stats'!$A$5:$M$5,0))/1000)</f>
        <v>0.18694071666666667</v>
      </c>
      <c r="D11" s="167">
        <f>B11*(INDEX('Ex post LI &amp; Eligibility Stats'!$A$6:$N$21,MATCH($A11,'Ex post LI &amp; Eligibility Stats'!$A$6:$A$21,0),MATCH('Program MW '!C$7,'Ex post LI &amp; Eligibility Stats'!$A$6:$N$6,0))/1000)</f>
        <v>0.32886280000000001</v>
      </c>
      <c r="E11" s="34">
        <v>0</v>
      </c>
      <c r="F11" s="167">
        <f>E11*(INDEX('Ex ante LI &amp; Eligibility Stats'!$A$5:$M$20,MATCH('Program MW '!$A11,'Ex ante LI &amp; Eligibility Stats'!$A$5:$A$20,0),MATCH('Program MW '!F$7,'Ex ante LI &amp; Eligibility Stats'!$A$5:$M$5,0))/1000)</f>
        <v>0</v>
      </c>
      <c r="G11" s="167">
        <f>E11*(INDEX('Ex post LI &amp; Eligibility Stats'!$A$6:$N$21,MATCH($A11,'Ex post LI &amp; Eligibility Stats'!$A$6:$A$21,0),MATCH('Program MW '!F$7,'Ex post LI &amp; Eligibility Stats'!$A$6:$N$6,0))/1000)</f>
        <v>0</v>
      </c>
      <c r="H11" s="34">
        <v>0</v>
      </c>
      <c r="I11" s="167">
        <f>H11*(INDEX('Ex ante LI &amp; Eligibility Stats'!$A$5:$M$20,MATCH('Program MW '!$A11,'Ex ante LI &amp; Eligibility Stats'!$A$5:$A$20,0),MATCH('Program MW '!I$7,'Ex ante LI &amp; Eligibility Stats'!$A$5:$M$5,0))/1000)</f>
        <v>0</v>
      </c>
      <c r="J11" s="167">
        <f>H11*(INDEX('Ex post LI &amp; Eligibility Stats'!$A$6:$N$21,MATCH($A11,'Ex post LI &amp; Eligibility Stats'!$A$6:$A$21,0),MATCH('Program MW '!I$7,'Ex post LI &amp; Eligibility Stats'!$A$6:$N$6,0))/1000)</f>
        <v>0</v>
      </c>
      <c r="K11" s="34">
        <v>0</v>
      </c>
      <c r="L11" s="167">
        <f>K11*(INDEX('Ex ante LI &amp; Eligibility Stats'!$A$5:$M$20,MATCH('Program MW '!$A11,'Ex ante LI &amp; Eligibility Stats'!$A$5:$A$20,0),MATCH('Program MW '!L$7,'Ex ante LI &amp; Eligibility Stats'!$A$5:$M$5,0))/1000)</f>
        <v>0</v>
      </c>
      <c r="M11" s="167">
        <f>K11*(INDEX('Ex post LI &amp; Eligibility Stats'!$A$6:$N$21,MATCH($A11,'Ex post LI &amp; Eligibility Stats'!$A$6:$A$21,0),MATCH('Program MW '!L$7,'Ex post LI &amp; Eligibility Stats'!$A$6:$N$6,0))/1000)</f>
        <v>0</v>
      </c>
      <c r="N11" s="34">
        <v>0</v>
      </c>
      <c r="O11" s="167">
        <f>N11*(INDEX('Ex ante LI &amp; Eligibility Stats'!$A$5:$M$20,MATCH('Program MW '!$A11,'Ex ante LI &amp; Eligibility Stats'!$A$5:$A$20,0),MATCH('Program MW '!O$7,'Ex ante LI &amp; Eligibility Stats'!$A$5:$M$5,0))/1000)</f>
        <v>0</v>
      </c>
      <c r="P11" s="167">
        <f>N11*(INDEX('Ex post LI &amp; Eligibility Stats'!$A$6:$N$21,MATCH($A11,'Ex post LI &amp; Eligibility Stats'!$A$6:$A$21,0),MATCH('Program MW '!O$7,'Ex post LI &amp; Eligibility Stats'!$A$6:$N$6,0))/1000)</f>
        <v>0</v>
      </c>
      <c r="Q11" s="34">
        <v>0</v>
      </c>
      <c r="R11" s="167">
        <f>Q11*(INDEX('Ex ante LI &amp; Eligibility Stats'!$A$5:$M$20,MATCH('Program MW '!$A11,'Ex ante LI &amp; Eligibility Stats'!$A$5:$A$20,0),MATCH('Program MW '!R$7,'Ex ante LI &amp; Eligibility Stats'!$A$5:$M$5,0))/1000)</f>
        <v>0</v>
      </c>
      <c r="S11" s="167">
        <f>Q11*(INDEX('Ex post LI &amp; Eligibility Stats'!$A$6:$N$21,MATCH($A11,'Ex post LI &amp; Eligibility Stats'!$A$6:$A$21,0),MATCH('Program MW '!R$7,'Ex post LI &amp; Eligibility Stats'!$A$6:$N$6,0))/1000)</f>
        <v>0</v>
      </c>
      <c r="T11" s="37">
        <v>5276</v>
      </c>
      <c r="V11" s="163">
        <v>5978.0901900673998</v>
      </c>
      <c r="W11" s="34">
        <v>13406</v>
      </c>
    </row>
    <row r="12" spans="1:31" x14ac:dyDescent="0.2">
      <c r="A12" s="2" t="s">
        <v>65</v>
      </c>
      <c r="B12" s="36">
        <v>5</v>
      </c>
      <c r="C12" s="167">
        <f>B12*(INDEX('Ex ante LI &amp; Eligibility Stats'!$A$5:$M$20,MATCH('Program MW '!$A12,'Ex ante LI &amp; Eligibility Stats'!$A$5:$A$20,0),MATCH('Program MW '!C$7,'Ex ante LI &amp; Eligibility Stats'!$A$5:$M$5,0))/1000)</f>
        <v>1.1500000000000001</v>
      </c>
      <c r="D12" s="167">
        <f>B12*(INDEX('Ex post LI &amp; Eligibility Stats'!$A$6:$N$21,MATCH($A12,'Ex post LI &amp; Eligibility Stats'!$A$6:$A$21,0),MATCH('Program MW '!C$7,'Ex post LI &amp; Eligibility Stats'!$A$6:$N$6,0))/1000)</f>
        <v>1.1500000000000001</v>
      </c>
      <c r="E12" s="34">
        <v>0</v>
      </c>
      <c r="F12" s="167">
        <f>E12*(INDEX('Ex ante LI &amp; Eligibility Stats'!$A$5:$M$20,MATCH('Program MW '!$A12,'Ex ante LI &amp; Eligibility Stats'!$A$5:$A$20,0),MATCH('Program MW '!F$7,'Ex ante LI &amp; Eligibility Stats'!$A$5:$M$5,0))/1000)</f>
        <v>0</v>
      </c>
      <c r="G12" s="167">
        <f>E12*(INDEX('Ex post LI &amp; Eligibility Stats'!$A$6:$N$21,MATCH($A12,'Ex post LI &amp; Eligibility Stats'!$A$6:$A$21,0),MATCH('Program MW '!F$7,'Ex post LI &amp; Eligibility Stats'!$A$6:$N$6,0))/1000)</f>
        <v>0</v>
      </c>
      <c r="H12" s="34">
        <v>0</v>
      </c>
      <c r="I12" s="167">
        <f>H12*(INDEX('Ex ante LI &amp; Eligibility Stats'!$A$5:$M$20,MATCH('Program MW '!$A12,'Ex ante LI &amp; Eligibility Stats'!$A$5:$A$20,0),MATCH('Program MW '!I$7,'Ex ante LI &amp; Eligibility Stats'!$A$5:$M$5,0))/1000)</f>
        <v>0</v>
      </c>
      <c r="J12" s="167">
        <f>H12*(INDEX('Ex post LI &amp; Eligibility Stats'!$A$6:$N$21,MATCH($A12,'Ex post LI &amp; Eligibility Stats'!$A$6:$A$21,0),MATCH('Program MW '!I$7,'Ex post LI &amp; Eligibility Stats'!$A$6:$N$6,0))/1000)</f>
        <v>0</v>
      </c>
      <c r="K12" s="34">
        <v>0</v>
      </c>
      <c r="L12" s="167">
        <f>K12*(INDEX('Ex ante LI &amp; Eligibility Stats'!$A$5:$M$20,MATCH('Program MW '!$A12,'Ex ante LI &amp; Eligibility Stats'!$A$5:$A$20,0),MATCH('Program MW '!L$7,'Ex ante LI &amp; Eligibility Stats'!$A$5:$M$5,0))/1000)</f>
        <v>0</v>
      </c>
      <c r="M12" s="167">
        <f>K12*(INDEX('Ex post LI &amp; Eligibility Stats'!$A$6:$N$21,MATCH($A12,'Ex post LI &amp; Eligibility Stats'!$A$6:$A$21,0),MATCH('Program MW '!L$7,'Ex post LI &amp; Eligibility Stats'!$A$6:$N$6,0))/1000)</f>
        <v>0</v>
      </c>
      <c r="N12" s="34">
        <v>0</v>
      </c>
      <c r="O12" s="167">
        <f>N12*(INDEX('Ex ante LI &amp; Eligibility Stats'!$A$5:$M$20,MATCH('Program MW '!$A12,'Ex ante LI &amp; Eligibility Stats'!$A$5:$A$20,0),MATCH('Program MW '!O$7,'Ex ante LI &amp; Eligibility Stats'!$A$5:$M$5,0))/1000)</f>
        <v>0</v>
      </c>
      <c r="P12" s="167">
        <f>N12*(INDEX('Ex post LI &amp; Eligibility Stats'!$A$6:$N$21,MATCH($A12,'Ex post LI &amp; Eligibility Stats'!$A$6:$A$21,0),MATCH('Program MW '!O$7,'Ex post LI &amp; Eligibility Stats'!$A$6:$N$6,0))/1000)</f>
        <v>0</v>
      </c>
      <c r="Q12" s="34">
        <v>0</v>
      </c>
      <c r="R12" s="167">
        <f>Q12*(INDEX('Ex ante LI &amp; Eligibility Stats'!$A$5:$M$20,MATCH('Program MW '!$A12,'Ex ante LI &amp; Eligibility Stats'!$A$5:$A$20,0),MATCH('Program MW '!R$7,'Ex ante LI &amp; Eligibility Stats'!$A$5:$M$5,0))/1000)</f>
        <v>0</v>
      </c>
      <c r="S12" s="167">
        <f>Q12*(INDEX('Ex post LI &amp; Eligibility Stats'!$A$6:$N$21,MATCH($A12,'Ex post LI &amp; Eligibility Stats'!$A$6:$A$21,0),MATCH('Program MW '!R$7,'Ex post LI &amp; Eligibility Stats'!$A$6:$N$6,0))/1000)</f>
        <v>0</v>
      </c>
      <c r="T12" s="37">
        <v>138123</v>
      </c>
      <c r="V12" s="166">
        <f>SUM(V10:V11)</f>
        <v>43136</v>
      </c>
      <c r="W12" s="166">
        <f>SUM(W10:W11)</f>
        <v>44131</v>
      </c>
    </row>
    <row r="13" spans="1:31" ht="14.25" customHeight="1" thickBot="1" x14ac:dyDescent="0.25">
      <c r="A13" s="38" t="s">
        <v>20</v>
      </c>
      <c r="B13" s="39">
        <f t="shared" ref="B13:S13" si="0">SUM(B10:B12)</f>
        <v>12</v>
      </c>
      <c r="C13" s="40">
        <f t="shared" si="0"/>
        <v>1.3369407166666667</v>
      </c>
      <c r="D13" s="40">
        <f t="shared" si="0"/>
        <v>1.4788628000000001</v>
      </c>
      <c r="E13" s="39">
        <f t="shared" si="0"/>
        <v>0</v>
      </c>
      <c r="F13" s="40">
        <f t="shared" si="0"/>
        <v>0</v>
      </c>
      <c r="G13" s="40">
        <f t="shared" si="0"/>
        <v>0</v>
      </c>
      <c r="H13" s="39">
        <f t="shared" si="0"/>
        <v>0</v>
      </c>
      <c r="I13" s="40">
        <f t="shared" si="0"/>
        <v>0</v>
      </c>
      <c r="J13" s="40">
        <f t="shared" si="0"/>
        <v>0</v>
      </c>
      <c r="K13" s="39">
        <f t="shared" si="0"/>
        <v>0</v>
      </c>
      <c r="L13" s="40">
        <f t="shared" si="0"/>
        <v>0</v>
      </c>
      <c r="M13" s="40">
        <f t="shared" si="0"/>
        <v>0</v>
      </c>
      <c r="N13" s="39">
        <f t="shared" si="0"/>
        <v>0</v>
      </c>
      <c r="O13" s="40">
        <f t="shared" si="0"/>
        <v>0</v>
      </c>
      <c r="P13" s="40">
        <f t="shared" si="0"/>
        <v>0</v>
      </c>
      <c r="Q13" s="39">
        <f t="shared" si="0"/>
        <v>0</v>
      </c>
      <c r="R13" s="40">
        <f t="shared" si="0"/>
        <v>0</v>
      </c>
      <c r="S13" s="40">
        <f t="shared" si="0"/>
        <v>0</v>
      </c>
      <c r="T13" s="41"/>
      <c r="V13" s="166">
        <f>W11*V12/W12</f>
        <v>13103.741496906936</v>
      </c>
    </row>
    <row r="14" spans="1:31" ht="16.5" customHeight="1" thickTop="1" x14ac:dyDescent="0.2">
      <c r="A14" s="30" t="s">
        <v>130</v>
      </c>
      <c r="B14" s="43"/>
      <c r="C14" s="43"/>
      <c r="D14" s="44"/>
      <c r="E14" s="45"/>
      <c r="F14" s="46"/>
      <c r="G14" s="44"/>
      <c r="H14" s="45"/>
      <c r="I14" s="43"/>
      <c r="J14" s="44"/>
      <c r="K14" s="45"/>
      <c r="L14" s="43"/>
      <c r="M14" s="44"/>
      <c r="N14" s="45"/>
      <c r="O14" s="164"/>
      <c r="P14" s="165"/>
      <c r="Q14" s="45"/>
      <c r="R14" s="43"/>
      <c r="S14" s="44"/>
      <c r="T14" s="47"/>
      <c r="U14" s="48"/>
      <c r="V14" s="48">
        <f>SUM(V13:V13)</f>
        <v>13103.741496906936</v>
      </c>
      <c r="W14" s="48"/>
      <c r="X14" s="48"/>
      <c r="Y14" s="48"/>
      <c r="Z14" s="48"/>
      <c r="AA14" s="48"/>
      <c r="AB14" s="48"/>
      <c r="AC14" s="48"/>
      <c r="AD14" s="48"/>
      <c r="AE14" s="48"/>
    </row>
    <row r="15" spans="1:31" x14ac:dyDescent="0.2">
      <c r="A15" s="2" t="s">
        <v>69</v>
      </c>
      <c r="B15" s="49">
        <v>1154</v>
      </c>
      <c r="C15" s="167">
        <f>B15*(INDEX('Ex ante LI &amp; Eligibility Stats'!$A$5:$M$20,MATCH($A15,'Ex ante LI &amp; Eligibility Stats'!$A$5:$A$20,0),MATCH('Program MW '!C$7,'Ex ante LI &amp; Eligibility Stats'!$A$5:$M$5,0))/1000)</f>
        <v>5.6566079600000005</v>
      </c>
      <c r="D15" s="167">
        <f>B15*(INDEX('Ex post LI &amp; Eligibility Stats'!$A$6:$N$21,MATCH($A15,'Ex post LI &amp; Eligibility Stats'!$A$6:$A$21,0),MATCH('Program MW '!C$7,'Ex post LI &amp; Eligibility Stats'!$A$6:$N$6,0))/1000)</f>
        <v>18.7604001686</v>
      </c>
      <c r="E15" s="34">
        <v>0</v>
      </c>
      <c r="F15" s="167">
        <f>E15*(INDEX('Ex ante LI &amp; Eligibility Stats'!$A$5:$M$20,MATCH($A15,'Ex ante LI &amp; Eligibility Stats'!$A$5:$A$20,0),MATCH('Program MW '!F$7,'Ex ante LI &amp; Eligibility Stats'!$A$5:$M$5,0))/1000)</f>
        <v>0</v>
      </c>
      <c r="G15" s="167">
        <f>E15*(INDEX('Ex post LI &amp; Eligibility Stats'!$A$6:$N$21,MATCH($A15,'Ex post LI &amp; Eligibility Stats'!$A$6:$A$21,0),MATCH('Program MW '!F$7,'Ex post LI &amp; Eligibility Stats'!$A$6:$N$6,0))/1000)</f>
        <v>0</v>
      </c>
      <c r="H15" s="34">
        <v>0</v>
      </c>
      <c r="I15" s="167">
        <f>H15*(INDEX('Ex ante LI &amp; Eligibility Stats'!$A$5:$M$20,MATCH($A15,'Ex ante LI &amp; Eligibility Stats'!$A$5:$A$20,0),MATCH('Program MW '!I$7,'Ex ante LI &amp; Eligibility Stats'!$A$5:$M$5,0))/1000)</f>
        <v>0</v>
      </c>
      <c r="J15" s="167">
        <f>H15*(INDEX('Ex post LI &amp; Eligibility Stats'!$A$6:$N$21,MATCH($A15,'Ex post LI &amp; Eligibility Stats'!$A$6:$A$21,0),MATCH('Program MW '!I$7,'Ex post LI &amp; Eligibility Stats'!$A$6:$N$6,0))/1000)</f>
        <v>0</v>
      </c>
      <c r="K15" s="34">
        <v>0</v>
      </c>
      <c r="L15" s="167">
        <f>K15*(INDEX('Ex ante LI &amp; Eligibility Stats'!$A$5:$M$20,MATCH($A15,'Ex ante LI &amp; Eligibility Stats'!$A$5:$A$20,0),MATCH('Program MW '!L$7,'Ex ante LI &amp; Eligibility Stats'!$A$5:$M$5,0))/1000)</f>
        <v>0</v>
      </c>
      <c r="M15" s="167">
        <f>K15*(INDEX('Ex post LI &amp; Eligibility Stats'!$A$6:$N$21,MATCH($A15,'Ex post LI &amp; Eligibility Stats'!$A$6:$A$21,0),MATCH('Program MW '!L$7,'Ex post LI &amp; Eligibility Stats'!$A$6:$N$6,0))/1000)</f>
        <v>0</v>
      </c>
      <c r="N15" s="34">
        <v>0</v>
      </c>
      <c r="O15" s="167">
        <f>N15*(INDEX('Ex ante LI &amp; Eligibility Stats'!$A$5:$M$20,MATCH($A15,'Ex ante LI &amp; Eligibility Stats'!$A$5:$A$20,0),MATCH('Program MW '!O$7,'Ex ante LI &amp; Eligibility Stats'!$A$5:$M$5,0))/1000)</f>
        <v>0</v>
      </c>
      <c r="P15" s="167">
        <f>N15*(INDEX('Ex post LI &amp; Eligibility Stats'!$A$6:$N$21,MATCH($A15,'Ex post LI &amp; Eligibility Stats'!$A$6:$A$21,0),MATCH('Program MW '!O$7,'Ex post LI &amp; Eligibility Stats'!$A$6:$N$6,0))/1000)</f>
        <v>0</v>
      </c>
      <c r="Q15" s="34">
        <v>0</v>
      </c>
      <c r="R15" s="167">
        <f>Q15*(INDEX('Ex ante LI &amp; Eligibility Stats'!$A$5:$M$20,MATCH($A15,'Ex ante LI &amp; Eligibility Stats'!$A$5:$A$20,0),MATCH('Program MW '!R$7,'Ex ante LI &amp; Eligibility Stats'!$A$5:$M$5,0))/1000)</f>
        <v>0</v>
      </c>
      <c r="S15" s="167">
        <f>Q15*(INDEX('Ex post LI &amp; Eligibility Stats'!$A$6:$N$21,MATCH($A15,'Ex post LI &amp; Eligibility Stats'!$A$6:$A$21,0),MATCH('Program MW '!R$7,'Ex post LI &amp; Eligibility Stats'!$A$6:$N$6,0))/1000)</f>
        <v>0</v>
      </c>
      <c r="T15" s="35">
        <v>138123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1:31" x14ac:dyDescent="0.2">
      <c r="A16" s="2" t="s">
        <v>70</v>
      </c>
      <c r="B16" s="50">
        <v>27301</v>
      </c>
      <c r="C16" s="167">
        <f>B16*(INDEX('Ex ante LI &amp; Eligibility Stats'!$A$5:$M$20,MATCH($A16,'Ex ante LI &amp; Eligibility Stats'!$A$5:$A$20,0),MATCH('Program MW '!C$7,'Ex ante LI &amp; Eligibility Stats'!$A$5:$M$5,0))/1000)</f>
        <v>0</v>
      </c>
      <c r="D16" s="167">
        <f>B16*(INDEX('Ex post LI &amp; Eligibility Stats'!$A$6:$N$21,MATCH($A16,'Ex post LI &amp; Eligibility Stats'!$A$6:$A$21,0),MATCH('Program MW '!C$7,'Ex post LI &amp; Eligibility Stats'!$A$6:$N$6,0))/1000)</f>
        <v>0</v>
      </c>
      <c r="E16" s="34">
        <v>0</v>
      </c>
      <c r="F16" s="167">
        <f>E16*(INDEX('Ex ante LI &amp; Eligibility Stats'!$A$5:$M$20,MATCH($A16,'Ex ante LI &amp; Eligibility Stats'!$A$5:$A$20,0),MATCH('Program MW '!F$7,'Ex ante LI &amp; Eligibility Stats'!$A$5:$M$5,0))/1000)</f>
        <v>0</v>
      </c>
      <c r="G16" s="167">
        <f>E16*(INDEX('Ex post LI &amp; Eligibility Stats'!$A$6:$N$21,MATCH($A16,'Ex post LI &amp; Eligibility Stats'!$A$6:$A$21,0),MATCH('Program MW '!F$7,'Ex post LI &amp; Eligibility Stats'!$A$6:$N$6,0))/1000)</f>
        <v>0</v>
      </c>
      <c r="H16" s="34">
        <v>0</v>
      </c>
      <c r="I16" s="167">
        <f>H16*(INDEX('Ex ante LI &amp; Eligibility Stats'!$A$5:$M$20,MATCH($A16,'Ex ante LI &amp; Eligibility Stats'!$A$5:$A$20,0),MATCH('Program MW '!I$7,'Ex ante LI &amp; Eligibility Stats'!$A$5:$M$5,0))/1000)</f>
        <v>0</v>
      </c>
      <c r="J16" s="167">
        <f>H16*(INDEX('Ex post LI &amp; Eligibility Stats'!$A$6:$N$21,MATCH($A16,'Ex post LI &amp; Eligibility Stats'!$A$6:$A$21,0),MATCH('Program MW '!I$7,'Ex post LI &amp; Eligibility Stats'!$A$6:$N$6,0))/1000)</f>
        <v>0</v>
      </c>
      <c r="K16" s="34">
        <v>0</v>
      </c>
      <c r="L16" s="167">
        <f>K16*(INDEX('Ex ante LI &amp; Eligibility Stats'!$A$5:$M$20,MATCH($A16,'Ex ante LI &amp; Eligibility Stats'!$A$5:$A$20,0),MATCH('Program MW '!L$7,'Ex ante LI &amp; Eligibility Stats'!$A$5:$M$5,0))/1000)</f>
        <v>0</v>
      </c>
      <c r="M16" s="167">
        <f>K16*(INDEX('Ex post LI &amp; Eligibility Stats'!$A$6:$N$21,MATCH($A16,'Ex post LI &amp; Eligibility Stats'!$A$6:$A$21,0),MATCH('Program MW '!L$7,'Ex post LI &amp; Eligibility Stats'!$A$6:$N$6,0))/1000)</f>
        <v>0</v>
      </c>
      <c r="N16" s="34">
        <v>0</v>
      </c>
      <c r="O16" s="167">
        <f>N16*(INDEX('Ex ante LI &amp; Eligibility Stats'!$A$5:$M$20,MATCH($A16,'Ex ante LI &amp; Eligibility Stats'!$A$5:$A$20,0),MATCH('Program MW '!O$7,'Ex ante LI &amp; Eligibility Stats'!$A$5:$M$5,0))/1000)</f>
        <v>0</v>
      </c>
      <c r="P16" s="167">
        <f>N16*(INDEX('Ex post LI &amp; Eligibility Stats'!$A$6:$N$21,MATCH($A16,'Ex post LI &amp; Eligibility Stats'!$A$6:$A$21,0),MATCH('Program MW '!O$7,'Ex post LI &amp; Eligibility Stats'!$A$6:$N$6,0))/1000)</f>
        <v>0</v>
      </c>
      <c r="Q16" s="34">
        <v>0</v>
      </c>
      <c r="R16" s="167">
        <f>Q16*(INDEX('Ex ante LI &amp; Eligibility Stats'!$A$5:$M$20,MATCH($A16,'Ex ante LI &amp; Eligibility Stats'!$A$5:$A$20,0),MATCH('Program MW '!R$7,'Ex ante LI &amp; Eligibility Stats'!$A$5:$M$5,0))/1000)</f>
        <v>0</v>
      </c>
      <c r="S16" s="167">
        <f>Q16*(INDEX('Ex post LI &amp; Eligibility Stats'!$A$6:$N$21,MATCH($A16,'Ex post LI &amp; Eligibility Stats'!$A$6:$A$21,0),MATCH('Program MW '!R$7,'Ex post LI &amp; Eligibility Stats'!$A$6:$N$6,0))/1000)</f>
        <v>0</v>
      </c>
      <c r="T16" s="37">
        <v>663393.5</v>
      </c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</row>
    <row r="17" spans="1:31" x14ac:dyDescent="0.2">
      <c r="A17" s="2" t="s">
        <v>71</v>
      </c>
      <c r="B17" s="50">
        <v>10799</v>
      </c>
      <c r="C17" s="167">
        <f>B17*(INDEX('Ex ante LI &amp; Eligibility Stats'!$A$5:$M$20,MATCH($A17,'Ex ante LI &amp; Eligibility Stats'!$A$5:$A$20,0),MATCH('Program MW '!C$7,'Ex ante LI &amp; Eligibility Stats'!$A$5:$M$5,0))/1000)</f>
        <v>0</v>
      </c>
      <c r="D17" s="167">
        <f>B17*(INDEX('Ex post LI &amp; Eligibility Stats'!$A$6:$N$21,MATCH($A17,'Ex post LI &amp; Eligibility Stats'!$A$6:$A$21,0),MATCH('Program MW '!C$7,'Ex post LI &amp; Eligibility Stats'!$A$6:$N$6,0))/1000)</f>
        <v>0</v>
      </c>
      <c r="E17" s="34">
        <v>0</v>
      </c>
      <c r="F17" s="167">
        <f>E17*(INDEX('Ex ante LI &amp; Eligibility Stats'!$A$5:$M$20,MATCH($A17,'Ex ante LI &amp; Eligibility Stats'!$A$5:$A$20,0),MATCH('Program MW '!F$7,'Ex ante LI &amp; Eligibility Stats'!$A$5:$M$5,0))/1000)</f>
        <v>0</v>
      </c>
      <c r="G17" s="167">
        <f>E17*(INDEX('Ex post LI &amp; Eligibility Stats'!$A$6:$N$21,MATCH($A17,'Ex post LI &amp; Eligibility Stats'!$A$6:$A$21,0),MATCH('Program MW '!F$7,'Ex post LI &amp; Eligibility Stats'!$A$6:$N$6,0))/1000)</f>
        <v>0</v>
      </c>
      <c r="H17" s="34">
        <v>0</v>
      </c>
      <c r="I17" s="167">
        <f>H17*(INDEX('Ex ante LI &amp; Eligibility Stats'!$A$5:$M$20,MATCH($A17,'Ex ante LI &amp; Eligibility Stats'!$A$5:$A$20,0),MATCH('Program MW '!I$7,'Ex ante LI &amp; Eligibility Stats'!$A$5:$M$5,0))/1000)</f>
        <v>0</v>
      </c>
      <c r="J17" s="167">
        <f>H17*(INDEX('Ex post LI &amp; Eligibility Stats'!$A$6:$N$21,MATCH($A17,'Ex post LI &amp; Eligibility Stats'!$A$6:$A$21,0),MATCH('Program MW '!I$7,'Ex post LI &amp; Eligibility Stats'!$A$6:$N$6,0))/1000)</f>
        <v>0</v>
      </c>
      <c r="K17" s="34">
        <v>0</v>
      </c>
      <c r="L17" s="167">
        <f>K17*(INDEX('Ex ante LI &amp; Eligibility Stats'!$A$5:$M$20,MATCH($A17,'Ex ante LI &amp; Eligibility Stats'!$A$5:$A$20,0),MATCH('Program MW '!L$7,'Ex ante LI &amp; Eligibility Stats'!$A$5:$M$5,0))/1000)</f>
        <v>0</v>
      </c>
      <c r="M17" s="167">
        <f>K17*(INDEX('Ex post LI &amp; Eligibility Stats'!$A$6:$N$21,MATCH($A17,'Ex post LI &amp; Eligibility Stats'!$A$6:$A$21,0),MATCH('Program MW '!L$7,'Ex post LI &amp; Eligibility Stats'!$A$6:$N$6,0))/1000)</f>
        <v>0</v>
      </c>
      <c r="N17" s="34">
        <v>0</v>
      </c>
      <c r="O17" s="167">
        <f>N17*(INDEX('Ex ante LI &amp; Eligibility Stats'!$A$5:$M$20,MATCH($A17,'Ex ante LI &amp; Eligibility Stats'!$A$5:$A$20,0),MATCH('Program MW '!O$7,'Ex ante LI &amp; Eligibility Stats'!$A$5:$M$5,0))/1000)</f>
        <v>0</v>
      </c>
      <c r="P17" s="167">
        <f>N17*(INDEX('Ex post LI &amp; Eligibility Stats'!$A$6:$N$21,MATCH($A17,'Ex post LI &amp; Eligibility Stats'!$A$6:$A$21,0),MATCH('Program MW '!O$7,'Ex post LI &amp; Eligibility Stats'!$A$6:$N$6,0))/1000)</f>
        <v>0</v>
      </c>
      <c r="Q17" s="34">
        <v>0</v>
      </c>
      <c r="R17" s="167">
        <f>Q17*(INDEX('Ex ante LI &amp; Eligibility Stats'!$A$5:$M$20,MATCH($A17,'Ex ante LI &amp; Eligibility Stats'!$A$5:$A$20,0),MATCH('Program MW '!R$7,'Ex ante LI &amp; Eligibility Stats'!$A$5:$M$5,0))/1000)</f>
        <v>0</v>
      </c>
      <c r="S17" s="167">
        <f>Q17*(INDEX('Ex post LI &amp; Eligibility Stats'!$A$6:$N$21,MATCH($A17,'Ex post LI &amp; Eligibility Stats'!$A$6:$A$21,0),MATCH('Program MW '!R$7,'Ex post LI &amp; Eligibility Stats'!$A$6:$N$6,0))/1000)</f>
        <v>0</v>
      </c>
      <c r="T17" s="37">
        <v>157189</v>
      </c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x14ac:dyDescent="0.2">
      <c r="A18" s="2" t="s">
        <v>72</v>
      </c>
      <c r="B18" s="51">
        <v>136</v>
      </c>
      <c r="C18" s="167">
        <f>B18*(INDEX('Ex ante LI &amp; Eligibility Stats'!$A$5:$M$20,MATCH($A18,'Ex ante LI &amp; Eligibility Stats'!$A$5:$A$20,0),MATCH('Program MW '!C$7,'Ex ante LI &amp; Eligibility Stats'!$A$5:$M$5,0))/1000)</f>
        <v>0</v>
      </c>
      <c r="D18" s="167">
        <f>B18*(INDEX('Ex post LI &amp; Eligibility Stats'!$A$6:$N$21,MATCH($A18,'Ex post LI &amp; Eligibility Stats'!$A$6:$A$21,0),MATCH('Program MW '!C$7,'Ex post LI &amp; Eligibility Stats'!$A$6:$N$6,0))/1000)</f>
        <v>0</v>
      </c>
      <c r="E18" s="34">
        <v>0</v>
      </c>
      <c r="F18" s="167">
        <f>E18*(INDEX('Ex ante LI &amp; Eligibility Stats'!$A$5:$M$20,MATCH($A18,'Ex ante LI &amp; Eligibility Stats'!$A$5:$A$20,0),MATCH('Program MW '!F$7,'Ex ante LI &amp; Eligibility Stats'!$A$5:$M$5,0))/1000)</f>
        <v>0</v>
      </c>
      <c r="G18" s="167">
        <f>E18*(INDEX('Ex post LI &amp; Eligibility Stats'!$A$6:$N$21,MATCH($A18,'Ex post LI &amp; Eligibility Stats'!$A$6:$A$21,0),MATCH('Program MW '!F$7,'Ex post LI &amp; Eligibility Stats'!$A$6:$N$6,0))/1000)</f>
        <v>0</v>
      </c>
      <c r="H18" s="34">
        <v>0</v>
      </c>
      <c r="I18" s="167">
        <f>H18*(INDEX('Ex ante LI &amp; Eligibility Stats'!$A$5:$M$20,MATCH($A18,'Ex ante LI &amp; Eligibility Stats'!$A$5:$A$20,0),MATCH('Program MW '!I$7,'Ex ante LI &amp; Eligibility Stats'!$A$5:$M$5,0))/1000)</f>
        <v>0</v>
      </c>
      <c r="J18" s="167">
        <f>H18*(INDEX('Ex post LI &amp; Eligibility Stats'!$A$6:$N$21,MATCH($A18,'Ex post LI &amp; Eligibility Stats'!$A$6:$A$21,0),MATCH('Program MW '!I$7,'Ex post LI &amp; Eligibility Stats'!$A$6:$N$6,0))/1000)</f>
        <v>0</v>
      </c>
      <c r="K18" s="333">
        <v>0</v>
      </c>
      <c r="L18" s="167">
        <f>K18*(INDEX('Ex ante LI &amp; Eligibility Stats'!$A$5:$M$20,MATCH($A18,'Ex ante LI &amp; Eligibility Stats'!$A$5:$A$20,0),MATCH('Program MW '!L$7,'Ex ante LI &amp; Eligibility Stats'!$A$5:$M$5,0))/1000)</f>
        <v>0</v>
      </c>
      <c r="M18" s="167">
        <f>K18*(INDEX('Ex post LI &amp; Eligibility Stats'!$A$6:$N$21,MATCH($A18,'Ex post LI &amp; Eligibility Stats'!$A$6:$A$21,0),MATCH('Program MW '!L$7,'Ex post LI &amp; Eligibility Stats'!$A$6:$N$6,0))/1000)</f>
        <v>0</v>
      </c>
      <c r="N18" s="34">
        <v>0</v>
      </c>
      <c r="O18" s="167">
        <f>N18*(INDEX('Ex ante LI &amp; Eligibility Stats'!$A$5:$M$20,MATCH($A18,'Ex ante LI &amp; Eligibility Stats'!$A$5:$A$20,0),MATCH('Program MW '!O$7,'Ex ante LI &amp; Eligibility Stats'!$A$5:$M$5,0))/1000)</f>
        <v>0</v>
      </c>
      <c r="P18" s="167">
        <f>N18*(INDEX('Ex post LI &amp; Eligibility Stats'!$A$6:$N$21,MATCH($A18,'Ex post LI &amp; Eligibility Stats'!$A$6:$A$21,0),MATCH('Program MW '!O$7,'Ex post LI &amp; Eligibility Stats'!$A$6:$N$6,0))/1000)</f>
        <v>0</v>
      </c>
      <c r="Q18" s="34">
        <v>0</v>
      </c>
      <c r="R18" s="167">
        <f>Q18*(INDEX('Ex ante LI &amp; Eligibility Stats'!$A$5:$M$20,MATCH($A18,'Ex ante LI &amp; Eligibility Stats'!$A$5:$A$20,0),MATCH('Program MW '!R$7,'Ex ante LI &amp; Eligibility Stats'!$A$5:$M$5,0))/1000)</f>
        <v>0</v>
      </c>
      <c r="S18" s="167">
        <f>Q18*(INDEX('Ex post LI &amp; Eligibility Stats'!$A$6:$N$21,MATCH($A18,'Ex post LI &amp; Eligibility Stats'!$A$6:$A$21,0),MATCH('Program MW '!R$7,'Ex post LI &amp; Eligibility Stats'!$A$6:$N$6,0))/1000)</f>
        <v>0</v>
      </c>
      <c r="T18" s="37">
        <v>18875</v>
      </c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  <row r="19" spans="1:31" x14ac:dyDescent="0.2">
      <c r="A19" s="2" t="s">
        <v>73</v>
      </c>
      <c r="B19" s="50">
        <v>546</v>
      </c>
      <c r="C19" s="167">
        <f>B19*(INDEX('Ex ante LI &amp; Eligibility Stats'!$A$5:$M$20,MATCH($A19,'Ex ante LI &amp; Eligibility Stats'!$A$5:$A$20,0),MATCH('Program MW '!C$7,'Ex ante LI &amp; Eligibility Stats'!$A$5:$M$5,0))/1000)</f>
        <v>0</v>
      </c>
      <c r="D19" s="167">
        <f>B19*(INDEX('Ex post LI &amp; Eligibility Stats'!$A$6:$N$21,MATCH($A19,'Ex post LI &amp; Eligibility Stats'!$A$6:$A$21,0),MATCH('Program MW '!C$7,'Ex post LI &amp; Eligibility Stats'!$A$6:$N$6,0))/1000)</f>
        <v>0</v>
      </c>
      <c r="E19" s="34">
        <v>0</v>
      </c>
      <c r="F19" s="167">
        <f>E19*(INDEX('Ex ante LI &amp; Eligibility Stats'!$A$5:$M$20,MATCH($A19,'Ex ante LI &amp; Eligibility Stats'!$A$5:$A$20,0),MATCH('Program MW '!F$7,'Ex ante LI &amp; Eligibility Stats'!$A$5:$M$5,0))/1000)</f>
        <v>0</v>
      </c>
      <c r="G19" s="167">
        <f>E19*(INDEX('Ex post LI &amp; Eligibility Stats'!$A$6:$N$21,MATCH($A19,'Ex post LI &amp; Eligibility Stats'!$A$6:$A$21,0),MATCH('Program MW '!F$7,'Ex post LI &amp; Eligibility Stats'!$A$6:$N$6,0))/1000)</f>
        <v>0</v>
      </c>
      <c r="H19" s="34">
        <v>0</v>
      </c>
      <c r="I19" s="167">
        <f>H19*(INDEX('Ex ante LI &amp; Eligibility Stats'!$A$5:$M$20,MATCH($A19,'Ex ante LI &amp; Eligibility Stats'!$A$5:$A$20,0),MATCH('Program MW '!I$7,'Ex ante LI &amp; Eligibility Stats'!$A$5:$M$5,0))/1000)</f>
        <v>0</v>
      </c>
      <c r="J19" s="167">
        <f>H19*(INDEX('Ex post LI &amp; Eligibility Stats'!$A$6:$N$21,MATCH($A19,'Ex post LI &amp; Eligibility Stats'!$A$6:$A$21,0),MATCH('Program MW '!I$7,'Ex post LI &amp; Eligibility Stats'!$A$6:$N$6,0))/1000)</f>
        <v>0</v>
      </c>
      <c r="K19" s="333">
        <v>0</v>
      </c>
      <c r="L19" s="167">
        <f>K19*(INDEX('Ex ante LI &amp; Eligibility Stats'!$A$5:$M$20,MATCH($A19,'Ex ante LI &amp; Eligibility Stats'!$A$5:$A$20,0),MATCH('Program MW '!L$7,'Ex ante LI &amp; Eligibility Stats'!$A$5:$M$5,0))/1000)</f>
        <v>0</v>
      </c>
      <c r="M19" s="167">
        <f>K19*(INDEX('Ex post LI &amp; Eligibility Stats'!$A$6:$N$21,MATCH($A19,'Ex post LI &amp; Eligibility Stats'!$A$6:$A$21,0),MATCH('Program MW '!L$7,'Ex post LI &amp; Eligibility Stats'!$A$6:$N$6,0))/1000)</f>
        <v>0</v>
      </c>
      <c r="N19" s="34">
        <v>0</v>
      </c>
      <c r="O19" s="167">
        <f>N19*(INDEX('Ex ante LI &amp; Eligibility Stats'!$A$5:$M$20,MATCH($A19,'Ex ante LI &amp; Eligibility Stats'!$A$5:$A$20,0),MATCH('Program MW '!O$7,'Ex ante LI &amp; Eligibility Stats'!$A$5:$M$5,0))/1000)</f>
        <v>0</v>
      </c>
      <c r="P19" s="167">
        <f>N19*(INDEX('Ex post LI &amp; Eligibility Stats'!$A$6:$N$21,MATCH($A19,'Ex post LI &amp; Eligibility Stats'!$A$6:$A$21,0),MATCH('Program MW '!O$7,'Ex post LI &amp; Eligibility Stats'!$A$6:$N$6,0))/1000)</f>
        <v>0</v>
      </c>
      <c r="Q19" s="34">
        <v>0</v>
      </c>
      <c r="R19" s="167">
        <f>Q19*(INDEX('Ex ante LI &amp; Eligibility Stats'!$A$5:$M$20,MATCH($A19,'Ex ante LI &amp; Eligibility Stats'!$A$5:$A$20,0),MATCH('Program MW '!R$7,'Ex ante LI &amp; Eligibility Stats'!$A$5:$M$5,0))/1000)</f>
        <v>0</v>
      </c>
      <c r="S19" s="167">
        <f>Q19*(INDEX('Ex post LI &amp; Eligibility Stats'!$A$6:$N$21,MATCH($A19,'Ex post LI &amp; Eligibility Stats'!$A$6:$A$21,0),MATCH('Program MW '!R$7,'Ex post LI &amp; Eligibility Stats'!$A$6:$N$6,0))/1000)</f>
        <v>0</v>
      </c>
      <c r="T19" s="37">
        <v>18875</v>
      </c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31" x14ac:dyDescent="0.2">
      <c r="A20" s="2" t="s">
        <v>242</v>
      </c>
      <c r="B20" s="50">
        <v>1215616</v>
      </c>
      <c r="C20" s="167">
        <f>B20*(INDEX('Ex ante LI &amp; Eligibility Stats'!$A$5:$M$20,MATCH($A20,'Ex ante LI &amp; Eligibility Stats'!$A$5:$A$20,0),MATCH('Program MW '!C$7,'Ex ante LI &amp; Eligibility Stats'!$A$5:$M$5,0))/1000)</f>
        <v>25.325333333333333</v>
      </c>
      <c r="D20" s="406">
        <f>B20*(INDEX('Ex post LI &amp; Eligibility Stats'!$A$6:$N$21,MATCH($A20,'Ex post LI &amp; Eligibility Stats'!$A$6:$A$21,0),MATCH('Program MW '!C$7,'Ex post LI &amp; Eligibility Stats'!$A$6:$N$6,0))/1000)</f>
        <v>25.325333333333333</v>
      </c>
      <c r="E20" s="50">
        <v>0</v>
      </c>
      <c r="F20" s="167">
        <f>E20*(INDEX('Ex ante LI &amp; Eligibility Stats'!$A$5:$M$20,MATCH($A20,'Ex ante LI &amp; Eligibility Stats'!$A$5:$A$20,0),MATCH('Program MW '!F$7,'Ex ante LI &amp; Eligibility Stats'!$A$5:$M$5,0))/1000)</f>
        <v>0</v>
      </c>
      <c r="G20" s="406">
        <f>E20*(INDEX('Ex post LI &amp; Eligibility Stats'!$A$6:$N$21,MATCH($A20,'Ex post LI &amp; Eligibility Stats'!$A$6:$A$21,0),MATCH('Program MW '!F$7,'Ex post LI &amp; Eligibility Stats'!$A$6:$N$6,0))/1000)</f>
        <v>0</v>
      </c>
      <c r="H20" s="50">
        <v>0</v>
      </c>
      <c r="I20" s="167">
        <f>H20*(INDEX('Ex ante LI &amp; Eligibility Stats'!$A$5:$M$20,MATCH($A20,'Ex ante LI &amp; Eligibility Stats'!$A$5:$A$20,0),MATCH('Program MW '!I$7,'Ex ante LI &amp; Eligibility Stats'!$A$5:$M$5,0))/1000)</f>
        <v>0</v>
      </c>
      <c r="J20" s="406">
        <f>H20*(INDEX('Ex post LI &amp; Eligibility Stats'!$A$6:$N$21,MATCH($A20,'Ex post LI &amp; Eligibility Stats'!$A$6:$A$21,0),MATCH('Program MW '!I$7,'Ex post LI &amp; Eligibility Stats'!$A$6:$N$6,0))/1000)</f>
        <v>0</v>
      </c>
      <c r="K20" s="50">
        <v>0</v>
      </c>
      <c r="L20" s="167">
        <f>K20*(INDEX('Ex ante LI &amp; Eligibility Stats'!$A$5:$M$20,MATCH($A20,'Ex ante LI &amp; Eligibility Stats'!$A$5:$A$20,0),MATCH('Program MW '!L$7,'Ex ante LI &amp; Eligibility Stats'!$A$5:$M$5,0))/1000)</f>
        <v>0</v>
      </c>
      <c r="M20" s="406">
        <f>K20*(INDEX('Ex post LI &amp; Eligibility Stats'!$A$6:$N$21,MATCH($A20,'Ex post LI &amp; Eligibility Stats'!$A$6:$A$21,0),MATCH('Program MW '!L$7,'Ex post LI &amp; Eligibility Stats'!$A$6:$N$6,0))/1000)</f>
        <v>0</v>
      </c>
      <c r="N20" s="50">
        <v>0</v>
      </c>
      <c r="O20" s="167">
        <f>N20*(INDEX('Ex ante LI &amp; Eligibility Stats'!$A$5:$M$20,MATCH($A20,'Ex ante LI &amp; Eligibility Stats'!$A$5:$A$20,0),MATCH('Program MW '!O$7,'Ex ante LI &amp; Eligibility Stats'!$A$5:$M$5,0))/1000)</f>
        <v>0</v>
      </c>
      <c r="P20" s="406">
        <f>N20*(INDEX('Ex post LI &amp; Eligibility Stats'!$A$6:$N$21,MATCH($A20,'Ex post LI &amp; Eligibility Stats'!$A$6:$A$21,0),MATCH('Program MW '!O$7,'Ex post LI &amp; Eligibility Stats'!$A$6:$N$6,0))/1000)</f>
        <v>0</v>
      </c>
      <c r="Q20" s="50">
        <v>0</v>
      </c>
      <c r="R20" s="167">
        <f>Q20*(INDEX('Ex ante LI &amp; Eligibility Stats'!$A$5:$M$20,MATCH($A20,'Ex ante LI &amp; Eligibility Stats'!$A$5:$A$20,0),MATCH('Program MW '!R$7,'Ex ante LI &amp; Eligibility Stats'!$A$5:$M$5,0))/1000)</f>
        <v>0</v>
      </c>
      <c r="S20" s="167">
        <f>Q20*(INDEX('Ex post LI &amp; Eligibility Stats'!$A$6:$N$21,MATCH($A20,'Ex post LI &amp; Eligibility Stats'!$A$6:$A$21,0),MATCH('Program MW '!R$7,'Ex post LI &amp; Eligibility Stats'!$A$6:$N$6,0))/1000)</f>
        <v>0</v>
      </c>
      <c r="T20" s="37">
        <v>1200000</v>
      </c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</row>
    <row r="21" spans="1:31" x14ac:dyDescent="0.2">
      <c r="A21" s="2" t="s">
        <v>232</v>
      </c>
      <c r="B21" s="50">
        <v>0</v>
      </c>
      <c r="C21" s="167">
        <f>B21*(INDEX('Ex ante LI &amp; Eligibility Stats'!$A$5:$M$20,MATCH($A21,'Ex ante LI &amp; Eligibility Stats'!$A$5:$A$20,0),MATCH('Program MW '!C$7,'Ex ante LI &amp; Eligibility Stats'!$A$5:$M$5,0))/1000)</f>
        <v>0</v>
      </c>
      <c r="D21" s="406">
        <f>B21*(INDEX('Ex post LI &amp; Eligibility Stats'!$A$6:$N$21,MATCH($A21,'Ex post LI &amp; Eligibility Stats'!$A$6:$A$21,0),MATCH('Program MW '!C$7,'Ex post LI &amp; Eligibility Stats'!$A$6:$N$6,0))/1000)</f>
        <v>0</v>
      </c>
      <c r="E21" s="50">
        <v>0</v>
      </c>
      <c r="F21" s="167">
        <f>E21*(INDEX('Ex ante LI &amp; Eligibility Stats'!$A$5:$M$20,MATCH($A21,'Ex ante LI &amp; Eligibility Stats'!$A$5:$A$20,0),MATCH('Program MW '!F$7,'Ex ante LI &amp; Eligibility Stats'!$A$5:$M$5,0))/1000)</f>
        <v>0</v>
      </c>
      <c r="G21" s="406">
        <f>E21*(INDEX('Ex post LI &amp; Eligibility Stats'!$A$6:$N$21,MATCH($A21,'Ex post LI &amp; Eligibility Stats'!$A$6:$A$21,0),MATCH('Program MW '!F$7,'Ex post LI &amp; Eligibility Stats'!$A$6:$N$6,0))/1000)</f>
        <v>0</v>
      </c>
      <c r="H21" s="50">
        <v>0</v>
      </c>
      <c r="I21" s="167">
        <f>H21*(INDEX('Ex ante LI &amp; Eligibility Stats'!$A$5:$M$20,MATCH($A21,'Ex ante LI &amp; Eligibility Stats'!$A$5:$A$20,0),MATCH('Program MW '!I$7,'Ex ante LI &amp; Eligibility Stats'!$A$5:$M$5,0))/1000)</f>
        <v>0</v>
      </c>
      <c r="J21" s="406">
        <f>H21*(INDEX('Ex post LI &amp; Eligibility Stats'!$A$6:$N$21,MATCH($A21,'Ex post LI &amp; Eligibility Stats'!$A$6:$A$21,0),MATCH('Program MW '!I$7,'Ex post LI &amp; Eligibility Stats'!$A$6:$N$6,0))/1000)</f>
        <v>0</v>
      </c>
      <c r="K21" s="50">
        <v>0</v>
      </c>
      <c r="L21" s="167">
        <f>K21*(INDEX('Ex ante LI &amp; Eligibility Stats'!$A$5:$M$20,MATCH($A21,'Ex ante LI &amp; Eligibility Stats'!$A$5:$A$20,0),MATCH('Program MW '!L$7,'Ex ante LI &amp; Eligibility Stats'!$A$5:$M$5,0))/1000)</f>
        <v>0</v>
      </c>
      <c r="M21" s="406">
        <f>K21*(INDEX('Ex post LI &amp; Eligibility Stats'!$A$6:$N$21,MATCH($A21,'Ex post LI &amp; Eligibility Stats'!$A$6:$A$21,0),MATCH('Program MW '!L$7,'Ex post LI &amp; Eligibility Stats'!$A$6:$N$6,0))/1000)</f>
        <v>0</v>
      </c>
      <c r="N21" s="50">
        <v>0</v>
      </c>
      <c r="O21" s="167">
        <f>N21*(INDEX('Ex ante LI &amp; Eligibility Stats'!$A$5:$M$20,MATCH($A21,'Ex ante LI &amp; Eligibility Stats'!$A$5:$A$20,0),MATCH('Program MW '!O$7,'Ex ante LI &amp; Eligibility Stats'!$A$5:$M$5,0))/1000)</f>
        <v>0</v>
      </c>
      <c r="P21" s="406">
        <f>N21*(INDEX('Ex post LI &amp; Eligibility Stats'!$A$6:$N$21,MATCH($A21,'Ex post LI &amp; Eligibility Stats'!$A$6:$A$21,0),MATCH('Program MW '!O$7,'Ex post LI &amp; Eligibility Stats'!$A$6:$N$6,0))/1000)</f>
        <v>0</v>
      </c>
      <c r="Q21" s="50">
        <v>0</v>
      </c>
      <c r="R21" s="167">
        <f>Q21*(INDEX('Ex ante LI &amp; Eligibility Stats'!$A$5:$M$20,MATCH($A21,'Ex ante LI &amp; Eligibility Stats'!$A$5:$A$20,0),MATCH('Program MW '!R$7,'Ex ante LI &amp; Eligibility Stats'!$A$5:$M$5,0))/1000)</f>
        <v>0</v>
      </c>
      <c r="S21" s="167">
        <f>Q21*(INDEX('Ex post LI &amp; Eligibility Stats'!$A$6:$N$21,MATCH($A21,'Ex post LI &amp; Eligibility Stats'!$A$6:$A$21,0),MATCH('Program MW '!R$7,'Ex post LI &amp; Eligibility Stats'!$A$6:$N$6,0))/1000)</f>
        <v>0</v>
      </c>
      <c r="T21" s="37">
        <v>120000</v>
      </c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 x14ac:dyDescent="0.2">
      <c r="A22" s="2" t="s">
        <v>147</v>
      </c>
      <c r="B22" s="50">
        <v>6</v>
      </c>
      <c r="C22" s="167">
        <f>B22*(INDEX('Ex ante LI &amp; Eligibility Stats'!$A$5:$M$20,MATCH($A22,'Ex ante LI &amp; Eligibility Stats'!$A$5:$A$20,0),MATCH('Program MW '!C$7,'Ex ante LI &amp; Eligibility Stats'!$A$5:$M$5,0))/1000)</f>
        <v>10</v>
      </c>
      <c r="D22" s="167">
        <f>B22*(INDEX('Ex post LI &amp; Eligibility Stats'!$A$6:$N$21,MATCH($A22,'Ex post LI &amp; Eligibility Stats'!$A$6:$A$21,0),MATCH('Program MW '!C$7,'Ex post LI &amp; Eligibility Stats'!$A$6:$N$6,0))/1000)</f>
        <v>10</v>
      </c>
      <c r="E22" s="34"/>
      <c r="F22" s="167">
        <f>E22*(INDEX('Ex ante LI &amp; Eligibility Stats'!$A$5:$M$20,MATCH($A22,'Ex ante LI &amp; Eligibility Stats'!$A$5:$A$20,0),MATCH('Program MW '!F$7,'Ex ante LI &amp; Eligibility Stats'!$A$5:$M$5,0))/1000)</f>
        <v>0</v>
      </c>
      <c r="G22" s="167">
        <f>E22*(INDEX('Ex post LI &amp; Eligibility Stats'!$A$6:$N$21,MATCH($A22,'Ex post LI &amp; Eligibility Stats'!$A$6:$A$21,0),MATCH('Program MW '!F$7,'Ex post LI &amp; Eligibility Stats'!$A$6:$N$6,0))/1000)</f>
        <v>0</v>
      </c>
      <c r="H22" s="34"/>
      <c r="I22" s="167">
        <f>H22*(INDEX('Ex ante LI &amp; Eligibility Stats'!$A$5:$M$20,MATCH($A22,'Ex ante LI &amp; Eligibility Stats'!$A$5:$A$20,0),MATCH('Program MW '!I$7,'Ex ante LI &amp; Eligibility Stats'!$A$5:$M$5,0))/1000)</f>
        <v>0</v>
      </c>
      <c r="J22" s="167">
        <f>H22*(INDEX('Ex post LI &amp; Eligibility Stats'!$A$6:$N$21,MATCH($A22,'Ex post LI &amp; Eligibility Stats'!$A$6:$A$21,0),MATCH('Program MW '!I$7,'Ex post LI &amp; Eligibility Stats'!$A$6:$N$6,0))/1000)</f>
        <v>0</v>
      </c>
      <c r="K22" s="333"/>
      <c r="L22" s="167">
        <f>K22*(INDEX('Ex ante LI &amp; Eligibility Stats'!$A$5:$M$20,MATCH($A22,'Ex ante LI &amp; Eligibility Stats'!$A$5:$A$20,0),MATCH('Program MW '!L$7,'Ex ante LI &amp; Eligibility Stats'!$A$5:$M$5,0))/1000)</f>
        <v>0</v>
      </c>
      <c r="M22" s="167">
        <f>K22*(INDEX('Ex post LI &amp; Eligibility Stats'!$A$6:$N$21,MATCH($A22,'Ex post LI &amp; Eligibility Stats'!$A$6:$A$21,0),MATCH('Program MW '!L$7,'Ex post LI &amp; Eligibility Stats'!$A$6:$N$6,0))/1000)</f>
        <v>0</v>
      </c>
      <c r="N22" s="34"/>
      <c r="O22" s="167">
        <f>N22*(INDEX('Ex ante LI &amp; Eligibility Stats'!$A$5:$M$20,MATCH($A22,'Ex ante LI &amp; Eligibility Stats'!$A$5:$A$20,0),MATCH('Program MW '!O$7,'Ex ante LI &amp; Eligibility Stats'!$A$5:$M$5,0))/1000)</f>
        <v>0</v>
      </c>
      <c r="P22" s="167">
        <f>N22*(INDEX('Ex post LI &amp; Eligibility Stats'!$A$6:$N$21,MATCH($A22,'Ex post LI &amp; Eligibility Stats'!$A$6:$A$21,0),MATCH('Program MW '!O$7,'Ex post LI &amp; Eligibility Stats'!$A$6:$N$6,0))/1000)</f>
        <v>0</v>
      </c>
      <c r="Q22" s="34"/>
      <c r="R22" s="167">
        <f>Q22*(INDEX('Ex ante LI &amp; Eligibility Stats'!$A$5:$M$20,MATCH($A22,'Ex ante LI &amp; Eligibility Stats'!$A$5:$A$20,0),MATCH('Program MW '!R$7,'Ex ante LI &amp; Eligibility Stats'!$A$5:$M$5,0))/1000)</f>
        <v>0</v>
      </c>
      <c r="S22" s="167">
        <f>Q22*(INDEX('Ex post LI &amp; Eligibility Stats'!$A$6:$N$21,MATCH($A22,'Ex post LI &amp; Eligibility Stats'!$A$6:$A$21,0),MATCH('Program MW '!R$7,'Ex post LI &amp; Eligibility Stats'!$A$6:$N$6,0))/1000)</f>
        <v>0</v>
      </c>
      <c r="T22" s="37">
        <v>162482</v>
      </c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1" ht="13.5" thickBot="1" x14ac:dyDescent="0.25">
      <c r="A23" s="38" t="s">
        <v>34</v>
      </c>
      <c r="B23" s="39">
        <f t="shared" ref="B23:S23" si="1">SUM(B15:B22)</f>
        <v>1255558</v>
      </c>
      <c r="C23" s="168">
        <f t="shared" si="1"/>
        <v>40.981941293333335</v>
      </c>
      <c r="D23" s="408">
        <f t="shared" si="1"/>
        <v>54.085733501933333</v>
      </c>
      <c r="E23" s="39">
        <f t="shared" si="1"/>
        <v>0</v>
      </c>
      <c r="F23" s="39">
        <f t="shared" si="1"/>
        <v>0</v>
      </c>
      <c r="G23" s="408">
        <f t="shared" si="1"/>
        <v>0</v>
      </c>
      <c r="H23" s="39">
        <f t="shared" si="1"/>
        <v>0</v>
      </c>
      <c r="I23" s="39">
        <f t="shared" si="1"/>
        <v>0</v>
      </c>
      <c r="J23" s="408">
        <f t="shared" si="1"/>
        <v>0</v>
      </c>
      <c r="K23" s="39">
        <f t="shared" si="1"/>
        <v>0</v>
      </c>
      <c r="L23" s="168">
        <f t="shared" si="1"/>
        <v>0</v>
      </c>
      <c r="M23" s="408">
        <f t="shared" si="1"/>
        <v>0</v>
      </c>
      <c r="N23" s="39">
        <f t="shared" si="1"/>
        <v>0</v>
      </c>
      <c r="O23" s="52">
        <f t="shared" si="1"/>
        <v>0</v>
      </c>
      <c r="P23" s="409">
        <f t="shared" si="1"/>
        <v>0</v>
      </c>
      <c r="Q23" s="39">
        <f t="shared" si="1"/>
        <v>0</v>
      </c>
      <c r="R23" s="52">
        <f t="shared" si="1"/>
        <v>0</v>
      </c>
      <c r="S23" s="409">
        <f t="shared" si="1"/>
        <v>0</v>
      </c>
      <c r="T23" s="41"/>
      <c r="U23" s="48"/>
      <c r="V23" s="48"/>
      <c r="W23" s="53"/>
      <c r="X23" s="48"/>
      <c r="Y23" s="48"/>
      <c r="Z23" s="48"/>
      <c r="AA23" s="48"/>
      <c r="AB23" s="48"/>
      <c r="AC23" s="48"/>
      <c r="AD23" s="48"/>
      <c r="AE23" s="48"/>
    </row>
    <row r="24" spans="1:31" ht="14.25" thickTop="1" thickBot="1" x14ac:dyDescent="0.25">
      <c r="A24" s="54" t="s">
        <v>23</v>
      </c>
      <c r="B24" s="57">
        <f t="shared" ref="B24:S24" si="2">+B13+B23</f>
        <v>1255570</v>
      </c>
      <c r="C24" s="55">
        <f t="shared" si="2"/>
        <v>42.318882010000003</v>
      </c>
      <c r="D24" s="56">
        <f t="shared" si="2"/>
        <v>55.564596301933335</v>
      </c>
      <c r="E24" s="57">
        <f t="shared" si="2"/>
        <v>0</v>
      </c>
      <c r="F24" s="55">
        <f t="shared" si="2"/>
        <v>0</v>
      </c>
      <c r="G24" s="55">
        <f t="shared" si="2"/>
        <v>0</v>
      </c>
      <c r="H24" s="57">
        <f t="shared" si="2"/>
        <v>0</v>
      </c>
      <c r="I24" s="55">
        <f t="shared" si="2"/>
        <v>0</v>
      </c>
      <c r="J24" s="332">
        <f t="shared" si="2"/>
        <v>0</v>
      </c>
      <c r="K24" s="57">
        <f t="shared" si="2"/>
        <v>0</v>
      </c>
      <c r="L24" s="55">
        <f t="shared" si="2"/>
        <v>0</v>
      </c>
      <c r="M24" s="58">
        <f t="shared" si="2"/>
        <v>0</v>
      </c>
      <c r="N24" s="57">
        <f t="shared" si="2"/>
        <v>0</v>
      </c>
      <c r="O24" s="55">
        <f t="shared" si="2"/>
        <v>0</v>
      </c>
      <c r="P24" s="59">
        <f t="shared" si="2"/>
        <v>0</v>
      </c>
      <c r="Q24" s="57">
        <f t="shared" si="2"/>
        <v>0</v>
      </c>
      <c r="R24" s="55">
        <f t="shared" si="2"/>
        <v>0</v>
      </c>
      <c r="S24" s="59">
        <f t="shared" si="2"/>
        <v>0</v>
      </c>
      <c r="T24" s="59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1" ht="13.5" thickTop="1" x14ac:dyDescent="0.2">
      <c r="A25" s="60"/>
      <c r="B25" s="61"/>
      <c r="C25" s="62"/>
      <c r="D25" s="63"/>
      <c r="E25" s="61"/>
      <c r="F25" s="62"/>
      <c r="G25" s="64"/>
      <c r="H25" s="61"/>
      <c r="I25" s="62"/>
      <c r="J25" s="64"/>
      <c r="K25" s="61"/>
      <c r="L25" s="62"/>
      <c r="M25" s="64"/>
      <c r="N25" s="61"/>
      <c r="O25" s="62"/>
      <c r="P25" s="65"/>
      <c r="Q25" s="61"/>
      <c r="R25" s="62"/>
      <c r="S25" s="65"/>
      <c r="T25" s="65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s="68" customFormat="1" x14ac:dyDescent="0.2">
      <c r="A26" s="60"/>
      <c r="B26" s="66"/>
      <c r="C26" s="67"/>
      <c r="D26" s="63"/>
      <c r="E26" s="66"/>
      <c r="F26" s="67"/>
      <c r="G26" s="65"/>
      <c r="H26" s="66"/>
      <c r="I26" s="67"/>
      <c r="J26" s="65"/>
      <c r="K26" s="66"/>
      <c r="L26" s="67"/>
      <c r="M26" s="65"/>
      <c r="N26" s="66"/>
      <c r="O26" s="67"/>
      <c r="P26" s="65"/>
      <c r="Q26" s="66"/>
      <c r="R26" s="67"/>
      <c r="S26" s="65"/>
      <c r="T26" s="65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</row>
    <row r="27" spans="1:31" s="68" customFormat="1" x14ac:dyDescent="0.2"/>
    <row r="28" spans="1:31" s="68" customFormat="1" hidden="1" x14ac:dyDescent="0.2">
      <c r="C28" s="68">
        <f>C5+6</f>
        <v>8</v>
      </c>
      <c r="D28" s="68">
        <f>D5+6</f>
        <v>8</v>
      </c>
      <c r="F28" s="68">
        <f>F5+6</f>
        <v>9</v>
      </c>
      <c r="G28" s="68">
        <f>G5+6</f>
        <v>9</v>
      </c>
      <c r="I28" s="68">
        <f>I5+6</f>
        <v>10</v>
      </c>
      <c r="J28" s="68">
        <f>J5+6</f>
        <v>10</v>
      </c>
      <c r="L28" s="68">
        <f>L5+6</f>
        <v>11</v>
      </c>
      <c r="M28" s="68">
        <f>M5+6</f>
        <v>11</v>
      </c>
      <c r="O28" s="68">
        <f>O5+6</f>
        <v>12</v>
      </c>
      <c r="P28" s="68">
        <f>P5+6</f>
        <v>12</v>
      </c>
      <c r="R28" s="68">
        <f>R5+6</f>
        <v>13</v>
      </c>
      <c r="S28" s="68">
        <f>S5+6</f>
        <v>13</v>
      </c>
    </row>
    <row r="29" spans="1:31" s="68" customFormat="1" x14ac:dyDescent="0.2">
      <c r="A29" s="69"/>
      <c r="B29" s="20"/>
      <c r="C29" s="20" t="s">
        <v>6</v>
      </c>
      <c r="D29" s="20"/>
      <c r="E29" s="20"/>
      <c r="F29" s="20" t="s">
        <v>45</v>
      </c>
      <c r="G29" s="20"/>
      <c r="H29" s="20"/>
      <c r="I29" s="20" t="s">
        <v>46</v>
      </c>
      <c r="J29" s="20"/>
      <c r="K29" s="20"/>
      <c r="L29" s="20" t="s">
        <v>9</v>
      </c>
      <c r="M29" s="20"/>
      <c r="N29" s="20"/>
      <c r="O29" s="20" t="s">
        <v>47</v>
      </c>
      <c r="P29" s="20"/>
      <c r="Q29" s="20"/>
      <c r="R29" s="20" t="s">
        <v>11</v>
      </c>
      <c r="S29" s="20"/>
      <c r="T29" s="70"/>
      <c r="U29" s="70"/>
    </row>
    <row r="30" spans="1:31" s="68" customFormat="1" ht="38.25" customHeight="1" x14ac:dyDescent="0.2">
      <c r="A30" s="30" t="s">
        <v>21</v>
      </c>
      <c r="B30" s="71" t="s">
        <v>15</v>
      </c>
      <c r="C30" s="72" t="s">
        <v>128</v>
      </c>
      <c r="D30" s="73" t="s">
        <v>129</v>
      </c>
      <c r="E30" s="71" t="s">
        <v>15</v>
      </c>
      <c r="F30" s="72" t="s">
        <v>128</v>
      </c>
      <c r="G30" s="73" t="s">
        <v>129</v>
      </c>
      <c r="H30" s="71" t="s">
        <v>15</v>
      </c>
      <c r="I30" s="72" t="s">
        <v>128</v>
      </c>
      <c r="J30" s="73" t="s">
        <v>129</v>
      </c>
      <c r="K30" s="71" t="s">
        <v>15</v>
      </c>
      <c r="L30" s="72" t="s">
        <v>128</v>
      </c>
      <c r="M30" s="73" t="s">
        <v>129</v>
      </c>
      <c r="N30" s="71" t="s">
        <v>15</v>
      </c>
      <c r="O30" s="72" t="s">
        <v>128</v>
      </c>
      <c r="P30" s="73" t="s">
        <v>129</v>
      </c>
      <c r="Q30" s="71" t="s">
        <v>15</v>
      </c>
      <c r="R30" s="72" t="s">
        <v>128</v>
      </c>
      <c r="S30" s="73" t="s">
        <v>129</v>
      </c>
      <c r="T30" s="27" t="s">
        <v>243</v>
      </c>
      <c r="U30" s="74"/>
    </row>
    <row r="31" spans="1:31" s="68" customFormat="1" x14ac:dyDescent="0.2">
      <c r="A31" s="30" t="s">
        <v>22</v>
      </c>
      <c r="B31" s="71"/>
      <c r="C31" s="75"/>
      <c r="D31" s="47"/>
      <c r="E31" s="71"/>
      <c r="F31" s="75"/>
      <c r="G31" s="47"/>
      <c r="H31" s="71"/>
      <c r="I31" s="75"/>
      <c r="J31" s="75"/>
      <c r="K31" s="71"/>
      <c r="L31" s="75"/>
      <c r="M31" s="47"/>
      <c r="N31" s="71"/>
      <c r="O31" s="75"/>
      <c r="P31" s="47"/>
      <c r="Q31" s="71"/>
      <c r="R31" s="75"/>
      <c r="S31" s="47"/>
      <c r="T31" s="47"/>
      <c r="U31" s="74"/>
    </row>
    <row r="32" spans="1:31" s="68" customFormat="1" x14ac:dyDescent="0.2">
      <c r="A32" s="3" t="s">
        <v>67</v>
      </c>
      <c r="B32" s="34">
        <v>0</v>
      </c>
      <c r="C32" s="167">
        <f>B32*(INDEX('Ex ante LI &amp; Eligibility Stats'!$A$5:$M$20,MATCH($A32,'Ex ante LI &amp; Eligibility Stats'!$A$5:$A$20,0),MATCH('Program MW '!C$29,'Ex ante LI &amp; Eligibility Stats'!$A$5:$M$5,0))/1000)</f>
        <v>0</v>
      </c>
      <c r="D32" s="167">
        <f>B32*(INDEX('Ex post LI &amp; Eligibility Stats'!$A$6:$N$21,MATCH($A32,'Ex post LI &amp; Eligibility Stats'!$A$6:$A$21,0),MATCH('Program MW '!C$29,'Ex post LI &amp; Eligibility Stats'!$A$6:$N$6,0))/1000)</f>
        <v>0</v>
      </c>
      <c r="E32" s="34">
        <v>0</v>
      </c>
      <c r="F32" s="167">
        <f>E32*(INDEX('Ex ante LI &amp; Eligibility Stats'!$A$5:$M$20,MATCH($A32,'Ex ante LI &amp; Eligibility Stats'!$A$5:$A$20,0),MATCH('Program MW '!F$29,'Ex ante LI &amp; Eligibility Stats'!$A$5:$M$5,0))/1000)</f>
        <v>0</v>
      </c>
      <c r="G32" s="167">
        <f>E32*(INDEX('Ex post LI &amp; Eligibility Stats'!$A$6:$N$21,MATCH($A32,'Ex post LI &amp; Eligibility Stats'!$A$6:$A$21,0),MATCH('Program MW '!F$29,'Ex post LI &amp; Eligibility Stats'!$A$6:$N$6,0))/1000)</f>
        <v>0</v>
      </c>
      <c r="H32" s="34">
        <v>0</v>
      </c>
      <c r="I32" s="167">
        <f>H32*(INDEX('Ex ante LI &amp; Eligibility Stats'!$A$5:$M$20,MATCH($A32,'Ex ante LI &amp; Eligibility Stats'!$A$5:$A$20,0),MATCH('Program MW '!I$29,'Ex ante LI &amp; Eligibility Stats'!$A$5:$M$5,0))/1000)</f>
        <v>0</v>
      </c>
      <c r="J32" s="167">
        <f>H32*(INDEX('Ex post LI &amp; Eligibility Stats'!$A$6:$N$21,MATCH($A32,'Ex post LI &amp; Eligibility Stats'!$A$6:$A$21,0),MATCH('Program MW '!I$29,'Ex post LI &amp; Eligibility Stats'!$A$6:$N$6,0))/1000)</f>
        <v>0</v>
      </c>
      <c r="K32" s="34">
        <v>0</v>
      </c>
      <c r="L32" s="167">
        <f>K32*(INDEX('Ex ante LI &amp; Eligibility Stats'!$A$5:$M$20,MATCH($A32,'Ex ante LI &amp; Eligibility Stats'!$A$5:$A$20,0),MATCH('Program MW '!L$29,'Ex ante LI &amp; Eligibility Stats'!$A$5:$M$5,0))/1000)</f>
        <v>0</v>
      </c>
      <c r="M32" s="167">
        <f>K32*(INDEX('Ex post LI &amp; Eligibility Stats'!$A$6:$N$21,MATCH($A32,'Ex post LI &amp; Eligibility Stats'!$A$6:$A$21,0),MATCH('Program MW '!L$29,'Ex post LI &amp; Eligibility Stats'!$A$6:$N$6,0))/1000)</f>
        <v>0</v>
      </c>
      <c r="N32" s="34">
        <v>0</v>
      </c>
      <c r="O32" s="167">
        <f>N32*(INDEX('Ex ante LI &amp; Eligibility Stats'!$A$5:$M$20,MATCH($A32,'Ex ante LI &amp; Eligibility Stats'!$A$5:$A$20,0),MATCH('Program MW '!O$29,'Ex ante LI &amp; Eligibility Stats'!$A$5:$M$5,0))/1000)</f>
        <v>0</v>
      </c>
      <c r="P32" s="167">
        <f>N32*(INDEX('Ex post LI &amp; Eligibility Stats'!$A$6:$N$21,MATCH($A32,'Ex post LI &amp; Eligibility Stats'!$A$6:$A$21,0),MATCH('Program MW '!O$29,'Ex post LI &amp; Eligibility Stats'!$A$6:$N$6,0))/1000)</f>
        <v>0</v>
      </c>
      <c r="Q32" s="34">
        <v>0</v>
      </c>
      <c r="R32" s="167">
        <f>Q32*(INDEX('Ex ante LI &amp; Eligibility Stats'!$A$5:$M$20,MATCH($A32,'Ex ante LI &amp; Eligibility Stats'!$A$5:$A$20,0),MATCH('Program MW '!R$29,'Ex ante LI &amp; Eligibility Stats'!$A$5:$M$5,0))/1000)</f>
        <v>0</v>
      </c>
      <c r="S32" s="167">
        <f>Q32*(INDEX('Ex post LI &amp; Eligibility Stats'!$A$6:$N$21,MATCH($A32,'Ex post LI &amp; Eligibility Stats'!$A$6:$A$21,0),MATCH('Program MW '!R$29,'Ex post LI &amp; Eligibility Stats'!$A$6:$N$6,0))/1000)</f>
        <v>0</v>
      </c>
      <c r="T32" s="35">
        <v>5276</v>
      </c>
      <c r="U32" s="74"/>
    </row>
    <row r="33" spans="1:26" s="68" customFormat="1" x14ac:dyDescent="0.2">
      <c r="A33" s="3" t="s">
        <v>68</v>
      </c>
      <c r="B33" s="34">
        <v>0</v>
      </c>
      <c r="C33" s="167">
        <f>B33*(INDEX('Ex ante LI &amp; Eligibility Stats'!$A$5:$M$20,MATCH($A33,'Ex ante LI &amp; Eligibility Stats'!$A$5:$A$20,0),MATCH('Program MW '!C$29,'Ex ante LI &amp; Eligibility Stats'!$A$5:$M$5,0))/1000)</f>
        <v>0</v>
      </c>
      <c r="D33" s="167">
        <f>B33*(INDEX('Ex post LI &amp; Eligibility Stats'!$A$6:$N$21,MATCH($A33,'Ex post LI &amp; Eligibility Stats'!$A$6:$A$21,0),MATCH('Program MW '!C$29,'Ex post LI &amp; Eligibility Stats'!$A$6:$N$6,0))/1000)</f>
        <v>0</v>
      </c>
      <c r="E33" s="34">
        <v>0</v>
      </c>
      <c r="F33" s="167">
        <f>E33*(INDEX('Ex ante LI &amp; Eligibility Stats'!$A$5:$M$20,MATCH($A33,'Ex ante LI &amp; Eligibility Stats'!$A$5:$A$20,0),MATCH('Program MW '!F$29,'Ex ante LI &amp; Eligibility Stats'!$A$5:$M$5,0))/1000)</f>
        <v>0</v>
      </c>
      <c r="G33" s="167">
        <f>E33*(INDEX('Ex post LI &amp; Eligibility Stats'!$A$6:$N$21,MATCH($A33,'Ex post LI &amp; Eligibility Stats'!$A$6:$A$21,0),MATCH('Program MW '!F$29,'Ex post LI &amp; Eligibility Stats'!$A$6:$N$6,0))/1000)</f>
        <v>0</v>
      </c>
      <c r="H33" s="34">
        <v>0</v>
      </c>
      <c r="I33" s="167">
        <f>H33*(INDEX('Ex ante LI &amp; Eligibility Stats'!$A$5:$M$20,MATCH($A33,'Ex ante LI &amp; Eligibility Stats'!$A$5:$A$20,0),MATCH('Program MW '!I$29,'Ex ante LI &amp; Eligibility Stats'!$A$5:$M$5,0))/1000)</f>
        <v>0</v>
      </c>
      <c r="J33" s="167">
        <f>H33*(INDEX('Ex post LI &amp; Eligibility Stats'!$A$6:$N$21,MATCH($A33,'Ex post LI &amp; Eligibility Stats'!$A$6:$A$21,0),MATCH('Program MW '!I$29,'Ex post LI &amp; Eligibility Stats'!$A$6:$N$6,0))/1000)</f>
        <v>0</v>
      </c>
      <c r="K33" s="34">
        <v>0</v>
      </c>
      <c r="L33" s="167">
        <f>K33*(INDEX('Ex ante LI &amp; Eligibility Stats'!$A$5:$M$20,MATCH($A33,'Ex ante LI &amp; Eligibility Stats'!$A$5:$A$20,0),MATCH('Program MW '!L$29,'Ex ante LI &amp; Eligibility Stats'!$A$5:$M$5,0))/1000)</f>
        <v>0</v>
      </c>
      <c r="M33" s="167">
        <f>K33*(INDEX('Ex post LI &amp; Eligibility Stats'!$A$6:$N$21,MATCH($A33,'Ex post LI &amp; Eligibility Stats'!$A$6:$A$21,0),MATCH('Program MW '!L$29,'Ex post LI &amp; Eligibility Stats'!$A$6:$N$6,0))/1000)</f>
        <v>0</v>
      </c>
      <c r="N33" s="34">
        <v>0</v>
      </c>
      <c r="O33" s="167">
        <f>N33*(INDEX('Ex ante LI &amp; Eligibility Stats'!$A$5:$M$20,MATCH($A33,'Ex ante LI &amp; Eligibility Stats'!$A$5:$A$20,0),MATCH('Program MW '!O$29,'Ex ante LI &amp; Eligibility Stats'!$A$5:$M$5,0))/1000)</f>
        <v>0</v>
      </c>
      <c r="P33" s="167">
        <f>N33*(INDEX('Ex post LI &amp; Eligibility Stats'!$A$6:$N$21,MATCH($A33,'Ex post LI &amp; Eligibility Stats'!$A$6:$A$21,0),MATCH('Program MW '!O$29,'Ex post LI &amp; Eligibility Stats'!$A$6:$N$6,0))/1000)</f>
        <v>0</v>
      </c>
      <c r="Q33" s="34">
        <v>0</v>
      </c>
      <c r="R33" s="167">
        <f>Q33*(INDEX('Ex ante LI &amp; Eligibility Stats'!$A$5:$M$20,MATCH($A33,'Ex ante LI &amp; Eligibility Stats'!$A$5:$A$20,0),MATCH('Program MW '!R$29,'Ex ante LI &amp; Eligibility Stats'!$A$5:$M$5,0))/1000)</f>
        <v>0</v>
      </c>
      <c r="S33" s="167">
        <f>Q33*(INDEX('Ex post LI &amp; Eligibility Stats'!$A$6:$N$21,MATCH($A33,'Ex post LI &amp; Eligibility Stats'!$A$6:$A$21,0),MATCH('Program MW '!R$29,'Ex post LI &amp; Eligibility Stats'!$A$6:$N$6,0))/1000)</f>
        <v>0</v>
      </c>
      <c r="T33" s="37">
        <v>5276</v>
      </c>
      <c r="U33" s="74"/>
    </row>
    <row r="34" spans="1:26" s="68" customFormat="1" x14ac:dyDescent="0.2">
      <c r="A34" s="3" t="s">
        <v>65</v>
      </c>
      <c r="B34" s="34">
        <v>0</v>
      </c>
      <c r="C34" s="167">
        <f>B34*(INDEX('Ex ante LI &amp; Eligibility Stats'!$A$5:$M$20,MATCH($A34,'Ex ante LI &amp; Eligibility Stats'!$A$5:$A$20,0),MATCH('Program MW '!C$29,'Ex ante LI &amp; Eligibility Stats'!$A$5:$M$5,0))/1000)</f>
        <v>0</v>
      </c>
      <c r="D34" s="167">
        <f>B34*(INDEX('Ex post LI &amp; Eligibility Stats'!$A$6:$N$21,MATCH($A34,'Ex post LI &amp; Eligibility Stats'!$A$6:$A$21,0),MATCH('Program MW '!C$29,'Ex post LI &amp; Eligibility Stats'!$A$6:$N$6,0))/1000)</f>
        <v>0</v>
      </c>
      <c r="E34" s="34">
        <v>0</v>
      </c>
      <c r="F34" s="167">
        <f>E34*(INDEX('Ex ante LI &amp; Eligibility Stats'!$A$5:$M$20,MATCH($A34,'Ex ante LI &amp; Eligibility Stats'!$A$5:$A$20,0),MATCH('Program MW '!F$29,'Ex ante LI &amp; Eligibility Stats'!$A$5:$M$5,0))/1000)</f>
        <v>0</v>
      </c>
      <c r="G34" s="167">
        <f>E34*(INDEX('Ex post LI &amp; Eligibility Stats'!$A$6:$N$21,MATCH($A34,'Ex post LI &amp; Eligibility Stats'!$A$6:$A$21,0),MATCH('Program MW '!F$29,'Ex post LI &amp; Eligibility Stats'!$A$6:$N$6,0))/1000)</f>
        <v>0</v>
      </c>
      <c r="H34" s="34">
        <v>0</v>
      </c>
      <c r="I34" s="167">
        <f>H34*(INDEX('Ex ante LI &amp; Eligibility Stats'!$A$5:$M$20,MATCH($A34,'Ex ante LI &amp; Eligibility Stats'!$A$5:$A$20,0),MATCH('Program MW '!I$29,'Ex ante LI &amp; Eligibility Stats'!$A$5:$M$5,0))/1000)</f>
        <v>0</v>
      </c>
      <c r="J34" s="167">
        <f>H34*(INDEX('Ex post LI &amp; Eligibility Stats'!$A$6:$N$21,MATCH($A34,'Ex post LI &amp; Eligibility Stats'!$A$6:$A$21,0),MATCH('Program MW '!I$29,'Ex post LI &amp; Eligibility Stats'!$A$6:$N$6,0))/1000)</f>
        <v>0</v>
      </c>
      <c r="K34" s="34">
        <v>0</v>
      </c>
      <c r="L34" s="167">
        <f>K34*(INDEX('Ex ante LI &amp; Eligibility Stats'!$A$5:$M$20,MATCH($A34,'Ex ante LI &amp; Eligibility Stats'!$A$5:$A$20,0),MATCH('Program MW '!L$29,'Ex ante LI &amp; Eligibility Stats'!$A$5:$M$5,0))/1000)</f>
        <v>0</v>
      </c>
      <c r="M34" s="167">
        <f>K34*(INDEX('Ex post LI &amp; Eligibility Stats'!$A$6:$N$21,MATCH($A34,'Ex post LI &amp; Eligibility Stats'!$A$6:$A$21,0),MATCH('Program MW '!L$29,'Ex post LI &amp; Eligibility Stats'!$A$6:$N$6,0))/1000)</f>
        <v>0</v>
      </c>
      <c r="N34" s="34">
        <v>0</v>
      </c>
      <c r="O34" s="167">
        <f>N34*(INDEX('Ex ante LI &amp; Eligibility Stats'!$A$5:$M$20,MATCH($A34,'Ex ante LI &amp; Eligibility Stats'!$A$5:$A$20,0),MATCH('Program MW '!O$29,'Ex ante LI &amp; Eligibility Stats'!$A$5:$M$5,0))/1000)</f>
        <v>0</v>
      </c>
      <c r="P34" s="167">
        <f>N34*(INDEX('Ex post LI &amp; Eligibility Stats'!$A$6:$N$21,MATCH($A34,'Ex post LI &amp; Eligibility Stats'!$A$6:$A$21,0),MATCH('Program MW '!O$29,'Ex post LI &amp; Eligibility Stats'!$A$6:$N$6,0))/1000)</f>
        <v>0</v>
      </c>
      <c r="Q34" s="34">
        <v>0</v>
      </c>
      <c r="R34" s="167">
        <f>Q34*(INDEX('Ex ante LI &amp; Eligibility Stats'!$A$5:$M$20,MATCH($A34,'Ex ante LI &amp; Eligibility Stats'!$A$5:$A$20,0),MATCH('Program MW '!R$29,'Ex ante LI &amp; Eligibility Stats'!$A$5:$M$5,0))/1000)</f>
        <v>0</v>
      </c>
      <c r="S34" s="167">
        <f>Q34*(INDEX('Ex post LI &amp; Eligibility Stats'!$A$6:$N$21,MATCH($A34,'Ex post LI &amp; Eligibility Stats'!$A$6:$A$21,0),MATCH('Program MW '!R$29,'Ex post LI &amp; Eligibility Stats'!$A$6:$N$6,0))/1000)</f>
        <v>0</v>
      </c>
      <c r="T34" s="37">
        <v>138123</v>
      </c>
      <c r="U34" s="74"/>
    </row>
    <row r="35" spans="1:26" s="68" customFormat="1" ht="13.5" thickBot="1" x14ac:dyDescent="0.25">
      <c r="A35" s="38" t="s">
        <v>20</v>
      </c>
      <c r="B35" s="39">
        <f t="shared" ref="B35:S35" si="3">SUM(B32:B34)</f>
        <v>0</v>
      </c>
      <c r="C35" s="42">
        <f t="shared" si="3"/>
        <v>0</v>
      </c>
      <c r="D35" s="41">
        <f t="shared" si="3"/>
        <v>0</v>
      </c>
      <c r="E35" s="39">
        <f t="shared" si="3"/>
        <v>0</v>
      </c>
      <c r="F35" s="42">
        <f t="shared" si="3"/>
        <v>0</v>
      </c>
      <c r="G35" s="41">
        <f t="shared" si="3"/>
        <v>0</v>
      </c>
      <c r="H35" s="39">
        <f t="shared" si="3"/>
        <v>0</v>
      </c>
      <c r="I35" s="42">
        <f t="shared" si="3"/>
        <v>0</v>
      </c>
      <c r="J35" s="41">
        <f t="shared" si="3"/>
        <v>0</v>
      </c>
      <c r="K35" s="39">
        <f t="shared" si="3"/>
        <v>0</v>
      </c>
      <c r="L35" s="42">
        <f t="shared" si="3"/>
        <v>0</v>
      </c>
      <c r="M35" s="41">
        <f t="shared" si="3"/>
        <v>0</v>
      </c>
      <c r="N35" s="39">
        <f t="shared" si="3"/>
        <v>0</v>
      </c>
      <c r="O35" s="42">
        <f t="shared" si="3"/>
        <v>0</v>
      </c>
      <c r="P35" s="41">
        <f t="shared" si="3"/>
        <v>0</v>
      </c>
      <c r="Q35" s="39">
        <f t="shared" si="3"/>
        <v>0</v>
      </c>
      <c r="R35" s="42">
        <f t="shared" si="3"/>
        <v>0</v>
      </c>
      <c r="S35" s="41">
        <f t="shared" si="3"/>
        <v>0</v>
      </c>
      <c r="T35" s="41"/>
      <c r="U35" s="74"/>
    </row>
    <row r="36" spans="1:26" s="68" customFormat="1" ht="13.5" thickTop="1" x14ac:dyDescent="0.2">
      <c r="A36" s="30" t="s">
        <v>130</v>
      </c>
      <c r="B36" s="45"/>
      <c r="C36" s="43"/>
      <c r="D36" s="44"/>
      <c r="E36" s="45"/>
      <c r="F36" s="43"/>
      <c r="G36" s="44"/>
      <c r="H36" s="45"/>
      <c r="I36" s="43"/>
      <c r="J36" s="44"/>
      <c r="K36" s="45"/>
      <c r="L36" s="43"/>
      <c r="M36" s="44"/>
      <c r="N36" s="45"/>
      <c r="O36" s="43"/>
      <c r="P36" s="44"/>
      <c r="Q36" s="45"/>
      <c r="R36" s="43"/>
      <c r="S36" s="44"/>
      <c r="T36" s="47"/>
      <c r="U36" s="74"/>
    </row>
    <row r="37" spans="1:26" s="68" customFormat="1" x14ac:dyDescent="0.2">
      <c r="A37" s="3" t="s">
        <v>69</v>
      </c>
      <c r="B37" s="34">
        <v>0</v>
      </c>
      <c r="C37" s="167">
        <f>B37*(INDEX('Ex ante LI &amp; Eligibility Stats'!$A$5:$M$20,MATCH($A37,'Ex ante LI &amp; Eligibility Stats'!$A$5:$A$20,0),MATCH('Program MW '!C$29,'Ex ante LI &amp; Eligibility Stats'!$A$5:$M$5,0))/1000)</f>
        <v>0</v>
      </c>
      <c r="D37" s="167">
        <f>B37*(INDEX('Ex post LI &amp; Eligibility Stats'!$A$6:$N$21,MATCH($A37,'Ex post LI &amp; Eligibility Stats'!$A$6:$A$21,0),MATCH('Program MW '!C$29,'Ex post LI &amp; Eligibility Stats'!$A$6:$N$6,0))/1000)</f>
        <v>0</v>
      </c>
      <c r="E37" s="34">
        <v>0</v>
      </c>
      <c r="F37" s="167">
        <f>E37*(INDEX('Ex ante LI &amp; Eligibility Stats'!$A$5:$M$20,MATCH($A37,'Ex ante LI &amp; Eligibility Stats'!$A$5:$A$20,0),MATCH('Program MW '!F$29,'Ex ante LI &amp; Eligibility Stats'!$A$5:$M$5,0))/1000)</f>
        <v>0</v>
      </c>
      <c r="G37" s="167">
        <f>E37*(INDEX('Ex post LI &amp; Eligibility Stats'!$A$6:$N$21,MATCH($A37,'Ex post LI &amp; Eligibility Stats'!$A$6:$A$21,0),MATCH('Program MW '!F$29,'Ex post LI &amp; Eligibility Stats'!$A$6:$N$6,0))/1000)</f>
        <v>0</v>
      </c>
      <c r="H37" s="34">
        <v>0</v>
      </c>
      <c r="I37" s="167">
        <f>H37*(INDEX('Ex ante LI &amp; Eligibility Stats'!$A$5:$M$20,MATCH($A37,'Ex ante LI &amp; Eligibility Stats'!$A$5:$A$20,0),MATCH('Program MW '!I$29,'Ex ante LI &amp; Eligibility Stats'!$A$5:$M$5,0))/1000)</f>
        <v>0</v>
      </c>
      <c r="J37" s="167">
        <f>H37*(INDEX('Ex post LI &amp; Eligibility Stats'!$A$6:$N$21,MATCH($A37,'Ex post LI &amp; Eligibility Stats'!$A$6:$A$21,0),MATCH('Program MW '!I$29,'Ex post LI &amp; Eligibility Stats'!$A$6:$N$6,0))/1000)</f>
        <v>0</v>
      </c>
      <c r="K37" s="34">
        <v>0</v>
      </c>
      <c r="L37" s="167">
        <f>K37*(INDEX('Ex ante LI &amp; Eligibility Stats'!$A$5:$M$20,MATCH($A37,'Ex ante LI &amp; Eligibility Stats'!$A$5:$A$20,0),MATCH('Program MW '!L$29,'Ex ante LI &amp; Eligibility Stats'!$A$5:$M$5,0))/1000)</f>
        <v>0</v>
      </c>
      <c r="M37" s="167">
        <f>K37*(INDEX('Ex post LI &amp; Eligibility Stats'!$A$6:$N$21,MATCH($A37,'Ex post LI &amp; Eligibility Stats'!$A$6:$A$21,0),MATCH('Program MW '!L$29,'Ex post LI &amp; Eligibility Stats'!$A$6:$N$6,0))/1000)</f>
        <v>0</v>
      </c>
      <c r="N37" s="34">
        <v>0</v>
      </c>
      <c r="O37" s="167">
        <f>N37*(INDEX('Ex ante LI &amp; Eligibility Stats'!$A$5:$M$20,MATCH($A37,'Ex ante LI &amp; Eligibility Stats'!$A$5:$A$20,0),MATCH('Program MW '!O$29,'Ex ante LI &amp; Eligibility Stats'!$A$5:$M$5,0))/1000)</f>
        <v>0</v>
      </c>
      <c r="P37" s="167">
        <f>N37*(INDEX('Ex post LI &amp; Eligibility Stats'!$A$6:$N$21,MATCH($A37,'Ex post LI &amp; Eligibility Stats'!$A$6:$A$21,0),MATCH('Program MW '!O$29,'Ex post LI &amp; Eligibility Stats'!$A$6:$N$6,0))/1000)</f>
        <v>0</v>
      </c>
      <c r="Q37" s="34">
        <v>0</v>
      </c>
      <c r="R37" s="167">
        <f>Q37*(INDEX('Ex ante LI &amp; Eligibility Stats'!$A$5:$M$20,MATCH($A37,'Ex ante LI &amp; Eligibility Stats'!$A$5:$A$20,0),MATCH('Program MW '!R$29,'Ex ante LI &amp; Eligibility Stats'!$A$5:$M$5,0))/1000)</f>
        <v>0</v>
      </c>
      <c r="S37" s="167">
        <f>Q37*(INDEX('Ex post LI &amp; Eligibility Stats'!$A$6:$N$21,MATCH($A37,'Ex post LI &amp; Eligibility Stats'!$A$6:$A$21,0),MATCH('Program MW '!R$29,'Ex post LI &amp; Eligibility Stats'!$A$6:$N$6,0))/1000)</f>
        <v>0</v>
      </c>
      <c r="T37" s="35">
        <v>138123</v>
      </c>
      <c r="U37" s="74"/>
    </row>
    <row r="38" spans="1:26" s="68" customFormat="1" x14ac:dyDescent="0.2">
      <c r="A38" s="3" t="s">
        <v>70</v>
      </c>
      <c r="B38" s="34">
        <v>0</v>
      </c>
      <c r="C38" s="167">
        <f>B38*(INDEX('Ex ante LI &amp; Eligibility Stats'!$A$5:$M$20,MATCH($A38,'Ex ante LI &amp; Eligibility Stats'!$A$5:$A$20,0),MATCH('Program MW '!C$29,'Ex ante LI &amp; Eligibility Stats'!$A$5:$M$5,0))/1000)</f>
        <v>0</v>
      </c>
      <c r="D38" s="167">
        <f>B38*(INDEX('Ex post LI &amp; Eligibility Stats'!$A$6:$N$21,MATCH($A38,'Ex post LI &amp; Eligibility Stats'!$A$6:$A$21,0),MATCH('Program MW '!C$29,'Ex post LI &amp; Eligibility Stats'!$A$6:$N$6,0))/1000)</f>
        <v>0</v>
      </c>
      <c r="E38" s="34">
        <v>0</v>
      </c>
      <c r="F38" s="167">
        <f>E38*(INDEX('Ex ante LI &amp; Eligibility Stats'!$A$5:$M$20,MATCH($A38,'Ex ante LI &amp; Eligibility Stats'!$A$5:$A$20,0),MATCH('Program MW '!F$29,'Ex ante LI &amp; Eligibility Stats'!$A$5:$M$5,0))/1000)</f>
        <v>0</v>
      </c>
      <c r="G38" s="167">
        <f>E38*(INDEX('Ex post LI &amp; Eligibility Stats'!$A$6:$N$21,MATCH($A38,'Ex post LI &amp; Eligibility Stats'!$A$6:$A$21,0),MATCH('Program MW '!F$29,'Ex post LI &amp; Eligibility Stats'!$A$6:$N$6,0))/1000)</f>
        <v>0</v>
      </c>
      <c r="H38" s="34">
        <v>0</v>
      </c>
      <c r="I38" s="167">
        <f>H38*(INDEX('Ex ante LI &amp; Eligibility Stats'!$A$5:$M$20,MATCH($A38,'Ex ante LI &amp; Eligibility Stats'!$A$5:$A$20,0),MATCH('Program MW '!I$29,'Ex ante LI &amp; Eligibility Stats'!$A$5:$M$5,0))/1000)</f>
        <v>0</v>
      </c>
      <c r="J38" s="167">
        <f>H38*(INDEX('Ex post LI &amp; Eligibility Stats'!$A$6:$N$21,MATCH($A38,'Ex post LI &amp; Eligibility Stats'!$A$6:$A$21,0),MATCH('Program MW '!I$29,'Ex post LI &amp; Eligibility Stats'!$A$6:$N$6,0))/1000)</f>
        <v>0</v>
      </c>
      <c r="K38" s="34">
        <v>0</v>
      </c>
      <c r="L38" s="167">
        <f>K38*(INDEX('Ex ante LI &amp; Eligibility Stats'!$A$5:$M$20,MATCH($A38,'Ex ante LI &amp; Eligibility Stats'!$A$5:$A$20,0),MATCH('Program MW '!L$29,'Ex ante LI &amp; Eligibility Stats'!$A$5:$M$5,0))/1000)</f>
        <v>0</v>
      </c>
      <c r="M38" s="167">
        <f>K38*(INDEX('Ex post LI &amp; Eligibility Stats'!$A$6:$N$21,MATCH($A38,'Ex post LI &amp; Eligibility Stats'!$A$6:$A$21,0),MATCH('Program MW '!L$29,'Ex post LI &amp; Eligibility Stats'!$A$6:$N$6,0))/1000)</f>
        <v>0</v>
      </c>
      <c r="N38" s="34">
        <v>0</v>
      </c>
      <c r="O38" s="167">
        <f>N38*(INDEX('Ex ante LI &amp; Eligibility Stats'!$A$5:$M$20,MATCH($A38,'Ex ante LI &amp; Eligibility Stats'!$A$5:$A$20,0),MATCH('Program MW '!O$29,'Ex ante LI &amp; Eligibility Stats'!$A$5:$M$5,0))/1000)</f>
        <v>0</v>
      </c>
      <c r="P38" s="167">
        <f>N38*(INDEX('Ex post LI &amp; Eligibility Stats'!$A$6:$N$21,MATCH($A38,'Ex post LI &amp; Eligibility Stats'!$A$6:$A$21,0),MATCH('Program MW '!O$29,'Ex post LI &amp; Eligibility Stats'!$A$6:$N$6,0))/1000)</f>
        <v>0</v>
      </c>
      <c r="Q38" s="34">
        <v>0</v>
      </c>
      <c r="R38" s="167">
        <f>Q38*(INDEX('Ex ante LI &amp; Eligibility Stats'!$A$5:$M$20,MATCH($A38,'Ex ante LI &amp; Eligibility Stats'!$A$5:$A$20,0),MATCH('Program MW '!R$29,'Ex ante LI &amp; Eligibility Stats'!$A$5:$M$5,0))/1000)</f>
        <v>0</v>
      </c>
      <c r="S38" s="167">
        <f>Q38*(INDEX('Ex post LI &amp; Eligibility Stats'!$A$6:$N$21,MATCH($A38,'Ex post LI &amp; Eligibility Stats'!$A$6:$A$21,0),MATCH('Program MW '!R$29,'Ex post LI &amp; Eligibility Stats'!$A$6:$N$6,0))/1000)</f>
        <v>0</v>
      </c>
      <c r="T38" s="37">
        <v>663393.5</v>
      </c>
      <c r="U38" s="74"/>
    </row>
    <row r="39" spans="1:26" s="68" customFormat="1" x14ac:dyDescent="0.2">
      <c r="A39" s="3" t="s">
        <v>71</v>
      </c>
      <c r="B39" s="34">
        <v>0</v>
      </c>
      <c r="C39" s="167">
        <f>B39*(INDEX('Ex ante LI &amp; Eligibility Stats'!$A$5:$M$20,MATCH($A39,'Ex ante LI &amp; Eligibility Stats'!$A$5:$A$20,0),MATCH('Program MW '!C$29,'Ex ante LI &amp; Eligibility Stats'!$A$5:$M$5,0))/1000)</f>
        <v>0</v>
      </c>
      <c r="D39" s="167">
        <f>B39*(INDEX('Ex post LI &amp; Eligibility Stats'!$A$6:$N$21,MATCH($A39,'Ex post LI &amp; Eligibility Stats'!$A$6:$A$21,0),MATCH('Program MW '!C$29,'Ex post LI &amp; Eligibility Stats'!$A$6:$N$6,0))/1000)</f>
        <v>0</v>
      </c>
      <c r="E39" s="34">
        <v>0</v>
      </c>
      <c r="F39" s="167">
        <f>E39*(INDEX('Ex ante LI &amp; Eligibility Stats'!$A$5:$M$20,MATCH($A39,'Ex ante LI &amp; Eligibility Stats'!$A$5:$A$20,0),MATCH('Program MW '!F$29,'Ex ante LI &amp; Eligibility Stats'!$A$5:$M$5,0))/1000)</f>
        <v>0</v>
      </c>
      <c r="G39" s="167">
        <f>E39*(INDEX('Ex post LI &amp; Eligibility Stats'!$A$6:$N$21,MATCH($A39,'Ex post LI &amp; Eligibility Stats'!$A$6:$A$21,0),MATCH('Program MW '!F$29,'Ex post LI &amp; Eligibility Stats'!$A$6:$N$6,0))/1000)</f>
        <v>0</v>
      </c>
      <c r="H39" s="34">
        <v>0</v>
      </c>
      <c r="I39" s="167">
        <f>H39*(INDEX('Ex ante LI &amp; Eligibility Stats'!$A$5:$M$20,MATCH($A39,'Ex ante LI &amp; Eligibility Stats'!$A$5:$A$20,0),MATCH('Program MW '!I$29,'Ex ante LI &amp; Eligibility Stats'!$A$5:$M$5,0))/1000)</f>
        <v>0</v>
      </c>
      <c r="J39" s="167">
        <f>H39*(INDEX('Ex post LI &amp; Eligibility Stats'!$A$6:$N$21,MATCH($A39,'Ex post LI &amp; Eligibility Stats'!$A$6:$A$21,0),MATCH('Program MW '!I$29,'Ex post LI &amp; Eligibility Stats'!$A$6:$N$6,0))/1000)</f>
        <v>0</v>
      </c>
      <c r="K39" s="34">
        <v>0</v>
      </c>
      <c r="L39" s="167">
        <f>K39*(INDEX('Ex ante LI &amp; Eligibility Stats'!$A$5:$M$20,MATCH($A39,'Ex ante LI &amp; Eligibility Stats'!$A$5:$A$20,0),MATCH('Program MW '!L$29,'Ex ante LI &amp; Eligibility Stats'!$A$5:$M$5,0))/1000)</f>
        <v>0</v>
      </c>
      <c r="M39" s="167">
        <f>K39*(INDEX('Ex post LI &amp; Eligibility Stats'!$A$6:$N$21,MATCH($A39,'Ex post LI &amp; Eligibility Stats'!$A$6:$A$21,0),MATCH('Program MW '!L$29,'Ex post LI &amp; Eligibility Stats'!$A$6:$N$6,0))/1000)</f>
        <v>0</v>
      </c>
      <c r="N39" s="34">
        <v>0</v>
      </c>
      <c r="O39" s="167">
        <f>N39*(INDEX('Ex ante LI &amp; Eligibility Stats'!$A$5:$M$20,MATCH($A39,'Ex ante LI &amp; Eligibility Stats'!$A$5:$A$20,0),MATCH('Program MW '!O$29,'Ex ante LI &amp; Eligibility Stats'!$A$5:$M$5,0))/1000)</f>
        <v>0</v>
      </c>
      <c r="P39" s="167">
        <f>N39*(INDEX('Ex post LI &amp; Eligibility Stats'!$A$6:$N$21,MATCH($A39,'Ex post LI &amp; Eligibility Stats'!$A$6:$A$21,0),MATCH('Program MW '!O$29,'Ex post LI &amp; Eligibility Stats'!$A$6:$N$6,0))/1000)</f>
        <v>0</v>
      </c>
      <c r="Q39" s="34">
        <v>0</v>
      </c>
      <c r="R39" s="167">
        <f>Q39*(INDEX('Ex ante LI &amp; Eligibility Stats'!$A$5:$M$20,MATCH($A39,'Ex ante LI &amp; Eligibility Stats'!$A$5:$A$20,0),MATCH('Program MW '!R$29,'Ex ante LI &amp; Eligibility Stats'!$A$5:$M$5,0))/1000)</f>
        <v>0</v>
      </c>
      <c r="S39" s="167">
        <f>Q39*(INDEX('Ex post LI &amp; Eligibility Stats'!$A$6:$N$21,MATCH($A39,'Ex post LI &amp; Eligibility Stats'!$A$6:$A$21,0),MATCH('Program MW '!R$29,'Ex post LI &amp; Eligibility Stats'!$A$6:$N$6,0))/1000)</f>
        <v>0</v>
      </c>
      <c r="T39" s="37">
        <v>157189</v>
      </c>
      <c r="U39" s="74"/>
    </row>
    <row r="40" spans="1:26" s="68" customFormat="1" x14ac:dyDescent="0.2">
      <c r="A40" s="3" t="s">
        <v>72</v>
      </c>
      <c r="B40" s="34">
        <v>0</v>
      </c>
      <c r="C40" s="167">
        <f>B40*(INDEX('Ex ante LI &amp; Eligibility Stats'!$A$5:$M$20,MATCH($A40,'Ex ante LI &amp; Eligibility Stats'!$A$5:$A$20,0),MATCH('Program MW '!C$29,'Ex ante LI &amp; Eligibility Stats'!$A$5:$M$5,0))/1000)</f>
        <v>0</v>
      </c>
      <c r="D40" s="167">
        <f>B40*(INDEX('Ex post LI &amp; Eligibility Stats'!$A$6:$N$21,MATCH($A40,'Ex post LI &amp; Eligibility Stats'!$A$6:$A$21,0),MATCH('Program MW '!C$29,'Ex post LI &amp; Eligibility Stats'!$A$6:$N$6,0))/1000)</f>
        <v>0</v>
      </c>
      <c r="E40" s="34">
        <v>0</v>
      </c>
      <c r="F40" s="167">
        <f>E40*(INDEX('Ex ante LI &amp; Eligibility Stats'!$A$5:$M$20,MATCH($A40,'Ex ante LI &amp; Eligibility Stats'!$A$5:$A$20,0),MATCH('Program MW '!F$29,'Ex ante LI &amp; Eligibility Stats'!$A$5:$M$5,0))/1000)</f>
        <v>0</v>
      </c>
      <c r="G40" s="167">
        <f>E40*(INDEX('Ex post LI &amp; Eligibility Stats'!$A$6:$N$21,MATCH($A40,'Ex post LI &amp; Eligibility Stats'!$A$6:$A$21,0),MATCH('Program MW '!F$29,'Ex post LI &amp; Eligibility Stats'!$A$6:$N$6,0))/1000)</f>
        <v>0</v>
      </c>
      <c r="H40" s="34">
        <v>0</v>
      </c>
      <c r="I40" s="167">
        <f>H40*(INDEX('Ex ante LI &amp; Eligibility Stats'!$A$5:$M$20,MATCH($A40,'Ex ante LI &amp; Eligibility Stats'!$A$5:$A$20,0),MATCH('Program MW '!I$29,'Ex ante LI &amp; Eligibility Stats'!$A$5:$M$5,0))/1000)</f>
        <v>0</v>
      </c>
      <c r="J40" s="167">
        <f>H40*(INDEX('Ex post LI &amp; Eligibility Stats'!$A$6:$N$21,MATCH($A40,'Ex post LI &amp; Eligibility Stats'!$A$6:$A$21,0),MATCH('Program MW '!I$29,'Ex post LI &amp; Eligibility Stats'!$A$6:$N$6,0))/1000)</f>
        <v>0</v>
      </c>
      <c r="K40" s="34">
        <v>0</v>
      </c>
      <c r="L40" s="167">
        <f>K40*(INDEX('Ex ante LI &amp; Eligibility Stats'!$A$5:$M$20,MATCH($A40,'Ex ante LI &amp; Eligibility Stats'!$A$5:$A$20,0),MATCH('Program MW '!L$29,'Ex ante LI &amp; Eligibility Stats'!$A$5:$M$5,0))/1000)</f>
        <v>0</v>
      </c>
      <c r="M40" s="167">
        <f>K40*(INDEX('Ex post LI &amp; Eligibility Stats'!$A$6:$N$21,MATCH($A40,'Ex post LI &amp; Eligibility Stats'!$A$6:$A$21,0),MATCH('Program MW '!L$29,'Ex post LI &amp; Eligibility Stats'!$A$6:$N$6,0))/1000)</f>
        <v>0</v>
      </c>
      <c r="N40" s="34">
        <v>0</v>
      </c>
      <c r="O40" s="167">
        <f>N40*(INDEX('Ex ante LI &amp; Eligibility Stats'!$A$5:$M$20,MATCH($A40,'Ex ante LI &amp; Eligibility Stats'!$A$5:$A$20,0),MATCH('Program MW '!O$29,'Ex ante LI &amp; Eligibility Stats'!$A$5:$M$5,0))/1000)</f>
        <v>0</v>
      </c>
      <c r="P40" s="167">
        <f>N40*(INDEX('Ex post LI &amp; Eligibility Stats'!$A$6:$N$21,MATCH($A40,'Ex post LI &amp; Eligibility Stats'!$A$6:$A$21,0),MATCH('Program MW '!O$29,'Ex post LI &amp; Eligibility Stats'!$A$6:$N$6,0))/1000)</f>
        <v>0</v>
      </c>
      <c r="Q40" s="34">
        <v>0</v>
      </c>
      <c r="R40" s="167">
        <f>Q40*(INDEX('Ex ante LI &amp; Eligibility Stats'!$A$5:$M$20,MATCH($A40,'Ex ante LI &amp; Eligibility Stats'!$A$5:$A$20,0),MATCH('Program MW '!R$29,'Ex ante LI &amp; Eligibility Stats'!$A$5:$M$5,0))/1000)</f>
        <v>0</v>
      </c>
      <c r="S40" s="167">
        <f>Q40*(INDEX('Ex post LI &amp; Eligibility Stats'!$A$6:$N$21,MATCH($A40,'Ex post LI &amp; Eligibility Stats'!$A$6:$A$21,0),MATCH('Program MW '!R$29,'Ex post LI &amp; Eligibility Stats'!$A$6:$N$6,0))/1000)</f>
        <v>0</v>
      </c>
      <c r="T40" s="37">
        <v>18875</v>
      </c>
      <c r="U40" s="74"/>
    </row>
    <row r="41" spans="1:26" s="68" customFormat="1" x14ac:dyDescent="0.2">
      <c r="A41" s="3" t="s">
        <v>73</v>
      </c>
      <c r="B41" s="34">
        <v>0</v>
      </c>
      <c r="C41" s="167">
        <f>B41*(INDEX('Ex ante LI &amp; Eligibility Stats'!$A$5:$M$20,MATCH($A41,'Ex ante LI &amp; Eligibility Stats'!$A$5:$A$20,0),MATCH('Program MW '!C$29,'Ex ante LI &amp; Eligibility Stats'!$A$5:$M$5,0))/1000)</f>
        <v>0</v>
      </c>
      <c r="D41" s="167">
        <f>B41*(INDEX('Ex post LI &amp; Eligibility Stats'!$A$6:$N$21,MATCH($A41,'Ex post LI &amp; Eligibility Stats'!$A$6:$A$21,0),MATCH('Program MW '!C$29,'Ex post LI &amp; Eligibility Stats'!$A$6:$N$6,0))/1000)</f>
        <v>0</v>
      </c>
      <c r="E41" s="34">
        <v>0</v>
      </c>
      <c r="F41" s="167">
        <f>E41*(INDEX('Ex ante LI &amp; Eligibility Stats'!$A$5:$M$20,MATCH($A41,'Ex ante LI &amp; Eligibility Stats'!$A$5:$A$20,0),MATCH('Program MW '!F$29,'Ex ante LI &amp; Eligibility Stats'!$A$5:$M$5,0))/1000)</f>
        <v>0</v>
      </c>
      <c r="G41" s="167">
        <f>E41*(INDEX('Ex post LI &amp; Eligibility Stats'!$A$6:$N$21,MATCH($A41,'Ex post LI &amp; Eligibility Stats'!$A$6:$A$21,0),MATCH('Program MW '!F$29,'Ex post LI &amp; Eligibility Stats'!$A$6:$N$6,0))/1000)</f>
        <v>0</v>
      </c>
      <c r="H41" s="34">
        <v>0</v>
      </c>
      <c r="I41" s="167">
        <f>H41*(INDEX('Ex ante LI &amp; Eligibility Stats'!$A$5:$M$20,MATCH($A41,'Ex ante LI &amp; Eligibility Stats'!$A$5:$A$20,0),MATCH('Program MW '!I$29,'Ex ante LI &amp; Eligibility Stats'!$A$5:$M$5,0))/1000)</f>
        <v>0</v>
      </c>
      <c r="J41" s="167">
        <f>H41*(INDEX('Ex post LI &amp; Eligibility Stats'!$A$6:$N$21,MATCH($A41,'Ex post LI &amp; Eligibility Stats'!$A$6:$A$21,0),MATCH('Program MW '!I$29,'Ex post LI &amp; Eligibility Stats'!$A$6:$N$6,0))/1000)</f>
        <v>0</v>
      </c>
      <c r="K41" s="34">
        <v>0</v>
      </c>
      <c r="L41" s="167">
        <f>K41*(INDEX('Ex ante LI &amp; Eligibility Stats'!$A$5:$M$20,MATCH($A41,'Ex ante LI &amp; Eligibility Stats'!$A$5:$A$20,0),MATCH('Program MW '!L$29,'Ex ante LI &amp; Eligibility Stats'!$A$5:$M$5,0))/1000)</f>
        <v>0</v>
      </c>
      <c r="M41" s="167">
        <f>K41*(INDEX('Ex post LI &amp; Eligibility Stats'!$A$6:$N$21,MATCH($A41,'Ex post LI &amp; Eligibility Stats'!$A$6:$A$21,0),MATCH('Program MW '!L$29,'Ex post LI &amp; Eligibility Stats'!$A$6:$N$6,0))/1000)</f>
        <v>0</v>
      </c>
      <c r="N41" s="34">
        <v>0</v>
      </c>
      <c r="O41" s="167">
        <f>N41*(INDEX('Ex ante LI &amp; Eligibility Stats'!$A$5:$M$20,MATCH($A41,'Ex ante LI &amp; Eligibility Stats'!$A$5:$A$20,0),MATCH('Program MW '!O$29,'Ex ante LI &amp; Eligibility Stats'!$A$5:$M$5,0))/1000)</f>
        <v>0</v>
      </c>
      <c r="P41" s="167">
        <f>N41*(INDEX('Ex post LI &amp; Eligibility Stats'!$A$6:$N$21,MATCH($A41,'Ex post LI &amp; Eligibility Stats'!$A$6:$A$21,0),MATCH('Program MW '!O$29,'Ex post LI &amp; Eligibility Stats'!$A$6:$N$6,0))/1000)</f>
        <v>0</v>
      </c>
      <c r="Q41" s="34">
        <v>0</v>
      </c>
      <c r="R41" s="167">
        <f>Q41*(INDEX('Ex ante LI &amp; Eligibility Stats'!$A$5:$M$20,MATCH($A41,'Ex ante LI &amp; Eligibility Stats'!$A$5:$A$20,0),MATCH('Program MW '!R$29,'Ex ante LI &amp; Eligibility Stats'!$A$5:$M$5,0))/1000)</f>
        <v>0</v>
      </c>
      <c r="S41" s="167">
        <f>Q41*(INDEX('Ex post LI &amp; Eligibility Stats'!$A$6:$N$21,MATCH($A41,'Ex post LI &amp; Eligibility Stats'!$A$6:$A$21,0),MATCH('Program MW '!R$29,'Ex post LI &amp; Eligibility Stats'!$A$6:$N$6,0))/1000)</f>
        <v>0</v>
      </c>
      <c r="T41" s="37">
        <v>18875</v>
      </c>
      <c r="U41" s="74"/>
    </row>
    <row r="42" spans="1:26" s="68" customFormat="1" x14ac:dyDescent="0.2">
      <c r="A42" s="2" t="s">
        <v>242</v>
      </c>
      <c r="B42" s="50">
        <v>0</v>
      </c>
      <c r="C42" s="167">
        <f>B42*(INDEX('Ex ante LI &amp; Eligibility Stats'!$A$5:$M$20,MATCH($A42,'Ex ante LI &amp; Eligibility Stats'!$A$5:$A$20,0),MATCH('Program MW '!C$29,'Ex ante LI &amp; Eligibility Stats'!$A$5:$M$5,0))/1000)</f>
        <v>0</v>
      </c>
      <c r="D42" s="406">
        <f>B42*(INDEX('Ex post LI &amp; Eligibility Stats'!$A$6:$N$21,MATCH($A42,'Ex post LI &amp; Eligibility Stats'!$A$6:$A$21,0),MATCH('Program MW '!C$29,'Ex post LI &amp; Eligibility Stats'!$A$6:$N$6,0))/1000)</f>
        <v>0</v>
      </c>
      <c r="E42" s="50">
        <v>0</v>
      </c>
      <c r="F42" s="167">
        <f>E42*(INDEX('Ex ante LI &amp; Eligibility Stats'!$A$5:$M$20,MATCH($A42,'Ex ante LI &amp; Eligibility Stats'!$A$5:$A$20,0),MATCH('Program MW '!F$29,'Ex ante LI &amp; Eligibility Stats'!$A$5:$M$5,0))/1000)</f>
        <v>0</v>
      </c>
      <c r="G42" s="406">
        <f>E42*(INDEX('Ex post LI &amp; Eligibility Stats'!$A$6:$N$21,MATCH($A42,'Ex post LI &amp; Eligibility Stats'!$A$6:$A$21,0),MATCH('Program MW '!F$29,'Ex post LI &amp; Eligibility Stats'!$A$6:$N$6,0))/1000)</f>
        <v>0</v>
      </c>
      <c r="H42" s="50">
        <v>0</v>
      </c>
      <c r="I42" s="167">
        <f>H42*(INDEX('Ex ante LI &amp; Eligibility Stats'!$A$5:$M$20,MATCH($A42,'Ex ante LI &amp; Eligibility Stats'!$A$5:$A$20,0),MATCH('Program MW '!I$29,'Ex ante LI &amp; Eligibility Stats'!$A$5:$M$5,0))/1000)</f>
        <v>0</v>
      </c>
      <c r="J42" s="406">
        <f>H42*(INDEX('Ex post LI &amp; Eligibility Stats'!$A$6:$N$21,MATCH($A42,'Ex post LI &amp; Eligibility Stats'!$A$6:$A$21,0),MATCH('Program MW '!I$29,'Ex post LI &amp; Eligibility Stats'!$A$6:$N$6,0))/1000)</f>
        <v>0</v>
      </c>
      <c r="K42" s="50">
        <v>0</v>
      </c>
      <c r="L42" s="167">
        <f>K42*(INDEX('Ex ante LI &amp; Eligibility Stats'!$A$5:$M$20,MATCH($A42,'Ex ante LI &amp; Eligibility Stats'!$A$5:$A$20,0),MATCH('Program MW '!L$29,'Ex ante LI &amp; Eligibility Stats'!$A$5:$M$5,0))/1000)</f>
        <v>0</v>
      </c>
      <c r="M42" s="167">
        <f>K42*(INDEX('Ex post LI &amp; Eligibility Stats'!$A$6:$N$21,MATCH($A42,'Ex post LI &amp; Eligibility Stats'!$A$6:$A$21,0),MATCH('Program MW '!L$29,'Ex post LI &amp; Eligibility Stats'!$A$6:$N$6,0))/1000)</f>
        <v>0</v>
      </c>
      <c r="N42" s="50">
        <v>0</v>
      </c>
      <c r="O42" s="167">
        <f>N42*(INDEX('Ex ante LI &amp; Eligibility Stats'!$A$5:$M$20,MATCH($A42,'Ex ante LI &amp; Eligibility Stats'!$A$5:$A$20,0),MATCH('Program MW '!O$29,'Ex ante LI &amp; Eligibility Stats'!$A$5:$M$5,0))/1000)</f>
        <v>0</v>
      </c>
      <c r="P42" s="167">
        <f>N42*(INDEX('Ex post LI &amp; Eligibility Stats'!$A$6:$N$21,MATCH($A42,'Ex post LI &amp; Eligibility Stats'!$A$6:$A$21,0),MATCH('Program MW '!O$29,'Ex post LI &amp; Eligibility Stats'!$A$6:$N$6,0))/1000)</f>
        <v>0</v>
      </c>
      <c r="Q42" s="34">
        <v>0</v>
      </c>
      <c r="R42" s="167">
        <f>Q42*(INDEX('Ex ante LI &amp; Eligibility Stats'!$A$5:$M$20,MATCH($A42,'Ex ante LI &amp; Eligibility Stats'!$A$5:$A$20,0),MATCH('Program MW '!R$29,'Ex ante LI &amp; Eligibility Stats'!$A$5:$M$5,0))/1000)</f>
        <v>0</v>
      </c>
      <c r="S42" s="406">
        <f>Q42*(INDEX('Ex post LI &amp; Eligibility Stats'!$A$6:$N$21,MATCH($A42,'Ex post LI &amp; Eligibility Stats'!$A$6:$A$21,0),MATCH('Program MW '!R$29,'Ex post LI &amp; Eligibility Stats'!$A$6:$N$6,0))/1000)</f>
        <v>0</v>
      </c>
      <c r="T42" s="37">
        <v>1200000</v>
      </c>
      <c r="U42" s="74"/>
    </row>
    <row r="43" spans="1:26" s="68" customFormat="1" x14ac:dyDescent="0.2">
      <c r="A43" s="2" t="s">
        <v>232</v>
      </c>
      <c r="B43" s="50">
        <v>0</v>
      </c>
      <c r="C43" s="167">
        <f>B43*(INDEX('Ex ante LI &amp; Eligibility Stats'!$A$5:$M$20,MATCH($A43,'Ex ante LI &amp; Eligibility Stats'!$A$5:$A$20,0),MATCH('Program MW '!C$29,'Ex ante LI &amp; Eligibility Stats'!$A$5:$M$5,0))/1000)</f>
        <v>0</v>
      </c>
      <c r="D43" s="406">
        <f>B43*(INDEX('Ex post LI &amp; Eligibility Stats'!$A$6:$N$21,MATCH($A43,'Ex post LI &amp; Eligibility Stats'!$A$6:$A$21,0),MATCH('Program MW '!C$29,'Ex post LI &amp; Eligibility Stats'!$A$6:$N$6,0))/1000)</f>
        <v>0</v>
      </c>
      <c r="E43" s="50">
        <v>0</v>
      </c>
      <c r="F43" s="167">
        <f>E43*(INDEX('Ex ante LI &amp; Eligibility Stats'!$A$5:$M$20,MATCH($A43,'Ex ante LI &amp; Eligibility Stats'!$A$5:$A$20,0),MATCH('Program MW '!F$29,'Ex ante LI &amp; Eligibility Stats'!$A$5:$M$5,0))/1000)</f>
        <v>0</v>
      </c>
      <c r="G43" s="406">
        <f>E43*(INDEX('Ex post LI &amp; Eligibility Stats'!$A$6:$N$21,MATCH($A43,'Ex post LI &amp; Eligibility Stats'!$A$6:$A$21,0),MATCH('Program MW '!F$29,'Ex post LI &amp; Eligibility Stats'!$A$6:$N$6,0))/1000)</f>
        <v>0</v>
      </c>
      <c r="H43" s="50">
        <v>0</v>
      </c>
      <c r="I43" s="167">
        <f>H43*(INDEX('Ex ante LI &amp; Eligibility Stats'!$A$5:$M$20,MATCH($A43,'Ex ante LI &amp; Eligibility Stats'!$A$5:$A$20,0),MATCH('Program MW '!I$29,'Ex ante LI &amp; Eligibility Stats'!$A$5:$M$5,0))/1000)</f>
        <v>0</v>
      </c>
      <c r="J43" s="406">
        <f>H43*(INDEX('Ex post LI &amp; Eligibility Stats'!$A$6:$N$21,MATCH($A43,'Ex post LI &amp; Eligibility Stats'!$A$6:$A$21,0),MATCH('Program MW '!I$29,'Ex post LI &amp; Eligibility Stats'!$A$6:$N$6,0))/1000)</f>
        <v>0</v>
      </c>
      <c r="K43" s="50">
        <v>0</v>
      </c>
      <c r="L43" s="167">
        <f>K43*(INDEX('Ex ante LI &amp; Eligibility Stats'!$A$5:$M$20,MATCH($A43,'Ex ante LI &amp; Eligibility Stats'!$A$5:$A$20,0),MATCH('Program MW '!L$29,'Ex ante LI &amp; Eligibility Stats'!$A$5:$M$5,0))/1000)</f>
        <v>0</v>
      </c>
      <c r="M43" s="167">
        <f>K43*(INDEX('Ex post LI &amp; Eligibility Stats'!$A$6:$N$21,MATCH($A43,'Ex post LI &amp; Eligibility Stats'!$A$6:$A$21,0),MATCH('Program MW '!L$29,'Ex post LI &amp; Eligibility Stats'!$A$6:$N$6,0))/1000)</f>
        <v>0</v>
      </c>
      <c r="N43" s="50">
        <v>0</v>
      </c>
      <c r="O43" s="167">
        <f>N43*(INDEX('Ex ante LI &amp; Eligibility Stats'!$A$5:$M$20,MATCH($A43,'Ex ante LI &amp; Eligibility Stats'!$A$5:$A$20,0),MATCH('Program MW '!O$29,'Ex ante LI &amp; Eligibility Stats'!$A$5:$M$5,0))/1000)</f>
        <v>0</v>
      </c>
      <c r="P43" s="167">
        <f>N43*(INDEX('Ex post LI &amp; Eligibility Stats'!$A$6:$N$21,MATCH($A43,'Ex post LI &amp; Eligibility Stats'!$A$6:$A$21,0),MATCH('Program MW '!O$29,'Ex post LI &amp; Eligibility Stats'!$A$6:$N$6,0))/1000)</f>
        <v>0</v>
      </c>
      <c r="Q43" s="34">
        <v>0</v>
      </c>
      <c r="R43" s="167">
        <f>Q43*(INDEX('Ex ante LI &amp; Eligibility Stats'!$A$5:$M$20,MATCH($A43,'Ex ante LI &amp; Eligibility Stats'!$A$5:$A$20,0),MATCH('Program MW '!R$29,'Ex ante LI &amp; Eligibility Stats'!$A$5:$M$5,0))/1000)</f>
        <v>0</v>
      </c>
      <c r="S43" s="406">
        <f>Q43*(INDEX('Ex post LI &amp; Eligibility Stats'!$A$6:$N$21,MATCH($A43,'Ex post LI &amp; Eligibility Stats'!$A$6:$A$21,0),MATCH('Program MW '!R$29,'Ex post LI &amp; Eligibility Stats'!$A$6:$N$6,0))/1000)</f>
        <v>0</v>
      </c>
      <c r="T43" s="37">
        <v>120000</v>
      </c>
      <c r="U43" s="74"/>
    </row>
    <row r="44" spans="1:26" s="68" customFormat="1" x14ac:dyDescent="0.2">
      <c r="A44" s="2" t="s">
        <v>147</v>
      </c>
      <c r="B44" s="34"/>
      <c r="C44" s="167">
        <f>B44*(INDEX('Ex ante LI &amp; Eligibility Stats'!$A$5:$M$20,MATCH($A44,'Ex ante LI &amp; Eligibility Stats'!$A$5:$A$20,0),MATCH('Program MW '!C$29,'Ex ante LI &amp; Eligibility Stats'!$A$5:$M$5,0))/1000)</f>
        <v>0</v>
      </c>
      <c r="D44" s="167">
        <f>B44*(INDEX('Ex post LI &amp; Eligibility Stats'!$A$6:$N$21,MATCH($A44,'Ex post LI &amp; Eligibility Stats'!$A$6:$A$21,0),MATCH('Program MW '!C$29,'Ex post LI &amp; Eligibility Stats'!$A$6:$N$6,0))/1000)</f>
        <v>0</v>
      </c>
      <c r="E44" s="34">
        <v>0</v>
      </c>
      <c r="F44" s="167">
        <f>E44*(INDEX('Ex ante LI &amp; Eligibility Stats'!$A$5:$M$20,MATCH($A44,'Ex ante LI &amp; Eligibility Stats'!$A$5:$A$20,0),MATCH('Program MW '!F$29,'Ex ante LI &amp; Eligibility Stats'!$A$5:$M$5,0))/1000)</f>
        <v>0</v>
      </c>
      <c r="G44" s="167">
        <f>E44*(INDEX('Ex post LI &amp; Eligibility Stats'!$A$6:$N$21,MATCH($A44,'Ex post LI &amp; Eligibility Stats'!$A$6:$A$21,0),MATCH('Program MW '!F$29,'Ex post LI &amp; Eligibility Stats'!$A$6:$N$6,0))/1000)</f>
        <v>0</v>
      </c>
      <c r="H44" s="34">
        <v>0</v>
      </c>
      <c r="I44" s="167">
        <f>H44*(INDEX('Ex ante LI &amp; Eligibility Stats'!$A$5:$M$20,MATCH($A44,'Ex ante LI &amp; Eligibility Stats'!$A$5:$A$20,0),MATCH('Program MW '!I$29,'Ex ante LI &amp; Eligibility Stats'!$A$5:$M$5,0))/1000)</f>
        <v>0</v>
      </c>
      <c r="J44" s="167">
        <f>H44*(INDEX('Ex post LI &amp; Eligibility Stats'!$A$6:$N$21,MATCH($A44,'Ex post LI &amp; Eligibility Stats'!$A$6:$A$21,0),MATCH('Program MW '!I$29,'Ex post LI &amp; Eligibility Stats'!$A$6:$N$6,0))/1000)</f>
        <v>0</v>
      </c>
      <c r="K44" s="34">
        <v>0</v>
      </c>
      <c r="L44" s="167">
        <f>K44*(INDEX('Ex ante LI &amp; Eligibility Stats'!$A$5:$M$20,MATCH($A44,'Ex ante LI &amp; Eligibility Stats'!$A$5:$A$20,0),MATCH('Program MW '!L$29,'Ex ante LI &amp; Eligibility Stats'!$A$5:$M$5,0))/1000)</f>
        <v>0</v>
      </c>
      <c r="M44" s="167">
        <f>K44*(INDEX('Ex post LI &amp; Eligibility Stats'!$A$6:$N$21,MATCH($A44,'Ex post LI &amp; Eligibility Stats'!$A$6:$A$21,0),MATCH('Program MW '!L$29,'Ex post LI &amp; Eligibility Stats'!$A$6:$N$6,0))/1000)</f>
        <v>0</v>
      </c>
      <c r="N44" s="34">
        <v>0</v>
      </c>
      <c r="O44" s="167">
        <f>N44*(INDEX('Ex ante LI &amp; Eligibility Stats'!$A$5:$M$20,MATCH($A44,'Ex ante LI &amp; Eligibility Stats'!$A$5:$A$20,0),MATCH('Program MW '!O$29,'Ex ante LI &amp; Eligibility Stats'!$A$5:$M$5,0))/1000)</f>
        <v>0</v>
      </c>
      <c r="P44" s="167">
        <f>N44*(INDEX('Ex post LI &amp; Eligibility Stats'!$A$6:$N$21,MATCH($A44,'Ex post LI &amp; Eligibility Stats'!$A$6:$A$21,0),MATCH('Program MW '!O$29,'Ex post LI &amp; Eligibility Stats'!$A$6:$N$6,0))/1000)</f>
        <v>0</v>
      </c>
      <c r="Q44" s="34">
        <v>0</v>
      </c>
      <c r="R44" s="167">
        <f>Q44*(INDEX('Ex ante LI &amp; Eligibility Stats'!$A$5:$M$20,MATCH($A44,'Ex ante LI &amp; Eligibility Stats'!$A$5:$A$20,0),MATCH('Program MW '!R$29,'Ex ante LI &amp; Eligibility Stats'!$A$5:$M$5,0))/1000)</f>
        <v>0</v>
      </c>
      <c r="S44" s="407">
        <f>Q44*(INDEX('Ex post LI &amp; Eligibility Stats'!$A$6:$N$21,MATCH($A44,'Ex post LI &amp; Eligibility Stats'!$A$6:$A$21,0),MATCH('Program MW '!R$29,'Ex post LI &amp; Eligibility Stats'!$A$6:$N$6,0))/1000)</f>
        <v>0</v>
      </c>
      <c r="T44" s="37">
        <v>162482</v>
      </c>
      <c r="U44" s="74"/>
    </row>
    <row r="45" spans="1:26" s="68" customFormat="1" ht="13.5" thickBot="1" x14ac:dyDescent="0.25">
      <c r="A45" s="38" t="s">
        <v>34</v>
      </c>
      <c r="B45" s="76">
        <f t="shared" ref="B45:S45" si="4">SUM(B37:B44)</f>
        <v>0</v>
      </c>
      <c r="C45" s="42">
        <f t="shared" si="4"/>
        <v>0</v>
      </c>
      <c r="D45" s="41">
        <f t="shared" si="4"/>
        <v>0</v>
      </c>
      <c r="E45" s="76">
        <f t="shared" si="4"/>
        <v>0</v>
      </c>
      <c r="F45" s="42">
        <f t="shared" si="4"/>
        <v>0</v>
      </c>
      <c r="G45" s="41">
        <f t="shared" si="4"/>
        <v>0</v>
      </c>
      <c r="H45" s="76">
        <f t="shared" si="4"/>
        <v>0</v>
      </c>
      <c r="I45" s="42">
        <f t="shared" si="4"/>
        <v>0</v>
      </c>
      <c r="J45" s="41">
        <f t="shared" si="4"/>
        <v>0</v>
      </c>
      <c r="K45" s="76">
        <f t="shared" si="4"/>
        <v>0</v>
      </c>
      <c r="L45" s="42">
        <f t="shared" si="4"/>
        <v>0</v>
      </c>
      <c r="M45" s="41">
        <f t="shared" si="4"/>
        <v>0</v>
      </c>
      <c r="N45" s="76">
        <f t="shared" si="4"/>
        <v>0</v>
      </c>
      <c r="O45" s="42">
        <f t="shared" si="4"/>
        <v>0</v>
      </c>
      <c r="P45" s="41">
        <f t="shared" si="4"/>
        <v>0</v>
      </c>
      <c r="Q45" s="76">
        <f t="shared" si="4"/>
        <v>0</v>
      </c>
      <c r="R45" s="42">
        <f t="shared" si="4"/>
        <v>0</v>
      </c>
      <c r="S45" s="41">
        <f t="shared" si="4"/>
        <v>0</v>
      </c>
      <c r="T45" s="59"/>
      <c r="U45" s="74"/>
    </row>
    <row r="46" spans="1:26" ht="14.25" thickTop="1" thickBot="1" x14ac:dyDescent="0.25">
      <c r="A46" s="54" t="s">
        <v>23</v>
      </c>
      <c r="B46" s="57">
        <f t="shared" ref="B46:S46" si="5">+B35+B45</f>
        <v>0</v>
      </c>
      <c r="C46" s="77">
        <f t="shared" si="5"/>
        <v>0</v>
      </c>
      <c r="D46" s="58">
        <f t="shared" si="5"/>
        <v>0</v>
      </c>
      <c r="E46" s="57">
        <f t="shared" si="5"/>
        <v>0</v>
      </c>
      <c r="F46" s="77">
        <f t="shared" si="5"/>
        <v>0</v>
      </c>
      <c r="G46" s="58">
        <f t="shared" si="5"/>
        <v>0</v>
      </c>
      <c r="H46" s="57">
        <f t="shared" si="5"/>
        <v>0</v>
      </c>
      <c r="I46" s="77">
        <f t="shared" si="5"/>
        <v>0</v>
      </c>
      <c r="J46" s="58">
        <f t="shared" si="5"/>
        <v>0</v>
      </c>
      <c r="K46" s="57">
        <f t="shared" si="5"/>
        <v>0</v>
      </c>
      <c r="L46" s="77">
        <f t="shared" si="5"/>
        <v>0</v>
      </c>
      <c r="M46" s="58">
        <f t="shared" si="5"/>
        <v>0</v>
      </c>
      <c r="N46" s="57">
        <f t="shared" si="5"/>
        <v>0</v>
      </c>
      <c r="O46" s="77">
        <f t="shared" si="5"/>
        <v>0</v>
      </c>
      <c r="P46" s="58">
        <f t="shared" si="5"/>
        <v>0</v>
      </c>
      <c r="Q46" s="78">
        <f t="shared" si="5"/>
        <v>0</v>
      </c>
      <c r="R46" s="77">
        <f t="shared" si="5"/>
        <v>0</v>
      </c>
      <c r="S46" s="58">
        <f t="shared" si="5"/>
        <v>0</v>
      </c>
      <c r="T46" s="65"/>
      <c r="U46" s="79"/>
    </row>
    <row r="47" spans="1:26" ht="13.5" thickTop="1" x14ac:dyDescent="0.2">
      <c r="A47" s="60"/>
      <c r="B47" s="80"/>
      <c r="C47" s="80"/>
      <c r="D47" s="48"/>
      <c r="E47" s="80"/>
      <c r="F47" s="80"/>
      <c r="G47" s="80"/>
      <c r="H47" s="48"/>
      <c r="I47" s="80"/>
      <c r="J47" s="80"/>
      <c r="K47" s="80"/>
      <c r="L47" s="80"/>
      <c r="M47" s="48"/>
      <c r="N47" s="80"/>
      <c r="O47" s="80"/>
      <c r="P47" s="80"/>
      <c r="Q47" s="48"/>
      <c r="R47" s="80"/>
      <c r="S47" s="80"/>
      <c r="T47" s="80"/>
      <c r="U47" s="48"/>
      <c r="V47" s="80"/>
      <c r="W47" s="80"/>
      <c r="X47" s="53"/>
      <c r="Y47" s="81"/>
      <c r="Z47" s="81"/>
    </row>
    <row r="48" spans="1:26" x14ac:dyDescent="0.2">
      <c r="A48" s="60"/>
      <c r="B48" s="48"/>
      <c r="C48" s="48"/>
      <c r="D48" s="48"/>
      <c r="E48" s="80"/>
      <c r="F48" s="48"/>
      <c r="G48" s="80"/>
      <c r="H48" s="48"/>
      <c r="I48" s="48"/>
      <c r="J48" s="48"/>
      <c r="K48" s="80"/>
      <c r="L48" s="48"/>
      <c r="M48" s="48"/>
      <c r="N48" s="48"/>
      <c r="O48" s="48"/>
      <c r="P48" s="161"/>
      <c r="Q48" s="48"/>
      <c r="R48" s="48"/>
      <c r="S48" s="48"/>
      <c r="T48" s="80"/>
      <c r="U48" s="48"/>
      <c r="V48" s="48"/>
      <c r="W48" s="80"/>
      <c r="X48" s="53"/>
      <c r="Y48" s="53"/>
      <c r="Z48" s="81"/>
    </row>
    <row r="49" spans="1:26" ht="15" x14ac:dyDescent="0.25">
      <c r="A49" s="335" t="s">
        <v>25</v>
      </c>
      <c r="B49" s="82"/>
      <c r="C49" s="82"/>
      <c r="D49" s="82"/>
      <c r="E49" s="82"/>
      <c r="F49" s="160"/>
      <c r="G49" s="82"/>
      <c r="H49" s="160"/>
      <c r="I49" s="82"/>
      <c r="J49" s="82"/>
      <c r="K49" s="82"/>
      <c r="L49" s="82"/>
      <c r="M49" s="82"/>
      <c r="N49" s="82"/>
      <c r="O49" s="82"/>
      <c r="P49" s="16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x14ac:dyDescent="0.2">
      <c r="A50" s="441" t="s">
        <v>163</v>
      </c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</row>
    <row r="51" spans="1:26" x14ac:dyDescent="0.2">
      <c r="A51" s="438" t="s">
        <v>169</v>
      </c>
      <c r="B51" s="439"/>
      <c r="C51" s="439"/>
      <c r="D51" s="439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x14ac:dyDescent="0.2">
      <c r="A52" s="440"/>
      <c r="B52" s="439"/>
      <c r="C52" s="439"/>
      <c r="D52" s="439"/>
      <c r="E52" s="439"/>
      <c r="F52" s="439"/>
      <c r="G52" s="439"/>
      <c r="H52" s="439"/>
      <c r="I52" s="439"/>
      <c r="J52" s="439"/>
      <c r="K52" s="439"/>
      <c r="L52" s="439"/>
      <c r="M52" s="439"/>
      <c r="N52" s="439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7.75" customHeight="1" x14ac:dyDescent="0.2">
      <c r="A53" s="439"/>
      <c r="B53" s="439"/>
      <c r="C53" s="439"/>
      <c r="D53" s="439"/>
      <c r="E53" s="439"/>
      <c r="F53" s="439"/>
      <c r="G53" s="439"/>
      <c r="H53" s="439"/>
      <c r="I53" s="439"/>
      <c r="J53" s="439"/>
      <c r="K53" s="439"/>
      <c r="L53" s="439"/>
      <c r="M53" s="439"/>
      <c r="N53" s="439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x14ac:dyDescent="0.2">
      <c r="A54" s="436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5.5" customHeight="1" x14ac:dyDescent="0.2">
      <c r="A55" s="437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x14ac:dyDescent="0.2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4"/>
      <c r="U56" s="84"/>
      <c r="V56" s="84"/>
      <c r="W56" s="84"/>
      <c r="X56" s="84"/>
      <c r="Y56" s="84"/>
      <c r="Z56" s="84"/>
    </row>
    <row r="57" spans="1:26" ht="6" customHeight="1" x14ac:dyDescent="0.2">
      <c r="A57" s="436"/>
      <c r="B57" s="437"/>
      <c r="C57" s="437"/>
      <c r="D57" s="437"/>
      <c r="E57" s="437"/>
      <c r="F57" s="437"/>
      <c r="G57" s="437"/>
      <c r="H57" s="437"/>
      <c r="I57" s="437"/>
      <c r="J57" s="437"/>
      <c r="K57" s="437"/>
      <c r="L57" s="437"/>
      <c r="M57" s="437"/>
      <c r="N57" s="437"/>
    </row>
    <row r="58" spans="1:26" ht="87.75" customHeight="1" x14ac:dyDescent="0.2">
      <c r="A58" s="437"/>
      <c r="B58" s="437"/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</row>
    <row r="60" spans="1:26" x14ac:dyDescent="0.2">
      <c r="A60" s="86"/>
    </row>
    <row r="61" spans="1:26" x14ac:dyDescent="0.2">
      <c r="A61" s="84"/>
    </row>
  </sheetData>
  <mergeCells count="4">
    <mergeCell ref="A57:N58"/>
    <mergeCell ref="A54:N55"/>
    <mergeCell ref="A51:N53"/>
    <mergeCell ref="A50:Z50"/>
  </mergeCells>
  <phoneticPr fontId="0" type="noConversion"/>
  <printOptions horizontalCentered="1"/>
  <pageMargins left="0" right="0" top="0.8" bottom="0.17" header="0.3" footer="0.15"/>
  <pageSetup scale="55" orientation="landscape" cellComments="atEnd" r:id="rId1"/>
  <headerFooter alignWithMargins="0">
    <oddHeader>&amp;C&amp;"Arial,Bold"San Diego Gas and Electric
Interruptible and Price Responsive Programs
 Subscription Statistics - Enrolled MW
JANUARY 2013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35"/>
  <sheetViews>
    <sheetView view="pageBreakPreview" zoomScale="60" zoomScaleNormal="100" workbookViewId="0">
      <selection activeCell="C19" sqref="C19"/>
    </sheetView>
  </sheetViews>
  <sheetFormatPr defaultRowHeight="12.75" x14ac:dyDescent="0.2"/>
  <cols>
    <col min="1" max="1" width="40.42578125" style="4" customWidth="1"/>
    <col min="2" max="2" width="11.140625" style="4" customWidth="1"/>
    <col min="3" max="3" width="10" style="4" customWidth="1"/>
    <col min="4" max="4" width="8.7109375" style="4" customWidth="1"/>
    <col min="5" max="5" width="8.5703125" style="4" customWidth="1"/>
    <col min="6" max="6" width="8.42578125" style="4" customWidth="1"/>
    <col min="7" max="7" width="7.7109375" style="4" customWidth="1"/>
    <col min="8" max="8" width="8.140625" style="4" customWidth="1"/>
    <col min="9" max="9" width="9.5703125" style="4" customWidth="1"/>
    <col min="10" max="10" width="11.5703125" style="4" customWidth="1"/>
    <col min="11" max="11" width="9.42578125" style="4" customWidth="1"/>
    <col min="12" max="12" width="11.140625" style="4" customWidth="1"/>
    <col min="13" max="13" width="10.7109375" style="4" customWidth="1"/>
    <col min="14" max="14" width="13.28515625" style="420" customWidth="1"/>
    <col min="15" max="15" width="66.85546875" style="4" customWidth="1"/>
    <col min="16" max="16" width="15" style="4" bestFit="1" customWidth="1"/>
    <col min="17" max="17" width="11.140625" style="4" customWidth="1"/>
    <col min="18" max="18" width="9.85546875" style="4" bestFit="1" customWidth="1"/>
    <col min="19" max="19" width="10.85546875" style="4" customWidth="1"/>
    <col min="20" max="20" width="12.140625" style="4" bestFit="1" customWidth="1"/>
    <col min="21" max="21" width="12.140625" style="4" customWidth="1"/>
    <col min="22" max="22" width="9.5703125" style="4" bestFit="1" customWidth="1"/>
    <col min="23" max="23" width="11.140625" style="4" customWidth="1"/>
    <col min="24" max="24" width="11.7109375" style="4" bestFit="1" customWidth="1"/>
    <col min="25" max="25" width="11.7109375" style="4" customWidth="1"/>
    <col min="26" max="16384" width="9.140625" style="4"/>
  </cols>
  <sheetData>
    <row r="1" spans="1:16" x14ac:dyDescent="0.2">
      <c r="A1" s="19"/>
    </row>
    <row r="4" spans="1:16" x14ac:dyDescent="0.2">
      <c r="A4" s="6"/>
      <c r="B4" s="442" t="s">
        <v>131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3" t="s">
        <v>243</v>
      </c>
      <c r="O4" s="6"/>
    </row>
    <row r="5" spans="1:16" ht="38.25" customHeight="1" x14ac:dyDescent="0.2">
      <c r="A5" s="89" t="s">
        <v>44</v>
      </c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45</v>
      </c>
      <c r="J5" s="20" t="s">
        <v>46</v>
      </c>
      <c r="K5" s="20" t="s">
        <v>9</v>
      </c>
      <c r="L5" s="20" t="s">
        <v>47</v>
      </c>
      <c r="M5" s="20" t="s">
        <v>11</v>
      </c>
      <c r="N5" s="444"/>
      <c r="O5" s="88" t="s">
        <v>132</v>
      </c>
    </row>
    <row r="6" spans="1:16" ht="33" customHeight="1" x14ac:dyDescent="0.2">
      <c r="A6" s="2" t="s">
        <v>67</v>
      </c>
      <c r="B6" s="411">
        <v>325.71242224999997</v>
      </c>
      <c r="C6" s="412">
        <v>311.12367399999999</v>
      </c>
      <c r="D6" s="413">
        <v>319.46122400000002</v>
      </c>
      <c r="E6" s="413">
        <v>325.52134899999999</v>
      </c>
      <c r="F6" s="413">
        <v>320.065224</v>
      </c>
      <c r="G6" s="413">
        <v>324.08089899999999</v>
      </c>
      <c r="H6" s="413">
        <v>339.10994899999997</v>
      </c>
      <c r="I6" s="412">
        <v>0</v>
      </c>
      <c r="J6" s="412">
        <v>0</v>
      </c>
      <c r="K6" s="412">
        <v>0</v>
      </c>
      <c r="L6" s="412">
        <v>0</v>
      </c>
      <c r="M6" s="412">
        <v>0</v>
      </c>
      <c r="N6" s="421">
        <v>5276</v>
      </c>
      <c r="O6" t="s">
        <v>74</v>
      </c>
    </row>
    <row r="7" spans="1:16" ht="42.75" customHeight="1" x14ac:dyDescent="0.2">
      <c r="A7" s="2" t="s">
        <v>68</v>
      </c>
      <c r="B7" s="414">
        <v>26.705816666666667</v>
      </c>
      <c r="C7" s="414">
        <v>34.657350000000001</v>
      </c>
      <c r="D7" s="414">
        <v>35.478166666666674</v>
      </c>
      <c r="E7" s="414">
        <v>53.569100000000006</v>
      </c>
      <c r="F7" s="414">
        <v>48.723974999999996</v>
      </c>
      <c r="G7" s="414">
        <v>46.39435000000001</v>
      </c>
      <c r="H7" s="414">
        <v>47.452950000000001</v>
      </c>
      <c r="I7" s="414">
        <v>43.425900000000013</v>
      </c>
      <c r="J7" s="414">
        <v>50.857599999999991</v>
      </c>
      <c r="K7" s="414">
        <v>52.957925000000003</v>
      </c>
      <c r="L7" s="414">
        <v>44.45558333333333</v>
      </c>
      <c r="M7" s="414">
        <v>33.060249999999996</v>
      </c>
      <c r="N7" s="421">
        <v>5276</v>
      </c>
      <c r="O7" t="s">
        <v>74</v>
      </c>
    </row>
    <row r="8" spans="1:16" ht="41.25" customHeight="1" x14ac:dyDescent="0.2">
      <c r="A8" s="2" t="s">
        <v>65</v>
      </c>
      <c r="B8" s="410">
        <v>230</v>
      </c>
      <c r="C8" s="410">
        <v>230</v>
      </c>
      <c r="D8" s="410">
        <v>230</v>
      </c>
      <c r="E8" s="410">
        <v>230</v>
      </c>
      <c r="F8" s="410">
        <v>230</v>
      </c>
      <c r="G8" s="410">
        <v>230</v>
      </c>
      <c r="H8" s="410">
        <v>230</v>
      </c>
      <c r="I8" s="410">
        <v>230</v>
      </c>
      <c r="J8" s="410">
        <v>230</v>
      </c>
      <c r="K8" s="410">
        <v>230</v>
      </c>
      <c r="L8" s="410">
        <v>230</v>
      </c>
      <c r="M8" s="410">
        <v>230</v>
      </c>
      <c r="N8" s="421">
        <v>138123</v>
      </c>
      <c r="O8" t="s">
        <v>75</v>
      </c>
    </row>
    <row r="9" spans="1:16" ht="32.25" customHeight="1" x14ac:dyDescent="0.2">
      <c r="A9" s="2" t="s">
        <v>14</v>
      </c>
      <c r="B9" s="410">
        <v>0</v>
      </c>
      <c r="C9" s="410">
        <v>0</v>
      </c>
      <c r="D9" s="410">
        <v>0</v>
      </c>
      <c r="E9" s="410" t="s">
        <v>76</v>
      </c>
      <c r="F9" s="410" t="s">
        <v>76</v>
      </c>
      <c r="G9" s="410" t="s">
        <v>76</v>
      </c>
      <c r="H9" s="410" t="s">
        <v>76</v>
      </c>
      <c r="I9" s="410" t="s">
        <v>76</v>
      </c>
      <c r="J9" s="410" t="s">
        <v>76</v>
      </c>
      <c r="K9" s="410" t="s">
        <v>76</v>
      </c>
      <c r="L9" s="410" t="s">
        <v>76</v>
      </c>
      <c r="M9" s="410" t="s">
        <v>76</v>
      </c>
      <c r="N9" s="425" t="s">
        <v>76</v>
      </c>
      <c r="O9" t="s">
        <v>77</v>
      </c>
    </row>
    <row r="10" spans="1:16" ht="31.5" customHeight="1" x14ac:dyDescent="0.2">
      <c r="A10" s="2" t="s">
        <v>28</v>
      </c>
      <c r="B10" s="410">
        <v>0</v>
      </c>
      <c r="C10" s="410">
        <v>0</v>
      </c>
      <c r="D10" s="410">
        <v>0</v>
      </c>
      <c r="E10" s="410">
        <v>0</v>
      </c>
      <c r="F10" s="410">
        <v>0</v>
      </c>
      <c r="G10" s="410">
        <v>0</v>
      </c>
      <c r="H10" s="410">
        <v>0</v>
      </c>
      <c r="I10" s="410">
        <v>0</v>
      </c>
      <c r="J10" s="410">
        <v>0</v>
      </c>
      <c r="K10" s="410">
        <v>0</v>
      </c>
      <c r="L10" s="410">
        <v>0</v>
      </c>
      <c r="M10" s="410">
        <v>0</v>
      </c>
      <c r="N10" s="421">
        <v>5276</v>
      </c>
      <c r="O10" t="s">
        <v>74</v>
      </c>
    </row>
    <row r="11" spans="1:16" ht="41.25" customHeight="1" x14ac:dyDescent="0.2">
      <c r="A11" s="2" t="s">
        <v>69</v>
      </c>
      <c r="B11" s="410">
        <v>4.9017400000000011</v>
      </c>
      <c r="C11" s="410">
        <v>5.0142199999999999</v>
      </c>
      <c r="D11" s="410">
        <v>5.4891399999999972</v>
      </c>
      <c r="E11" s="410">
        <v>16.313580000000002</v>
      </c>
      <c r="F11" s="410">
        <v>9.1327833333333412</v>
      </c>
      <c r="G11" s="424">
        <v>9.0157000000000007</v>
      </c>
      <c r="H11" s="410">
        <v>11.694583333333332</v>
      </c>
      <c r="I11" s="410">
        <v>10.128916666666669</v>
      </c>
      <c r="J11" s="410">
        <v>18.048716666666653</v>
      </c>
      <c r="K11" s="410">
        <f>+I11</f>
        <v>10.128916666666669</v>
      </c>
      <c r="L11" s="410">
        <f>+B11</f>
        <v>4.9017400000000011</v>
      </c>
      <c r="M11" s="410">
        <f>+C11</f>
        <v>5.0142199999999999</v>
      </c>
      <c r="N11" s="421">
        <v>138123</v>
      </c>
      <c r="O11" t="s">
        <v>75</v>
      </c>
    </row>
    <row r="12" spans="1:16" ht="41.25" customHeight="1" x14ac:dyDescent="0.2">
      <c r="A12" s="2" t="s">
        <v>70</v>
      </c>
      <c r="B12" s="410">
        <v>0</v>
      </c>
      <c r="C12" s="410">
        <v>0</v>
      </c>
      <c r="D12" s="410">
        <v>0</v>
      </c>
      <c r="E12" s="410">
        <v>0</v>
      </c>
      <c r="F12" s="410">
        <v>0.20459899999999998</v>
      </c>
      <c r="G12" s="410">
        <v>0.10891627500000001</v>
      </c>
      <c r="H12" s="410">
        <v>0.50307425000000006</v>
      </c>
      <c r="I12" s="410">
        <v>0.45020775000000013</v>
      </c>
      <c r="J12" s="410">
        <v>0.76456675000000018</v>
      </c>
      <c r="K12" s="410">
        <v>0.45525750000000004</v>
      </c>
      <c r="L12" s="410">
        <v>0</v>
      </c>
      <c r="M12" s="410">
        <v>0</v>
      </c>
      <c r="N12" s="421">
        <v>663393.5</v>
      </c>
      <c r="O12" t="s">
        <v>78</v>
      </c>
      <c r="P12" s="1"/>
    </row>
    <row r="13" spans="1:16" ht="41.25" customHeight="1" x14ac:dyDescent="0.2">
      <c r="A13" s="2" t="s">
        <v>71</v>
      </c>
      <c r="B13" s="410">
        <v>0</v>
      </c>
      <c r="C13" s="410">
        <v>0</v>
      </c>
      <c r="D13" s="410">
        <v>0</v>
      </c>
      <c r="E13" s="410">
        <v>0</v>
      </c>
      <c r="F13" s="410">
        <v>0.61829999999999985</v>
      </c>
      <c r="G13" s="410">
        <v>0.62684749999999978</v>
      </c>
      <c r="H13" s="410">
        <v>0.94216999999999995</v>
      </c>
      <c r="I13" s="410">
        <v>0.92794824999999981</v>
      </c>
      <c r="J13" s="410">
        <v>1.0925320000000005</v>
      </c>
      <c r="K13" s="410">
        <v>0.78670000000000018</v>
      </c>
      <c r="L13" s="410">
        <v>0</v>
      </c>
      <c r="M13" s="410">
        <v>0</v>
      </c>
      <c r="N13" s="421">
        <v>157189</v>
      </c>
      <c r="O13" t="s">
        <v>79</v>
      </c>
      <c r="P13" s="1"/>
    </row>
    <row r="14" spans="1:16" ht="58.5" customHeight="1" x14ac:dyDescent="0.2">
      <c r="A14" s="2" t="s">
        <v>72</v>
      </c>
      <c r="B14" s="415">
        <v>0</v>
      </c>
      <c r="C14" s="415">
        <v>0</v>
      </c>
      <c r="D14" s="415">
        <v>0</v>
      </c>
      <c r="E14" s="415">
        <v>0</v>
      </c>
      <c r="F14" s="415">
        <v>136.12037580726792</v>
      </c>
      <c r="G14" s="415">
        <v>131.71288244275078</v>
      </c>
      <c r="H14" s="415">
        <v>133.64983659632065</v>
      </c>
      <c r="I14" s="415">
        <v>137.12126092349783</v>
      </c>
      <c r="J14" s="415">
        <v>137.12126092349783</v>
      </c>
      <c r="K14" s="415">
        <v>137.12126092349783</v>
      </c>
      <c r="L14" s="415">
        <v>0</v>
      </c>
      <c r="M14" s="415">
        <v>0</v>
      </c>
      <c r="N14" s="421">
        <v>18875</v>
      </c>
      <c r="O14" t="s">
        <v>244</v>
      </c>
    </row>
    <row r="15" spans="1:16" ht="41.25" customHeight="1" x14ac:dyDescent="0.2">
      <c r="A15" s="2" t="s">
        <v>73</v>
      </c>
      <c r="B15" s="416">
        <v>0</v>
      </c>
      <c r="C15" s="416">
        <v>0</v>
      </c>
      <c r="D15" s="416">
        <v>0</v>
      </c>
      <c r="E15" s="416">
        <v>0</v>
      </c>
      <c r="F15" s="416">
        <v>19.425454561827614</v>
      </c>
      <c r="G15" s="416">
        <v>19.684110471860468</v>
      </c>
      <c r="H15" s="416">
        <v>23.628059457201477</v>
      </c>
      <c r="I15" s="416">
        <v>21.126652141193766</v>
      </c>
      <c r="J15" s="416">
        <v>21.126652141193766</v>
      </c>
      <c r="K15" s="416">
        <v>21.126652141193766</v>
      </c>
      <c r="L15" s="416">
        <v>0</v>
      </c>
      <c r="M15" s="416">
        <v>0</v>
      </c>
      <c r="N15" s="421">
        <v>18875</v>
      </c>
      <c r="O15" t="s">
        <v>244</v>
      </c>
    </row>
    <row r="16" spans="1:16" ht="41.25" customHeight="1" x14ac:dyDescent="0.2">
      <c r="A16" s="2" t="s">
        <v>162</v>
      </c>
      <c r="B16" s="417">
        <v>0</v>
      </c>
      <c r="C16" s="410">
        <v>0</v>
      </c>
      <c r="D16" s="410">
        <v>0</v>
      </c>
      <c r="E16" s="410">
        <v>0</v>
      </c>
      <c r="F16" s="410">
        <v>0</v>
      </c>
      <c r="G16" s="410">
        <v>0</v>
      </c>
      <c r="H16" s="410">
        <v>0</v>
      </c>
      <c r="I16" s="410">
        <v>0</v>
      </c>
      <c r="J16" s="410">
        <v>0</v>
      </c>
      <c r="K16" s="410">
        <v>0</v>
      </c>
      <c r="L16" s="410">
        <v>0</v>
      </c>
      <c r="M16" s="410">
        <v>0</v>
      </c>
      <c r="N16" s="421">
        <v>18875</v>
      </c>
      <c r="O16" t="s">
        <v>244</v>
      </c>
    </row>
    <row r="17" spans="1:26" ht="41.25" customHeight="1" x14ac:dyDescent="0.2">
      <c r="A17" s="2" t="s">
        <v>32</v>
      </c>
      <c r="B17" s="410" t="s">
        <v>76</v>
      </c>
      <c r="C17" s="410" t="s">
        <v>76</v>
      </c>
      <c r="D17" s="410" t="s">
        <v>76</v>
      </c>
      <c r="E17" s="410" t="s">
        <v>76</v>
      </c>
      <c r="F17" s="410" t="s">
        <v>76</v>
      </c>
      <c r="G17" s="410" t="s">
        <v>76</v>
      </c>
      <c r="H17" s="410" t="s">
        <v>76</v>
      </c>
      <c r="I17" s="410" t="s">
        <v>76</v>
      </c>
      <c r="J17" s="410" t="s">
        <v>76</v>
      </c>
      <c r="K17" s="410" t="s">
        <v>76</v>
      </c>
      <c r="L17" s="410" t="s">
        <v>76</v>
      </c>
      <c r="M17" s="410" t="s">
        <v>76</v>
      </c>
      <c r="N17" s="421">
        <v>18875</v>
      </c>
      <c r="O17" t="s">
        <v>244</v>
      </c>
    </row>
    <row r="18" spans="1:26" ht="41.25" customHeight="1" x14ac:dyDescent="0.2">
      <c r="A18" s="2" t="s">
        <v>242</v>
      </c>
      <c r="B18" s="410">
        <v>2.0833333333333332E-2</v>
      </c>
      <c r="C18" s="410">
        <v>2.0833333333333332E-2</v>
      </c>
      <c r="D18" s="410">
        <v>2.0833333333333332E-2</v>
      </c>
      <c r="E18" s="410">
        <v>2.0833333333333332E-2</v>
      </c>
      <c r="F18" s="410">
        <v>2.0833333333333332E-2</v>
      </c>
      <c r="G18" s="410">
        <v>2.0833333333333332E-2</v>
      </c>
      <c r="H18" s="418">
        <v>3.1352283333333335E-2</v>
      </c>
      <c r="I18" s="418">
        <v>3.2622949999999998E-2</v>
      </c>
      <c r="J18" s="418">
        <v>3.46068E-2</v>
      </c>
      <c r="K18" s="418">
        <v>2.8637433333333333E-2</v>
      </c>
      <c r="L18" s="418">
        <v>6.773616666666666E-3</v>
      </c>
      <c r="M18" s="418">
        <v>1.3712166666666664E-2</v>
      </c>
      <c r="N18" s="421">
        <v>1200000</v>
      </c>
      <c r="O18" t="s">
        <v>245</v>
      </c>
      <c r="P18" s="1"/>
    </row>
    <row r="19" spans="1:26" ht="41.25" customHeight="1" x14ac:dyDescent="0.2">
      <c r="A19" s="2" t="s">
        <v>232</v>
      </c>
      <c r="B19" s="410">
        <v>2.0833333333333332E-2</v>
      </c>
      <c r="C19" s="410">
        <v>2.0833333333333332E-2</v>
      </c>
      <c r="D19" s="410">
        <v>2.0833333333333332E-2</v>
      </c>
      <c r="E19" s="410">
        <v>2.0833333333333332E-2</v>
      </c>
      <c r="F19" s="410">
        <v>2.0833333333333332E-2</v>
      </c>
      <c r="G19" s="410">
        <v>2.0833333333333332E-2</v>
      </c>
      <c r="H19" s="410">
        <v>2.0833333333333332E-2</v>
      </c>
      <c r="I19" s="410">
        <v>2.0833333333333332E-2</v>
      </c>
      <c r="J19" s="410">
        <v>2.0833333333333332E-2</v>
      </c>
      <c r="K19" s="410">
        <v>2.0833333333333332E-2</v>
      </c>
      <c r="L19" s="410">
        <v>2.0833333333333332E-2</v>
      </c>
      <c r="M19" s="410">
        <v>2.0833333333333332E-2</v>
      </c>
      <c r="N19" s="421">
        <v>120000</v>
      </c>
      <c r="O19"/>
      <c r="P19" s="1"/>
    </row>
    <row r="20" spans="1:26" ht="41.25" customHeight="1" x14ac:dyDescent="0.2">
      <c r="A20" s="2" t="s">
        <v>147</v>
      </c>
      <c r="B20" s="410">
        <v>1666.6666666666667</v>
      </c>
      <c r="C20" s="410">
        <v>1666.6666666666667</v>
      </c>
      <c r="D20" s="410">
        <v>1666.6666666666667</v>
      </c>
      <c r="E20" s="410">
        <v>1666.6666666666667</v>
      </c>
      <c r="F20" s="410">
        <v>1666.6666666666667</v>
      </c>
      <c r="G20" s="410">
        <v>1666.6666666666667</v>
      </c>
      <c r="H20" s="410">
        <v>1666.6666666666667</v>
      </c>
      <c r="I20" s="410">
        <v>1666.6666666666667</v>
      </c>
      <c r="J20" s="410">
        <v>1666.6666666666667</v>
      </c>
      <c r="K20" s="410">
        <v>1666.6666666666667</v>
      </c>
      <c r="L20" s="410">
        <v>1666.6666666666667</v>
      </c>
      <c r="M20" s="410">
        <v>1666.6666666666667</v>
      </c>
      <c r="N20" s="421">
        <v>162482</v>
      </c>
      <c r="O20" t="s">
        <v>246</v>
      </c>
      <c r="P20" s="1"/>
    </row>
    <row r="22" spans="1:26" x14ac:dyDescent="0.2">
      <c r="A22" s="445" t="s">
        <v>133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</row>
    <row r="23" spans="1:26" x14ac:dyDescent="0.2">
      <c r="A23" s="446"/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</row>
    <row r="24" spans="1:26" ht="15" x14ac:dyDescent="0.25">
      <c r="A24" s="335" t="s">
        <v>25</v>
      </c>
      <c r="B24" s="82"/>
      <c r="C24" s="82"/>
      <c r="D24" s="82"/>
      <c r="E24" s="82"/>
      <c r="F24" s="160"/>
      <c r="G24" s="82"/>
      <c r="H24" s="160"/>
      <c r="I24" s="82"/>
      <c r="J24" s="82"/>
      <c r="K24" s="82"/>
      <c r="L24" s="82"/>
      <c r="M24" s="82"/>
      <c r="N24" s="423"/>
      <c r="O24" s="82"/>
      <c r="P24" s="16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x14ac:dyDescent="0.2">
      <c r="A25" s="441" t="s">
        <v>163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</row>
    <row r="33" spans="4:16" x14ac:dyDescent="0.2">
      <c r="D33"/>
      <c r="E33"/>
      <c r="F33"/>
      <c r="G33"/>
      <c r="H33"/>
      <c r="I33"/>
      <c r="J33"/>
      <c r="K33"/>
      <c r="L33"/>
      <c r="M33"/>
      <c r="N33" s="422"/>
      <c r="O33"/>
      <c r="P33"/>
    </row>
    <row r="34" spans="4:16" x14ac:dyDescent="0.2">
      <c r="D34"/>
      <c r="E34"/>
      <c r="F34"/>
      <c r="G34"/>
      <c r="H34"/>
      <c r="I34"/>
      <c r="J34"/>
      <c r="K34"/>
      <c r="L34"/>
      <c r="M34"/>
      <c r="N34" s="422"/>
      <c r="O34"/>
      <c r="P34"/>
    </row>
    <row r="35" spans="4:16" x14ac:dyDescent="0.2">
      <c r="D35"/>
      <c r="E35"/>
      <c r="F35"/>
      <c r="G35"/>
      <c r="H35"/>
      <c r="I35"/>
      <c r="J35"/>
      <c r="K35"/>
      <c r="L35"/>
      <c r="M35"/>
      <c r="N35" s="422"/>
      <c r="O35"/>
      <c r="P35"/>
    </row>
  </sheetData>
  <mergeCells count="4">
    <mergeCell ref="B4:M4"/>
    <mergeCell ref="N4:N5"/>
    <mergeCell ref="A22:O23"/>
    <mergeCell ref="A25:Z25"/>
  </mergeCells>
  <phoneticPr fontId="31" type="noConversion"/>
  <pageMargins left="0.75" right="0.75" top="1" bottom="1" header="0.5" footer="0.5"/>
  <pageSetup scale="49" orientation="landscape" r:id="rId1"/>
  <headerFooter alignWithMargins="0">
    <oddHeader xml:space="preserve">&amp;C&amp;"Arial,Bold"San Diego Gas and Electric
Average Ex-Ante Load Impact kW/Customer&amp;"Arial,Regular"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29"/>
  <sheetViews>
    <sheetView showGridLines="0" view="pageBreakPreview" zoomScale="50" zoomScaleNormal="100" zoomScaleSheetLayoutView="50" workbookViewId="0">
      <selection activeCell="B20" sqref="B20"/>
    </sheetView>
  </sheetViews>
  <sheetFormatPr defaultRowHeight="12.75" x14ac:dyDescent="0.2"/>
  <cols>
    <col min="1" max="1" width="37.28515625" style="4" customWidth="1"/>
    <col min="2" max="2" width="11.140625" style="4" bestFit="1" customWidth="1"/>
    <col min="3" max="3" width="10" style="4" bestFit="1" customWidth="1"/>
    <col min="4" max="4" width="8.7109375" style="4" customWidth="1"/>
    <col min="5" max="5" width="8.5703125" style="4" customWidth="1"/>
    <col min="6" max="6" width="8.42578125" style="4" customWidth="1"/>
    <col min="7" max="7" width="7.7109375" style="4" customWidth="1"/>
    <col min="8" max="8" width="8.140625" style="4" customWidth="1"/>
    <col min="9" max="9" width="9.5703125" style="4" customWidth="1"/>
    <col min="10" max="10" width="11.5703125" style="4" customWidth="1"/>
    <col min="11" max="11" width="9.42578125" style="4" customWidth="1"/>
    <col min="12" max="12" width="11.140625" style="4" customWidth="1"/>
    <col min="13" max="13" width="10.7109375" style="4" customWidth="1"/>
    <col min="14" max="14" width="13.28515625" style="420" customWidth="1"/>
    <col min="15" max="15" width="66.7109375" style="4" customWidth="1"/>
    <col min="16" max="16" width="15" style="4" bestFit="1" customWidth="1"/>
    <col min="17" max="17" width="10.5703125" style="4" customWidth="1"/>
    <col min="18" max="18" width="9.85546875" style="4" bestFit="1" customWidth="1"/>
    <col min="19" max="19" width="11.140625" style="4" customWidth="1"/>
    <col min="20" max="20" width="9.85546875" style="4" bestFit="1" customWidth="1"/>
    <col min="21" max="21" width="10.85546875" style="4" customWidth="1"/>
    <col min="22" max="22" width="12.140625" style="4" bestFit="1" customWidth="1"/>
    <col min="23" max="23" width="12.140625" style="4" customWidth="1"/>
    <col min="24" max="24" width="9.5703125" style="4" bestFit="1" customWidth="1"/>
    <col min="25" max="25" width="11.140625" style="4" customWidth="1"/>
    <col min="26" max="26" width="11.7109375" style="4" bestFit="1" customWidth="1"/>
    <col min="27" max="27" width="11.7109375" style="4" customWidth="1"/>
    <col min="28" max="16384" width="9.140625" style="4"/>
  </cols>
  <sheetData>
    <row r="1" spans="1:15" x14ac:dyDescent="0.2">
      <c r="A1" s="19"/>
    </row>
    <row r="2" spans="1:15" x14ac:dyDescent="0.2">
      <c r="A2" s="19"/>
    </row>
    <row r="5" spans="1:15" ht="12.75" customHeight="1" x14ac:dyDescent="0.2">
      <c r="A5" s="6"/>
      <c r="B5" s="442" t="s">
        <v>134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3" t="s">
        <v>243</v>
      </c>
      <c r="O5" s="6"/>
    </row>
    <row r="6" spans="1:15" ht="38.25" customHeight="1" x14ac:dyDescent="0.2">
      <c r="A6" s="89" t="s">
        <v>44</v>
      </c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45</v>
      </c>
      <c r="J6" s="20" t="s">
        <v>46</v>
      </c>
      <c r="K6" s="20" t="s">
        <v>9</v>
      </c>
      <c r="L6" s="20" t="s">
        <v>47</v>
      </c>
      <c r="M6" s="20" t="s">
        <v>11</v>
      </c>
      <c r="N6" s="444"/>
      <c r="O6" s="88" t="s">
        <v>132</v>
      </c>
    </row>
    <row r="7" spans="1:15" ht="41.25" customHeight="1" x14ac:dyDescent="0.2">
      <c r="A7" s="2" t="s">
        <v>67</v>
      </c>
      <c r="B7" s="412">
        <v>571</v>
      </c>
      <c r="C7" s="412">
        <v>571</v>
      </c>
      <c r="D7" s="412">
        <v>571</v>
      </c>
      <c r="E7" s="412">
        <v>571</v>
      </c>
      <c r="F7" s="412">
        <v>571</v>
      </c>
      <c r="G7" s="412">
        <v>571</v>
      </c>
      <c r="H7" s="412">
        <v>571</v>
      </c>
      <c r="I7" s="412">
        <v>0</v>
      </c>
      <c r="J7" s="412">
        <v>0</v>
      </c>
      <c r="K7" s="412">
        <v>0</v>
      </c>
      <c r="L7" s="412">
        <v>0</v>
      </c>
      <c r="M7" s="412">
        <v>0</v>
      </c>
      <c r="N7" s="421">
        <v>5276</v>
      </c>
      <c r="O7" t="s">
        <v>74</v>
      </c>
    </row>
    <row r="8" spans="1:15" ht="41.25" customHeight="1" x14ac:dyDescent="0.2">
      <c r="A8" s="2" t="s">
        <v>68</v>
      </c>
      <c r="B8" s="410">
        <v>46.980399999999996</v>
      </c>
      <c r="C8" s="410">
        <v>46.980399999999996</v>
      </c>
      <c r="D8" s="410">
        <v>46.980399999999996</v>
      </c>
      <c r="E8" s="410">
        <v>125.8334</v>
      </c>
      <c r="F8" s="410">
        <v>125.8334</v>
      </c>
      <c r="G8" s="410">
        <v>125.8334</v>
      </c>
      <c r="H8" s="410">
        <v>125.8334</v>
      </c>
      <c r="I8" s="410">
        <v>125.8334</v>
      </c>
      <c r="J8" s="410">
        <v>125.8334</v>
      </c>
      <c r="K8" s="410">
        <v>125.8334</v>
      </c>
      <c r="L8" s="410">
        <v>46.980399999999996</v>
      </c>
      <c r="M8" s="410">
        <v>46.980399999999996</v>
      </c>
      <c r="N8" s="421">
        <v>5276</v>
      </c>
      <c r="O8" t="s">
        <v>74</v>
      </c>
    </row>
    <row r="9" spans="1:15" ht="41.25" customHeight="1" x14ac:dyDescent="0.2">
      <c r="A9" s="2" t="s">
        <v>65</v>
      </c>
      <c r="B9" s="410">
        <v>230</v>
      </c>
      <c r="C9" s="410">
        <v>230</v>
      </c>
      <c r="D9" s="410">
        <v>230</v>
      </c>
      <c r="E9" s="410">
        <v>230</v>
      </c>
      <c r="F9" s="410">
        <v>230</v>
      </c>
      <c r="G9" s="410">
        <v>230</v>
      </c>
      <c r="H9" s="410">
        <v>230</v>
      </c>
      <c r="I9" s="410">
        <v>230</v>
      </c>
      <c r="J9" s="410">
        <v>230</v>
      </c>
      <c r="K9" s="410">
        <v>230</v>
      </c>
      <c r="L9" s="410">
        <v>230</v>
      </c>
      <c r="M9" s="410">
        <v>230</v>
      </c>
      <c r="N9" s="421">
        <v>138123</v>
      </c>
      <c r="O9" t="s">
        <v>75</v>
      </c>
    </row>
    <row r="10" spans="1:15" ht="41.25" customHeight="1" x14ac:dyDescent="0.2">
      <c r="A10" s="2" t="s">
        <v>14</v>
      </c>
      <c r="B10" s="410">
        <v>0</v>
      </c>
      <c r="C10" s="410">
        <v>0</v>
      </c>
      <c r="D10" s="410">
        <v>0</v>
      </c>
      <c r="E10" s="410" t="s">
        <v>76</v>
      </c>
      <c r="F10" s="410" t="s">
        <v>76</v>
      </c>
      <c r="G10" s="410" t="s">
        <v>76</v>
      </c>
      <c r="H10" s="410" t="s">
        <v>76</v>
      </c>
      <c r="I10" s="410" t="s">
        <v>76</v>
      </c>
      <c r="J10" s="410" t="s">
        <v>76</v>
      </c>
      <c r="K10" s="410" t="s">
        <v>76</v>
      </c>
      <c r="L10" s="410" t="s">
        <v>76</v>
      </c>
      <c r="M10" s="410" t="s">
        <v>76</v>
      </c>
      <c r="N10" s="425" t="s">
        <v>76</v>
      </c>
      <c r="O10" t="s">
        <v>77</v>
      </c>
    </row>
    <row r="11" spans="1:15" ht="41.25" customHeight="1" x14ac:dyDescent="0.2">
      <c r="A11" s="2" t="s">
        <v>28</v>
      </c>
      <c r="B11" s="410">
        <v>0</v>
      </c>
      <c r="C11" s="410">
        <v>0</v>
      </c>
      <c r="D11" s="410">
        <v>0</v>
      </c>
      <c r="E11" s="410">
        <v>0</v>
      </c>
      <c r="F11" s="410">
        <v>0</v>
      </c>
      <c r="G11" s="410">
        <v>0</v>
      </c>
      <c r="H11" s="410">
        <v>0</v>
      </c>
      <c r="I11" s="410">
        <v>0</v>
      </c>
      <c r="J11" s="410">
        <v>0</v>
      </c>
      <c r="K11" s="410">
        <v>0</v>
      </c>
      <c r="L11" s="410">
        <v>0</v>
      </c>
      <c r="M11" s="410">
        <v>0</v>
      </c>
      <c r="N11" s="421">
        <v>5276</v>
      </c>
      <c r="O11" t="s">
        <v>74</v>
      </c>
    </row>
    <row r="12" spans="1:15" ht="41.25" customHeight="1" x14ac:dyDescent="0.2">
      <c r="A12" s="2" t="s">
        <v>69</v>
      </c>
      <c r="B12" s="410">
        <v>16.256845900000002</v>
      </c>
      <c r="C12" s="410">
        <v>16.256845900000002</v>
      </c>
      <c r="D12" s="410">
        <v>16.256845900000002</v>
      </c>
      <c r="E12" s="410">
        <v>19.237016949999987</v>
      </c>
      <c r="F12" s="410">
        <v>19.237016949999987</v>
      </c>
      <c r="G12" s="410">
        <v>19.237016949999987</v>
      </c>
      <c r="H12" s="410">
        <v>19.237016949999987</v>
      </c>
      <c r="I12" s="410">
        <v>19.237016949999987</v>
      </c>
      <c r="J12" s="410">
        <v>19.237016949999987</v>
      </c>
      <c r="K12" s="410">
        <v>19.237016949999987</v>
      </c>
      <c r="L12" s="410">
        <v>16.256845900000002</v>
      </c>
      <c r="M12" s="410">
        <v>16.256845900000002</v>
      </c>
      <c r="N12" s="421">
        <v>138123</v>
      </c>
      <c r="O12" s="1" t="s">
        <v>75</v>
      </c>
    </row>
    <row r="13" spans="1:15" ht="41.25" customHeight="1" x14ac:dyDescent="0.2">
      <c r="A13" s="2" t="s">
        <v>70</v>
      </c>
      <c r="B13" s="410">
        <v>0</v>
      </c>
      <c r="C13" s="410">
        <v>0</v>
      </c>
      <c r="D13" s="410">
        <v>0</v>
      </c>
      <c r="E13" s="410">
        <v>0</v>
      </c>
      <c r="F13" s="410">
        <v>0.60749625000000007</v>
      </c>
      <c r="G13" s="410">
        <v>0.60749625000000007</v>
      </c>
      <c r="H13" s="410">
        <v>0.60749625000000007</v>
      </c>
      <c r="I13" s="410">
        <v>0.60749625000000007</v>
      </c>
      <c r="J13" s="410">
        <v>0.60749625000000007</v>
      </c>
      <c r="K13" s="410">
        <v>0.60749625000000007</v>
      </c>
      <c r="L13" s="410">
        <v>0</v>
      </c>
      <c r="M13" s="410">
        <v>0</v>
      </c>
      <c r="N13" s="421">
        <v>663393.5</v>
      </c>
      <c r="O13" s="1" t="s">
        <v>78</v>
      </c>
    </row>
    <row r="14" spans="1:15" ht="41.25" customHeight="1" x14ac:dyDescent="0.2">
      <c r="A14" s="2" t="s">
        <v>71</v>
      </c>
      <c r="B14" s="410">
        <v>0</v>
      </c>
      <c r="C14" s="410">
        <v>0</v>
      </c>
      <c r="D14" s="410">
        <v>0</v>
      </c>
      <c r="E14" s="410">
        <v>0</v>
      </c>
      <c r="F14" s="410">
        <v>0.73861424999999992</v>
      </c>
      <c r="G14" s="410">
        <v>0.73861424999999992</v>
      </c>
      <c r="H14" s="410">
        <v>0.73861424999999992</v>
      </c>
      <c r="I14" s="410">
        <v>0.73861424999999992</v>
      </c>
      <c r="J14" s="410">
        <v>0.73861424999999992</v>
      </c>
      <c r="K14" s="410">
        <v>0.73861424999999992</v>
      </c>
      <c r="L14" s="410">
        <v>0</v>
      </c>
      <c r="M14" s="410">
        <v>0</v>
      </c>
      <c r="N14" s="421">
        <v>157189</v>
      </c>
      <c r="O14" t="s">
        <v>79</v>
      </c>
    </row>
    <row r="15" spans="1:15" ht="41.25" customHeight="1" x14ac:dyDescent="0.2">
      <c r="A15" s="2" t="s">
        <v>72</v>
      </c>
      <c r="B15" s="415">
        <v>0</v>
      </c>
      <c r="C15" s="415">
        <v>0</v>
      </c>
      <c r="D15" s="415">
        <v>0</v>
      </c>
      <c r="E15" s="415">
        <v>0</v>
      </c>
      <c r="F15" s="415">
        <v>135.64819249448121</v>
      </c>
      <c r="G15" s="415">
        <v>135.64819249448121</v>
      </c>
      <c r="H15" s="415">
        <v>135.64819249448121</v>
      </c>
      <c r="I15" s="415">
        <v>135.64819249448121</v>
      </c>
      <c r="J15" s="415">
        <v>135.64819249448121</v>
      </c>
      <c r="K15" s="415">
        <v>135.64819249448121</v>
      </c>
      <c r="L15" s="415">
        <v>0</v>
      </c>
      <c r="M15" s="415">
        <v>0</v>
      </c>
      <c r="N15" s="421">
        <v>18875</v>
      </c>
      <c r="O15" t="s">
        <v>244</v>
      </c>
    </row>
    <row r="16" spans="1:15" ht="41.25" customHeight="1" x14ac:dyDescent="0.2">
      <c r="A16" s="2" t="s">
        <v>73</v>
      </c>
      <c r="B16" s="419">
        <v>0</v>
      </c>
      <c r="C16" s="419">
        <v>0</v>
      </c>
      <c r="D16" s="419">
        <v>0</v>
      </c>
      <c r="E16" s="419">
        <v>0</v>
      </c>
      <c r="F16" s="419">
        <v>19.701438322692525</v>
      </c>
      <c r="G16" s="419">
        <v>19.701438322692525</v>
      </c>
      <c r="H16" s="419">
        <v>19.701438322692525</v>
      </c>
      <c r="I16" s="419">
        <v>19.701438322692525</v>
      </c>
      <c r="J16" s="419">
        <v>19.701438322692525</v>
      </c>
      <c r="K16" s="419">
        <v>19.701438322692525</v>
      </c>
      <c r="L16" s="419">
        <v>0</v>
      </c>
      <c r="M16" s="419">
        <v>0</v>
      </c>
      <c r="N16" s="421">
        <v>18875</v>
      </c>
      <c r="O16" t="s">
        <v>244</v>
      </c>
    </row>
    <row r="17" spans="1:26" ht="41.25" customHeight="1" x14ac:dyDescent="0.2">
      <c r="A17" s="2" t="s">
        <v>162</v>
      </c>
      <c r="B17" s="410">
        <v>0</v>
      </c>
      <c r="C17" s="410">
        <v>0</v>
      </c>
      <c r="D17" s="410">
        <v>0</v>
      </c>
      <c r="E17" s="410">
        <v>0</v>
      </c>
      <c r="F17" s="410">
        <v>0</v>
      </c>
      <c r="G17" s="410">
        <v>0</v>
      </c>
      <c r="H17" s="410">
        <v>0</v>
      </c>
      <c r="I17" s="410">
        <v>0</v>
      </c>
      <c r="J17" s="410">
        <v>0</v>
      </c>
      <c r="K17" s="410">
        <v>0</v>
      </c>
      <c r="L17" s="410">
        <v>0</v>
      </c>
      <c r="M17" s="410">
        <v>0</v>
      </c>
      <c r="N17" s="421">
        <v>18875</v>
      </c>
      <c r="O17" t="s">
        <v>244</v>
      </c>
    </row>
    <row r="18" spans="1:26" ht="41.25" customHeight="1" x14ac:dyDescent="0.2">
      <c r="A18" s="2" t="s">
        <v>32</v>
      </c>
      <c r="B18" s="410" t="s">
        <v>76</v>
      </c>
      <c r="C18" s="410" t="s">
        <v>76</v>
      </c>
      <c r="D18" s="410" t="s">
        <v>76</v>
      </c>
      <c r="E18" s="410" t="s">
        <v>76</v>
      </c>
      <c r="F18" s="410" t="s">
        <v>76</v>
      </c>
      <c r="G18" s="410" t="s">
        <v>76</v>
      </c>
      <c r="H18" s="410" t="s">
        <v>76</v>
      </c>
      <c r="I18" s="410" t="s">
        <v>76</v>
      </c>
      <c r="J18" s="410" t="s">
        <v>76</v>
      </c>
      <c r="K18" s="410" t="s">
        <v>76</v>
      </c>
      <c r="L18" s="410" t="s">
        <v>76</v>
      </c>
      <c r="M18" s="410" t="s">
        <v>76</v>
      </c>
      <c r="N18" s="421">
        <v>18875</v>
      </c>
      <c r="O18" t="s">
        <v>244</v>
      </c>
    </row>
    <row r="19" spans="1:26" ht="41.25" customHeight="1" x14ac:dyDescent="0.2">
      <c r="A19" s="2" t="s">
        <v>242</v>
      </c>
      <c r="B19" s="410">
        <v>2.0833333333333332E-2</v>
      </c>
      <c r="C19" s="410">
        <v>2.0833333333333332E-2</v>
      </c>
      <c r="D19" s="410">
        <v>2.0833333333333332E-2</v>
      </c>
      <c r="E19" s="410">
        <v>2.0833333333333332E-2</v>
      </c>
      <c r="F19" s="410">
        <v>2.0833333333333332E-2</v>
      </c>
      <c r="G19" s="410">
        <v>2.0833333333333332E-2</v>
      </c>
      <c r="H19" s="418">
        <v>5.7123832327143166E-2</v>
      </c>
      <c r="I19" s="418">
        <v>5.7123832327143166E-2</v>
      </c>
      <c r="J19" s="418">
        <v>5.7123832327143166E-2</v>
      </c>
      <c r="K19" s="418">
        <v>5.7123832327143166E-2</v>
      </c>
      <c r="L19" s="418">
        <v>4.5646034666607445E-2</v>
      </c>
      <c r="M19" s="418">
        <v>4.5646034666607445E-2</v>
      </c>
      <c r="N19" s="421">
        <v>1200000</v>
      </c>
      <c r="O19" t="s">
        <v>245</v>
      </c>
      <c r="P19" s="1"/>
    </row>
    <row r="20" spans="1:26" ht="41.25" customHeight="1" x14ac:dyDescent="0.2">
      <c r="A20" s="2" t="s">
        <v>260</v>
      </c>
      <c r="B20" s="410">
        <v>2.0833333333333332E-2</v>
      </c>
      <c r="C20" s="410">
        <v>2.0833333333333332E-2</v>
      </c>
      <c r="D20" s="410">
        <v>2.0833333333333332E-2</v>
      </c>
      <c r="E20" s="410">
        <v>2.0833333333333332E-2</v>
      </c>
      <c r="F20" s="410">
        <v>2.0833333333333332E-2</v>
      </c>
      <c r="G20" s="410">
        <v>2.0833333333333332E-2</v>
      </c>
      <c r="H20" s="410">
        <v>2.0833333333333332E-2</v>
      </c>
      <c r="I20" s="410">
        <v>2.0833333333333332E-2</v>
      </c>
      <c r="J20" s="410">
        <v>2.0833333333333332E-2</v>
      </c>
      <c r="K20" s="410">
        <v>2.0833333333333332E-2</v>
      </c>
      <c r="L20" s="410">
        <v>2.0833333333333332E-2</v>
      </c>
      <c r="M20" s="410">
        <v>2.0833333333333332E-2</v>
      </c>
      <c r="N20" s="421">
        <v>120000</v>
      </c>
      <c r="O20"/>
      <c r="P20" s="1"/>
    </row>
    <row r="21" spans="1:26" ht="41.25" customHeight="1" x14ac:dyDescent="0.2">
      <c r="A21" s="2" t="s">
        <v>147</v>
      </c>
      <c r="B21" s="410">
        <v>1666.6666666666667</v>
      </c>
      <c r="C21" s="410">
        <v>1666.6666666666667</v>
      </c>
      <c r="D21" s="410">
        <v>1666.6666666666667</v>
      </c>
      <c r="E21" s="410">
        <v>1666.6666666666667</v>
      </c>
      <c r="F21" s="410">
        <v>1666.6666666666667</v>
      </c>
      <c r="G21" s="410">
        <v>1666.6666666666667</v>
      </c>
      <c r="H21" s="410">
        <v>1666.6666666666667</v>
      </c>
      <c r="I21" s="410">
        <v>1666.6666666666667</v>
      </c>
      <c r="J21" s="410">
        <v>1666.6666666666667</v>
      </c>
      <c r="K21" s="410">
        <v>1666.6666666666667</v>
      </c>
      <c r="L21" s="410">
        <v>1666.6666666666667</v>
      </c>
      <c r="M21" s="410">
        <v>1666.6666666666667</v>
      </c>
      <c r="N21" s="421">
        <v>162482</v>
      </c>
      <c r="O21" t="s">
        <v>246</v>
      </c>
      <c r="P21" s="1"/>
    </row>
    <row r="22" spans="1:26" customFormat="1" ht="41.25" customHeight="1" x14ac:dyDescent="0.2">
      <c r="N22" s="422"/>
    </row>
    <row r="23" spans="1:26" customFormat="1" ht="41.25" customHeight="1" x14ac:dyDescent="0.2">
      <c r="N23" s="422"/>
    </row>
    <row r="24" spans="1:26" customFormat="1" ht="41.25" customHeight="1" x14ac:dyDescent="0.2">
      <c r="N24" s="422"/>
    </row>
    <row r="26" spans="1:26" ht="12.75" customHeight="1" x14ac:dyDescent="0.2">
      <c r="A26" s="445" t="s">
        <v>157</v>
      </c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</row>
    <row r="27" spans="1:26" x14ac:dyDescent="0.2">
      <c r="A27" s="446"/>
      <c r="B27" s="446"/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</row>
    <row r="28" spans="1:26" ht="15" x14ac:dyDescent="0.25">
      <c r="A28" s="335" t="s">
        <v>25</v>
      </c>
      <c r="B28" s="82"/>
      <c r="C28" s="82"/>
      <c r="D28" s="82"/>
      <c r="E28" s="82"/>
      <c r="F28" s="160"/>
      <c r="G28" s="82"/>
      <c r="H28" s="160"/>
      <c r="I28" s="82"/>
      <c r="J28" s="82"/>
      <c r="K28" s="82"/>
      <c r="L28" s="82"/>
      <c r="M28" s="82"/>
      <c r="N28" s="423"/>
      <c r="O28" s="82"/>
      <c r="P28" s="16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x14ac:dyDescent="0.2">
      <c r="A29" s="441" t="s">
        <v>163</v>
      </c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</row>
  </sheetData>
  <mergeCells count="4">
    <mergeCell ref="B5:M5"/>
    <mergeCell ref="N5:N6"/>
    <mergeCell ref="A26:O27"/>
    <mergeCell ref="A29:Z29"/>
  </mergeCells>
  <phoneticPr fontId="0" type="noConversion"/>
  <printOptions horizontalCentered="1"/>
  <pageMargins left="0.1" right="0.1" top="0.75" bottom="0.75" header="0.3" footer="0.28000000000000003"/>
  <pageSetup scale="56" orientation="landscape" cellComments="asDisplayed" r:id="rId1"/>
  <headerFooter alignWithMargins="0">
    <oddHeader>&amp;C&amp;"Arial,Bold"San Diego Gas and Electric
Average Ex-Post Load Impact kW / Customer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8"/>
  <sheetViews>
    <sheetView view="pageBreakPreview" zoomScale="50" zoomScaleNormal="75" zoomScaleSheetLayoutView="50" workbookViewId="0">
      <selection activeCell="I16" sqref="I16"/>
    </sheetView>
  </sheetViews>
  <sheetFormatPr defaultRowHeight="12.75" x14ac:dyDescent="0.2"/>
  <cols>
    <col min="1" max="1" width="45.7109375" style="91" customWidth="1"/>
    <col min="2" max="3" width="10.85546875" style="91" customWidth="1"/>
    <col min="4" max="4" width="10.7109375" style="91" customWidth="1"/>
    <col min="5" max="5" width="12.7109375" style="91" customWidth="1"/>
    <col min="6" max="8" width="10.5703125" style="91" customWidth="1"/>
    <col min="9" max="9" width="12.7109375" style="91" customWidth="1"/>
    <col min="10" max="12" width="10.7109375" style="91" customWidth="1"/>
    <col min="13" max="13" width="12.7109375" style="91" customWidth="1"/>
    <col min="14" max="16" width="10.7109375" style="91" customWidth="1"/>
    <col min="17" max="17" width="12.7109375" style="91" customWidth="1"/>
    <col min="18" max="20" width="10.7109375" style="91" customWidth="1"/>
    <col min="21" max="21" width="12.7109375" style="91" customWidth="1"/>
    <col min="22" max="24" width="10.7109375" style="91" customWidth="1"/>
    <col min="25" max="25" width="12.7109375" style="91" customWidth="1"/>
    <col min="26" max="16384" width="9.140625" style="91"/>
  </cols>
  <sheetData>
    <row r="1" spans="1:25" x14ac:dyDescent="0.2">
      <c r="A1" s="90" t="s">
        <v>135</v>
      </c>
    </row>
    <row r="3" spans="1:25" ht="21.75" customHeight="1" x14ac:dyDescent="0.2">
      <c r="A3" s="92">
        <v>2011</v>
      </c>
      <c r="B3" s="447" t="s">
        <v>0</v>
      </c>
      <c r="C3" s="447"/>
      <c r="D3" s="447"/>
      <c r="E3" s="447"/>
      <c r="F3" s="447" t="s">
        <v>1</v>
      </c>
      <c r="G3" s="447"/>
      <c r="H3" s="447"/>
      <c r="I3" s="447"/>
      <c r="J3" s="447" t="s">
        <v>2</v>
      </c>
      <c r="K3" s="447"/>
      <c r="L3" s="447"/>
      <c r="M3" s="447"/>
      <c r="N3" s="447" t="s">
        <v>3</v>
      </c>
      <c r="O3" s="447"/>
      <c r="P3" s="447"/>
      <c r="Q3" s="447"/>
      <c r="R3" s="447" t="s">
        <v>4</v>
      </c>
      <c r="S3" s="447"/>
      <c r="T3" s="447"/>
      <c r="U3" s="447"/>
      <c r="V3" s="447" t="s">
        <v>5</v>
      </c>
      <c r="W3" s="447"/>
      <c r="X3" s="447"/>
      <c r="Y3" s="447"/>
    </row>
    <row r="4" spans="1:25" ht="79.5" customHeight="1" x14ac:dyDescent="0.2">
      <c r="A4" s="93" t="s">
        <v>43</v>
      </c>
      <c r="B4" s="94" t="s">
        <v>136</v>
      </c>
      <c r="C4" s="94" t="s">
        <v>137</v>
      </c>
      <c r="D4" s="94" t="s">
        <v>138</v>
      </c>
      <c r="E4" s="94" t="s">
        <v>139</v>
      </c>
      <c r="F4" s="94" t="s">
        <v>136</v>
      </c>
      <c r="G4" s="94" t="s">
        <v>137</v>
      </c>
      <c r="H4" s="94" t="s">
        <v>138</v>
      </c>
      <c r="I4" s="94" t="s">
        <v>139</v>
      </c>
      <c r="J4" s="94" t="s">
        <v>136</v>
      </c>
      <c r="K4" s="94" t="s">
        <v>137</v>
      </c>
      <c r="L4" s="94" t="s">
        <v>138</v>
      </c>
      <c r="M4" s="94" t="s">
        <v>139</v>
      </c>
      <c r="N4" s="94" t="s">
        <v>136</v>
      </c>
      <c r="O4" s="94" t="s">
        <v>137</v>
      </c>
      <c r="P4" s="94" t="s">
        <v>138</v>
      </c>
      <c r="Q4" s="94" t="s">
        <v>139</v>
      </c>
      <c r="R4" s="94" t="s">
        <v>136</v>
      </c>
      <c r="S4" s="94" t="s">
        <v>137</v>
      </c>
      <c r="T4" s="94" t="s">
        <v>138</v>
      </c>
      <c r="U4" s="94" t="s">
        <v>139</v>
      </c>
      <c r="V4" s="94" t="s">
        <v>136</v>
      </c>
      <c r="W4" s="94" t="s">
        <v>137</v>
      </c>
      <c r="X4" s="94" t="s">
        <v>138</v>
      </c>
      <c r="Y4" s="94" t="s">
        <v>139</v>
      </c>
    </row>
    <row r="5" spans="1:25" x14ac:dyDescent="0.2">
      <c r="A5" s="95" t="s">
        <v>69</v>
      </c>
      <c r="B5" s="96"/>
      <c r="C5" s="97">
        <v>0</v>
      </c>
      <c r="D5" s="97"/>
      <c r="E5" s="98">
        <f>SUM(B5:D5)</f>
        <v>0</v>
      </c>
      <c r="F5" s="95"/>
      <c r="G5" s="99">
        <v>0</v>
      </c>
      <c r="H5" s="99">
        <v>0</v>
      </c>
      <c r="I5" s="100">
        <f>SUM(G5:H5)</f>
        <v>0</v>
      </c>
      <c r="J5" s="95"/>
      <c r="K5" s="99">
        <v>0</v>
      </c>
      <c r="L5" s="99">
        <v>0</v>
      </c>
      <c r="M5" s="100">
        <f>SUM(K5:L5)</f>
        <v>0</v>
      </c>
      <c r="N5" s="95"/>
      <c r="O5" s="99">
        <v>0</v>
      </c>
      <c r="P5" s="99">
        <v>0</v>
      </c>
      <c r="Q5" s="100">
        <f>SUM(O5:P5)</f>
        <v>0</v>
      </c>
      <c r="R5" s="95"/>
      <c r="S5" s="99">
        <v>0</v>
      </c>
      <c r="T5" s="99">
        <v>0</v>
      </c>
      <c r="U5" s="100">
        <f>SUM(S5:T5)</f>
        <v>0</v>
      </c>
      <c r="V5" s="95"/>
      <c r="W5" s="99">
        <v>0</v>
      </c>
      <c r="X5" s="99">
        <v>0</v>
      </c>
      <c r="Y5" s="100">
        <f>SUM(W5:X5)</f>
        <v>0</v>
      </c>
    </row>
    <row r="6" spans="1:25" x14ac:dyDescent="0.2">
      <c r="A6" s="95" t="s">
        <v>70</v>
      </c>
      <c r="B6" s="96"/>
      <c r="C6" s="97"/>
      <c r="D6" s="97"/>
      <c r="E6" s="98" t="s">
        <v>13</v>
      </c>
      <c r="F6" s="95"/>
      <c r="G6" s="99"/>
      <c r="H6" s="99"/>
      <c r="I6" s="98" t="s">
        <v>13</v>
      </c>
      <c r="J6" s="95"/>
      <c r="K6" s="99"/>
      <c r="L6" s="99"/>
      <c r="M6" s="98" t="s">
        <v>13</v>
      </c>
      <c r="N6" s="95"/>
      <c r="O6" s="99"/>
      <c r="P6" s="99"/>
      <c r="Q6" s="98" t="s">
        <v>13</v>
      </c>
      <c r="R6" s="95"/>
      <c r="S6" s="99"/>
      <c r="T6" s="99"/>
      <c r="U6" s="98" t="s">
        <v>13</v>
      </c>
      <c r="V6" s="95"/>
      <c r="W6" s="99"/>
      <c r="X6" s="99"/>
      <c r="Y6" s="98" t="s">
        <v>13</v>
      </c>
    </row>
    <row r="7" spans="1:25" x14ac:dyDescent="0.2">
      <c r="A7" s="95" t="s">
        <v>71</v>
      </c>
      <c r="B7" s="96"/>
      <c r="C7" s="97"/>
      <c r="D7" s="97"/>
      <c r="E7" s="98" t="s">
        <v>13</v>
      </c>
      <c r="F7" s="95"/>
      <c r="G7" s="99"/>
      <c r="H7" s="99"/>
      <c r="I7" s="98" t="s">
        <v>13</v>
      </c>
      <c r="J7" s="95"/>
      <c r="K7" s="99"/>
      <c r="L7" s="99"/>
      <c r="M7" s="98" t="s">
        <v>13</v>
      </c>
      <c r="N7" s="95"/>
      <c r="O7" s="99"/>
      <c r="P7" s="99"/>
      <c r="Q7" s="98" t="s">
        <v>13</v>
      </c>
      <c r="R7" s="95"/>
      <c r="S7" s="99"/>
      <c r="T7" s="99"/>
      <c r="U7" s="98" t="s">
        <v>13</v>
      </c>
      <c r="V7" s="95"/>
      <c r="W7" s="99"/>
      <c r="X7" s="99"/>
      <c r="Y7" s="98" t="s">
        <v>13</v>
      </c>
    </row>
    <row r="8" spans="1:25" x14ac:dyDescent="0.2">
      <c r="A8" s="95" t="s">
        <v>140</v>
      </c>
      <c r="B8" s="102"/>
      <c r="C8" s="102" t="s">
        <v>141</v>
      </c>
      <c r="D8" s="97">
        <v>0</v>
      </c>
      <c r="E8" s="98">
        <f>SUM(B8:D8)</f>
        <v>0</v>
      </c>
      <c r="F8" s="95"/>
      <c r="G8" s="99">
        <v>0</v>
      </c>
      <c r="H8" s="103"/>
      <c r="I8" s="100">
        <f>SUM(G8:H8)</f>
        <v>0</v>
      </c>
      <c r="J8" s="101"/>
      <c r="K8" s="99">
        <v>0</v>
      </c>
      <c r="L8" s="103">
        <v>0</v>
      </c>
      <c r="M8" s="100">
        <f>SUM(K8:L8)</f>
        <v>0</v>
      </c>
      <c r="N8" s="101"/>
      <c r="O8" s="99">
        <v>0</v>
      </c>
      <c r="P8" s="103">
        <v>0</v>
      </c>
      <c r="Q8" s="100">
        <f>SUM(O8:P8)</f>
        <v>0</v>
      </c>
      <c r="R8" s="101"/>
      <c r="S8" s="99">
        <v>0</v>
      </c>
      <c r="T8" s="103">
        <v>0</v>
      </c>
      <c r="U8" s="100">
        <f>SUM(S8:T8)</f>
        <v>0</v>
      </c>
      <c r="V8" s="101"/>
      <c r="W8" s="99">
        <v>0</v>
      </c>
      <c r="X8" s="103">
        <v>0</v>
      </c>
      <c r="Y8" s="100">
        <f>SUM(W8:X8)</f>
        <v>0</v>
      </c>
    </row>
    <row r="9" spans="1:25" x14ac:dyDescent="0.2">
      <c r="A9" s="95" t="s">
        <v>66</v>
      </c>
      <c r="B9" s="96"/>
      <c r="C9" s="97">
        <v>0</v>
      </c>
      <c r="D9" s="97"/>
      <c r="E9" s="98">
        <f>SUM(B9:D9)</f>
        <v>0</v>
      </c>
      <c r="F9" s="95"/>
      <c r="G9" s="97">
        <v>0</v>
      </c>
      <c r="H9" s="99"/>
      <c r="I9" s="98"/>
      <c r="J9" s="95"/>
      <c r="K9" s="97">
        <v>0</v>
      </c>
      <c r="L9" s="99"/>
      <c r="M9" s="100">
        <f>SUM(K9:L9)</f>
        <v>0</v>
      </c>
      <c r="N9" s="95"/>
      <c r="O9" s="97">
        <v>0</v>
      </c>
      <c r="P9" s="99"/>
      <c r="Q9" s="100">
        <f>SUM(O9:P9)</f>
        <v>0</v>
      </c>
      <c r="R9" s="95"/>
      <c r="S9" s="97">
        <v>0</v>
      </c>
      <c r="T9" s="99"/>
      <c r="U9" s="100">
        <f>SUM(S9:T9)</f>
        <v>0</v>
      </c>
      <c r="V9" s="95"/>
      <c r="W9" s="97">
        <v>0</v>
      </c>
      <c r="X9" s="99"/>
      <c r="Y9" s="100">
        <f>SUM(W9:X9)</f>
        <v>0</v>
      </c>
    </row>
    <row r="10" spans="1:25" x14ac:dyDescent="0.2">
      <c r="A10" s="95" t="s">
        <v>32</v>
      </c>
      <c r="B10" s="102"/>
      <c r="C10" s="97" t="s">
        <v>13</v>
      </c>
      <c r="D10" s="97" t="s">
        <v>13</v>
      </c>
      <c r="E10" s="98" t="s">
        <v>142</v>
      </c>
      <c r="F10" s="102"/>
      <c r="G10" s="97">
        <v>0</v>
      </c>
      <c r="H10" s="97">
        <v>0</v>
      </c>
      <c r="I10" s="98">
        <f>SUM(F10:H10)</f>
        <v>0</v>
      </c>
      <c r="J10" s="101"/>
      <c r="K10" s="97">
        <v>0</v>
      </c>
      <c r="L10" s="97">
        <v>0</v>
      </c>
      <c r="M10" s="100">
        <f>SUM(K10:L10)</f>
        <v>0</v>
      </c>
      <c r="N10" s="101"/>
      <c r="O10" s="97">
        <v>0</v>
      </c>
      <c r="P10" s="97">
        <v>0</v>
      </c>
      <c r="Q10" s="100">
        <f>SUM(O10:P10)</f>
        <v>0</v>
      </c>
      <c r="R10" s="101"/>
      <c r="S10" s="97">
        <v>0</v>
      </c>
      <c r="T10" s="97">
        <v>0</v>
      </c>
      <c r="U10" s="100">
        <f>SUM(S10:T10)</f>
        <v>0</v>
      </c>
      <c r="V10" s="101"/>
      <c r="W10" s="97">
        <v>0</v>
      </c>
      <c r="X10" s="97">
        <v>0</v>
      </c>
      <c r="Y10" s="100">
        <f>SUM(W10:X10)</f>
        <v>0</v>
      </c>
    </row>
    <row r="11" spans="1:25" s="90" customFormat="1" x14ac:dyDescent="0.2">
      <c r="A11" s="104" t="s">
        <v>58</v>
      </c>
      <c r="B11" s="105"/>
      <c r="C11" s="106">
        <f>SUM(C5:C10)</f>
        <v>0</v>
      </c>
      <c r="D11" s="106">
        <f>SUM(D5:D10)</f>
        <v>0</v>
      </c>
      <c r="E11" s="106">
        <f>SUM(E5:E10)</f>
        <v>0</v>
      </c>
      <c r="F11" s="104"/>
      <c r="G11" s="100">
        <f>SUM(G5:G10)</f>
        <v>0</v>
      </c>
      <c r="H11" s="100">
        <f t="shared" ref="H11:M11" si="0">SUM(H5:H10)</f>
        <v>0</v>
      </c>
      <c r="I11" s="100">
        <f t="shared" si="0"/>
        <v>0</v>
      </c>
      <c r="J11" s="100">
        <f t="shared" si="0"/>
        <v>0</v>
      </c>
      <c r="K11" s="100">
        <f t="shared" si="0"/>
        <v>0</v>
      </c>
      <c r="L11" s="100">
        <f t="shared" si="0"/>
        <v>0</v>
      </c>
      <c r="M11" s="100">
        <f t="shared" si="0"/>
        <v>0</v>
      </c>
      <c r="N11" s="100">
        <f t="shared" ref="N11:U11" si="1">SUM(N5:N10)</f>
        <v>0</v>
      </c>
      <c r="O11" s="100">
        <f t="shared" si="1"/>
        <v>0</v>
      </c>
      <c r="P11" s="100">
        <f t="shared" si="1"/>
        <v>0</v>
      </c>
      <c r="Q11" s="100">
        <f t="shared" si="1"/>
        <v>0</v>
      </c>
      <c r="R11" s="100">
        <f t="shared" si="1"/>
        <v>0</v>
      </c>
      <c r="S11" s="100">
        <f t="shared" si="1"/>
        <v>0</v>
      </c>
      <c r="T11" s="100">
        <f t="shared" si="1"/>
        <v>0</v>
      </c>
      <c r="U11" s="100">
        <f t="shared" si="1"/>
        <v>0</v>
      </c>
      <c r="V11" s="100">
        <f>SUM(V5:V10)</f>
        <v>0</v>
      </c>
      <c r="W11" s="100">
        <f>SUM(W5:W10)</f>
        <v>0</v>
      </c>
      <c r="X11" s="100">
        <f>SUM(X5:X10)</f>
        <v>0</v>
      </c>
      <c r="Y11" s="100">
        <f>SUM(Y5:Y10)</f>
        <v>0</v>
      </c>
    </row>
    <row r="12" spans="1:25" ht="3.95" customHeight="1" x14ac:dyDescent="0.2">
      <c r="A12" s="104"/>
      <c r="B12" s="104"/>
      <c r="C12" s="108"/>
      <c r="D12" s="108"/>
      <c r="E12" s="109"/>
      <c r="F12" s="104"/>
      <c r="G12" s="101"/>
      <c r="H12" s="101"/>
      <c r="I12" s="100"/>
      <c r="J12" s="107"/>
      <c r="K12" s="101"/>
      <c r="L12" s="110"/>
      <c r="M12" s="100"/>
      <c r="N12" s="107"/>
      <c r="O12" s="101"/>
      <c r="P12" s="110"/>
      <c r="Q12" s="100"/>
      <c r="R12" s="107"/>
      <c r="S12" s="101"/>
      <c r="T12" s="110"/>
      <c r="U12" s="100"/>
      <c r="V12" s="107"/>
      <c r="W12" s="101"/>
      <c r="X12" s="110"/>
      <c r="Y12" s="100"/>
    </row>
    <row r="13" spans="1:25" x14ac:dyDescent="0.2">
      <c r="A13" s="111" t="s">
        <v>22</v>
      </c>
      <c r="B13" s="111"/>
      <c r="C13" s="94"/>
      <c r="D13" s="94"/>
      <c r="E13" s="93"/>
      <c r="F13" s="111"/>
      <c r="G13" s="112"/>
      <c r="H13" s="113"/>
      <c r="I13" s="113"/>
      <c r="J13" s="114"/>
      <c r="K13" s="112"/>
      <c r="L13" s="113"/>
      <c r="M13" s="100">
        <f>SUM(K13:L13)</f>
        <v>0</v>
      </c>
      <c r="N13" s="114"/>
      <c r="O13" s="112"/>
      <c r="P13" s="113"/>
      <c r="Q13" s="100">
        <f>SUM(O13:P13)</f>
        <v>0</v>
      </c>
      <c r="R13" s="114"/>
      <c r="S13" s="112"/>
      <c r="T13" s="113"/>
      <c r="U13" s="100">
        <f>SUM(S13:T13)</f>
        <v>0</v>
      </c>
      <c r="V13" s="114"/>
      <c r="W13" s="112"/>
      <c r="X13" s="113"/>
      <c r="Y13" s="100">
        <f>SUM(W13:X13)</f>
        <v>0</v>
      </c>
    </row>
    <row r="14" spans="1:25" x14ac:dyDescent="0.2">
      <c r="A14" s="95" t="s">
        <v>12</v>
      </c>
      <c r="B14" s="102"/>
      <c r="C14" s="102"/>
      <c r="D14" s="97">
        <v>0</v>
      </c>
      <c r="E14" s="98">
        <f>SUM(B14:D14)</f>
        <v>0</v>
      </c>
      <c r="F14" s="95"/>
      <c r="G14" s="99"/>
      <c r="H14" s="97">
        <v>0</v>
      </c>
      <c r="I14" s="98">
        <f>SUM(F14:H14)</f>
        <v>0</v>
      </c>
      <c r="J14" s="101"/>
      <c r="K14" s="97" t="s">
        <v>13</v>
      </c>
      <c r="L14" s="97">
        <v>0</v>
      </c>
      <c r="M14" s="100">
        <f>SUM(K14:L14)</f>
        <v>0</v>
      </c>
      <c r="N14" s="101"/>
      <c r="O14" s="97" t="s">
        <v>13</v>
      </c>
      <c r="P14" s="97">
        <v>0</v>
      </c>
      <c r="Q14" s="100">
        <f>SUM(O14:P14)</f>
        <v>0</v>
      </c>
      <c r="R14" s="101"/>
      <c r="S14" s="97" t="s">
        <v>13</v>
      </c>
      <c r="T14" s="97">
        <v>0</v>
      </c>
      <c r="U14" s="100">
        <f>SUM(S14:T14)</f>
        <v>0</v>
      </c>
      <c r="V14" s="101"/>
      <c r="W14" s="97" t="s">
        <v>13</v>
      </c>
      <c r="X14" s="97">
        <v>0</v>
      </c>
      <c r="Y14" s="100">
        <f>SUM(W14:X14)</f>
        <v>0</v>
      </c>
    </row>
    <row r="15" spans="1:25" x14ac:dyDescent="0.2">
      <c r="A15" s="95" t="s">
        <v>14</v>
      </c>
      <c r="B15" s="102"/>
      <c r="C15" s="102"/>
      <c r="D15" s="97">
        <v>0</v>
      </c>
      <c r="E15" s="98">
        <f>SUM(B15:D15)</f>
        <v>0</v>
      </c>
      <c r="F15" s="95"/>
      <c r="G15" s="99"/>
      <c r="H15" s="99"/>
      <c r="I15" s="101"/>
      <c r="J15" s="101"/>
      <c r="K15" s="99"/>
      <c r="L15" s="99"/>
      <c r="M15" s="100">
        <f>SUM(K15:L15)</f>
        <v>0</v>
      </c>
      <c r="N15" s="101"/>
      <c r="O15" s="99"/>
      <c r="P15" s="99"/>
      <c r="Q15" s="100">
        <f>SUM(O15:P15)</f>
        <v>0</v>
      </c>
      <c r="R15" s="101"/>
      <c r="S15" s="99"/>
      <c r="T15" s="99"/>
      <c r="U15" s="100">
        <f>SUM(S15:T15)</f>
        <v>0</v>
      </c>
      <c r="V15" s="101"/>
      <c r="W15" s="99"/>
      <c r="X15" s="99"/>
      <c r="Y15" s="100">
        <f>SUM(W15:X15)</f>
        <v>0</v>
      </c>
    </row>
    <row r="16" spans="1:25" x14ac:dyDescent="0.2">
      <c r="A16" s="95" t="s">
        <v>28</v>
      </c>
      <c r="B16" s="102"/>
      <c r="C16" s="102"/>
      <c r="D16" s="97">
        <v>0.03</v>
      </c>
      <c r="E16" s="98">
        <f>SUM(B16:D16)</f>
        <v>0.03</v>
      </c>
      <c r="F16" s="95"/>
      <c r="G16" s="99"/>
      <c r="H16" s="99"/>
      <c r="I16" s="101"/>
      <c r="J16" s="101"/>
      <c r="K16" s="99"/>
      <c r="L16" s="99"/>
      <c r="M16" s="100">
        <f>SUM(K16:L16)</f>
        <v>0</v>
      </c>
      <c r="N16" s="101"/>
      <c r="O16" s="99"/>
      <c r="P16" s="99"/>
      <c r="Q16" s="100">
        <f>SUM(O16:P16)</f>
        <v>0</v>
      </c>
      <c r="R16" s="101"/>
      <c r="S16" s="99"/>
      <c r="T16" s="99"/>
      <c r="U16" s="100">
        <f>SUM(S16:T16)</f>
        <v>0</v>
      </c>
      <c r="V16" s="101"/>
      <c r="W16" s="99"/>
      <c r="X16" s="99"/>
      <c r="Y16" s="100">
        <f>SUM(W16:X16)</f>
        <v>0</v>
      </c>
    </row>
    <row r="17" spans="1:25" x14ac:dyDescent="0.2">
      <c r="A17" s="95"/>
      <c r="B17" s="96"/>
      <c r="C17" s="97"/>
      <c r="D17" s="97"/>
      <c r="E17" s="115"/>
      <c r="F17" s="95"/>
      <c r="G17" s="99"/>
      <c r="H17" s="99"/>
      <c r="I17" s="101"/>
      <c r="J17" s="101"/>
      <c r="K17" s="99"/>
      <c r="L17" s="99"/>
      <c r="M17" s="100" t="s">
        <v>13</v>
      </c>
      <c r="N17" s="101"/>
      <c r="O17" s="99"/>
      <c r="P17" s="99"/>
      <c r="Q17" s="100" t="s">
        <v>13</v>
      </c>
      <c r="R17" s="101"/>
      <c r="S17" s="99"/>
      <c r="T17" s="99"/>
      <c r="U17" s="100" t="s">
        <v>13</v>
      </c>
      <c r="V17" s="101"/>
      <c r="W17" s="99"/>
      <c r="X17" s="99"/>
      <c r="Y17" s="100" t="s">
        <v>13</v>
      </c>
    </row>
    <row r="18" spans="1:25" s="90" customFormat="1" x14ac:dyDescent="0.2">
      <c r="A18" s="104" t="s">
        <v>58</v>
      </c>
      <c r="B18" s="105"/>
      <c r="C18" s="106"/>
      <c r="D18" s="106">
        <f>SUM(D14:D17)</f>
        <v>0.03</v>
      </c>
      <c r="E18" s="106">
        <f>SUM(E14:E17)</f>
        <v>0.03</v>
      </c>
      <c r="F18" s="104"/>
      <c r="G18" s="116">
        <f>SUM(G13:G17)</f>
        <v>0</v>
      </c>
      <c r="H18" s="116">
        <f>SUM(H13:H17)</f>
        <v>0</v>
      </c>
      <c r="I18" s="100">
        <f>SUM(I13:I17)</f>
        <v>0</v>
      </c>
      <c r="J18" s="107"/>
      <c r="K18" s="116">
        <f>SUM(K13:K17)</f>
        <v>0</v>
      </c>
      <c r="L18" s="116">
        <f>SUM(L13:L17)</f>
        <v>0</v>
      </c>
      <c r="M18" s="100">
        <f>SUM(M13:M17)</f>
        <v>0</v>
      </c>
      <c r="N18" s="107"/>
      <c r="O18" s="116">
        <f>SUM(O13:O17)</f>
        <v>0</v>
      </c>
      <c r="P18" s="116">
        <f>SUM(P13:P17)</f>
        <v>0</v>
      </c>
      <c r="Q18" s="100">
        <f>SUM(Q13:Q17)</f>
        <v>0</v>
      </c>
      <c r="R18" s="107"/>
      <c r="S18" s="116">
        <f>SUM(S13:S17)</f>
        <v>0</v>
      </c>
      <c r="T18" s="116">
        <f>SUM(T13:T17)</f>
        <v>0</v>
      </c>
      <c r="U18" s="100">
        <f>SUM(U13:U17)</f>
        <v>0</v>
      </c>
      <c r="V18" s="107"/>
      <c r="W18" s="116">
        <f>SUM(W13:W17)</f>
        <v>0</v>
      </c>
      <c r="X18" s="116">
        <f>SUM(X13:X17)</f>
        <v>0</v>
      </c>
      <c r="Y18" s="100">
        <f>SUM(Y13:Y17)</f>
        <v>0</v>
      </c>
    </row>
    <row r="19" spans="1:25" ht="3.95" customHeight="1" x14ac:dyDescent="0.2">
      <c r="A19" s="104"/>
      <c r="B19" s="104"/>
      <c r="C19" s="108"/>
      <c r="D19" s="108"/>
      <c r="E19" s="109"/>
      <c r="F19" s="104"/>
      <c r="G19" s="101"/>
      <c r="H19" s="110"/>
      <c r="I19" s="100"/>
      <c r="J19" s="107"/>
      <c r="K19" s="101"/>
      <c r="L19" s="110"/>
      <c r="M19" s="100">
        <f>SUM(M13:M17)</f>
        <v>0</v>
      </c>
      <c r="N19" s="107"/>
      <c r="O19" s="101"/>
      <c r="P19" s="110"/>
      <c r="Q19" s="100">
        <f>SUM(Q13:Q17)</f>
        <v>0</v>
      </c>
      <c r="R19" s="107"/>
      <c r="S19" s="101"/>
      <c r="T19" s="110"/>
      <c r="U19" s="100">
        <f>SUM(U13:U17)</f>
        <v>0</v>
      </c>
      <c r="V19" s="107"/>
      <c r="W19" s="101"/>
      <c r="X19" s="110"/>
      <c r="Y19" s="100">
        <f>SUM(Y13:Y17)</f>
        <v>0</v>
      </c>
    </row>
    <row r="20" spans="1:25" s="90" customFormat="1" ht="17.25" customHeight="1" x14ac:dyDescent="0.2">
      <c r="A20" s="104" t="s">
        <v>139</v>
      </c>
      <c r="B20" s="104"/>
      <c r="C20" s="106">
        <f>C11+C18</f>
        <v>0</v>
      </c>
      <c r="D20" s="106">
        <f>D11+D18</f>
        <v>0.03</v>
      </c>
      <c r="E20" s="106">
        <f>E11+E18</f>
        <v>0.03</v>
      </c>
      <c r="F20" s="104"/>
      <c r="G20" s="100">
        <f>G11+G18</f>
        <v>0</v>
      </c>
      <c r="H20" s="116">
        <f>H11+H18</f>
        <v>0</v>
      </c>
      <c r="I20" s="100">
        <f>I11+I18</f>
        <v>0</v>
      </c>
      <c r="J20" s="107"/>
      <c r="K20" s="100">
        <f>K11+K18</f>
        <v>0</v>
      </c>
      <c r="L20" s="116">
        <f>L11+L18</f>
        <v>0</v>
      </c>
      <c r="M20" s="100">
        <f>M11+M18</f>
        <v>0</v>
      </c>
      <c r="N20" s="107"/>
      <c r="O20" s="100">
        <f>O11+O18</f>
        <v>0</v>
      </c>
      <c r="P20" s="116">
        <f>P11+P18</f>
        <v>0</v>
      </c>
      <c r="Q20" s="100">
        <f>Q11+Q18</f>
        <v>0</v>
      </c>
      <c r="R20" s="107"/>
      <c r="S20" s="100">
        <f>S11+S18</f>
        <v>0</v>
      </c>
      <c r="T20" s="116">
        <f>T11+T18</f>
        <v>0</v>
      </c>
      <c r="U20" s="100">
        <f>U11+U18</f>
        <v>0</v>
      </c>
      <c r="V20" s="107"/>
      <c r="W20" s="100">
        <f>W11+W18</f>
        <v>0</v>
      </c>
      <c r="X20" s="116">
        <f>X11+X18</f>
        <v>0</v>
      </c>
      <c r="Y20" s="100">
        <f>Y11+Y18</f>
        <v>0</v>
      </c>
    </row>
    <row r="21" spans="1:25" ht="17.25" customHeight="1" x14ac:dyDescent="0.2">
      <c r="A21" s="117"/>
      <c r="B21" s="118"/>
      <c r="C21" s="119"/>
      <c r="D21" s="119"/>
      <c r="E21" s="120"/>
      <c r="F21" s="118"/>
      <c r="G21" s="121"/>
      <c r="H21" s="122"/>
      <c r="I21" s="123"/>
      <c r="J21" s="123"/>
      <c r="K21" s="121"/>
      <c r="L21" s="122"/>
      <c r="M21" s="123"/>
      <c r="N21" s="123"/>
      <c r="O21" s="121"/>
      <c r="P21" s="122"/>
      <c r="Q21" s="123"/>
      <c r="R21" s="123"/>
      <c r="S21" s="121"/>
      <c r="T21" s="122"/>
      <c r="U21" s="123"/>
      <c r="V21" s="123"/>
      <c r="W21" s="121"/>
      <c r="X21" s="122"/>
      <c r="Y21" s="123"/>
    </row>
    <row r="22" spans="1:25" x14ac:dyDescent="0.2">
      <c r="A22" s="93" t="s">
        <v>64</v>
      </c>
      <c r="B22" s="124"/>
      <c r="C22" s="125"/>
      <c r="D22" s="125"/>
      <c r="E22" s="126"/>
      <c r="F22" s="127"/>
      <c r="G22" s="128"/>
      <c r="H22" s="128"/>
      <c r="I22" s="129"/>
      <c r="J22" s="129"/>
      <c r="K22" s="128"/>
      <c r="L22" s="128"/>
      <c r="M22" s="129"/>
      <c r="N22" s="129"/>
      <c r="O22" s="128"/>
      <c r="P22" s="128"/>
      <c r="Q22" s="129"/>
      <c r="R22" s="129"/>
      <c r="S22" s="128"/>
      <c r="T22" s="128"/>
      <c r="U22" s="129"/>
      <c r="V22" s="129"/>
      <c r="W22" s="128"/>
      <c r="X22" s="128"/>
      <c r="Y22" s="130"/>
    </row>
    <row r="23" spans="1:25" x14ac:dyDescent="0.2">
      <c r="A23" s="131" t="s">
        <v>143</v>
      </c>
      <c r="B23" s="96">
        <v>0</v>
      </c>
      <c r="C23" s="102"/>
      <c r="D23" s="102"/>
      <c r="E23" s="115"/>
      <c r="F23" s="96">
        <v>0</v>
      </c>
      <c r="G23" s="99"/>
      <c r="H23" s="99"/>
      <c r="I23" s="101"/>
      <c r="J23" s="96">
        <v>0</v>
      </c>
      <c r="K23" s="99"/>
      <c r="L23" s="99"/>
      <c r="M23" s="101"/>
      <c r="N23" s="96">
        <v>0</v>
      </c>
      <c r="O23" s="99"/>
      <c r="P23" s="99"/>
      <c r="Q23" s="101"/>
      <c r="R23" s="96">
        <v>0</v>
      </c>
      <c r="S23" s="99"/>
      <c r="T23" s="99"/>
      <c r="U23" s="101"/>
      <c r="V23" s="101"/>
      <c r="W23" s="99"/>
      <c r="X23" s="99"/>
      <c r="Y23" s="101"/>
    </row>
    <row r="24" spans="1:25" x14ac:dyDescent="0.2">
      <c r="A24" s="95"/>
      <c r="B24" s="95"/>
      <c r="C24" s="132"/>
      <c r="D24" s="132"/>
      <c r="E24" s="133"/>
      <c r="F24" s="95"/>
      <c r="G24" s="99"/>
      <c r="H24" s="99"/>
      <c r="I24" s="101"/>
      <c r="J24" s="101"/>
      <c r="K24" s="99"/>
      <c r="L24" s="99"/>
      <c r="M24" s="101"/>
      <c r="N24" s="101"/>
      <c r="O24" s="99"/>
      <c r="P24" s="99"/>
      <c r="Q24" s="101"/>
      <c r="R24" s="101"/>
      <c r="S24" s="99"/>
      <c r="T24" s="99"/>
      <c r="U24" s="101"/>
      <c r="V24" s="101"/>
      <c r="W24" s="99"/>
      <c r="X24" s="99"/>
      <c r="Y24" s="101"/>
    </row>
    <row r="25" spans="1:25" s="90" customFormat="1" x14ac:dyDescent="0.2">
      <c r="A25" s="134" t="s">
        <v>58</v>
      </c>
      <c r="B25" s="106">
        <f>SUM(B23:B24)</f>
        <v>0</v>
      </c>
      <c r="C25" s="106"/>
      <c r="D25" s="106"/>
      <c r="E25" s="106"/>
      <c r="F25" s="135">
        <f>SUM(F23:F24)</f>
        <v>0</v>
      </c>
      <c r="G25" s="136"/>
      <c r="H25" s="136"/>
      <c r="I25" s="100"/>
      <c r="J25" s="100">
        <f>SUM(J23:J24)</f>
        <v>0</v>
      </c>
      <c r="K25" s="136"/>
      <c r="L25" s="136"/>
      <c r="M25" s="100"/>
      <c r="N25" s="100">
        <f>SUM(N23:N24)</f>
        <v>0</v>
      </c>
      <c r="O25" s="136"/>
      <c r="P25" s="136"/>
      <c r="Q25" s="100"/>
      <c r="R25" s="100">
        <f>SUM(R23:R24)</f>
        <v>0</v>
      </c>
      <c r="S25" s="136"/>
      <c r="T25" s="136"/>
      <c r="U25" s="100"/>
      <c r="V25" s="100">
        <f>SUM(V23:V24)</f>
        <v>0</v>
      </c>
      <c r="W25" s="136"/>
      <c r="X25" s="136"/>
      <c r="Y25" s="100"/>
    </row>
    <row r="26" spans="1:25" ht="3.95" customHeight="1" x14ac:dyDescent="0.2">
      <c r="A26" s="104"/>
      <c r="B26" s="108"/>
      <c r="C26" s="108"/>
      <c r="D26" s="108"/>
      <c r="E26" s="109"/>
      <c r="F26" s="104"/>
      <c r="G26" s="101"/>
      <c r="H26" s="110"/>
      <c r="I26" s="100"/>
      <c r="J26" s="107"/>
      <c r="K26" s="101"/>
      <c r="L26" s="110"/>
      <c r="M26" s="100"/>
      <c r="N26" s="107"/>
      <c r="O26" s="101"/>
      <c r="P26" s="110"/>
      <c r="Q26" s="100"/>
      <c r="R26" s="107"/>
      <c r="S26" s="101"/>
      <c r="T26" s="110"/>
      <c r="U26" s="100"/>
      <c r="V26" s="107"/>
      <c r="W26" s="101"/>
      <c r="X26" s="110"/>
      <c r="Y26" s="100"/>
    </row>
    <row r="27" spans="1:25" s="90" customFormat="1" x14ac:dyDescent="0.2">
      <c r="A27" s="104" t="s">
        <v>144</v>
      </c>
      <c r="B27" s="137">
        <f>B25</f>
        <v>0</v>
      </c>
      <c r="C27" s="137" t="s">
        <v>145</v>
      </c>
      <c r="D27" s="137" t="s">
        <v>145</v>
      </c>
      <c r="E27" s="138" t="s">
        <v>145</v>
      </c>
      <c r="F27" s="135">
        <f>F25</f>
        <v>0</v>
      </c>
      <c r="G27" s="137" t="s">
        <v>145</v>
      </c>
      <c r="H27" s="137" t="s">
        <v>145</v>
      </c>
      <c r="I27" s="138" t="s">
        <v>145</v>
      </c>
      <c r="J27" s="107">
        <f>J25</f>
        <v>0</v>
      </c>
      <c r="K27" s="137" t="s">
        <v>145</v>
      </c>
      <c r="L27" s="137" t="s">
        <v>145</v>
      </c>
      <c r="M27" s="138" t="s">
        <v>145</v>
      </c>
      <c r="N27" s="107">
        <f>N25</f>
        <v>0</v>
      </c>
      <c r="O27" s="137" t="s">
        <v>145</v>
      </c>
      <c r="P27" s="137" t="s">
        <v>145</v>
      </c>
      <c r="Q27" s="138" t="s">
        <v>145</v>
      </c>
      <c r="R27" s="107">
        <f>R25</f>
        <v>0</v>
      </c>
      <c r="S27" s="137" t="s">
        <v>145</v>
      </c>
      <c r="T27" s="137" t="s">
        <v>145</v>
      </c>
      <c r="U27" s="138" t="s">
        <v>145</v>
      </c>
      <c r="V27" s="107">
        <f>V25</f>
        <v>0</v>
      </c>
      <c r="W27" s="137" t="s">
        <v>145</v>
      </c>
      <c r="X27" s="137" t="s">
        <v>145</v>
      </c>
      <c r="Y27" s="138" t="s">
        <v>145</v>
      </c>
    </row>
    <row r="28" spans="1:25" x14ac:dyDescent="0.2">
      <c r="A28" s="139"/>
      <c r="B28" s="139"/>
      <c r="C28" s="140"/>
      <c r="D28" s="140"/>
      <c r="E28" s="141"/>
      <c r="F28" s="139"/>
      <c r="G28" s="140"/>
      <c r="H28" s="141"/>
      <c r="I28" s="139"/>
      <c r="J28" s="139"/>
      <c r="K28" s="140"/>
      <c r="L28" s="141"/>
      <c r="M28" s="139"/>
      <c r="N28" s="139"/>
      <c r="O28" s="140"/>
      <c r="P28" s="141"/>
      <c r="Q28" s="139"/>
      <c r="R28" s="139"/>
      <c r="S28" s="140"/>
      <c r="T28" s="141"/>
      <c r="U28" s="139"/>
      <c r="V28" s="139"/>
      <c r="W28" s="140"/>
      <c r="X28" s="141"/>
      <c r="Y28" s="139"/>
    </row>
    <row r="30" spans="1:25" x14ac:dyDescent="0.2">
      <c r="A30" s="142"/>
      <c r="B30" s="447" t="s">
        <v>6</v>
      </c>
      <c r="C30" s="447"/>
      <c r="D30" s="447"/>
      <c r="E30" s="447"/>
      <c r="F30" s="447" t="s">
        <v>7</v>
      </c>
      <c r="G30" s="447"/>
      <c r="H30" s="447"/>
      <c r="I30" s="447" t="s">
        <v>6</v>
      </c>
      <c r="J30" s="447" t="s">
        <v>8</v>
      </c>
      <c r="K30" s="447"/>
      <c r="L30" s="447"/>
      <c r="M30" s="447" t="s">
        <v>6</v>
      </c>
      <c r="N30" s="447" t="s">
        <v>9</v>
      </c>
      <c r="O30" s="447"/>
      <c r="P30" s="447"/>
      <c r="Q30" s="447" t="s">
        <v>6</v>
      </c>
      <c r="R30" s="447" t="s">
        <v>10</v>
      </c>
      <c r="S30" s="447"/>
      <c r="T30" s="447"/>
      <c r="U30" s="447" t="s">
        <v>6</v>
      </c>
      <c r="V30" s="447" t="s">
        <v>11</v>
      </c>
      <c r="W30" s="447"/>
      <c r="X30" s="447"/>
      <c r="Y30" s="447" t="s">
        <v>6</v>
      </c>
    </row>
    <row r="31" spans="1:25" ht="38.25" x14ac:dyDescent="0.2">
      <c r="A31" s="93" t="s">
        <v>43</v>
      </c>
      <c r="B31" s="94" t="s">
        <v>136</v>
      </c>
      <c r="C31" s="94" t="s">
        <v>137</v>
      </c>
      <c r="D31" s="94" t="s">
        <v>138</v>
      </c>
      <c r="E31" s="94" t="s">
        <v>139</v>
      </c>
      <c r="F31" s="94" t="s">
        <v>136</v>
      </c>
      <c r="G31" s="94" t="s">
        <v>137</v>
      </c>
      <c r="H31" s="94" t="s">
        <v>138</v>
      </c>
      <c r="I31" s="94" t="s">
        <v>139</v>
      </c>
      <c r="J31" s="94" t="s">
        <v>136</v>
      </c>
      <c r="K31" s="94" t="s">
        <v>137</v>
      </c>
      <c r="L31" s="94" t="s">
        <v>138</v>
      </c>
      <c r="M31" s="94" t="s">
        <v>139</v>
      </c>
      <c r="N31" s="94" t="s">
        <v>136</v>
      </c>
      <c r="O31" s="94" t="s">
        <v>137</v>
      </c>
      <c r="P31" s="94" t="s">
        <v>138</v>
      </c>
      <c r="Q31" s="94" t="s">
        <v>139</v>
      </c>
      <c r="R31" s="94" t="s">
        <v>136</v>
      </c>
      <c r="S31" s="94" t="s">
        <v>137</v>
      </c>
      <c r="T31" s="94" t="s">
        <v>138</v>
      </c>
      <c r="U31" s="94" t="s">
        <v>139</v>
      </c>
      <c r="V31" s="94" t="s">
        <v>136</v>
      </c>
      <c r="W31" s="94" t="s">
        <v>137</v>
      </c>
      <c r="X31" s="94" t="s">
        <v>138</v>
      </c>
      <c r="Y31" s="94" t="s">
        <v>139</v>
      </c>
    </row>
    <row r="32" spans="1:25" x14ac:dyDescent="0.2">
      <c r="A32" s="95" t="s">
        <v>146</v>
      </c>
      <c r="B32" s="143"/>
      <c r="C32" s="143"/>
      <c r="D32" s="99"/>
      <c r="E32" s="144">
        <f>SUM(B32:D32)</f>
        <v>0</v>
      </c>
      <c r="F32" s="101"/>
      <c r="G32" s="99"/>
      <c r="H32" s="103"/>
      <c r="I32" s="100">
        <f t="shared" ref="I32:I37" si="2">SUM(G32:H32)</f>
        <v>0</v>
      </c>
      <c r="J32" s="101"/>
      <c r="K32" s="99"/>
      <c r="L32" s="103"/>
      <c r="M32" s="100">
        <f t="shared" ref="M32:M37" si="3">SUM(K32:L32)</f>
        <v>0</v>
      </c>
      <c r="N32" s="101"/>
      <c r="O32" s="99"/>
      <c r="P32" s="103"/>
      <c r="Q32" s="100">
        <f t="shared" ref="Q32:Q37" si="4">SUM(O32:P32)</f>
        <v>0</v>
      </c>
      <c r="R32" s="101"/>
      <c r="S32" s="99"/>
      <c r="T32" s="103"/>
      <c r="U32" s="100">
        <f t="shared" ref="U32:U37" si="5">SUM(S32:T32)</f>
        <v>0</v>
      </c>
      <c r="V32" s="101"/>
      <c r="W32" s="99"/>
      <c r="X32" s="103"/>
      <c r="Y32" s="100">
        <f t="shared" ref="Y32:Y37" si="6">SUM(W32:X32)</f>
        <v>0</v>
      </c>
    </row>
    <row r="33" spans="1:25" x14ac:dyDescent="0.2">
      <c r="A33" s="95" t="s">
        <v>140</v>
      </c>
      <c r="B33" s="143"/>
      <c r="C33" s="143"/>
      <c r="D33" s="99"/>
      <c r="E33" s="144">
        <f>SUM(B33:D33)</f>
        <v>0</v>
      </c>
      <c r="F33" s="101"/>
      <c r="G33" s="99"/>
      <c r="H33" s="103"/>
      <c r="I33" s="100">
        <f t="shared" si="2"/>
        <v>0</v>
      </c>
      <c r="J33" s="101"/>
      <c r="K33" s="99"/>
      <c r="L33" s="103"/>
      <c r="M33" s="100">
        <f t="shared" si="3"/>
        <v>0</v>
      </c>
      <c r="N33" s="101"/>
      <c r="O33" s="99"/>
      <c r="P33" s="103"/>
      <c r="Q33" s="100">
        <f t="shared" si="4"/>
        <v>0</v>
      </c>
      <c r="R33" s="101"/>
      <c r="S33" s="99"/>
      <c r="T33" s="103"/>
      <c r="U33" s="100">
        <f t="shared" si="5"/>
        <v>0</v>
      </c>
      <c r="V33" s="101"/>
      <c r="W33" s="99"/>
      <c r="X33" s="103"/>
      <c r="Y33" s="100">
        <f t="shared" si="6"/>
        <v>0</v>
      </c>
    </row>
    <row r="34" spans="1:25" x14ac:dyDescent="0.2">
      <c r="A34" s="95" t="s">
        <v>147</v>
      </c>
      <c r="B34" s="143"/>
      <c r="C34" s="99"/>
      <c r="D34" s="99"/>
      <c r="E34" s="144">
        <f>SUM(B34:D34)</f>
        <v>0</v>
      </c>
      <c r="F34" s="101"/>
      <c r="G34" s="99"/>
      <c r="H34" s="103"/>
      <c r="I34" s="100">
        <f t="shared" si="2"/>
        <v>0</v>
      </c>
      <c r="J34" s="101"/>
      <c r="K34" s="99"/>
      <c r="L34" s="103"/>
      <c r="M34" s="100">
        <f t="shared" si="3"/>
        <v>0</v>
      </c>
      <c r="N34" s="101"/>
      <c r="O34" s="99"/>
      <c r="P34" s="103"/>
      <c r="Q34" s="100">
        <f t="shared" si="4"/>
        <v>0</v>
      </c>
      <c r="R34" s="101"/>
      <c r="S34" s="99"/>
      <c r="T34" s="103"/>
      <c r="U34" s="100">
        <f t="shared" si="5"/>
        <v>0</v>
      </c>
      <c r="V34" s="101"/>
      <c r="W34" s="99"/>
      <c r="X34" s="103"/>
      <c r="Y34" s="100">
        <f t="shared" si="6"/>
        <v>0</v>
      </c>
    </row>
    <row r="35" spans="1:25" x14ac:dyDescent="0.2">
      <c r="A35" s="95" t="s">
        <v>148</v>
      </c>
      <c r="B35" s="143"/>
      <c r="C35" s="99"/>
      <c r="D35" s="99"/>
      <c r="E35" s="144">
        <f>SUM(B35:D35)</f>
        <v>0</v>
      </c>
      <c r="F35" s="101"/>
      <c r="G35" s="145"/>
      <c r="H35" s="145"/>
      <c r="I35" s="100">
        <f t="shared" si="2"/>
        <v>0</v>
      </c>
      <c r="J35" s="101"/>
      <c r="K35" s="145"/>
      <c r="L35" s="145"/>
      <c r="M35" s="100">
        <f t="shared" si="3"/>
        <v>0</v>
      </c>
      <c r="N35" s="101"/>
      <c r="O35" s="145"/>
      <c r="P35" s="145"/>
      <c r="Q35" s="100">
        <f t="shared" si="4"/>
        <v>0</v>
      </c>
      <c r="R35" s="101"/>
      <c r="S35" s="145"/>
      <c r="T35" s="145"/>
      <c r="U35" s="100">
        <f t="shared" si="5"/>
        <v>0</v>
      </c>
      <c r="V35" s="101"/>
      <c r="W35" s="145"/>
      <c r="X35" s="145"/>
      <c r="Y35" s="100">
        <f t="shared" si="6"/>
        <v>0</v>
      </c>
    </row>
    <row r="36" spans="1:25" x14ac:dyDescent="0.2">
      <c r="A36" s="95" t="s">
        <v>149</v>
      </c>
      <c r="B36" s="143"/>
      <c r="C36" s="99"/>
      <c r="D36" s="99"/>
      <c r="E36" s="144">
        <f>SUM(B36:D36)</f>
        <v>0</v>
      </c>
      <c r="F36" s="101"/>
      <c r="G36" s="145"/>
      <c r="H36" s="145"/>
      <c r="I36" s="100">
        <f t="shared" si="2"/>
        <v>0</v>
      </c>
      <c r="J36" s="101"/>
      <c r="K36" s="145"/>
      <c r="L36" s="145"/>
      <c r="M36" s="100">
        <f t="shared" si="3"/>
        <v>0</v>
      </c>
      <c r="N36" s="101"/>
      <c r="O36" s="145"/>
      <c r="P36" s="145"/>
      <c r="Q36" s="100">
        <f t="shared" si="4"/>
        <v>0</v>
      </c>
      <c r="R36" s="101"/>
      <c r="S36" s="145"/>
      <c r="T36" s="145"/>
      <c r="U36" s="100">
        <f t="shared" si="5"/>
        <v>0</v>
      </c>
      <c r="V36" s="101"/>
      <c r="W36" s="145"/>
      <c r="X36" s="145"/>
      <c r="Y36" s="100">
        <f t="shared" si="6"/>
        <v>0</v>
      </c>
    </row>
    <row r="37" spans="1:25" x14ac:dyDescent="0.2">
      <c r="A37" s="95"/>
      <c r="B37" s="101"/>
      <c r="C37" s="99"/>
      <c r="D37" s="99"/>
      <c r="E37" s="136"/>
      <c r="F37" s="101"/>
      <c r="G37" s="99"/>
      <c r="H37" s="99"/>
      <c r="I37" s="100">
        <f t="shared" si="2"/>
        <v>0</v>
      </c>
      <c r="J37" s="101"/>
      <c r="K37" s="99"/>
      <c r="L37" s="99"/>
      <c r="M37" s="100">
        <f t="shared" si="3"/>
        <v>0</v>
      </c>
      <c r="N37" s="101"/>
      <c r="O37" s="99"/>
      <c r="P37" s="99"/>
      <c r="Q37" s="100">
        <f t="shared" si="4"/>
        <v>0</v>
      </c>
      <c r="R37" s="101"/>
      <c r="S37" s="99"/>
      <c r="T37" s="99"/>
      <c r="U37" s="100">
        <f t="shared" si="5"/>
        <v>0</v>
      </c>
      <c r="V37" s="101"/>
      <c r="W37" s="99"/>
      <c r="X37" s="99"/>
      <c r="Y37" s="100">
        <f t="shared" si="6"/>
        <v>0</v>
      </c>
    </row>
    <row r="38" spans="1:25" s="90" customFormat="1" x14ac:dyDescent="0.2">
      <c r="A38" s="104" t="s">
        <v>58</v>
      </c>
      <c r="B38" s="146"/>
      <c r="C38" s="107">
        <f>SUM(C32:C37)</f>
        <v>0</v>
      </c>
      <c r="D38" s="107">
        <f>SUM(D32:D37)</f>
        <v>0</v>
      </c>
      <c r="E38" s="107">
        <f>SUM(E32:E37)</f>
        <v>0</v>
      </c>
      <c r="F38" s="107"/>
      <c r="G38" s="100">
        <f>SUM(G32:G37)</f>
        <v>0</v>
      </c>
      <c r="H38" s="100">
        <f>SUM(H32:H37)</f>
        <v>0</v>
      </c>
      <c r="I38" s="100">
        <f>SUM(I32:I37)</f>
        <v>0</v>
      </c>
      <c r="J38" s="107"/>
      <c r="K38" s="100">
        <f>SUM(K32:K37)</f>
        <v>0</v>
      </c>
      <c r="L38" s="100">
        <f>SUM(L32:L37)</f>
        <v>0</v>
      </c>
      <c r="M38" s="100">
        <f>SUM(M32:M37)</f>
        <v>0</v>
      </c>
      <c r="N38" s="107"/>
      <c r="O38" s="100">
        <f>SUM(O32:O37)</f>
        <v>0</v>
      </c>
      <c r="P38" s="100">
        <f>SUM(P32:P37)</f>
        <v>0</v>
      </c>
      <c r="Q38" s="100">
        <f>SUM(Q32:Q37)</f>
        <v>0</v>
      </c>
      <c r="R38" s="107"/>
      <c r="S38" s="100">
        <f>SUM(S32:S37)</f>
        <v>0</v>
      </c>
      <c r="T38" s="100">
        <f>SUM(T32:T37)</f>
        <v>0</v>
      </c>
      <c r="U38" s="100">
        <f>SUM(U32:U37)</f>
        <v>0</v>
      </c>
      <c r="V38" s="107"/>
      <c r="W38" s="100">
        <f>SUM(W32:W37)</f>
        <v>0</v>
      </c>
      <c r="X38" s="100">
        <f>SUM(X32:X37)</f>
        <v>0</v>
      </c>
      <c r="Y38" s="100">
        <f>SUM(Y32:Y37)</f>
        <v>0</v>
      </c>
    </row>
    <row r="39" spans="1:25" ht="3.95" customHeight="1" x14ac:dyDescent="0.2">
      <c r="A39" s="104"/>
      <c r="B39" s="107"/>
      <c r="C39" s="101"/>
      <c r="D39" s="101"/>
      <c r="E39" s="116"/>
      <c r="F39" s="107"/>
      <c r="G39" s="101"/>
      <c r="H39" s="110"/>
      <c r="I39" s="100"/>
      <c r="J39" s="107"/>
      <c r="K39" s="101"/>
      <c r="L39" s="110"/>
      <c r="M39" s="100"/>
      <c r="N39" s="107"/>
      <c r="O39" s="101"/>
      <c r="P39" s="110"/>
      <c r="Q39" s="100"/>
      <c r="R39" s="107"/>
      <c r="S39" s="101"/>
      <c r="T39" s="110"/>
      <c r="U39" s="100"/>
      <c r="V39" s="107"/>
      <c r="W39" s="101"/>
      <c r="X39" s="110"/>
      <c r="Y39" s="100"/>
    </row>
    <row r="40" spans="1:25" x14ac:dyDescent="0.2">
      <c r="A40" s="111" t="s">
        <v>22</v>
      </c>
      <c r="B40" s="114"/>
      <c r="C40" s="112"/>
      <c r="D40" s="112"/>
      <c r="E40" s="113"/>
      <c r="F40" s="114"/>
      <c r="G40" s="112"/>
      <c r="H40" s="113"/>
      <c r="I40" s="100">
        <f>SUM(G40:H40)</f>
        <v>0</v>
      </c>
      <c r="J40" s="114"/>
      <c r="K40" s="112"/>
      <c r="L40" s="113"/>
      <c r="M40" s="100">
        <f>SUM(K40:L40)</f>
        <v>0</v>
      </c>
      <c r="N40" s="114"/>
      <c r="O40" s="112"/>
      <c r="P40" s="113"/>
      <c r="Q40" s="100">
        <f>SUM(O40:P40)</f>
        <v>0</v>
      </c>
      <c r="R40" s="114"/>
      <c r="S40" s="112"/>
      <c r="T40" s="113"/>
      <c r="U40" s="100">
        <f>SUM(S40:T40)</f>
        <v>0</v>
      </c>
      <c r="V40" s="114"/>
      <c r="W40" s="112"/>
      <c r="X40" s="113"/>
      <c r="Y40" s="100">
        <f>SUM(W40:X40)</f>
        <v>0</v>
      </c>
    </row>
    <row r="41" spans="1:25" x14ac:dyDescent="0.2">
      <c r="A41" s="95" t="s">
        <v>12</v>
      </c>
      <c r="B41" s="143"/>
      <c r="C41" s="143"/>
      <c r="D41" s="99"/>
      <c r="E41" s="144">
        <f>SUM(B41:D41)</f>
        <v>0</v>
      </c>
      <c r="F41" s="101"/>
      <c r="G41" s="99"/>
      <c r="H41" s="99"/>
      <c r="I41" s="100">
        <f>SUM(G41:H41)</f>
        <v>0</v>
      </c>
      <c r="J41" s="101"/>
      <c r="K41" s="99"/>
      <c r="L41" s="99"/>
      <c r="M41" s="100">
        <f>SUM(K41:L41)</f>
        <v>0</v>
      </c>
      <c r="N41" s="101"/>
      <c r="O41" s="99"/>
      <c r="P41" s="99"/>
      <c r="Q41" s="100">
        <f>SUM(O41:P41)</f>
        <v>0</v>
      </c>
      <c r="R41" s="101"/>
      <c r="S41" s="99"/>
      <c r="T41" s="99"/>
      <c r="U41" s="100">
        <f>SUM(S41:T41)</f>
        <v>0</v>
      </c>
      <c r="V41" s="101"/>
      <c r="W41" s="99"/>
      <c r="X41" s="99"/>
      <c r="Y41" s="100">
        <f>SUM(W41:X41)</f>
        <v>0</v>
      </c>
    </row>
    <row r="42" spans="1:25" x14ac:dyDescent="0.2">
      <c r="A42" s="95" t="s">
        <v>14</v>
      </c>
      <c r="B42" s="143"/>
      <c r="C42" s="143"/>
      <c r="D42" s="99"/>
      <c r="E42" s="144">
        <f>SUM(B42:D42)</f>
        <v>0</v>
      </c>
      <c r="F42" s="101"/>
      <c r="G42" s="99"/>
      <c r="H42" s="99"/>
      <c r="I42" s="100">
        <f>SUM(G42:H42)</f>
        <v>0</v>
      </c>
      <c r="J42" s="101"/>
      <c r="K42" s="99"/>
      <c r="L42" s="99"/>
      <c r="M42" s="100">
        <f>SUM(K42:L42)</f>
        <v>0</v>
      </c>
      <c r="N42" s="101"/>
      <c r="O42" s="99"/>
      <c r="P42" s="99"/>
      <c r="Q42" s="100">
        <f>SUM(O42:P42)</f>
        <v>0</v>
      </c>
      <c r="R42" s="101"/>
      <c r="S42" s="99"/>
      <c r="T42" s="99"/>
      <c r="U42" s="100">
        <f>SUM(S42:T42)</f>
        <v>0</v>
      </c>
      <c r="V42" s="101"/>
      <c r="W42" s="99"/>
      <c r="X42" s="99"/>
      <c r="Y42" s="100">
        <f>SUM(W42:X42)</f>
        <v>0</v>
      </c>
    </row>
    <row r="43" spans="1:25" x14ac:dyDescent="0.2">
      <c r="A43" s="95" t="s">
        <v>28</v>
      </c>
      <c r="B43" s="143"/>
      <c r="C43" s="143"/>
      <c r="D43" s="99"/>
      <c r="E43" s="144">
        <f>SUM(B43:D43)</f>
        <v>0</v>
      </c>
      <c r="F43" s="101"/>
      <c r="G43" s="99"/>
      <c r="H43" s="99"/>
      <c r="I43" s="100">
        <f>SUM(G43:H43)</f>
        <v>0</v>
      </c>
      <c r="J43" s="101"/>
      <c r="K43" s="99"/>
      <c r="L43" s="99"/>
      <c r="M43" s="100">
        <f>SUM(K43:L43)</f>
        <v>0</v>
      </c>
      <c r="N43" s="101"/>
      <c r="O43" s="99"/>
      <c r="P43" s="99"/>
      <c r="Q43" s="100">
        <f>SUM(O43:P43)</f>
        <v>0</v>
      </c>
      <c r="R43" s="101"/>
      <c r="S43" s="99"/>
      <c r="T43" s="99"/>
      <c r="U43" s="100">
        <f>SUM(S43:T43)</f>
        <v>0</v>
      </c>
      <c r="V43" s="101"/>
      <c r="W43" s="99"/>
      <c r="X43" s="99"/>
      <c r="Y43" s="100">
        <f>SUM(W43:X43)</f>
        <v>0</v>
      </c>
    </row>
    <row r="44" spans="1:25" x14ac:dyDescent="0.2">
      <c r="A44" s="95"/>
      <c r="B44" s="101"/>
      <c r="C44" s="99"/>
      <c r="D44" s="99"/>
      <c r="E44" s="136"/>
      <c r="F44" s="101"/>
      <c r="G44" s="99"/>
      <c r="H44" s="99"/>
      <c r="I44" s="100">
        <f>SUM(G44:H44)</f>
        <v>0</v>
      </c>
      <c r="J44" s="101"/>
      <c r="K44" s="99"/>
      <c r="L44" s="99"/>
      <c r="M44" s="100">
        <f>SUM(K44:L44)</f>
        <v>0</v>
      </c>
      <c r="N44" s="101"/>
      <c r="O44" s="99"/>
      <c r="P44" s="99"/>
      <c r="Q44" s="100">
        <f>SUM(O44:P44)</f>
        <v>0</v>
      </c>
      <c r="R44" s="101"/>
      <c r="S44" s="99"/>
      <c r="T44" s="99"/>
      <c r="U44" s="100">
        <f>SUM(S44:T44)</f>
        <v>0</v>
      </c>
      <c r="V44" s="101"/>
      <c r="W44" s="99"/>
      <c r="X44" s="99"/>
      <c r="Y44" s="100">
        <f>SUM(W44:X44)</f>
        <v>0</v>
      </c>
    </row>
    <row r="45" spans="1:25" s="90" customFormat="1" x14ac:dyDescent="0.2">
      <c r="A45" s="104" t="s">
        <v>58</v>
      </c>
      <c r="B45" s="146"/>
      <c r="C45" s="107">
        <f>SUM(C40:C44)</f>
        <v>0</v>
      </c>
      <c r="D45" s="107">
        <f>SUM(D41:D44)</f>
        <v>0</v>
      </c>
      <c r="E45" s="107">
        <f>SUM(E41:E44)</f>
        <v>0</v>
      </c>
      <c r="F45" s="107"/>
      <c r="G45" s="116">
        <f>SUM(G40:G44)</f>
        <v>0</v>
      </c>
      <c r="H45" s="116">
        <f>SUM(H40:H44)</f>
        <v>0</v>
      </c>
      <c r="I45" s="100">
        <f>SUM(I40:I44)</f>
        <v>0</v>
      </c>
      <c r="J45" s="107"/>
      <c r="K45" s="116">
        <f>SUM(K40:K44)</f>
        <v>0</v>
      </c>
      <c r="L45" s="116">
        <f>SUM(L40:L44)</f>
        <v>0</v>
      </c>
      <c r="M45" s="100">
        <f>SUM(M40:M44)</f>
        <v>0</v>
      </c>
      <c r="N45" s="107"/>
      <c r="O45" s="116">
        <f>SUM(O40:O44)</f>
        <v>0</v>
      </c>
      <c r="P45" s="116">
        <f>SUM(P40:P44)</f>
        <v>0</v>
      </c>
      <c r="Q45" s="100">
        <f>SUM(Q40:Q44)</f>
        <v>0</v>
      </c>
      <c r="R45" s="107"/>
      <c r="S45" s="116">
        <f>SUM(S40:S44)</f>
        <v>0</v>
      </c>
      <c r="T45" s="116">
        <f>SUM(T40:T44)</f>
        <v>0</v>
      </c>
      <c r="U45" s="100">
        <f>SUM(U40:U44)</f>
        <v>0</v>
      </c>
      <c r="V45" s="107"/>
      <c r="W45" s="116">
        <f>SUM(W40:W44)</f>
        <v>0</v>
      </c>
      <c r="X45" s="116">
        <f>SUM(X40:X44)</f>
        <v>0</v>
      </c>
      <c r="Y45" s="100">
        <f>SUM(Y40:Y44)</f>
        <v>0</v>
      </c>
    </row>
    <row r="46" spans="1:25" ht="3.95" customHeight="1" x14ac:dyDescent="0.2">
      <c r="A46" s="104"/>
      <c r="B46" s="107"/>
      <c r="C46" s="101"/>
      <c r="D46" s="101"/>
      <c r="E46" s="116"/>
      <c r="F46" s="107"/>
      <c r="G46" s="101"/>
      <c r="H46" s="110"/>
      <c r="I46" s="100">
        <f>SUM(I40:I44)</f>
        <v>0</v>
      </c>
      <c r="J46" s="107"/>
      <c r="K46" s="101"/>
      <c r="L46" s="110"/>
      <c r="M46" s="100">
        <f>SUM(M40:M44)</f>
        <v>0</v>
      </c>
      <c r="N46" s="107"/>
      <c r="O46" s="101"/>
      <c r="P46" s="110"/>
      <c r="Q46" s="100">
        <f>SUM(Q40:Q44)</f>
        <v>0</v>
      </c>
      <c r="R46" s="107"/>
      <c r="S46" s="101"/>
      <c r="T46" s="110"/>
      <c r="U46" s="100">
        <f>SUM(U40:U44)</f>
        <v>0</v>
      </c>
      <c r="V46" s="107"/>
      <c r="W46" s="101"/>
      <c r="X46" s="110"/>
      <c r="Y46" s="100">
        <f>SUM(Y40:Y44)</f>
        <v>0</v>
      </c>
    </row>
    <row r="47" spans="1:25" ht="17.25" customHeight="1" x14ac:dyDescent="0.2">
      <c r="A47" s="104" t="s">
        <v>139</v>
      </c>
      <c r="B47" s="107"/>
      <c r="C47" s="107">
        <f>C38+C45</f>
        <v>0</v>
      </c>
      <c r="D47" s="107">
        <f>D38+D45</f>
        <v>0</v>
      </c>
      <c r="E47" s="107">
        <f>E38+E45</f>
        <v>0</v>
      </c>
      <c r="F47" s="107"/>
      <c r="G47" s="100">
        <f>G38+G45</f>
        <v>0</v>
      </c>
      <c r="H47" s="116">
        <f>H38+H45</f>
        <v>0</v>
      </c>
      <c r="I47" s="100">
        <f>I38+I45</f>
        <v>0</v>
      </c>
      <c r="J47" s="107"/>
      <c r="K47" s="100">
        <f>K38+K45</f>
        <v>0</v>
      </c>
      <c r="L47" s="116">
        <f>L38+L45</f>
        <v>0</v>
      </c>
      <c r="M47" s="100">
        <f>M38+M45</f>
        <v>0</v>
      </c>
      <c r="N47" s="107"/>
      <c r="O47" s="100">
        <f>O38+O45</f>
        <v>0</v>
      </c>
      <c r="P47" s="116">
        <f>P38+P45</f>
        <v>0</v>
      </c>
      <c r="Q47" s="100">
        <f>Q38+Q45</f>
        <v>0</v>
      </c>
      <c r="R47" s="107"/>
      <c r="S47" s="100">
        <f>S38+S45</f>
        <v>0</v>
      </c>
      <c r="T47" s="116">
        <f>T38+T45</f>
        <v>0</v>
      </c>
      <c r="U47" s="100">
        <f>U38+U45</f>
        <v>0</v>
      </c>
      <c r="V47" s="107"/>
      <c r="W47" s="100">
        <f>W38+W45</f>
        <v>0</v>
      </c>
      <c r="X47" s="116">
        <f>X38+X45</f>
        <v>0</v>
      </c>
      <c r="Y47" s="100">
        <f>Y38+Y45</f>
        <v>0</v>
      </c>
    </row>
    <row r="48" spans="1:25" ht="17.25" customHeight="1" x14ac:dyDescent="0.2">
      <c r="A48" s="117"/>
      <c r="B48" s="123"/>
      <c r="C48" s="121"/>
      <c r="D48" s="121"/>
      <c r="E48" s="147"/>
      <c r="F48" s="123"/>
      <c r="G48" s="121"/>
      <c r="H48" s="122"/>
      <c r="I48" s="123"/>
      <c r="J48" s="123"/>
      <c r="K48" s="121"/>
      <c r="L48" s="122"/>
      <c r="M48" s="123"/>
      <c r="N48" s="123"/>
      <c r="O48" s="121"/>
      <c r="P48" s="122"/>
      <c r="Q48" s="123"/>
      <c r="R48" s="123"/>
      <c r="S48" s="121"/>
      <c r="T48" s="122"/>
      <c r="U48" s="123"/>
      <c r="V48" s="123"/>
      <c r="W48" s="121"/>
      <c r="X48" s="122"/>
      <c r="Y48" s="123"/>
    </row>
    <row r="49" spans="1:25" x14ac:dyDescent="0.2">
      <c r="A49" s="93" t="s">
        <v>64</v>
      </c>
      <c r="B49" s="148"/>
      <c r="C49" s="128"/>
      <c r="D49" s="128"/>
      <c r="E49" s="149"/>
      <c r="F49" s="129"/>
      <c r="G49" s="128"/>
      <c r="H49" s="128"/>
      <c r="I49" s="129"/>
      <c r="J49" s="129"/>
      <c r="K49" s="128"/>
      <c r="L49" s="128"/>
      <c r="M49" s="129"/>
      <c r="N49" s="129"/>
      <c r="O49" s="128"/>
      <c r="P49" s="128"/>
      <c r="Q49" s="129"/>
      <c r="R49" s="129"/>
      <c r="S49" s="128"/>
      <c r="T49" s="128"/>
      <c r="U49" s="129"/>
      <c r="V49" s="129"/>
      <c r="W49" s="128"/>
      <c r="X49" s="128"/>
      <c r="Y49" s="130"/>
    </row>
    <row r="50" spans="1:25" x14ac:dyDescent="0.2">
      <c r="A50" s="131" t="s">
        <v>143</v>
      </c>
      <c r="B50" s="101"/>
      <c r="C50" s="143"/>
      <c r="D50" s="143"/>
      <c r="E50" s="136"/>
      <c r="F50" s="101"/>
      <c r="G50" s="143"/>
      <c r="H50" s="143"/>
      <c r="I50" s="136"/>
      <c r="J50" s="101"/>
      <c r="K50" s="143"/>
      <c r="L50" s="143"/>
      <c r="M50" s="136"/>
      <c r="N50" s="101"/>
      <c r="O50" s="143"/>
      <c r="P50" s="143"/>
      <c r="Q50" s="136"/>
      <c r="R50" s="101"/>
      <c r="S50" s="143"/>
      <c r="T50" s="143"/>
      <c r="U50" s="136"/>
      <c r="V50" s="101"/>
      <c r="W50" s="143"/>
      <c r="X50" s="143"/>
      <c r="Y50" s="136"/>
    </row>
    <row r="51" spans="1:25" x14ac:dyDescent="0.2">
      <c r="A51" s="95"/>
      <c r="B51" s="101"/>
      <c r="C51" s="99"/>
      <c r="D51" s="99"/>
      <c r="E51" s="136"/>
      <c r="F51" s="101"/>
      <c r="G51" s="99"/>
      <c r="H51" s="99"/>
      <c r="I51" s="136"/>
      <c r="J51" s="101"/>
      <c r="K51" s="99"/>
      <c r="L51" s="99"/>
      <c r="M51" s="136"/>
      <c r="N51" s="101"/>
      <c r="O51" s="99"/>
      <c r="P51" s="99"/>
      <c r="Q51" s="136"/>
      <c r="R51" s="101"/>
      <c r="S51" s="99"/>
      <c r="T51" s="99"/>
      <c r="U51" s="136"/>
      <c r="V51" s="101"/>
      <c r="W51" s="99"/>
      <c r="X51" s="99"/>
      <c r="Y51" s="136"/>
    </row>
    <row r="52" spans="1:25" s="90" customFormat="1" x14ac:dyDescent="0.2">
      <c r="A52" s="134" t="s">
        <v>58</v>
      </c>
      <c r="B52" s="107">
        <f>SUM(B50:B51)</f>
        <v>0</v>
      </c>
      <c r="C52" s="107"/>
      <c r="D52" s="107"/>
      <c r="E52" s="107"/>
      <c r="F52" s="107">
        <f>SUM(F50:F51)</f>
        <v>0</v>
      </c>
      <c r="G52" s="107"/>
      <c r="H52" s="107"/>
      <c r="I52" s="107"/>
      <c r="J52" s="107">
        <f>SUM(J50:J51)</f>
        <v>0</v>
      </c>
      <c r="K52" s="107"/>
      <c r="L52" s="107"/>
      <c r="M52" s="107"/>
      <c r="N52" s="107">
        <f>SUM(N50:N51)</f>
        <v>0</v>
      </c>
      <c r="O52" s="107"/>
      <c r="P52" s="107"/>
      <c r="Q52" s="107"/>
      <c r="R52" s="107">
        <f>SUM(R50:R51)</f>
        <v>0</v>
      </c>
      <c r="S52" s="107"/>
      <c r="T52" s="107"/>
      <c r="U52" s="107"/>
      <c r="V52" s="107">
        <f>SUM(V50:V51)</f>
        <v>0</v>
      </c>
      <c r="W52" s="107"/>
      <c r="X52" s="107"/>
      <c r="Y52" s="100"/>
    </row>
    <row r="53" spans="1:25" ht="3.95" customHeight="1" x14ac:dyDescent="0.2">
      <c r="A53" s="104"/>
      <c r="B53" s="101"/>
      <c r="C53" s="101"/>
      <c r="D53" s="101"/>
      <c r="E53" s="116"/>
      <c r="F53" s="101"/>
      <c r="G53" s="101"/>
      <c r="H53" s="101"/>
      <c r="I53" s="116"/>
      <c r="J53" s="101"/>
      <c r="K53" s="101"/>
      <c r="L53" s="101"/>
      <c r="M53" s="116"/>
      <c r="N53" s="101"/>
      <c r="O53" s="101"/>
      <c r="P53" s="101"/>
      <c r="Q53" s="116"/>
      <c r="R53" s="101"/>
      <c r="S53" s="101"/>
      <c r="T53" s="101"/>
      <c r="U53" s="116"/>
      <c r="V53" s="101"/>
      <c r="W53" s="101"/>
      <c r="X53" s="101"/>
      <c r="Y53" s="116"/>
    </row>
    <row r="54" spans="1:25" s="151" customFormat="1" x14ac:dyDescent="0.2">
      <c r="A54" s="104" t="s">
        <v>144</v>
      </c>
      <c r="B54" s="150">
        <f>B52</f>
        <v>0</v>
      </c>
      <c r="C54" s="150" t="s">
        <v>145</v>
      </c>
      <c r="D54" s="150" t="s">
        <v>145</v>
      </c>
      <c r="E54" s="150" t="s">
        <v>145</v>
      </c>
      <c r="F54" s="150">
        <f>F52</f>
        <v>0</v>
      </c>
      <c r="G54" s="150" t="s">
        <v>145</v>
      </c>
      <c r="H54" s="150" t="s">
        <v>145</v>
      </c>
      <c r="I54" s="150" t="s">
        <v>145</v>
      </c>
      <c r="J54" s="150">
        <f>J52</f>
        <v>0</v>
      </c>
      <c r="K54" s="150" t="s">
        <v>145</v>
      </c>
      <c r="L54" s="150" t="s">
        <v>145</v>
      </c>
      <c r="M54" s="150" t="s">
        <v>145</v>
      </c>
      <c r="N54" s="150">
        <f>N52</f>
        <v>0</v>
      </c>
      <c r="O54" s="150" t="s">
        <v>145</v>
      </c>
      <c r="P54" s="150" t="s">
        <v>145</v>
      </c>
      <c r="Q54" s="150" t="s">
        <v>145</v>
      </c>
      <c r="R54" s="150">
        <f>R52</f>
        <v>0</v>
      </c>
      <c r="S54" s="150" t="s">
        <v>145</v>
      </c>
      <c r="T54" s="150" t="s">
        <v>145</v>
      </c>
      <c r="U54" s="150" t="s">
        <v>145</v>
      </c>
      <c r="V54" s="150">
        <f>V52</f>
        <v>0</v>
      </c>
      <c r="W54" s="150" t="s">
        <v>145</v>
      </c>
      <c r="X54" s="150" t="s">
        <v>145</v>
      </c>
      <c r="Y54" s="150" t="s">
        <v>145</v>
      </c>
    </row>
    <row r="55" spans="1:25" s="157" customFormat="1" x14ac:dyDescent="0.2">
      <c r="A55" s="139"/>
      <c r="B55" s="152"/>
      <c r="C55" s="152"/>
      <c r="D55" s="152"/>
      <c r="E55" s="153"/>
      <c r="F55" s="154"/>
      <c r="G55" s="155"/>
      <c r="H55" s="156"/>
      <c r="I55" s="154"/>
      <c r="J55" s="154"/>
      <c r="K55" s="155"/>
      <c r="L55" s="156"/>
      <c r="M55" s="154"/>
      <c r="N55" s="154"/>
      <c r="O55" s="155"/>
      <c r="P55" s="156"/>
      <c r="Q55" s="154"/>
      <c r="R55" s="154"/>
      <c r="S55" s="155"/>
      <c r="T55" s="156"/>
      <c r="U55" s="154"/>
      <c r="V55" s="154"/>
      <c r="W55" s="155"/>
      <c r="X55" s="156"/>
      <c r="Y55" s="154"/>
    </row>
    <row r="56" spans="1:25" x14ac:dyDescent="0.2">
      <c r="A56" s="139" t="s">
        <v>25</v>
      </c>
      <c r="B56" s="139"/>
      <c r="C56" s="141"/>
      <c r="D56" s="141"/>
      <c r="E56" s="141"/>
      <c r="F56" s="139"/>
      <c r="G56" s="141"/>
      <c r="H56" s="141"/>
      <c r="I56" s="139"/>
      <c r="J56" s="139"/>
      <c r="K56" s="141"/>
      <c r="L56" s="141"/>
      <c r="M56" s="139"/>
      <c r="N56" s="139"/>
      <c r="O56" s="141"/>
      <c r="P56" s="141"/>
      <c r="Q56" s="139"/>
      <c r="R56" s="139"/>
      <c r="S56" s="141"/>
      <c r="T56" s="141"/>
      <c r="U56" s="139"/>
      <c r="V56" s="139"/>
      <c r="W56" s="141"/>
      <c r="X56" s="141"/>
      <c r="Y56" s="139"/>
    </row>
    <row r="57" spans="1:25" x14ac:dyDescent="0.2">
      <c r="A57" s="139"/>
      <c r="B57" s="139"/>
      <c r="C57" s="141"/>
      <c r="D57" s="141"/>
      <c r="E57" s="141"/>
      <c r="F57" s="139"/>
      <c r="G57" s="141"/>
      <c r="H57" s="141"/>
      <c r="I57" s="139"/>
      <c r="J57" s="139"/>
      <c r="K57" s="141"/>
      <c r="L57" s="141"/>
      <c r="M57" s="139"/>
      <c r="N57" s="139"/>
      <c r="O57" s="141"/>
      <c r="P57" s="141"/>
      <c r="Q57" s="139"/>
      <c r="R57" s="139"/>
      <c r="S57" s="141"/>
      <c r="T57" s="141"/>
      <c r="U57" s="139"/>
      <c r="V57" s="139"/>
      <c r="W57" s="141"/>
      <c r="X57" s="141"/>
      <c r="Y57" s="139"/>
    </row>
    <row r="58" spans="1:25" x14ac:dyDescent="0.2">
      <c r="A58" s="139"/>
      <c r="B58" s="139"/>
      <c r="C58" s="141"/>
      <c r="D58" s="141"/>
      <c r="E58" s="141"/>
      <c r="F58" s="139"/>
      <c r="G58" s="141"/>
      <c r="H58" s="141"/>
      <c r="I58" s="139"/>
      <c r="J58" s="139"/>
      <c r="K58" s="141"/>
      <c r="L58" s="141"/>
      <c r="M58" s="139"/>
      <c r="N58" s="139"/>
      <c r="O58" s="141"/>
      <c r="P58" s="141"/>
      <c r="Q58" s="139"/>
      <c r="R58" s="139"/>
      <c r="S58" s="141"/>
      <c r="T58" s="141"/>
      <c r="U58" s="139"/>
      <c r="V58" s="139"/>
      <c r="W58" s="141"/>
      <c r="X58" s="141"/>
      <c r="Y58" s="139"/>
    </row>
    <row r="60" spans="1:25" x14ac:dyDescent="0.2">
      <c r="A60" s="139" t="s">
        <v>136</v>
      </c>
      <c r="B60" s="139" t="s">
        <v>150</v>
      </c>
      <c r="D60" s="141"/>
      <c r="G60" s="141"/>
      <c r="I60" s="139"/>
      <c r="K60" s="141"/>
      <c r="M60" s="139"/>
      <c r="N60" s="158"/>
      <c r="O60" s="141"/>
      <c r="P60" s="141"/>
      <c r="Q60" s="158"/>
      <c r="R60" s="158"/>
      <c r="S60" s="141"/>
      <c r="T60" s="141"/>
      <c r="U60" s="158"/>
      <c r="V60" s="158"/>
      <c r="W60" s="141"/>
      <c r="X60" s="141"/>
      <c r="Y60" s="158"/>
    </row>
    <row r="61" spans="1:25" x14ac:dyDescent="0.2">
      <c r="A61" s="139" t="s">
        <v>151</v>
      </c>
      <c r="B61" s="139" t="s">
        <v>152</v>
      </c>
      <c r="D61" s="141"/>
      <c r="G61" s="141"/>
      <c r="I61" s="139"/>
      <c r="K61" s="141"/>
      <c r="M61" s="139"/>
      <c r="N61" s="158"/>
      <c r="O61" s="141"/>
      <c r="P61" s="141"/>
      <c r="Q61" s="158"/>
      <c r="R61" s="158"/>
      <c r="S61" s="141"/>
      <c r="T61" s="141"/>
      <c r="U61" s="158"/>
      <c r="V61" s="158"/>
      <c r="W61" s="141"/>
      <c r="X61" s="141"/>
      <c r="Y61" s="158"/>
    </row>
    <row r="62" spans="1:25" x14ac:dyDescent="0.2">
      <c r="A62" s="139" t="s">
        <v>138</v>
      </c>
      <c r="B62" s="139" t="s">
        <v>153</v>
      </c>
      <c r="D62" s="141"/>
      <c r="G62" s="141"/>
      <c r="I62" s="139"/>
      <c r="K62" s="141"/>
      <c r="M62" s="139"/>
    </row>
    <row r="63" spans="1:25" x14ac:dyDescent="0.2">
      <c r="A63" s="139" t="s">
        <v>139</v>
      </c>
      <c r="B63" s="139" t="s">
        <v>154</v>
      </c>
      <c r="D63" s="141"/>
      <c r="F63" s="159"/>
      <c r="I63" s="159"/>
      <c r="J63" s="159"/>
      <c r="M63" s="159"/>
      <c r="N63" s="159"/>
      <c r="Q63" s="159"/>
      <c r="R63" s="159"/>
      <c r="U63" s="159"/>
      <c r="V63" s="159"/>
      <c r="Y63" s="159"/>
    </row>
    <row r="64" spans="1:25" x14ac:dyDescent="0.2">
      <c r="A64" s="139" t="s">
        <v>155</v>
      </c>
      <c r="B64" s="139" t="s">
        <v>156</v>
      </c>
      <c r="D64" s="141"/>
      <c r="G64" s="141"/>
      <c r="I64" s="139"/>
      <c r="K64" s="141"/>
      <c r="M64" s="139"/>
      <c r="N64" s="158"/>
      <c r="O64" s="141"/>
      <c r="P64" s="141"/>
      <c r="Q64" s="158"/>
      <c r="R64" s="158"/>
      <c r="S64" s="141"/>
      <c r="T64" s="141"/>
      <c r="U64" s="158"/>
      <c r="V64" s="158"/>
      <c r="W64" s="141"/>
      <c r="X64" s="141"/>
      <c r="Y64" s="158"/>
    </row>
    <row r="65" spans="1:25" x14ac:dyDescent="0.2">
      <c r="A65" s="159"/>
      <c r="B65" s="159"/>
      <c r="F65" s="159"/>
      <c r="I65" s="159"/>
      <c r="J65" s="159"/>
      <c r="M65" s="159"/>
      <c r="N65" s="159"/>
      <c r="Q65" s="159"/>
      <c r="R65" s="159"/>
      <c r="U65" s="159"/>
      <c r="V65" s="159"/>
      <c r="Y65" s="159"/>
    </row>
    <row r="66" spans="1:25" x14ac:dyDescent="0.2">
      <c r="A66" s="159"/>
      <c r="B66" s="159"/>
      <c r="F66" s="159"/>
      <c r="I66" s="159"/>
      <c r="J66" s="159"/>
      <c r="M66" s="159"/>
      <c r="N66" s="159"/>
      <c r="Q66" s="159"/>
      <c r="R66" s="159"/>
      <c r="U66" s="159"/>
      <c r="V66" s="159"/>
      <c r="Y66" s="159"/>
    </row>
    <row r="67" spans="1:25" x14ac:dyDescent="0.2">
      <c r="A67" s="159"/>
      <c r="B67" s="159"/>
      <c r="F67" s="159"/>
      <c r="I67" s="159"/>
      <c r="J67" s="159"/>
      <c r="M67" s="159"/>
      <c r="N67" s="159"/>
      <c r="Q67" s="159"/>
      <c r="R67" s="159"/>
      <c r="U67" s="159"/>
      <c r="V67" s="159"/>
      <c r="Y67" s="159"/>
    </row>
    <row r="68" spans="1:25" x14ac:dyDescent="0.2">
      <c r="A68" s="159"/>
      <c r="B68" s="159"/>
      <c r="F68" s="159"/>
      <c r="I68" s="159"/>
      <c r="J68" s="159"/>
      <c r="M68" s="159"/>
      <c r="N68" s="159"/>
      <c r="Q68" s="159"/>
      <c r="R68" s="159"/>
      <c r="U68" s="159"/>
      <c r="V68" s="159"/>
      <c r="Y68" s="159"/>
    </row>
  </sheetData>
  <mergeCells count="12">
    <mergeCell ref="B3:E3"/>
    <mergeCell ref="F3:I3"/>
    <mergeCell ref="B30:E30"/>
    <mergeCell ref="F30:I30"/>
    <mergeCell ref="V3:Y3"/>
    <mergeCell ref="R30:U30"/>
    <mergeCell ref="V30:Y30"/>
    <mergeCell ref="N30:Q30"/>
    <mergeCell ref="J30:M30"/>
    <mergeCell ref="J3:M3"/>
    <mergeCell ref="N3:Q3"/>
    <mergeCell ref="R3:U3"/>
  </mergeCells>
  <phoneticPr fontId="0" type="noConversion"/>
  <printOptions horizontalCentered="1" verticalCentered="1"/>
  <pageMargins left="0" right="0" top="1" bottom="1" header="0.5" footer="0.5"/>
  <pageSetup scale="44" orientation="landscape" cellComments="asDisplayed" r:id="rId1"/>
  <headerFooter alignWithMargins="0">
    <oddHeader xml:space="preserve">&amp;C&amp;"Arial,Bold"San Diego Gas and Electric
Program Subscription Statistics
JANUARY 2013
</oddHead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76"/>
  <sheetViews>
    <sheetView showGridLines="0" view="pageBreakPreview" zoomScale="60" zoomScaleNormal="85" workbookViewId="0">
      <pane xSplit="1" topLeftCell="B1" activePane="topRight" state="frozen"/>
      <selection activeCell="I16" sqref="I16"/>
      <selection pane="topRight" activeCell="B23" sqref="B23"/>
    </sheetView>
  </sheetViews>
  <sheetFormatPr defaultRowHeight="12.75" x14ac:dyDescent="0.2"/>
  <cols>
    <col min="1" max="1" width="60" style="202" customWidth="1"/>
    <col min="2" max="2" width="16.140625" style="202" customWidth="1"/>
    <col min="3" max="3" width="13" style="202" customWidth="1"/>
    <col min="4" max="4" width="10.7109375" style="202" customWidth="1"/>
    <col min="5" max="5" width="11.85546875" style="202" customWidth="1"/>
    <col min="6" max="6" width="11.28515625" style="202" customWidth="1"/>
    <col min="7" max="7" width="10.7109375" style="202" customWidth="1"/>
    <col min="8" max="10" width="11.7109375" style="202" bestFit="1" customWidth="1"/>
    <col min="11" max="11" width="12" style="202" customWidth="1"/>
    <col min="12" max="12" width="10.7109375" style="202" customWidth="1"/>
    <col min="13" max="13" width="11.85546875" style="202" customWidth="1"/>
    <col min="14" max="14" width="11.7109375" style="202" customWidth="1"/>
    <col min="15" max="15" width="14.28515625" style="202" bestFit="1" customWidth="1"/>
    <col min="16" max="16" width="16" style="202" customWidth="1"/>
    <col min="17" max="17" width="13.140625" style="170" bestFit="1" customWidth="1"/>
    <col min="18" max="18" width="14.7109375" style="170" customWidth="1"/>
    <col min="19" max="19" width="13.42578125" style="202" bestFit="1" customWidth="1"/>
    <col min="20" max="16384" width="9.140625" style="202"/>
  </cols>
  <sheetData>
    <row r="1" spans="1:19" s="170" customFormat="1" x14ac:dyDescent="0.2">
      <c r="A1" s="169" t="s">
        <v>62</v>
      </c>
    </row>
    <row r="2" spans="1:19" s="170" customFormat="1" ht="13.5" thickBot="1" x14ac:dyDescent="0.25"/>
    <row r="3" spans="1:19" s="170" customFormat="1" x14ac:dyDescent="0.2">
      <c r="A3" s="171"/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4"/>
      <c r="O3" s="174"/>
      <c r="P3" s="174"/>
      <c r="Q3" s="175"/>
      <c r="R3" s="175"/>
      <c r="S3" s="175"/>
    </row>
    <row r="4" spans="1:19" s="170" customFormat="1" ht="7.5" customHeight="1" x14ac:dyDescent="0.2">
      <c r="A4" s="176"/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  <c r="O4" s="179"/>
      <c r="P4" s="179"/>
      <c r="Q4" s="180"/>
      <c r="R4" s="180"/>
      <c r="S4" s="180"/>
    </row>
    <row r="5" spans="1:19" s="170" customFormat="1" ht="57.75" customHeight="1" x14ac:dyDescent="0.2">
      <c r="A5" s="181" t="s">
        <v>18</v>
      </c>
      <c r="B5" s="182" t="s">
        <v>173</v>
      </c>
      <c r="C5" s="183" t="s">
        <v>0</v>
      </c>
      <c r="D5" s="183" t="s">
        <v>1</v>
      </c>
      <c r="E5" s="183" t="s">
        <v>2</v>
      </c>
      <c r="F5" s="183" t="s">
        <v>3</v>
      </c>
      <c r="G5" s="183" t="s">
        <v>4</v>
      </c>
      <c r="H5" s="183" t="s">
        <v>5</v>
      </c>
      <c r="I5" s="183" t="s">
        <v>6</v>
      </c>
      <c r="J5" s="183" t="s">
        <v>7</v>
      </c>
      <c r="K5" s="183" t="s">
        <v>8</v>
      </c>
      <c r="L5" s="183" t="s">
        <v>9</v>
      </c>
      <c r="M5" s="183" t="s">
        <v>10</v>
      </c>
      <c r="N5" s="183" t="s">
        <v>11</v>
      </c>
      <c r="O5" s="184" t="s">
        <v>164</v>
      </c>
      <c r="P5" s="184" t="s">
        <v>174</v>
      </c>
      <c r="Q5" s="184" t="s">
        <v>49</v>
      </c>
      <c r="R5" s="184" t="s">
        <v>60</v>
      </c>
      <c r="S5" s="184" t="s">
        <v>48</v>
      </c>
    </row>
    <row r="6" spans="1:19" s="170" customFormat="1" x14ac:dyDescent="0.2">
      <c r="A6" s="185" t="s">
        <v>175</v>
      </c>
      <c r="B6" s="18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/>
      <c r="P6" s="188" t="s">
        <v>13</v>
      </c>
      <c r="Q6" s="189"/>
      <c r="R6" s="189"/>
      <c r="S6" s="189"/>
    </row>
    <row r="7" spans="1:19" s="170" customFormat="1" x14ac:dyDescent="0.2">
      <c r="A7" s="190" t="s">
        <v>123</v>
      </c>
      <c r="B7" s="191">
        <v>470302</v>
      </c>
      <c r="C7" s="187">
        <v>4471</v>
      </c>
      <c r="D7" s="187">
        <v>0</v>
      </c>
      <c r="E7" s="187">
        <v>0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93">
        <f>SUM(C7:N7)</f>
        <v>4471</v>
      </c>
      <c r="P7" s="193">
        <f>+B7+O7</f>
        <v>474773</v>
      </c>
      <c r="Q7" s="194">
        <v>2214267</v>
      </c>
      <c r="R7" s="194">
        <v>-1800000</v>
      </c>
      <c r="S7" s="195">
        <f>+P7/Q7</f>
        <v>0.2144154250593989</v>
      </c>
    </row>
    <row r="8" spans="1:19" s="170" customFormat="1" x14ac:dyDescent="0.2">
      <c r="A8" s="190" t="s">
        <v>196</v>
      </c>
      <c r="B8" s="191">
        <v>0</v>
      </c>
      <c r="C8" s="187">
        <v>0</v>
      </c>
      <c r="D8" s="187">
        <v>0</v>
      </c>
      <c r="E8" s="187">
        <v>0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93">
        <f>SUM(C8:N8)</f>
        <v>0</v>
      </c>
      <c r="P8" s="193">
        <f>+B8+O8</f>
        <v>0</v>
      </c>
      <c r="Q8" s="194">
        <v>1800000</v>
      </c>
      <c r="R8" s="194">
        <v>1800000</v>
      </c>
      <c r="S8" s="195"/>
    </row>
    <row r="9" spans="1:19" s="170" customFormat="1" x14ac:dyDescent="0.2">
      <c r="A9" s="197" t="s">
        <v>29</v>
      </c>
      <c r="B9" s="198">
        <f>SUM(B7)</f>
        <v>470302</v>
      </c>
      <c r="C9" s="199">
        <f>SUM(C7:C8)</f>
        <v>4471</v>
      </c>
      <c r="D9" s="199">
        <f>SUM(D7:D8)</f>
        <v>0</v>
      </c>
      <c r="E9" s="199">
        <f t="shared" ref="E9:M9" si="0">SUM(E7:E8)</f>
        <v>0</v>
      </c>
      <c r="F9" s="199">
        <f t="shared" si="0"/>
        <v>0</v>
      </c>
      <c r="G9" s="199">
        <f t="shared" si="0"/>
        <v>0</v>
      </c>
      <c r="H9" s="199">
        <f t="shared" si="0"/>
        <v>0</v>
      </c>
      <c r="I9" s="199">
        <f t="shared" si="0"/>
        <v>0</v>
      </c>
      <c r="J9" s="199">
        <f t="shared" si="0"/>
        <v>0</v>
      </c>
      <c r="K9" s="199">
        <f t="shared" si="0"/>
        <v>0</v>
      </c>
      <c r="L9" s="199">
        <f t="shared" si="0"/>
        <v>0</v>
      </c>
      <c r="M9" s="199">
        <f t="shared" si="0"/>
        <v>0</v>
      </c>
      <c r="N9" s="199">
        <f t="shared" ref="N9:S9" si="1">SUM(N7:N8)</f>
        <v>0</v>
      </c>
      <c r="O9" s="200">
        <f t="shared" si="1"/>
        <v>4471</v>
      </c>
      <c r="P9" s="200">
        <f t="shared" si="1"/>
        <v>474773</v>
      </c>
      <c r="Q9" s="200">
        <f t="shared" si="1"/>
        <v>4014267</v>
      </c>
      <c r="R9" s="200">
        <f t="shared" si="1"/>
        <v>0</v>
      </c>
      <c r="S9" s="201">
        <f t="shared" si="1"/>
        <v>0.2144154250593989</v>
      </c>
    </row>
    <row r="10" spans="1:19" s="170" customFormat="1" x14ac:dyDescent="0.2">
      <c r="A10" s="190"/>
      <c r="B10" s="191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93"/>
      <c r="P10" s="193"/>
      <c r="Q10" s="194"/>
      <c r="R10" s="194"/>
      <c r="S10" s="195"/>
    </row>
    <row r="11" spans="1:19" s="170" customFormat="1" x14ac:dyDescent="0.2">
      <c r="A11" s="185" t="s">
        <v>35</v>
      </c>
      <c r="B11" s="191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93"/>
      <c r="P11" s="193"/>
      <c r="Q11" s="194"/>
      <c r="R11" s="194"/>
      <c r="S11" s="195"/>
    </row>
    <row r="12" spans="1:19" s="170" customFormat="1" x14ac:dyDescent="0.2">
      <c r="A12" s="203" t="s">
        <v>124</v>
      </c>
      <c r="B12" s="191">
        <v>1769746</v>
      </c>
      <c r="C12" s="187">
        <v>42655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93">
        <f>SUM(C12:N12)</f>
        <v>42655</v>
      </c>
      <c r="P12" s="193">
        <f>B12+O12</f>
        <v>1812401</v>
      </c>
      <c r="Q12" s="193">
        <v>5389000</v>
      </c>
      <c r="R12" s="193">
        <v>-6400000</v>
      </c>
      <c r="S12" s="195">
        <f>+P12/Q12</f>
        <v>0.33631490072369641</v>
      </c>
    </row>
    <row r="13" spans="1:19" s="170" customFormat="1" x14ac:dyDescent="0.2">
      <c r="A13" s="203" t="s">
        <v>176</v>
      </c>
      <c r="B13" s="191">
        <v>1493153</v>
      </c>
      <c r="C13" s="187">
        <f>9669+5943</f>
        <v>15612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93">
        <f>SUM(C13:N13)</f>
        <v>15612</v>
      </c>
      <c r="P13" s="193">
        <f>B13+O13</f>
        <v>1508765</v>
      </c>
      <c r="Q13" s="194">
        <f>485000+6400000</f>
        <v>6885000</v>
      </c>
      <c r="R13" s="194">
        <v>6400000</v>
      </c>
      <c r="S13" s="195">
        <f>+P13/Q13</f>
        <v>0.21913798111837327</v>
      </c>
    </row>
    <row r="14" spans="1:19" s="170" customFormat="1" x14ac:dyDescent="0.2">
      <c r="A14" s="204" t="s">
        <v>30</v>
      </c>
      <c r="B14" s="198">
        <f>SUM(B12:B13)</f>
        <v>3262899</v>
      </c>
      <c r="C14" s="199">
        <f>SUM(C12:C13)</f>
        <v>58267</v>
      </c>
      <c r="D14" s="199">
        <f>SUM(D12:D13)</f>
        <v>0</v>
      </c>
      <c r="E14" s="199">
        <f t="shared" ref="E14:S14" si="2">SUM(E12:E13)</f>
        <v>0</v>
      </c>
      <c r="F14" s="199">
        <f t="shared" si="2"/>
        <v>0</v>
      </c>
      <c r="G14" s="199">
        <f t="shared" si="2"/>
        <v>0</v>
      </c>
      <c r="H14" s="199">
        <f t="shared" si="2"/>
        <v>0</v>
      </c>
      <c r="I14" s="199">
        <f t="shared" si="2"/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200">
        <f t="shared" si="2"/>
        <v>58267</v>
      </c>
      <c r="P14" s="200">
        <f t="shared" si="2"/>
        <v>3321166</v>
      </c>
      <c r="Q14" s="200">
        <f t="shared" si="2"/>
        <v>12274000</v>
      </c>
      <c r="R14" s="200">
        <f t="shared" si="2"/>
        <v>0</v>
      </c>
      <c r="S14" s="207">
        <f t="shared" si="2"/>
        <v>0.55545288184206965</v>
      </c>
    </row>
    <row r="15" spans="1:19" s="170" customFormat="1" x14ac:dyDescent="0.2">
      <c r="A15" s="344"/>
      <c r="B15" s="191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93"/>
      <c r="P15" s="193"/>
      <c r="Q15" s="194"/>
      <c r="R15" s="194"/>
      <c r="S15" s="195"/>
    </row>
    <row r="16" spans="1:19" s="170" customFormat="1" x14ac:dyDescent="0.2">
      <c r="A16" s="185" t="s">
        <v>177</v>
      </c>
      <c r="B16" s="191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93"/>
      <c r="P16" s="193"/>
      <c r="Q16" s="194"/>
      <c r="R16" s="194"/>
      <c r="S16" s="195"/>
    </row>
    <row r="17" spans="1:19" s="170" customFormat="1" x14ac:dyDescent="0.2">
      <c r="A17" s="203" t="s">
        <v>127</v>
      </c>
      <c r="B17" s="191">
        <v>635829</v>
      </c>
      <c r="C17" s="187">
        <v>89881</v>
      </c>
      <c r="D17" s="187">
        <v>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93">
        <f>SUM(C17:N17)</f>
        <v>89881</v>
      </c>
      <c r="P17" s="193">
        <f>B17+O17</f>
        <v>725710</v>
      </c>
      <c r="Q17" s="193">
        <v>2111000</v>
      </c>
      <c r="R17" s="193"/>
      <c r="S17" s="195">
        <f>P17/Q17</f>
        <v>0.343775461866414</v>
      </c>
    </row>
    <row r="18" spans="1:19" s="170" customFormat="1" x14ac:dyDescent="0.2">
      <c r="A18" s="203" t="s">
        <v>178</v>
      </c>
      <c r="B18" s="191">
        <v>43402</v>
      </c>
      <c r="C18" s="187">
        <v>5767</v>
      </c>
      <c r="D18" s="187">
        <v>0</v>
      </c>
      <c r="E18" s="187">
        <v>0</v>
      </c>
      <c r="F18" s="187">
        <v>0</v>
      </c>
      <c r="G18" s="187">
        <v>0</v>
      </c>
      <c r="H18" s="187">
        <v>0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93">
        <f>SUM(C18:N18)</f>
        <v>5767</v>
      </c>
      <c r="P18" s="193">
        <f>B18+O18</f>
        <v>49169</v>
      </c>
      <c r="Q18" s="193">
        <v>9464167</v>
      </c>
      <c r="R18" s="193"/>
      <c r="S18" s="195">
        <f>P18/Q18</f>
        <v>5.195280260798441E-3</v>
      </c>
    </row>
    <row r="19" spans="1:19" s="170" customFormat="1" x14ac:dyDescent="0.2">
      <c r="A19" s="203" t="s">
        <v>126</v>
      </c>
      <c r="B19" s="191">
        <v>683867</v>
      </c>
      <c r="C19" s="187">
        <v>25542</v>
      </c>
      <c r="D19" s="187">
        <v>0</v>
      </c>
      <c r="E19" s="187">
        <v>0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93">
        <f>SUM(C19:N19)</f>
        <v>25542</v>
      </c>
      <c r="P19" s="193">
        <f>B19+O19</f>
        <v>709409</v>
      </c>
      <c r="Q19" s="193">
        <v>8973000</v>
      </c>
      <c r="R19" s="193"/>
      <c r="S19" s="195">
        <f>P19/Q19</f>
        <v>7.9060403432519785E-2</v>
      </c>
    </row>
    <row r="20" spans="1:19" s="170" customFormat="1" x14ac:dyDescent="0.2">
      <c r="A20" s="204" t="s">
        <v>36</v>
      </c>
      <c r="B20" s="198">
        <f t="shared" ref="B20:R20" si="3">SUM(B17:B19)</f>
        <v>1363098</v>
      </c>
      <c r="C20" s="199">
        <f t="shared" si="3"/>
        <v>121190</v>
      </c>
      <c r="D20" s="199">
        <f t="shared" si="3"/>
        <v>0</v>
      </c>
      <c r="E20" s="199">
        <f t="shared" si="3"/>
        <v>0</v>
      </c>
      <c r="F20" s="199">
        <f t="shared" si="3"/>
        <v>0</v>
      </c>
      <c r="G20" s="199">
        <f t="shared" si="3"/>
        <v>0</v>
      </c>
      <c r="H20" s="199">
        <f t="shared" si="3"/>
        <v>0</v>
      </c>
      <c r="I20" s="199">
        <f t="shared" si="3"/>
        <v>0</v>
      </c>
      <c r="J20" s="199">
        <f t="shared" si="3"/>
        <v>0</v>
      </c>
      <c r="K20" s="199">
        <f t="shared" si="3"/>
        <v>0</v>
      </c>
      <c r="L20" s="199">
        <f t="shared" si="3"/>
        <v>0</v>
      </c>
      <c r="M20" s="199">
        <f t="shared" si="3"/>
        <v>0</v>
      </c>
      <c r="N20" s="199">
        <f t="shared" si="3"/>
        <v>0</v>
      </c>
      <c r="O20" s="200">
        <f t="shared" si="3"/>
        <v>121190</v>
      </c>
      <c r="P20" s="200">
        <f t="shared" si="3"/>
        <v>1484288</v>
      </c>
      <c r="Q20" s="200">
        <f t="shared" si="3"/>
        <v>20548167</v>
      </c>
      <c r="R20" s="200">
        <f t="shared" si="3"/>
        <v>0</v>
      </c>
      <c r="S20" s="207">
        <f>P20/Q20</f>
        <v>7.2234569633388715E-2</v>
      </c>
    </row>
    <row r="21" spans="1:19" s="170" customFormat="1" x14ac:dyDescent="0.2">
      <c r="A21" s="190"/>
      <c r="B21" s="191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93"/>
      <c r="P21" s="193"/>
      <c r="Q21" s="193"/>
      <c r="R21" s="193"/>
      <c r="S21" s="195"/>
    </row>
    <row r="22" spans="1:19" s="170" customFormat="1" x14ac:dyDescent="0.2">
      <c r="A22" s="185" t="s">
        <v>179</v>
      </c>
      <c r="B22" s="191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93"/>
      <c r="P22" s="193"/>
      <c r="Q22" s="193"/>
      <c r="R22" s="193"/>
      <c r="S22" s="195"/>
    </row>
    <row r="23" spans="1:19" s="170" customFormat="1" x14ac:dyDescent="0.2">
      <c r="A23" s="203" t="s">
        <v>180</v>
      </c>
      <c r="B23" s="191">
        <v>1839</v>
      </c>
      <c r="C23" s="187">
        <v>230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93">
        <f>SUM(C23:N23)</f>
        <v>230</v>
      </c>
      <c r="P23" s="193">
        <f>B23+O23</f>
        <v>2069</v>
      </c>
      <c r="Q23" s="193">
        <v>433000</v>
      </c>
      <c r="R23" s="193"/>
      <c r="S23" s="195">
        <f>P23/Q23</f>
        <v>4.7782909930715938E-3</v>
      </c>
    </row>
    <row r="24" spans="1:19" s="170" customFormat="1" x14ac:dyDescent="0.2">
      <c r="A24" s="203" t="s">
        <v>181</v>
      </c>
      <c r="B24" s="191">
        <v>38324</v>
      </c>
      <c r="C24" s="187">
        <v>5087</v>
      </c>
      <c r="D24" s="187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93">
        <f>SUM(C24:N24)</f>
        <v>5087</v>
      </c>
      <c r="P24" s="193">
        <f>B24+O24</f>
        <v>43411</v>
      </c>
      <c r="Q24" s="193">
        <v>1126000</v>
      </c>
      <c r="R24" s="193"/>
      <c r="S24" s="195">
        <f>P24/Q24</f>
        <v>3.8553285968028421E-2</v>
      </c>
    </row>
    <row r="25" spans="1:19" s="170" customFormat="1" x14ac:dyDescent="0.2">
      <c r="A25" s="204" t="s">
        <v>37</v>
      </c>
      <c r="B25" s="198">
        <f>SUM(B23:B24)</f>
        <v>40163</v>
      </c>
      <c r="C25" s="199">
        <f>SUM(C23:C24)</f>
        <v>5317</v>
      </c>
      <c r="D25" s="199">
        <f>SUM(D23:D24)</f>
        <v>0</v>
      </c>
      <c r="E25" s="199">
        <f>SUM(E23:E24)</f>
        <v>0</v>
      </c>
      <c r="F25" s="199">
        <f t="shared" ref="F25:S25" si="4">SUM(F23:F24)</f>
        <v>0</v>
      </c>
      <c r="G25" s="199">
        <f t="shared" si="4"/>
        <v>0</v>
      </c>
      <c r="H25" s="199">
        <f t="shared" si="4"/>
        <v>0</v>
      </c>
      <c r="I25" s="199">
        <f t="shared" si="4"/>
        <v>0</v>
      </c>
      <c r="J25" s="199">
        <f t="shared" si="4"/>
        <v>0</v>
      </c>
      <c r="K25" s="199">
        <f t="shared" si="4"/>
        <v>0</v>
      </c>
      <c r="L25" s="199">
        <f t="shared" si="4"/>
        <v>0</v>
      </c>
      <c r="M25" s="199">
        <f t="shared" si="4"/>
        <v>0</v>
      </c>
      <c r="N25" s="199">
        <f t="shared" si="4"/>
        <v>0</v>
      </c>
      <c r="O25" s="200">
        <f t="shared" si="4"/>
        <v>5317</v>
      </c>
      <c r="P25" s="200">
        <f t="shared" si="4"/>
        <v>45480</v>
      </c>
      <c r="Q25" s="200">
        <f t="shared" si="4"/>
        <v>1559000</v>
      </c>
      <c r="R25" s="200">
        <f t="shared" si="4"/>
        <v>0</v>
      </c>
      <c r="S25" s="207">
        <f t="shared" si="4"/>
        <v>4.3331576961100016E-2</v>
      </c>
    </row>
    <row r="26" spans="1:19" s="170" customFormat="1" x14ac:dyDescent="0.2">
      <c r="A26" s="190"/>
      <c r="B26" s="191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93"/>
      <c r="P26" s="193"/>
      <c r="Q26" s="193"/>
      <c r="R26" s="193"/>
      <c r="S26" s="195"/>
    </row>
    <row r="27" spans="1:19" s="170" customFormat="1" x14ac:dyDescent="0.2">
      <c r="A27" s="185" t="s">
        <v>182</v>
      </c>
      <c r="B27" s="191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93"/>
      <c r="P27" s="193"/>
      <c r="Q27" s="193"/>
      <c r="R27" s="193"/>
      <c r="S27" s="195"/>
    </row>
    <row r="28" spans="1:19" s="170" customFormat="1" x14ac:dyDescent="0.2">
      <c r="A28" s="203" t="s">
        <v>183</v>
      </c>
      <c r="B28" s="191">
        <v>946005</v>
      </c>
      <c r="C28" s="187">
        <v>155511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93">
        <f>SUM(C28:N28)</f>
        <v>155511</v>
      </c>
      <c r="P28" s="193">
        <f>B28+O28</f>
        <v>1101516</v>
      </c>
      <c r="Q28" s="193">
        <v>5115000</v>
      </c>
      <c r="R28" s="193"/>
      <c r="S28" s="209">
        <f>P28/Q28</f>
        <v>0.21535014662756599</v>
      </c>
    </row>
    <row r="29" spans="1:19" s="170" customFormat="1" x14ac:dyDescent="0.2">
      <c r="A29" s="203" t="s">
        <v>171</v>
      </c>
      <c r="B29" s="191">
        <v>3280</v>
      </c>
      <c r="C29" s="187">
        <v>-3280</v>
      </c>
      <c r="D29" s="187">
        <v>0</v>
      </c>
      <c r="E29" s="187">
        <v>0</v>
      </c>
      <c r="F29" s="187">
        <v>0</v>
      </c>
      <c r="G29" s="187">
        <v>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0</v>
      </c>
      <c r="N29" s="187">
        <v>0</v>
      </c>
      <c r="O29" s="193">
        <f>SUM(C29:N29)</f>
        <v>-3280</v>
      </c>
      <c r="P29" s="193">
        <f>B29+O29</f>
        <v>0</v>
      </c>
      <c r="Q29" s="193">
        <v>600000</v>
      </c>
      <c r="R29" s="193"/>
      <c r="S29" s="195">
        <f>P29/Q29</f>
        <v>0</v>
      </c>
    </row>
    <row r="30" spans="1:19" s="170" customFormat="1" x14ac:dyDescent="0.2">
      <c r="A30" s="204" t="s">
        <v>38</v>
      </c>
      <c r="B30" s="198">
        <f>SUM(B28:B29)</f>
        <v>949285</v>
      </c>
      <c r="C30" s="199">
        <f>SUM(C28:C29)</f>
        <v>152231</v>
      </c>
      <c r="D30" s="199">
        <f>SUM(D28:D29)</f>
        <v>0</v>
      </c>
      <c r="E30" s="199">
        <f t="shared" ref="E30:S30" si="5">SUM(E28:E29)</f>
        <v>0</v>
      </c>
      <c r="F30" s="199">
        <f t="shared" si="5"/>
        <v>0</v>
      </c>
      <c r="G30" s="199">
        <f t="shared" si="5"/>
        <v>0</v>
      </c>
      <c r="H30" s="199">
        <f t="shared" si="5"/>
        <v>0</v>
      </c>
      <c r="I30" s="199">
        <f t="shared" si="5"/>
        <v>0</v>
      </c>
      <c r="J30" s="199">
        <f t="shared" si="5"/>
        <v>0</v>
      </c>
      <c r="K30" s="199">
        <f t="shared" si="5"/>
        <v>0</v>
      </c>
      <c r="L30" s="199">
        <f t="shared" si="5"/>
        <v>0</v>
      </c>
      <c r="M30" s="199">
        <f t="shared" si="5"/>
        <v>0</v>
      </c>
      <c r="N30" s="199">
        <f t="shared" si="5"/>
        <v>0</v>
      </c>
      <c r="O30" s="200">
        <f t="shared" si="5"/>
        <v>152231</v>
      </c>
      <c r="P30" s="200">
        <f t="shared" si="5"/>
        <v>1101516</v>
      </c>
      <c r="Q30" s="200">
        <f t="shared" si="5"/>
        <v>5715000</v>
      </c>
      <c r="R30" s="200">
        <f t="shared" si="5"/>
        <v>0</v>
      </c>
      <c r="S30" s="207">
        <f t="shared" si="5"/>
        <v>0.21535014662756599</v>
      </c>
    </row>
    <row r="31" spans="1:19" s="170" customFormat="1" x14ac:dyDescent="0.2">
      <c r="A31" s="344"/>
      <c r="B31" s="191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93"/>
      <c r="P31" s="193"/>
      <c r="Q31" s="193"/>
      <c r="R31" s="193"/>
      <c r="S31" s="195"/>
    </row>
    <row r="32" spans="1:19" s="170" customFormat="1" x14ac:dyDescent="0.2">
      <c r="A32" s="185" t="s">
        <v>184</v>
      </c>
      <c r="B32" s="191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93"/>
      <c r="P32" s="193"/>
      <c r="Q32" s="193"/>
      <c r="R32" s="193"/>
      <c r="S32" s="195"/>
    </row>
    <row r="33" spans="1:19" s="170" customFormat="1" x14ac:dyDescent="0.2">
      <c r="A33" s="203" t="s">
        <v>185</v>
      </c>
      <c r="B33" s="191">
        <v>865417</v>
      </c>
      <c r="C33" s="187">
        <v>-1580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93">
        <f>SUM(C33:N33)</f>
        <v>-1580</v>
      </c>
      <c r="P33" s="193">
        <f>B33+O33</f>
        <v>863837</v>
      </c>
      <c r="Q33" s="208">
        <v>1000000</v>
      </c>
      <c r="R33" s="208"/>
      <c r="S33" s="208">
        <f>P33/Q33</f>
        <v>0.86383699999999997</v>
      </c>
    </row>
    <row r="34" spans="1:19" s="170" customFormat="1" x14ac:dyDescent="0.2">
      <c r="A34" s="190" t="s">
        <v>104</v>
      </c>
      <c r="B34" s="191">
        <v>418202</v>
      </c>
      <c r="C34" s="210">
        <v>-40521</v>
      </c>
      <c r="D34" s="210">
        <v>0</v>
      </c>
      <c r="E34" s="210">
        <v>0</v>
      </c>
      <c r="F34" s="210">
        <v>0</v>
      </c>
      <c r="G34" s="210">
        <v>0</v>
      </c>
      <c r="H34" s="210">
        <v>0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193">
        <f>SUM(C34:N34)</f>
        <v>-40521</v>
      </c>
      <c r="P34" s="193">
        <f>B34+O34</f>
        <v>377681</v>
      </c>
      <c r="Q34" s="193">
        <v>1100000</v>
      </c>
      <c r="R34" s="193"/>
      <c r="S34" s="209">
        <f>P34/Q34</f>
        <v>0.34334636363636362</v>
      </c>
    </row>
    <row r="35" spans="1:19" s="170" customFormat="1" x14ac:dyDescent="0.2">
      <c r="A35" s="190" t="s">
        <v>172</v>
      </c>
      <c r="B35" s="191">
        <v>500329</v>
      </c>
      <c r="C35" s="187">
        <v>41667</v>
      </c>
      <c r="D35" s="187">
        <v>0</v>
      </c>
      <c r="E35" s="187">
        <v>0</v>
      </c>
      <c r="F35" s="187">
        <v>0</v>
      </c>
      <c r="G35" s="187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93">
        <f>SUM(C35:N35)</f>
        <v>41667</v>
      </c>
      <c r="P35" s="193">
        <f>B35+O35</f>
        <v>541996</v>
      </c>
      <c r="Q35" s="193">
        <v>4650000</v>
      </c>
      <c r="R35" s="193"/>
      <c r="S35" s="195">
        <f>P35/Q35</f>
        <v>0.11655827956989247</v>
      </c>
    </row>
    <row r="36" spans="1:19" s="170" customFormat="1" x14ac:dyDescent="0.2">
      <c r="A36" s="204" t="s">
        <v>39</v>
      </c>
      <c r="B36" s="198">
        <f t="shared" ref="B36:R36" si="6">SUM(B33:B35)</f>
        <v>1783948</v>
      </c>
      <c r="C36" s="199">
        <f t="shared" si="6"/>
        <v>-434</v>
      </c>
      <c r="D36" s="199">
        <f t="shared" si="6"/>
        <v>0</v>
      </c>
      <c r="E36" s="199">
        <f t="shared" si="6"/>
        <v>0</v>
      </c>
      <c r="F36" s="199">
        <f t="shared" si="6"/>
        <v>0</v>
      </c>
      <c r="G36" s="199">
        <f t="shared" si="6"/>
        <v>0</v>
      </c>
      <c r="H36" s="199">
        <f t="shared" si="6"/>
        <v>0</v>
      </c>
      <c r="I36" s="199">
        <f t="shared" si="6"/>
        <v>0</v>
      </c>
      <c r="J36" s="199">
        <f t="shared" si="6"/>
        <v>0</v>
      </c>
      <c r="K36" s="199">
        <f t="shared" si="6"/>
        <v>0</v>
      </c>
      <c r="L36" s="199">
        <f t="shared" si="6"/>
        <v>0</v>
      </c>
      <c r="M36" s="199">
        <f t="shared" si="6"/>
        <v>0</v>
      </c>
      <c r="N36" s="199">
        <f t="shared" si="6"/>
        <v>0</v>
      </c>
      <c r="O36" s="200">
        <f t="shared" si="6"/>
        <v>-434</v>
      </c>
      <c r="P36" s="200">
        <f t="shared" si="6"/>
        <v>1783514</v>
      </c>
      <c r="Q36" s="200">
        <f t="shared" si="6"/>
        <v>6750000</v>
      </c>
      <c r="R36" s="200">
        <f t="shared" si="6"/>
        <v>0</v>
      </c>
      <c r="S36" s="207">
        <f>P36/Q36</f>
        <v>0.26422429629629629</v>
      </c>
    </row>
    <row r="37" spans="1:19" s="170" customFormat="1" x14ac:dyDescent="0.2">
      <c r="A37" s="344"/>
      <c r="B37" s="191"/>
      <c r="C37" s="187"/>
      <c r="D37" s="187" t="s">
        <v>204</v>
      </c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93"/>
      <c r="P37" s="193"/>
      <c r="Q37" s="193"/>
      <c r="R37" s="193"/>
      <c r="S37" s="195"/>
    </row>
    <row r="38" spans="1:19" s="170" customFormat="1" x14ac:dyDescent="0.2">
      <c r="A38" s="185" t="s">
        <v>186</v>
      </c>
      <c r="B38" s="191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93"/>
      <c r="P38" s="193"/>
      <c r="Q38" s="193"/>
      <c r="R38" s="193"/>
      <c r="S38" s="195"/>
    </row>
    <row r="39" spans="1:19" s="170" customFormat="1" x14ac:dyDescent="0.2">
      <c r="A39" s="190" t="s">
        <v>187</v>
      </c>
      <c r="B39" s="191">
        <v>691400</v>
      </c>
      <c r="C39" s="187">
        <v>16848</v>
      </c>
      <c r="D39" s="187">
        <v>0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193">
        <f>SUM(C39:N39)</f>
        <v>16848</v>
      </c>
      <c r="P39" s="193">
        <f>B39+O39</f>
        <v>708248</v>
      </c>
      <c r="Q39" s="193">
        <v>2231000</v>
      </c>
      <c r="R39" s="193"/>
      <c r="S39" s="195">
        <f>P39/Q39</f>
        <v>0.31745764231286416</v>
      </c>
    </row>
    <row r="40" spans="1:19" s="170" customFormat="1" x14ac:dyDescent="0.2">
      <c r="A40" s="190" t="s">
        <v>188</v>
      </c>
      <c r="B40" s="191">
        <v>792169</v>
      </c>
      <c r="C40" s="187">
        <v>68731</v>
      </c>
      <c r="D40" s="187">
        <v>0</v>
      </c>
      <c r="E40" s="187">
        <v>0</v>
      </c>
      <c r="F40" s="187">
        <v>0</v>
      </c>
      <c r="G40" s="187">
        <v>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0</v>
      </c>
      <c r="N40" s="187">
        <v>0</v>
      </c>
      <c r="O40" s="193">
        <f>SUM(C40:N40)</f>
        <v>68731</v>
      </c>
      <c r="P40" s="193">
        <f>B40+O40</f>
        <v>860900</v>
      </c>
      <c r="Q40" s="193">
        <v>5410000</v>
      </c>
      <c r="R40" s="193"/>
      <c r="S40" s="195">
        <f>P40/Q40</f>
        <v>0.15913123844731977</v>
      </c>
    </row>
    <row r="41" spans="1:19" s="170" customFormat="1" x14ac:dyDescent="0.2">
      <c r="A41" s="204" t="s">
        <v>40</v>
      </c>
      <c r="B41" s="198">
        <f>SUM(B39:B40)</f>
        <v>1483569</v>
      </c>
      <c r="C41" s="199">
        <f>SUM(C39:C40)</f>
        <v>85579</v>
      </c>
      <c r="D41" s="199">
        <f>SUM(D39:D40)</f>
        <v>0</v>
      </c>
      <c r="E41" s="199">
        <f t="shared" ref="E41:S41" si="7">SUM(E39:E40)</f>
        <v>0</v>
      </c>
      <c r="F41" s="199">
        <f t="shared" si="7"/>
        <v>0</v>
      </c>
      <c r="G41" s="199">
        <f t="shared" si="7"/>
        <v>0</v>
      </c>
      <c r="H41" s="199">
        <f t="shared" si="7"/>
        <v>0</v>
      </c>
      <c r="I41" s="199">
        <f t="shared" si="7"/>
        <v>0</v>
      </c>
      <c r="J41" s="199">
        <f t="shared" si="7"/>
        <v>0</v>
      </c>
      <c r="K41" s="199">
        <f t="shared" si="7"/>
        <v>0</v>
      </c>
      <c r="L41" s="199">
        <f t="shared" si="7"/>
        <v>0</v>
      </c>
      <c r="M41" s="199">
        <f t="shared" si="7"/>
        <v>0</v>
      </c>
      <c r="N41" s="199">
        <f t="shared" si="7"/>
        <v>0</v>
      </c>
      <c r="O41" s="200">
        <f t="shared" si="7"/>
        <v>85579</v>
      </c>
      <c r="P41" s="200">
        <f t="shared" si="7"/>
        <v>1569148</v>
      </c>
      <c r="Q41" s="200">
        <f t="shared" si="7"/>
        <v>7641000</v>
      </c>
      <c r="R41" s="200">
        <f t="shared" si="7"/>
        <v>0</v>
      </c>
      <c r="S41" s="207">
        <f t="shared" si="7"/>
        <v>0.47658888076018391</v>
      </c>
    </row>
    <row r="42" spans="1:19" s="170" customFormat="1" x14ac:dyDescent="0.2">
      <c r="A42" s="190"/>
      <c r="B42" s="191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93"/>
      <c r="P42" s="193"/>
      <c r="Q42" s="193"/>
      <c r="R42" s="193"/>
      <c r="S42" s="195"/>
    </row>
    <row r="43" spans="1:19" s="170" customFormat="1" x14ac:dyDescent="0.2">
      <c r="A43" s="185" t="s">
        <v>189</v>
      </c>
      <c r="B43" s="191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93"/>
      <c r="P43" s="193"/>
      <c r="Q43" s="193"/>
      <c r="R43" s="193"/>
      <c r="S43" s="195"/>
    </row>
    <row r="44" spans="1:19" s="170" customFormat="1" x14ac:dyDescent="0.2">
      <c r="A44" s="203" t="s">
        <v>125</v>
      </c>
      <c r="B44" s="191">
        <v>1631582</v>
      </c>
      <c r="C44" s="187">
        <v>77116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93">
        <f>SUM(C44:N44)</f>
        <v>77116</v>
      </c>
      <c r="P44" s="193">
        <f>B44+O44</f>
        <v>1708698</v>
      </c>
      <c r="Q44" s="193">
        <v>3321000</v>
      </c>
      <c r="R44" s="193"/>
      <c r="S44" s="195">
        <f>P44/Q44</f>
        <v>0.51451309846431803</v>
      </c>
    </row>
    <row r="45" spans="1:19" s="170" customFormat="1" x14ac:dyDescent="0.2">
      <c r="A45" s="203" t="s">
        <v>190</v>
      </c>
      <c r="B45" s="191">
        <v>699876</v>
      </c>
      <c r="C45" s="187">
        <f>26766+7404</f>
        <v>34170</v>
      </c>
      <c r="D45" s="187">
        <v>0</v>
      </c>
      <c r="E45" s="187">
        <v>0</v>
      </c>
      <c r="F45" s="187">
        <v>0</v>
      </c>
      <c r="G45" s="187">
        <v>0</v>
      </c>
      <c r="H45" s="187">
        <v>0</v>
      </c>
      <c r="I45" s="187">
        <v>0</v>
      </c>
      <c r="J45" s="187">
        <v>0</v>
      </c>
      <c r="K45" s="187">
        <v>0</v>
      </c>
      <c r="L45" s="187">
        <v>0</v>
      </c>
      <c r="M45" s="187">
        <v>0</v>
      </c>
      <c r="N45" s="187">
        <v>0</v>
      </c>
      <c r="O45" s="193">
        <f>SUM(C45:N45)</f>
        <v>34170</v>
      </c>
      <c r="P45" s="193">
        <f>B45+O45</f>
        <v>734046</v>
      </c>
      <c r="Q45" s="193">
        <v>984359</v>
      </c>
      <c r="R45" s="193"/>
      <c r="S45" s="195">
        <f>P45/Q45</f>
        <v>0.745709644550413</v>
      </c>
    </row>
    <row r="46" spans="1:19" s="170" customFormat="1" x14ac:dyDescent="0.2">
      <c r="A46" s="204" t="s">
        <v>41</v>
      </c>
      <c r="B46" s="198">
        <f>SUM(B44:B45)</f>
        <v>2331458</v>
      </c>
      <c r="C46" s="199">
        <f>SUM(C44:C45)</f>
        <v>111286</v>
      </c>
      <c r="D46" s="199">
        <f>SUM(D44:D45)</f>
        <v>0</v>
      </c>
      <c r="E46" s="199">
        <f t="shared" ref="E46:S46" si="8">SUM(E44:E45)</f>
        <v>0</v>
      </c>
      <c r="F46" s="199">
        <f t="shared" si="8"/>
        <v>0</v>
      </c>
      <c r="G46" s="199">
        <f t="shared" si="8"/>
        <v>0</v>
      </c>
      <c r="H46" s="199">
        <f t="shared" si="8"/>
        <v>0</v>
      </c>
      <c r="I46" s="199">
        <f t="shared" si="8"/>
        <v>0</v>
      </c>
      <c r="J46" s="199">
        <f t="shared" si="8"/>
        <v>0</v>
      </c>
      <c r="K46" s="199">
        <f t="shared" si="8"/>
        <v>0</v>
      </c>
      <c r="L46" s="199">
        <f t="shared" si="8"/>
        <v>0</v>
      </c>
      <c r="M46" s="199">
        <f t="shared" si="8"/>
        <v>0</v>
      </c>
      <c r="N46" s="199">
        <f t="shared" si="8"/>
        <v>0</v>
      </c>
      <c r="O46" s="200">
        <f t="shared" si="8"/>
        <v>111286</v>
      </c>
      <c r="P46" s="200">
        <f t="shared" si="8"/>
        <v>2442744</v>
      </c>
      <c r="Q46" s="200">
        <f t="shared" si="8"/>
        <v>4305359</v>
      </c>
      <c r="R46" s="200">
        <f t="shared" si="8"/>
        <v>0</v>
      </c>
      <c r="S46" s="207">
        <f t="shared" si="8"/>
        <v>1.260222743014731</v>
      </c>
    </row>
    <row r="47" spans="1:19" s="170" customFormat="1" x14ac:dyDescent="0.2">
      <c r="A47" s="190"/>
      <c r="B47" s="191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3"/>
      <c r="Q47" s="193"/>
      <c r="R47" s="193"/>
      <c r="S47" s="195"/>
    </row>
    <row r="48" spans="1:19" s="170" customFormat="1" x14ac:dyDescent="0.2">
      <c r="A48" s="185" t="s">
        <v>191</v>
      </c>
      <c r="B48" s="191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93"/>
      <c r="P48" s="193"/>
      <c r="Q48" s="193"/>
      <c r="R48" s="193"/>
      <c r="S48" s="195"/>
    </row>
    <row r="49" spans="1:26" s="170" customFormat="1" x14ac:dyDescent="0.2">
      <c r="A49" s="190" t="s">
        <v>108</v>
      </c>
      <c r="B49" s="191">
        <v>106111</v>
      </c>
      <c r="C49" s="187">
        <v>7865</v>
      </c>
      <c r="D49" s="187">
        <v>0</v>
      </c>
      <c r="E49" s="187">
        <v>0</v>
      </c>
      <c r="F49" s="187">
        <v>0</v>
      </c>
      <c r="G49" s="187">
        <v>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0</v>
      </c>
      <c r="N49" s="187">
        <v>0</v>
      </c>
      <c r="O49" s="193">
        <f>SUM(C49:N49)</f>
        <v>7865</v>
      </c>
      <c r="P49" s="206">
        <f>B49+O49</f>
        <v>113976</v>
      </c>
      <c r="Q49" s="205">
        <v>3000000</v>
      </c>
      <c r="R49" s="205"/>
      <c r="S49" s="195">
        <f>P49/Q49</f>
        <v>3.7991999999999998E-2</v>
      </c>
    </row>
    <row r="50" spans="1:26" s="170" customFormat="1" x14ac:dyDescent="0.2">
      <c r="A50" s="197" t="s">
        <v>42</v>
      </c>
      <c r="B50" s="198">
        <f>SUM(B49)</f>
        <v>106111</v>
      </c>
      <c r="C50" s="199">
        <f>SUM(C49)</f>
        <v>7865</v>
      </c>
      <c r="D50" s="199">
        <f>SUM(D49)</f>
        <v>0</v>
      </c>
      <c r="E50" s="199">
        <f t="shared" ref="E50:M50" si="9">SUM(E49)</f>
        <v>0</v>
      </c>
      <c r="F50" s="199">
        <f t="shared" si="9"/>
        <v>0</v>
      </c>
      <c r="G50" s="199">
        <f t="shared" si="9"/>
        <v>0</v>
      </c>
      <c r="H50" s="199">
        <f t="shared" si="9"/>
        <v>0</v>
      </c>
      <c r="I50" s="199">
        <f t="shared" si="9"/>
        <v>0</v>
      </c>
      <c r="J50" s="199">
        <f t="shared" si="9"/>
        <v>0</v>
      </c>
      <c r="K50" s="199">
        <f t="shared" si="9"/>
        <v>0</v>
      </c>
      <c r="L50" s="199">
        <f t="shared" si="9"/>
        <v>0</v>
      </c>
      <c r="M50" s="199">
        <f t="shared" si="9"/>
        <v>0</v>
      </c>
      <c r="N50" s="199">
        <f>SUM(N49)</f>
        <v>0</v>
      </c>
      <c r="O50" s="200">
        <f>SUM(O49)</f>
        <v>7865</v>
      </c>
      <c r="P50" s="200">
        <f>SUM(P49)</f>
        <v>113976</v>
      </c>
      <c r="Q50" s="200">
        <f>SUM(Q49)</f>
        <v>3000000</v>
      </c>
      <c r="R50" s="200">
        <f>SUM(R49)</f>
        <v>0</v>
      </c>
      <c r="S50" s="201">
        <f>+P50/Q50</f>
        <v>3.7991999999999998E-2</v>
      </c>
    </row>
    <row r="51" spans="1:26" s="170" customFormat="1" x14ac:dyDescent="0.2">
      <c r="A51" s="344"/>
      <c r="B51" s="191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93"/>
      <c r="P51" s="193"/>
      <c r="Q51" s="193"/>
      <c r="R51" s="193"/>
      <c r="S51" s="195"/>
    </row>
    <row r="52" spans="1:26" s="170" customFormat="1" x14ac:dyDescent="0.2">
      <c r="A52" s="211"/>
      <c r="B52" s="212"/>
      <c r="C52" s="187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87"/>
      <c r="O52" s="193"/>
      <c r="P52" s="193"/>
      <c r="Q52" s="193"/>
      <c r="R52" s="193"/>
      <c r="S52" s="209"/>
    </row>
    <row r="53" spans="1:26" ht="15" customHeight="1" thickBot="1" x14ac:dyDescent="0.25">
      <c r="A53" s="213" t="s">
        <v>27</v>
      </c>
      <c r="B53" s="214">
        <f>B9+B14+B20+B25+B30+B36+B41+B46+B50</f>
        <v>11790833</v>
      </c>
      <c r="C53" s="215">
        <f>C9+C14+C20+C25+C30+C36+C41+C46+C50</f>
        <v>545772</v>
      </c>
      <c r="D53" s="215">
        <f>D9+D14+D20+D25+D30+D36+D41+D46+D50</f>
        <v>0</v>
      </c>
      <c r="E53" s="215">
        <f t="shared" ref="E53:M53" si="10">E9+E14+E20+E25+E30+E36+E41+E46+E50</f>
        <v>0</v>
      </c>
      <c r="F53" s="215">
        <f t="shared" si="10"/>
        <v>0</v>
      </c>
      <c r="G53" s="215">
        <f t="shared" si="10"/>
        <v>0</v>
      </c>
      <c r="H53" s="215">
        <f t="shared" si="10"/>
        <v>0</v>
      </c>
      <c r="I53" s="215">
        <f t="shared" si="10"/>
        <v>0</v>
      </c>
      <c r="J53" s="215">
        <f t="shared" si="10"/>
        <v>0</v>
      </c>
      <c r="K53" s="215">
        <f t="shared" si="10"/>
        <v>0</v>
      </c>
      <c r="L53" s="215">
        <f t="shared" si="10"/>
        <v>0</v>
      </c>
      <c r="M53" s="215">
        <f t="shared" si="10"/>
        <v>0</v>
      </c>
      <c r="N53" s="215">
        <f>N9+N14+N20+N25+N30+N36+N41+N46+N50</f>
        <v>0</v>
      </c>
      <c r="O53" s="216">
        <f>O9+O14+O20+O25+O30+O36+O41+O46+O50</f>
        <v>545772</v>
      </c>
      <c r="P53" s="216">
        <f>P9+P14+P20+P25+P30+P36+P41+P46+P50</f>
        <v>12336605</v>
      </c>
      <c r="Q53" s="216">
        <f>Q9+Q14+Q20+Q25+Q30+Q36+Q41+Q46+Q50</f>
        <v>65806793</v>
      </c>
      <c r="R53" s="216">
        <f>R9+R14+R20+R25+R30+R36+R41+R46+R50</f>
        <v>0</v>
      </c>
      <c r="S53" s="217">
        <f>P53/Q53</f>
        <v>0.18746704462562094</v>
      </c>
    </row>
    <row r="54" spans="1:26" ht="15" customHeight="1" thickTop="1" x14ac:dyDescent="0.2">
      <c r="A54" s="218"/>
      <c r="B54" s="219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345"/>
    </row>
    <row r="55" spans="1:26" ht="32.25" customHeight="1" x14ac:dyDescent="0.2">
      <c r="A55" s="218"/>
      <c r="B55" s="346"/>
      <c r="C55" s="34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96"/>
    </row>
    <row r="56" spans="1:26" ht="15" customHeight="1" x14ac:dyDescent="0.2">
      <c r="A56" s="218"/>
      <c r="B56" s="219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96"/>
    </row>
    <row r="57" spans="1:26" ht="15" customHeight="1" x14ac:dyDescent="0.2">
      <c r="A57" s="218"/>
      <c r="B57" s="219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96"/>
    </row>
    <row r="58" spans="1:26" ht="10.5" customHeight="1" thickBot="1" x14ac:dyDescent="0.25">
      <c r="A58" s="220"/>
      <c r="B58" s="221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3"/>
      <c r="R58" s="223"/>
      <c r="S58" s="348"/>
    </row>
    <row r="59" spans="1:26" x14ac:dyDescent="0.2">
      <c r="A59" s="202" t="s">
        <v>61</v>
      </c>
    </row>
    <row r="60" spans="1:26" s="170" customFormat="1" x14ac:dyDescent="0.2">
      <c r="O60" s="224"/>
      <c r="P60" s="224"/>
    </row>
    <row r="61" spans="1:26" s="170" customFormat="1" ht="15" x14ac:dyDescent="0.25">
      <c r="A61" s="342" t="s">
        <v>25</v>
      </c>
      <c r="B61" s="339"/>
      <c r="C61" s="339"/>
      <c r="D61" s="339"/>
      <c r="E61" s="339"/>
      <c r="F61" s="341"/>
      <c r="G61" s="339"/>
      <c r="H61" s="341"/>
      <c r="I61" s="339"/>
      <c r="J61" s="339"/>
      <c r="K61" s="339"/>
      <c r="L61" s="339"/>
      <c r="M61" s="339"/>
      <c r="N61" s="339"/>
      <c r="O61" s="339"/>
      <c r="P61" s="340"/>
      <c r="Q61" s="339"/>
      <c r="R61" s="339"/>
      <c r="S61" s="339"/>
      <c r="T61" s="339"/>
      <c r="U61" s="339"/>
      <c r="V61" s="339"/>
      <c r="W61" s="339"/>
      <c r="X61" s="339"/>
      <c r="Y61" s="339"/>
      <c r="Z61" s="339"/>
    </row>
    <row r="62" spans="1:26" s="170" customFormat="1" x14ac:dyDescent="0.2">
      <c r="A62" s="448" t="s">
        <v>192</v>
      </c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</row>
    <row r="63" spans="1:26" s="170" customFormat="1" x14ac:dyDescent="0.2">
      <c r="A63" s="225" t="s">
        <v>252</v>
      </c>
      <c r="B63" s="225"/>
      <c r="O63" s="170" t="s">
        <v>13</v>
      </c>
    </row>
    <row r="64" spans="1:26" s="170" customFormat="1" x14ac:dyDescent="0.2">
      <c r="A64" s="226"/>
      <c r="B64" s="226"/>
      <c r="E64" s="227"/>
    </row>
    <row r="65" spans="1:18" x14ac:dyDescent="0.2">
      <c r="A65" s="226"/>
      <c r="B65" s="226"/>
      <c r="C65" s="170"/>
      <c r="D65" s="170"/>
      <c r="E65" s="170"/>
      <c r="F65" s="170"/>
      <c r="G65" s="170"/>
      <c r="H65" s="170"/>
      <c r="I65" s="170"/>
      <c r="J65" s="170"/>
      <c r="K65" s="170"/>
      <c r="N65" s="228"/>
    </row>
    <row r="66" spans="1:18" x14ac:dyDescent="0.2">
      <c r="A66" s="226"/>
      <c r="B66" s="226"/>
      <c r="C66" s="170"/>
      <c r="D66" s="170"/>
      <c r="E66" s="229"/>
      <c r="F66" s="230"/>
      <c r="G66" s="228"/>
    </row>
    <row r="67" spans="1:18" x14ac:dyDescent="0.2">
      <c r="E67" s="229"/>
      <c r="F67" s="230"/>
      <c r="G67" s="228"/>
    </row>
    <row r="68" spans="1:18" x14ac:dyDescent="0.2">
      <c r="E68" s="229"/>
      <c r="F68" s="230"/>
      <c r="G68" s="228"/>
    </row>
    <row r="69" spans="1:18" x14ac:dyDescent="0.2">
      <c r="E69" s="229"/>
      <c r="F69" s="230"/>
      <c r="G69" s="228"/>
    </row>
    <row r="70" spans="1:18" x14ac:dyDescent="0.2">
      <c r="E70" s="231"/>
      <c r="F70" s="232"/>
    </row>
    <row r="71" spans="1:18" x14ac:dyDescent="0.2">
      <c r="E71" s="233"/>
      <c r="F71" s="230"/>
      <c r="G71" s="228"/>
    </row>
    <row r="72" spans="1:18" x14ac:dyDescent="0.2">
      <c r="E72" s="233"/>
      <c r="F72" s="230"/>
      <c r="G72" s="228"/>
      <c r="Q72" s="202"/>
      <c r="R72" s="202"/>
    </row>
    <row r="73" spans="1:18" x14ac:dyDescent="0.2">
      <c r="E73" s="233"/>
      <c r="F73" s="230"/>
      <c r="G73" s="228"/>
      <c r="Q73" s="202"/>
      <c r="R73" s="202"/>
    </row>
    <row r="74" spans="1:18" x14ac:dyDescent="0.2">
      <c r="E74" s="233"/>
      <c r="F74" s="230"/>
      <c r="G74" s="228"/>
      <c r="Q74" s="202"/>
      <c r="R74" s="202"/>
    </row>
    <row r="75" spans="1:18" x14ac:dyDescent="0.2">
      <c r="E75" s="233"/>
      <c r="F75" s="230"/>
      <c r="G75" s="228"/>
      <c r="Q75" s="202"/>
      <c r="R75" s="202"/>
    </row>
    <row r="76" spans="1:18" x14ac:dyDescent="0.2">
      <c r="E76" s="231"/>
      <c r="F76" s="234"/>
      <c r="G76" s="228"/>
      <c r="Q76" s="202"/>
      <c r="R76" s="202"/>
    </row>
  </sheetData>
  <mergeCells count="1">
    <mergeCell ref="A62:Z62"/>
  </mergeCells>
  <phoneticPr fontId="0" type="noConversion"/>
  <printOptions horizontalCentered="1"/>
  <pageMargins left="0.5" right="0.5" top="0.56999999999999995" bottom="0.51" header="0.26" footer="0.25"/>
  <pageSetup scale="37" orientation="landscape" r:id="rId1"/>
  <headerFooter alignWithMargins="0">
    <oddHeader xml:space="preserve">&amp;C&amp;"Arial,Bold"SDGE Demand Response Programs and Activities
Incremental Cost 
2013 Funding
&amp;"Arial,Regular"
</oddHeader>
    <oddFooter>&amp;L&amp;F&amp;R&amp;D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61"/>
  <sheetViews>
    <sheetView zoomScaleNormal="100" workbookViewId="0">
      <selection activeCell="B32" sqref="B32"/>
    </sheetView>
  </sheetViews>
  <sheetFormatPr defaultRowHeight="12.75" x14ac:dyDescent="0.2"/>
  <cols>
    <col min="1" max="1" width="70" style="372" customWidth="1"/>
    <col min="2" max="10" width="12.7109375" style="372" customWidth="1"/>
    <col min="11" max="11" width="13" style="372" customWidth="1"/>
    <col min="12" max="12" width="12.7109375" style="352" customWidth="1"/>
    <col min="13" max="13" width="12.7109375" style="372" customWidth="1"/>
    <col min="14" max="14" width="11" style="353" customWidth="1"/>
    <col min="15" max="15" width="13.28515625" style="353" hidden="1" customWidth="1"/>
    <col min="16" max="17" width="11.7109375" style="353" customWidth="1"/>
    <col min="18" max="256" width="9.140625" style="353"/>
    <col min="257" max="257" width="70" style="353" customWidth="1"/>
    <col min="258" max="269" width="12.7109375" style="353" customWidth="1"/>
    <col min="270" max="270" width="11" style="353" customWidth="1"/>
    <col min="271" max="271" width="0" style="353" hidden="1" customWidth="1"/>
    <col min="272" max="273" width="11.7109375" style="353" customWidth="1"/>
    <col min="274" max="512" width="9.140625" style="353"/>
    <col min="513" max="513" width="70" style="353" customWidth="1"/>
    <col min="514" max="525" width="12.7109375" style="353" customWidth="1"/>
    <col min="526" max="526" width="11" style="353" customWidth="1"/>
    <col min="527" max="527" width="0" style="353" hidden="1" customWidth="1"/>
    <col min="528" max="529" width="11.7109375" style="353" customWidth="1"/>
    <col min="530" max="768" width="9.140625" style="353"/>
    <col min="769" max="769" width="70" style="353" customWidth="1"/>
    <col min="770" max="781" width="12.7109375" style="353" customWidth="1"/>
    <col min="782" max="782" width="11" style="353" customWidth="1"/>
    <col min="783" max="783" width="0" style="353" hidden="1" customWidth="1"/>
    <col min="784" max="785" width="11.7109375" style="353" customWidth="1"/>
    <col min="786" max="1024" width="9.140625" style="353"/>
    <col min="1025" max="1025" width="70" style="353" customWidth="1"/>
    <col min="1026" max="1037" width="12.7109375" style="353" customWidth="1"/>
    <col min="1038" max="1038" width="11" style="353" customWidth="1"/>
    <col min="1039" max="1039" width="0" style="353" hidden="1" customWidth="1"/>
    <col min="1040" max="1041" width="11.7109375" style="353" customWidth="1"/>
    <col min="1042" max="1280" width="9.140625" style="353"/>
    <col min="1281" max="1281" width="70" style="353" customWidth="1"/>
    <col min="1282" max="1293" width="12.7109375" style="353" customWidth="1"/>
    <col min="1294" max="1294" width="11" style="353" customWidth="1"/>
    <col min="1295" max="1295" width="0" style="353" hidden="1" customWidth="1"/>
    <col min="1296" max="1297" width="11.7109375" style="353" customWidth="1"/>
    <col min="1298" max="1536" width="9.140625" style="353"/>
    <col min="1537" max="1537" width="70" style="353" customWidth="1"/>
    <col min="1538" max="1549" width="12.7109375" style="353" customWidth="1"/>
    <col min="1550" max="1550" width="11" style="353" customWidth="1"/>
    <col min="1551" max="1551" width="0" style="353" hidden="1" customWidth="1"/>
    <col min="1552" max="1553" width="11.7109375" style="353" customWidth="1"/>
    <col min="1554" max="1792" width="9.140625" style="353"/>
    <col min="1793" max="1793" width="70" style="353" customWidth="1"/>
    <col min="1794" max="1805" width="12.7109375" style="353" customWidth="1"/>
    <col min="1806" max="1806" width="11" style="353" customWidth="1"/>
    <col min="1807" max="1807" width="0" style="353" hidden="1" customWidth="1"/>
    <col min="1808" max="1809" width="11.7109375" style="353" customWidth="1"/>
    <col min="1810" max="2048" width="9.140625" style="353"/>
    <col min="2049" max="2049" width="70" style="353" customWidth="1"/>
    <col min="2050" max="2061" width="12.7109375" style="353" customWidth="1"/>
    <col min="2062" max="2062" width="11" style="353" customWidth="1"/>
    <col min="2063" max="2063" width="0" style="353" hidden="1" customWidth="1"/>
    <col min="2064" max="2065" width="11.7109375" style="353" customWidth="1"/>
    <col min="2066" max="2304" width="9.140625" style="353"/>
    <col min="2305" max="2305" width="70" style="353" customWidth="1"/>
    <col min="2306" max="2317" width="12.7109375" style="353" customWidth="1"/>
    <col min="2318" max="2318" width="11" style="353" customWidth="1"/>
    <col min="2319" max="2319" width="0" style="353" hidden="1" customWidth="1"/>
    <col min="2320" max="2321" width="11.7109375" style="353" customWidth="1"/>
    <col min="2322" max="2560" width="9.140625" style="353"/>
    <col min="2561" max="2561" width="70" style="353" customWidth="1"/>
    <col min="2562" max="2573" width="12.7109375" style="353" customWidth="1"/>
    <col min="2574" max="2574" width="11" style="353" customWidth="1"/>
    <col min="2575" max="2575" width="0" style="353" hidden="1" customWidth="1"/>
    <col min="2576" max="2577" width="11.7109375" style="353" customWidth="1"/>
    <col min="2578" max="2816" width="9.140625" style="353"/>
    <col min="2817" max="2817" width="70" style="353" customWidth="1"/>
    <col min="2818" max="2829" width="12.7109375" style="353" customWidth="1"/>
    <col min="2830" max="2830" width="11" style="353" customWidth="1"/>
    <col min="2831" max="2831" width="0" style="353" hidden="1" customWidth="1"/>
    <col min="2832" max="2833" width="11.7109375" style="353" customWidth="1"/>
    <col min="2834" max="3072" width="9.140625" style="353"/>
    <col min="3073" max="3073" width="70" style="353" customWidth="1"/>
    <col min="3074" max="3085" width="12.7109375" style="353" customWidth="1"/>
    <col min="3086" max="3086" width="11" style="353" customWidth="1"/>
    <col min="3087" max="3087" width="0" style="353" hidden="1" customWidth="1"/>
    <col min="3088" max="3089" width="11.7109375" style="353" customWidth="1"/>
    <col min="3090" max="3328" width="9.140625" style="353"/>
    <col min="3329" max="3329" width="70" style="353" customWidth="1"/>
    <col min="3330" max="3341" width="12.7109375" style="353" customWidth="1"/>
    <col min="3342" max="3342" width="11" style="353" customWidth="1"/>
    <col min="3343" max="3343" width="0" style="353" hidden="1" customWidth="1"/>
    <col min="3344" max="3345" width="11.7109375" style="353" customWidth="1"/>
    <col min="3346" max="3584" width="9.140625" style="353"/>
    <col min="3585" max="3585" width="70" style="353" customWidth="1"/>
    <col min="3586" max="3597" width="12.7109375" style="353" customWidth="1"/>
    <col min="3598" max="3598" width="11" style="353" customWidth="1"/>
    <col min="3599" max="3599" width="0" style="353" hidden="1" customWidth="1"/>
    <col min="3600" max="3601" width="11.7109375" style="353" customWidth="1"/>
    <col min="3602" max="3840" width="9.140625" style="353"/>
    <col min="3841" max="3841" width="70" style="353" customWidth="1"/>
    <col min="3842" max="3853" width="12.7109375" style="353" customWidth="1"/>
    <col min="3854" max="3854" width="11" style="353" customWidth="1"/>
    <col min="3855" max="3855" width="0" style="353" hidden="1" customWidth="1"/>
    <col min="3856" max="3857" width="11.7109375" style="353" customWidth="1"/>
    <col min="3858" max="4096" width="9.140625" style="353"/>
    <col min="4097" max="4097" width="70" style="353" customWidth="1"/>
    <col min="4098" max="4109" width="12.7109375" style="353" customWidth="1"/>
    <col min="4110" max="4110" width="11" style="353" customWidth="1"/>
    <col min="4111" max="4111" width="0" style="353" hidden="1" customWidth="1"/>
    <col min="4112" max="4113" width="11.7109375" style="353" customWidth="1"/>
    <col min="4114" max="4352" width="9.140625" style="353"/>
    <col min="4353" max="4353" width="70" style="353" customWidth="1"/>
    <col min="4354" max="4365" width="12.7109375" style="353" customWidth="1"/>
    <col min="4366" max="4366" width="11" style="353" customWidth="1"/>
    <col min="4367" max="4367" width="0" style="353" hidden="1" customWidth="1"/>
    <col min="4368" max="4369" width="11.7109375" style="353" customWidth="1"/>
    <col min="4370" max="4608" width="9.140625" style="353"/>
    <col min="4609" max="4609" width="70" style="353" customWidth="1"/>
    <col min="4610" max="4621" width="12.7109375" style="353" customWidth="1"/>
    <col min="4622" max="4622" width="11" style="353" customWidth="1"/>
    <col min="4623" max="4623" width="0" style="353" hidden="1" customWidth="1"/>
    <col min="4624" max="4625" width="11.7109375" style="353" customWidth="1"/>
    <col min="4626" max="4864" width="9.140625" style="353"/>
    <col min="4865" max="4865" width="70" style="353" customWidth="1"/>
    <col min="4866" max="4877" width="12.7109375" style="353" customWidth="1"/>
    <col min="4878" max="4878" width="11" style="353" customWidth="1"/>
    <col min="4879" max="4879" width="0" style="353" hidden="1" customWidth="1"/>
    <col min="4880" max="4881" width="11.7109375" style="353" customWidth="1"/>
    <col min="4882" max="5120" width="9.140625" style="353"/>
    <col min="5121" max="5121" width="70" style="353" customWidth="1"/>
    <col min="5122" max="5133" width="12.7109375" style="353" customWidth="1"/>
    <col min="5134" max="5134" width="11" style="353" customWidth="1"/>
    <col min="5135" max="5135" width="0" style="353" hidden="1" customWidth="1"/>
    <col min="5136" max="5137" width="11.7109375" style="353" customWidth="1"/>
    <col min="5138" max="5376" width="9.140625" style="353"/>
    <col min="5377" max="5377" width="70" style="353" customWidth="1"/>
    <col min="5378" max="5389" width="12.7109375" style="353" customWidth="1"/>
    <col min="5390" max="5390" width="11" style="353" customWidth="1"/>
    <col min="5391" max="5391" width="0" style="353" hidden="1" customWidth="1"/>
    <col min="5392" max="5393" width="11.7109375" style="353" customWidth="1"/>
    <col min="5394" max="5632" width="9.140625" style="353"/>
    <col min="5633" max="5633" width="70" style="353" customWidth="1"/>
    <col min="5634" max="5645" width="12.7109375" style="353" customWidth="1"/>
    <col min="5646" max="5646" width="11" style="353" customWidth="1"/>
    <col min="5647" max="5647" width="0" style="353" hidden="1" customWidth="1"/>
    <col min="5648" max="5649" width="11.7109375" style="353" customWidth="1"/>
    <col min="5650" max="5888" width="9.140625" style="353"/>
    <col min="5889" max="5889" width="70" style="353" customWidth="1"/>
    <col min="5890" max="5901" width="12.7109375" style="353" customWidth="1"/>
    <col min="5902" max="5902" width="11" style="353" customWidth="1"/>
    <col min="5903" max="5903" width="0" style="353" hidden="1" customWidth="1"/>
    <col min="5904" max="5905" width="11.7109375" style="353" customWidth="1"/>
    <col min="5906" max="6144" width="9.140625" style="353"/>
    <col min="6145" max="6145" width="70" style="353" customWidth="1"/>
    <col min="6146" max="6157" width="12.7109375" style="353" customWidth="1"/>
    <col min="6158" max="6158" width="11" style="353" customWidth="1"/>
    <col min="6159" max="6159" width="0" style="353" hidden="1" customWidth="1"/>
    <col min="6160" max="6161" width="11.7109375" style="353" customWidth="1"/>
    <col min="6162" max="6400" width="9.140625" style="353"/>
    <col min="6401" max="6401" width="70" style="353" customWidth="1"/>
    <col min="6402" max="6413" width="12.7109375" style="353" customWidth="1"/>
    <col min="6414" max="6414" width="11" style="353" customWidth="1"/>
    <col min="6415" max="6415" width="0" style="353" hidden="1" customWidth="1"/>
    <col min="6416" max="6417" width="11.7109375" style="353" customWidth="1"/>
    <col min="6418" max="6656" width="9.140625" style="353"/>
    <col min="6657" max="6657" width="70" style="353" customWidth="1"/>
    <col min="6658" max="6669" width="12.7109375" style="353" customWidth="1"/>
    <col min="6670" max="6670" width="11" style="353" customWidth="1"/>
    <col min="6671" max="6671" width="0" style="353" hidden="1" customWidth="1"/>
    <col min="6672" max="6673" width="11.7109375" style="353" customWidth="1"/>
    <col min="6674" max="6912" width="9.140625" style="353"/>
    <col min="6913" max="6913" width="70" style="353" customWidth="1"/>
    <col min="6914" max="6925" width="12.7109375" style="353" customWidth="1"/>
    <col min="6926" max="6926" width="11" style="353" customWidth="1"/>
    <col min="6927" max="6927" width="0" style="353" hidden="1" customWidth="1"/>
    <col min="6928" max="6929" width="11.7109375" style="353" customWidth="1"/>
    <col min="6930" max="7168" width="9.140625" style="353"/>
    <col min="7169" max="7169" width="70" style="353" customWidth="1"/>
    <col min="7170" max="7181" width="12.7109375" style="353" customWidth="1"/>
    <col min="7182" max="7182" width="11" style="353" customWidth="1"/>
    <col min="7183" max="7183" width="0" style="353" hidden="1" customWidth="1"/>
    <col min="7184" max="7185" width="11.7109375" style="353" customWidth="1"/>
    <col min="7186" max="7424" width="9.140625" style="353"/>
    <col min="7425" max="7425" width="70" style="353" customWidth="1"/>
    <col min="7426" max="7437" width="12.7109375" style="353" customWidth="1"/>
    <col min="7438" max="7438" width="11" style="353" customWidth="1"/>
    <col min="7439" max="7439" width="0" style="353" hidden="1" customWidth="1"/>
    <col min="7440" max="7441" width="11.7109375" style="353" customWidth="1"/>
    <col min="7442" max="7680" width="9.140625" style="353"/>
    <col min="7681" max="7681" width="70" style="353" customWidth="1"/>
    <col min="7682" max="7693" width="12.7109375" style="353" customWidth="1"/>
    <col min="7694" max="7694" width="11" style="353" customWidth="1"/>
    <col min="7695" max="7695" width="0" style="353" hidden="1" customWidth="1"/>
    <col min="7696" max="7697" width="11.7109375" style="353" customWidth="1"/>
    <col min="7698" max="7936" width="9.140625" style="353"/>
    <col min="7937" max="7937" width="70" style="353" customWidth="1"/>
    <col min="7938" max="7949" width="12.7109375" style="353" customWidth="1"/>
    <col min="7950" max="7950" width="11" style="353" customWidth="1"/>
    <col min="7951" max="7951" width="0" style="353" hidden="1" customWidth="1"/>
    <col min="7952" max="7953" width="11.7109375" style="353" customWidth="1"/>
    <col min="7954" max="8192" width="9.140625" style="353"/>
    <col min="8193" max="8193" width="70" style="353" customWidth="1"/>
    <col min="8194" max="8205" width="12.7109375" style="353" customWidth="1"/>
    <col min="8206" max="8206" width="11" style="353" customWidth="1"/>
    <col min="8207" max="8207" width="0" style="353" hidden="1" customWidth="1"/>
    <col min="8208" max="8209" width="11.7109375" style="353" customWidth="1"/>
    <col min="8210" max="8448" width="9.140625" style="353"/>
    <col min="8449" max="8449" width="70" style="353" customWidth="1"/>
    <col min="8450" max="8461" width="12.7109375" style="353" customWidth="1"/>
    <col min="8462" max="8462" width="11" style="353" customWidth="1"/>
    <col min="8463" max="8463" width="0" style="353" hidden="1" customWidth="1"/>
    <col min="8464" max="8465" width="11.7109375" style="353" customWidth="1"/>
    <col min="8466" max="8704" width="9.140625" style="353"/>
    <col min="8705" max="8705" width="70" style="353" customWidth="1"/>
    <col min="8706" max="8717" width="12.7109375" style="353" customWidth="1"/>
    <col min="8718" max="8718" width="11" style="353" customWidth="1"/>
    <col min="8719" max="8719" width="0" style="353" hidden="1" customWidth="1"/>
    <col min="8720" max="8721" width="11.7109375" style="353" customWidth="1"/>
    <col min="8722" max="8960" width="9.140625" style="353"/>
    <col min="8961" max="8961" width="70" style="353" customWidth="1"/>
    <col min="8962" max="8973" width="12.7109375" style="353" customWidth="1"/>
    <col min="8974" max="8974" width="11" style="353" customWidth="1"/>
    <col min="8975" max="8975" width="0" style="353" hidden="1" customWidth="1"/>
    <col min="8976" max="8977" width="11.7109375" style="353" customWidth="1"/>
    <col min="8978" max="9216" width="9.140625" style="353"/>
    <col min="9217" max="9217" width="70" style="353" customWidth="1"/>
    <col min="9218" max="9229" width="12.7109375" style="353" customWidth="1"/>
    <col min="9230" max="9230" width="11" style="353" customWidth="1"/>
    <col min="9231" max="9231" width="0" style="353" hidden="1" customWidth="1"/>
    <col min="9232" max="9233" width="11.7109375" style="353" customWidth="1"/>
    <col min="9234" max="9472" width="9.140625" style="353"/>
    <col min="9473" max="9473" width="70" style="353" customWidth="1"/>
    <col min="9474" max="9485" width="12.7109375" style="353" customWidth="1"/>
    <col min="9486" max="9486" width="11" style="353" customWidth="1"/>
    <col min="9487" max="9487" width="0" style="353" hidden="1" customWidth="1"/>
    <col min="9488" max="9489" width="11.7109375" style="353" customWidth="1"/>
    <col min="9490" max="9728" width="9.140625" style="353"/>
    <col min="9729" max="9729" width="70" style="353" customWidth="1"/>
    <col min="9730" max="9741" width="12.7109375" style="353" customWidth="1"/>
    <col min="9742" max="9742" width="11" style="353" customWidth="1"/>
    <col min="9743" max="9743" width="0" style="353" hidden="1" customWidth="1"/>
    <col min="9744" max="9745" width="11.7109375" style="353" customWidth="1"/>
    <col min="9746" max="9984" width="9.140625" style="353"/>
    <col min="9985" max="9985" width="70" style="353" customWidth="1"/>
    <col min="9986" max="9997" width="12.7109375" style="353" customWidth="1"/>
    <col min="9998" max="9998" width="11" style="353" customWidth="1"/>
    <col min="9999" max="9999" width="0" style="353" hidden="1" customWidth="1"/>
    <col min="10000" max="10001" width="11.7109375" style="353" customWidth="1"/>
    <col min="10002" max="10240" width="9.140625" style="353"/>
    <col min="10241" max="10241" width="70" style="353" customWidth="1"/>
    <col min="10242" max="10253" width="12.7109375" style="353" customWidth="1"/>
    <col min="10254" max="10254" width="11" style="353" customWidth="1"/>
    <col min="10255" max="10255" width="0" style="353" hidden="1" customWidth="1"/>
    <col min="10256" max="10257" width="11.7109375" style="353" customWidth="1"/>
    <col min="10258" max="10496" width="9.140625" style="353"/>
    <col min="10497" max="10497" width="70" style="353" customWidth="1"/>
    <col min="10498" max="10509" width="12.7109375" style="353" customWidth="1"/>
    <col min="10510" max="10510" width="11" style="353" customWidth="1"/>
    <col min="10511" max="10511" width="0" style="353" hidden="1" customWidth="1"/>
    <col min="10512" max="10513" width="11.7109375" style="353" customWidth="1"/>
    <col min="10514" max="10752" width="9.140625" style="353"/>
    <col min="10753" max="10753" width="70" style="353" customWidth="1"/>
    <col min="10754" max="10765" width="12.7109375" style="353" customWidth="1"/>
    <col min="10766" max="10766" width="11" style="353" customWidth="1"/>
    <col min="10767" max="10767" width="0" style="353" hidden="1" customWidth="1"/>
    <col min="10768" max="10769" width="11.7109375" style="353" customWidth="1"/>
    <col min="10770" max="11008" width="9.140625" style="353"/>
    <col min="11009" max="11009" width="70" style="353" customWidth="1"/>
    <col min="11010" max="11021" width="12.7109375" style="353" customWidth="1"/>
    <col min="11022" max="11022" width="11" style="353" customWidth="1"/>
    <col min="11023" max="11023" width="0" style="353" hidden="1" customWidth="1"/>
    <col min="11024" max="11025" width="11.7109375" style="353" customWidth="1"/>
    <col min="11026" max="11264" width="9.140625" style="353"/>
    <col min="11265" max="11265" width="70" style="353" customWidth="1"/>
    <col min="11266" max="11277" width="12.7109375" style="353" customWidth="1"/>
    <col min="11278" max="11278" width="11" style="353" customWidth="1"/>
    <col min="11279" max="11279" width="0" style="353" hidden="1" customWidth="1"/>
    <col min="11280" max="11281" width="11.7109375" style="353" customWidth="1"/>
    <col min="11282" max="11520" width="9.140625" style="353"/>
    <col min="11521" max="11521" width="70" style="353" customWidth="1"/>
    <col min="11522" max="11533" width="12.7109375" style="353" customWidth="1"/>
    <col min="11534" max="11534" width="11" style="353" customWidth="1"/>
    <col min="11535" max="11535" width="0" style="353" hidden="1" customWidth="1"/>
    <col min="11536" max="11537" width="11.7109375" style="353" customWidth="1"/>
    <col min="11538" max="11776" width="9.140625" style="353"/>
    <col min="11777" max="11777" width="70" style="353" customWidth="1"/>
    <col min="11778" max="11789" width="12.7109375" style="353" customWidth="1"/>
    <col min="11790" max="11790" width="11" style="353" customWidth="1"/>
    <col min="11791" max="11791" width="0" style="353" hidden="1" customWidth="1"/>
    <col min="11792" max="11793" width="11.7109375" style="353" customWidth="1"/>
    <col min="11794" max="12032" width="9.140625" style="353"/>
    <col min="12033" max="12033" width="70" style="353" customWidth="1"/>
    <col min="12034" max="12045" width="12.7109375" style="353" customWidth="1"/>
    <col min="12046" max="12046" width="11" style="353" customWidth="1"/>
    <col min="12047" max="12047" width="0" style="353" hidden="1" customWidth="1"/>
    <col min="12048" max="12049" width="11.7109375" style="353" customWidth="1"/>
    <col min="12050" max="12288" width="9.140625" style="353"/>
    <col min="12289" max="12289" width="70" style="353" customWidth="1"/>
    <col min="12290" max="12301" width="12.7109375" style="353" customWidth="1"/>
    <col min="12302" max="12302" width="11" style="353" customWidth="1"/>
    <col min="12303" max="12303" width="0" style="353" hidden="1" customWidth="1"/>
    <col min="12304" max="12305" width="11.7109375" style="353" customWidth="1"/>
    <col min="12306" max="12544" width="9.140625" style="353"/>
    <col min="12545" max="12545" width="70" style="353" customWidth="1"/>
    <col min="12546" max="12557" width="12.7109375" style="353" customWidth="1"/>
    <col min="12558" max="12558" width="11" style="353" customWidth="1"/>
    <col min="12559" max="12559" width="0" style="353" hidden="1" customWidth="1"/>
    <col min="12560" max="12561" width="11.7109375" style="353" customWidth="1"/>
    <col min="12562" max="12800" width="9.140625" style="353"/>
    <col min="12801" max="12801" width="70" style="353" customWidth="1"/>
    <col min="12802" max="12813" width="12.7109375" style="353" customWidth="1"/>
    <col min="12814" max="12814" width="11" style="353" customWidth="1"/>
    <col min="12815" max="12815" width="0" style="353" hidden="1" customWidth="1"/>
    <col min="12816" max="12817" width="11.7109375" style="353" customWidth="1"/>
    <col min="12818" max="13056" width="9.140625" style="353"/>
    <col min="13057" max="13057" width="70" style="353" customWidth="1"/>
    <col min="13058" max="13069" width="12.7109375" style="353" customWidth="1"/>
    <col min="13070" max="13070" width="11" style="353" customWidth="1"/>
    <col min="13071" max="13071" width="0" style="353" hidden="1" customWidth="1"/>
    <col min="13072" max="13073" width="11.7109375" style="353" customWidth="1"/>
    <col min="13074" max="13312" width="9.140625" style="353"/>
    <col min="13313" max="13313" width="70" style="353" customWidth="1"/>
    <col min="13314" max="13325" width="12.7109375" style="353" customWidth="1"/>
    <col min="13326" max="13326" width="11" style="353" customWidth="1"/>
    <col min="13327" max="13327" width="0" style="353" hidden="1" customWidth="1"/>
    <col min="13328" max="13329" width="11.7109375" style="353" customWidth="1"/>
    <col min="13330" max="13568" width="9.140625" style="353"/>
    <col min="13569" max="13569" width="70" style="353" customWidth="1"/>
    <col min="13570" max="13581" width="12.7109375" style="353" customWidth="1"/>
    <col min="13582" max="13582" width="11" style="353" customWidth="1"/>
    <col min="13583" max="13583" width="0" style="353" hidden="1" customWidth="1"/>
    <col min="13584" max="13585" width="11.7109375" style="353" customWidth="1"/>
    <col min="13586" max="13824" width="9.140625" style="353"/>
    <col min="13825" max="13825" width="70" style="353" customWidth="1"/>
    <col min="13826" max="13837" width="12.7109375" style="353" customWidth="1"/>
    <col min="13838" max="13838" width="11" style="353" customWidth="1"/>
    <col min="13839" max="13839" width="0" style="353" hidden="1" customWidth="1"/>
    <col min="13840" max="13841" width="11.7109375" style="353" customWidth="1"/>
    <col min="13842" max="14080" width="9.140625" style="353"/>
    <col min="14081" max="14081" width="70" style="353" customWidth="1"/>
    <col min="14082" max="14093" width="12.7109375" style="353" customWidth="1"/>
    <col min="14094" max="14094" width="11" style="353" customWidth="1"/>
    <col min="14095" max="14095" width="0" style="353" hidden="1" customWidth="1"/>
    <col min="14096" max="14097" width="11.7109375" style="353" customWidth="1"/>
    <col min="14098" max="14336" width="9.140625" style="353"/>
    <col min="14337" max="14337" width="70" style="353" customWidth="1"/>
    <col min="14338" max="14349" width="12.7109375" style="353" customWidth="1"/>
    <col min="14350" max="14350" width="11" style="353" customWidth="1"/>
    <col min="14351" max="14351" width="0" style="353" hidden="1" customWidth="1"/>
    <col min="14352" max="14353" width="11.7109375" style="353" customWidth="1"/>
    <col min="14354" max="14592" width="9.140625" style="353"/>
    <col min="14593" max="14593" width="70" style="353" customWidth="1"/>
    <col min="14594" max="14605" width="12.7109375" style="353" customWidth="1"/>
    <col min="14606" max="14606" width="11" style="353" customWidth="1"/>
    <col min="14607" max="14607" width="0" style="353" hidden="1" customWidth="1"/>
    <col min="14608" max="14609" width="11.7109375" style="353" customWidth="1"/>
    <col min="14610" max="14848" width="9.140625" style="353"/>
    <col min="14849" max="14849" width="70" style="353" customWidth="1"/>
    <col min="14850" max="14861" width="12.7109375" style="353" customWidth="1"/>
    <col min="14862" max="14862" width="11" style="353" customWidth="1"/>
    <col min="14863" max="14863" width="0" style="353" hidden="1" customWidth="1"/>
    <col min="14864" max="14865" width="11.7109375" style="353" customWidth="1"/>
    <col min="14866" max="15104" width="9.140625" style="353"/>
    <col min="15105" max="15105" width="70" style="353" customWidth="1"/>
    <col min="15106" max="15117" width="12.7109375" style="353" customWidth="1"/>
    <col min="15118" max="15118" width="11" style="353" customWidth="1"/>
    <col min="15119" max="15119" width="0" style="353" hidden="1" customWidth="1"/>
    <col min="15120" max="15121" width="11.7109375" style="353" customWidth="1"/>
    <col min="15122" max="15360" width="9.140625" style="353"/>
    <col min="15361" max="15361" width="70" style="353" customWidth="1"/>
    <col min="15362" max="15373" width="12.7109375" style="353" customWidth="1"/>
    <col min="15374" max="15374" width="11" style="353" customWidth="1"/>
    <col min="15375" max="15375" width="0" style="353" hidden="1" customWidth="1"/>
    <col min="15376" max="15377" width="11.7109375" style="353" customWidth="1"/>
    <col min="15378" max="15616" width="9.140625" style="353"/>
    <col min="15617" max="15617" width="70" style="353" customWidth="1"/>
    <col min="15618" max="15629" width="12.7109375" style="353" customWidth="1"/>
    <col min="15630" max="15630" width="11" style="353" customWidth="1"/>
    <col min="15631" max="15631" width="0" style="353" hidden="1" customWidth="1"/>
    <col min="15632" max="15633" width="11.7109375" style="353" customWidth="1"/>
    <col min="15634" max="15872" width="9.140625" style="353"/>
    <col min="15873" max="15873" width="70" style="353" customWidth="1"/>
    <col min="15874" max="15885" width="12.7109375" style="353" customWidth="1"/>
    <col min="15886" max="15886" width="11" style="353" customWidth="1"/>
    <col min="15887" max="15887" width="0" style="353" hidden="1" customWidth="1"/>
    <col min="15888" max="15889" width="11.7109375" style="353" customWidth="1"/>
    <col min="15890" max="16128" width="9.140625" style="353"/>
    <col min="16129" max="16129" width="70" style="353" customWidth="1"/>
    <col min="16130" max="16141" width="12.7109375" style="353" customWidth="1"/>
    <col min="16142" max="16142" width="11" style="353" customWidth="1"/>
    <col min="16143" max="16143" width="0" style="353" hidden="1" customWidth="1"/>
    <col min="16144" max="16145" width="11.7109375" style="353" customWidth="1"/>
    <col min="16146" max="16384" width="9.140625" style="353"/>
  </cols>
  <sheetData>
    <row r="1" spans="1:17" ht="13.5" customHeight="1" x14ac:dyDescent="0.2">
      <c r="A1" s="352"/>
      <c r="B1" s="352"/>
      <c r="C1" s="352"/>
      <c r="D1" s="352"/>
      <c r="E1" s="352"/>
      <c r="F1" s="352"/>
      <c r="G1" s="352"/>
      <c r="H1" s="352"/>
      <c r="I1" s="352"/>
      <c r="J1" s="352"/>
      <c r="K1" s="352"/>
      <c r="M1" s="352"/>
    </row>
    <row r="2" spans="1:17" s="359" customFormat="1" ht="18" customHeight="1" x14ac:dyDescent="0.25">
      <c r="A2" s="354" t="s">
        <v>230</v>
      </c>
      <c r="B2" s="355" t="s">
        <v>205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7"/>
      <c r="N2" s="451" t="s">
        <v>261</v>
      </c>
      <c r="O2" s="358"/>
      <c r="P2" s="453" t="s">
        <v>206</v>
      </c>
      <c r="Q2" s="451" t="s">
        <v>207</v>
      </c>
    </row>
    <row r="3" spans="1:17" s="359" customFormat="1" ht="27.75" customHeight="1" x14ac:dyDescent="0.2">
      <c r="A3" s="360"/>
      <c r="B3" s="361" t="s">
        <v>0</v>
      </c>
      <c r="C3" s="362" t="s">
        <v>1</v>
      </c>
      <c r="D3" s="362" t="s">
        <v>2</v>
      </c>
      <c r="E3" s="362" t="s">
        <v>3</v>
      </c>
      <c r="F3" s="362" t="s">
        <v>4</v>
      </c>
      <c r="G3" s="362" t="s">
        <v>5</v>
      </c>
      <c r="H3" s="362" t="s">
        <v>6</v>
      </c>
      <c r="I3" s="362" t="s">
        <v>7</v>
      </c>
      <c r="J3" s="362" t="s">
        <v>8</v>
      </c>
      <c r="K3" s="362" t="s">
        <v>9</v>
      </c>
      <c r="L3" s="362" t="s">
        <v>10</v>
      </c>
      <c r="M3" s="363" t="s">
        <v>11</v>
      </c>
      <c r="N3" s="452"/>
      <c r="O3" s="364" t="s">
        <v>208</v>
      </c>
      <c r="P3" s="454"/>
      <c r="Q3" s="452"/>
    </row>
    <row r="4" spans="1:17" s="352" customFormat="1" ht="15.75" x14ac:dyDescent="0.25">
      <c r="A4" s="365" t="s">
        <v>209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7"/>
      <c r="O4" s="367"/>
      <c r="P4" s="367"/>
      <c r="Q4" s="367"/>
    </row>
    <row r="5" spans="1:17" s="359" customFormat="1" x14ac:dyDescent="0.2">
      <c r="A5" s="368" t="s">
        <v>210</v>
      </c>
      <c r="B5" s="369">
        <v>-1580</v>
      </c>
      <c r="C5" s="369">
        <v>0</v>
      </c>
      <c r="D5" s="369">
        <v>0</v>
      </c>
      <c r="E5" s="369">
        <v>0</v>
      </c>
      <c r="F5" s="369">
        <v>0</v>
      </c>
      <c r="G5" s="369">
        <v>0</v>
      </c>
      <c r="H5" s="369">
        <v>0</v>
      </c>
      <c r="I5" s="369">
        <v>0</v>
      </c>
      <c r="J5" s="369">
        <v>0</v>
      </c>
      <c r="K5" s="369">
        <v>0</v>
      </c>
      <c r="L5" s="369">
        <v>0</v>
      </c>
      <c r="M5" s="369">
        <v>0</v>
      </c>
      <c r="N5" s="369">
        <f>SUM(F5:M5)</f>
        <v>0</v>
      </c>
      <c r="O5" s="369" t="e">
        <f>#REF!+N5</f>
        <v>#REF!</v>
      </c>
      <c r="P5" s="369">
        <f>N5+848094</f>
        <v>848094</v>
      </c>
      <c r="Q5" s="369"/>
    </row>
    <row r="6" spans="1:17" s="359" customFormat="1" x14ac:dyDescent="0.2">
      <c r="A6" s="368" t="s">
        <v>211</v>
      </c>
      <c r="B6" s="369">
        <v>0</v>
      </c>
      <c r="C6" s="369">
        <v>0</v>
      </c>
      <c r="D6" s="369">
        <v>0</v>
      </c>
      <c r="E6" s="369">
        <v>0</v>
      </c>
      <c r="F6" s="369">
        <v>0</v>
      </c>
      <c r="G6" s="369">
        <v>0</v>
      </c>
      <c r="H6" s="369">
        <v>0</v>
      </c>
      <c r="I6" s="369">
        <v>0</v>
      </c>
      <c r="J6" s="369">
        <v>0</v>
      </c>
      <c r="K6" s="369">
        <v>0</v>
      </c>
      <c r="L6" s="369">
        <v>0</v>
      </c>
      <c r="M6" s="369">
        <v>0</v>
      </c>
      <c r="N6" s="369">
        <f>SUM(F6:M6)</f>
        <v>0</v>
      </c>
      <c r="O6" s="369"/>
      <c r="P6" s="369">
        <f>N6</f>
        <v>0</v>
      </c>
      <c r="Q6" s="369"/>
    </row>
    <row r="7" spans="1:17" s="359" customFormat="1" ht="15.75" x14ac:dyDescent="0.25">
      <c r="A7" s="370" t="s">
        <v>212</v>
      </c>
      <c r="B7" s="371">
        <f t="shared" ref="B7:D7" si="0">SUM(B5:B6)</f>
        <v>-1580</v>
      </c>
      <c r="C7" s="371">
        <f t="shared" si="0"/>
        <v>0</v>
      </c>
      <c r="D7" s="371">
        <f t="shared" si="0"/>
        <v>0</v>
      </c>
      <c r="E7" s="371">
        <f>SUM(E5:E6)</f>
        <v>0</v>
      </c>
      <c r="F7" s="371">
        <f t="shared" ref="F7:P7" si="1">SUM(F5:F6)</f>
        <v>0</v>
      </c>
      <c r="G7" s="371">
        <f t="shared" si="1"/>
        <v>0</v>
      </c>
      <c r="H7" s="371">
        <f t="shared" si="1"/>
        <v>0</v>
      </c>
      <c r="I7" s="371">
        <f t="shared" si="1"/>
        <v>0</v>
      </c>
      <c r="J7" s="371">
        <f t="shared" si="1"/>
        <v>0</v>
      </c>
      <c r="K7" s="371">
        <f t="shared" si="1"/>
        <v>0</v>
      </c>
      <c r="L7" s="371">
        <f t="shared" si="1"/>
        <v>0</v>
      </c>
      <c r="M7" s="371">
        <f t="shared" si="1"/>
        <v>0</v>
      </c>
      <c r="N7" s="371">
        <f t="shared" si="1"/>
        <v>0</v>
      </c>
      <c r="O7" s="371" t="e">
        <f t="shared" si="1"/>
        <v>#REF!</v>
      </c>
      <c r="P7" s="371">
        <f t="shared" si="1"/>
        <v>848094</v>
      </c>
      <c r="Q7" s="371"/>
    </row>
    <row r="8" spans="1:17" s="359" customFormat="1" x14ac:dyDescent="0.2">
      <c r="A8" s="372"/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52"/>
      <c r="M8" s="372"/>
      <c r="N8" s="369"/>
      <c r="O8" s="369"/>
      <c r="P8" s="369"/>
      <c r="Q8" s="369"/>
    </row>
    <row r="9" spans="1:17" s="359" customFormat="1" ht="15.75" x14ac:dyDescent="0.25">
      <c r="A9" s="373" t="s">
        <v>213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52"/>
      <c r="M9" s="372"/>
      <c r="N9" s="369"/>
      <c r="O9" s="369"/>
      <c r="P9" s="369"/>
      <c r="Q9" s="369"/>
    </row>
    <row r="10" spans="1:17" s="359" customFormat="1" x14ac:dyDescent="0.2">
      <c r="A10" s="374" t="s">
        <v>214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6"/>
      <c r="O10" s="376"/>
      <c r="P10" s="376"/>
      <c r="Q10" s="369"/>
    </row>
    <row r="11" spans="1:17" s="359" customFormat="1" x14ac:dyDescent="0.2">
      <c r="A11" s="377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69"/>
      <c r="O11" s="369"/>
      <c r="P11" s="369"/>
      <c r="Q11" s="369"/>
    </row>
    <row r="12" spans="1:17" s="359" customFormat="1" ht="15" x14ac:dyDescent="0.2">
      <c r="A12" s="378" t="s">
        <v>231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80"/>
      <c r="M12" s="379"/>
      <c r="N12" s="381"/>
      <c r="O12" s="381"/>
      <c r="P12" s="381"/>
      <c r="Q12" s="381"/>
    </row>
    <row r="13" spans="1:17" s="359" customFormat="1" x14ac:dyDescent="0.2">
      <c r="A13" s="382" t="s">
        <v>215</v>
      </c>
      <c r="B13" s="369">
        <v>0</v>
      </c>
      <c r="C13" s="369">
        <v>0</v>
      </c>
      <c r="D13" s="369">
        <v>0</v>
      </c>
      <c r="E13" s="369">
        <v>0</v>
      </c>
      <c r="F13" s="369">
        <v>0</v>
      </c>
      <c r="G13" s="369">
        <v>0</v>
      </c>
      <c r="H13" s="369">
        <v>0</v>
      </c>
      <c r="I13" s="369">
        <v>0</v>
      </c>
      <c r="J13" s="369">
        <v>0</v>
      </c>
      <c r="K13" s="369">
        <v>0</v>
      </c>
      <c r="L13" s="369">
        <v>0</v>
      </c>
      <c r="M13" s="369">
        <v>0</v>
      </c>
      <c r="N13" s="369">
        <f t="shared" ref="N13:N26" si="2">SUM(B13:M13)</f>
        <v>0</v>
      </c>
      <c r="O13" s="369"/>
      <c r="P13" s="369">
        <f>N13+437</f>
        <v>437</v>
      </c>
      <c r="Q13" s="369"/>
    </row>
    <row r="14" spans="1:17" s="359" customFormat="1" x14ac:dyDescent="0.2">
      <c r="A14" s="382" t="s">
        <v>247</v>
      </c>
      <c r="B14" s="369">
        <v>0</v>
      </c>
      <c r="C14" s="369">
        <v>0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f t="shared" si="2"/>
        <v>0</v>
      </c>
      <c r="O14" s="369"/>
      <c r="P14" s="369">
        <f>N14+1803</f>
        <v>1803</v>
      </c>
      <c r="Q14" s="369"/>
    </row>
    <row r="15" spans="1:17" s="359" customFormat="1" x14ac:dyDescent="0.2">
      <c r="A15" s="382" t="s">
        <v>232</v>
      </c>
      <c r="B15" s="369">
        <v>0</v>
      </c>
      <c r="C15" s="369">
        <v>0</v>
      </c>
      <c r="D15" s="369">
        <v>0</v>
      </c>
      <c r="E15" s="369">
        <v>0</v>
      </c>
      <c r="F15" s="369">
        <v>0</v>
      </c>
      <c r="G15" s="369">
        <v>0</v>
      </c>
      <c r="H15" s="369">
        <v>0</v>
      </c>
      <c r="I15" s="369">
        <v>0</v>
      </c>
      <c r="J15" s="369">
        <v>0</v>
      </c>
      <c r="K15" s="369">
        <v>0</v>
      </c>
      <c r="L15" s="369">
        <v>0</v>
      </c>
      <c r="M15" s="369">
        <v>0</v>
      </c>
      <c r="N15" s="369">
        <f t="shared" si="2"/>
        <v>0</v>
      </c>
      <c r="O15" s="369"/>
      <c r="P15" s="369">
        <f t="shared" ref="P15:P16" si="3">N15</f>
        <v>0</v>
      </c>
      <c r="Q15" s="369"/>
    </row>
    <row r="16" spans="1:17" s="359" customFormat="1" x14ac:dyDescent="0.2">
      <c r="A16" s="382" t="s">
        <v>233</v>
      </c>
      <c r="B16" s="369">
        <v>0</v>
      </c>
      <c r="C16" s="369">
        <v>0</v>
      </c>
      <c r="D16" s="369">
        <v>0</v>
      </c>
      <c r="E16" s="369">
        <v>0</v>
      </c>
      <c r="F16" s="369">
        <v>0</v>
      </c>
      <c r="G16" s="369">
        <v>0</v>
      </c>
      <c r="H16" s="369">
        <v>0</v>
      </c>
      <c r="I16" s="369">
        <v>0</v>
      </c>
      <c r="J16" s="369">
        <v>0</v>
      </c>
      <c r="K16" s="369">
        <v>0</v>
      </c>
      <c r="L16" s="369">
        <v>0</v>
      </c>
      <c r="M16" s="369">
        <v>0</v>
      </c>
      <c r="N16" s="369">
        <f t="shared" si="2"/>
        <v>0</v>
      </c>
      <c r="O16" s="369"/>
      <c r="P16" s="369">
        <f t="shared" si="3"/>
        <v>0</v>
      </c>
      <c r="Q16" s="369"/>
    </row>
    <row r="17" spans="1:122 16371:16371" s="359" customFormat="1" x14ac:dyDescent="0.2">
      <c r="A17" s="383" t="s">
        <v>234</v>
      </c>
      <c r="B17" s="369">
        <v>-40616</v>
      </c>
      <c r="C17" s="369">
        <v>0</v>
      </c>
      <c r="D17" s="369">
        <v>0</v>
      </c>
      <c r="E17" s="369">
        <v>0</v>
      </c>
      <c r="F17" s="369">
        <v>0</v>
      </c>
      <c r="G17" s="369">
        <v>0</v>
      </c>
      <c r="H17" s="369">
        <v>0</v>
      </c>
      <c r="I17" s="369">
        <v>0</v>
      </c>
      <c r="J17" s="369">
        <v>0</v>
      </c>
      <c r="K17" s="369">
        <v>0</v>
      </c>
      <c r="L17" s="369">
        <v>0</v>
      </c>
      <c r="M17" s="369">
        <v>0</v>
      </c>
      <c r="N17" s="369">
        <f t="shared" si="2"/>
        <v>-40616</v>
      </c>
      <c r="O17" s="369"/>
      <c r="P17" s="369">
        <f>N17+496277</f>
        <v>455661</v>
      </c>
      <c r="Q17" s="369"/>
    </row>
    <row r="18" spans="1:122 16371:16371" s="359" customFormat="1" x14ac:dyDescent="0.2">
      <c r="A18" s="383" t="s">
        <v>235</v>
      </c>
      <c r="B18" s="369">
        <v>36049</v>
      </c>
      <c r="C18" s="369">
        <v>0</v>
      </c>
      <c r="D18" s="369">
        <v>0</v>
      </c>
      <c r="E18" s="369">
        <v>0</v>
      </c>
      <c r="F18" s="369">
        <v>0</v>
      </c>
      <c r="G18" s="369">
        <v>0</v>
      </c>
      <c r="H18" s="369">
        <v>0</v>
      </c>
      <c r="I18" s="369">
        <v>0</v>
      </c>
      <c r="J18" s="369">
        <v>0</v>
      </c>
      <c r="K18" s="369">
        <v>0</v>
      </c>
      <c r="L18" s="369">
        <v>0</v>
      </c>
      <c r="M18" s="369">
        <v>0</v>
      </c>
      <c r="N18" s="369">
        <f t="shared" si="2"/>
        <v>36049</v>
      </c>
      <c r="O18" s="369"/>
      <c r="P18" s="369">
        <f>N18+289260</f>
        <v>325309</v>
      </c>
      <c r="Q18" s="369"/>
    </row>
    <row r="19" spans="1:122 16371:16371" s="352" customFormat="1" x14ac:dyDescent="0.2">
      <c r="A19" s="384"/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69"/>
      <c r="O19" s="385"/>
      <c r="P19" s="385"/>
      <c r="Q19" s="385"/>
    </row>
    <row r="20" spans="1:122 16371:16371" s="359" customFormat="1" ht="15" x14ac:dyDescent="0.2">
      <c r="A20" s="386" t="s">
        <v>236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</row>
    <row r="21" spans="1:122 16371:16371" s="359" customFormat="1" x14ac:dyDescent="0.2">
      <c r="A21" s="387" t="s">
        <v>237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</row>
    <row r="22" spans="1:122 16371:16371" s="359" customFormat="1" x14ac:dyDescent="0.2">
      <c r="A22" s="368" t="s">
        <v>216</v>
      </c>
      <c r="B22" s="369">
        <v>0</v>
      </c>
      <c r="C22" s="369">
        <v>0</v>
      </c>
      <c r="D22" s="369">
        <v>0</v>
      </c>
      <c r="E22" s="369">
        <v>0</v>
      </c>
      <c r="F22" s="369">
        <v>0</v>
      </c>
      <c r="G22" s="369">
        <v>0</v>
      </c>
      <c r="H22" s="369">
        <v>0</v>
      </c>
      <c r="I22" s="369">
        <v>0</v>
      </c>
      <c r="J22" s="369">
        <v>0</v>
      </c>
      <c r="K22" s="369">
        <v>0</v>
      </c>
      <c r="L22" s="369">
        <v>0</v>
      </c>
      <c r="M22" s="369">
        <v>0</v>
      </c>
      <c r="N22" s="369">
        <f t="shared" si="2"/>
        <v>0</v>
      </c>
      <c r="O22" s="369"/>
      <c r="P22" s="369">
        <f>N22+132</f>
        <v>132</v>
      </c>
      <c r="Q22" s="369"/>
    </row>
    <row r="23" spans="1:122 16371:16371" s="359" customFormat="1" x14ac:dyDescent="0.2">
      <c r="A23" s="368" t="s">
        <v>217</v>
      </c>
      <c r="B23" s="369">
        <v>0</v>
      </c>
      <c r="C23" s="369">
        <v>0</v>
      </c>
      <c r="D23" s="369">
        <v>0</v>
      </c>
      <c r="E23" s="369">
        <v>0</v>
      </c>
      <c r="F23" s="369">
        <v>0</v>
      </c>
      <c r="G23" s="369">
        <v>0</v>
      </c>
      <c r="H23" s="369">
        <v>0</v>
      </c>
      <c r="I23" s="369">
        <v>0</v>
      </c>
      <c r="J23" s="369">
        <v>0</v>
      </c>
      <c r="K23" s="369">
        <v>0</v>
      </c>
      <c r="L23" s="369">
        <v>0</v>
      </c>
      <c r="M23" s="369">
        <v>0</v>
      </c>
      <c r="N23" s="369">
        <f t="shared" si="2"/>
        <v>0</v>
      </c>
      <c r="O23" s="369"/>
      <c r="P23" s="369">
        <f>N23+177658</f>
        <v>177658</v>
      </c>
      <c r="Q23" s="369"/>
    </row>
    <row r="24" spans="1:122 16371:16371" s="359" customFormat="1" x14ac:dyDescent="0.2">
      <c r="A24" s="368" t="s">
        <v>220</v>
      </c>
      <c r="B24" s="369">
        <v>0</v>
      </c>
      <c r="C24" s="369">
        <v>0</v>
      </c>
      <c r="D24" s="369">
        <v>0</v>
      </c>
      <c r="E24" s="369">
        <v>0</v>
      </c>
      <c r="F24" s="369">
        <v>0</v>
      </c>
      <c r="G24" s="369">
        <v>0</v>
      </c>
      <c r="H24" s="369">
        <v>0</v>
      </c>
      <c r="I24" s="369">
        <v>0</v>
      </c>
      <c r="J24" s="369">
        <v>0</v>
      </c>
      <c r="K24" s="369">
        <v>0</v>
      </c>
      <c r="L24" s="369">
        <v>0</v>
      </c>
      <c r="M24" s="369">
        <v>0</v>
      </c>
      <c r="N24" s="369">
        <f t="shared" si="2"/>
        <v>0</v>
      </c>
      <c r="O24" s="369"/>
      <c r="P24" s="369">
        <f>N24+7361</f>
        <v>7361</v>
      </c>
      <c r="Q24" s="369"/>
    </row>
    <row r="25" spans="1:122 16371:16371" s="359" customFormat="1" x14ac:dyDescent="0.2">
      <c r="A25" s="368" t="s">
        <v>218</v>
      </c>
      <c r="B25" s="369">
        <v>0</v>
      </c>
      <c r="C25" s="369">
        <v>0</v>
      </c>
      <c r="D25" s="369">
        <v>0</v>
      </c>
      <c r="E25" s="369">
        <v>0</v>
      </c>
      <c r="F25" s="369">
        <v>0</v>
      </c>
      <c r="G25" s="369">
        <v>0</v>
      </c>
      <c r="H25" s="369">
        <v>0</v>
      </c>
      <c r="I25" s="369">
        <v>0</v>
      </c>
      <c r="J25" s="369">
        <v>0</v>
      </c>
      <c r="K25" s="369">
        <v>0</v>
      </c>
      <c r="L25" s="369">
        <v>0</v>
      </c>
      <c r="M25" s="369">
        <v>0</v>
      </c>
      <c r="N25" s="369">
        <f t="shared" si="2"/>
        <v>0</v>
      </c>
      <c r="O25" s="369"/>
      <c r="P25" s="369">
        <f>N25+211808</f>
        <v>211808</v>
      </c>
      <c r="Q25" s="369"/>
    </row>
    <row r="26" spans="1:122 16371:16371" s="359" customFormat="1" x14ac:dyDescent="0.2">
      <c r="A26" s="368" t="s">
        <v>219</v>
      </c>
      <c r="B26" s="369">
        <v>41667</v>
      </c>
      <c r="C26" s="369">
        <v>0</v>
      </c>
      <c r="D26" s="369">
        <v>0</v>
      </c>
      <c r="E26" s="369">
        <v>0</v>
      </c>
      <c r="F26" s="369">
        <v>0</v>
      </c>
      <c r="G26" s="369">
        <v>0</v>
      </c>
      <c r="H26" s="369">
        <v>0</v>
      </c>
      <c r="I26" s="369">
        <v>0</v>
      </c>
      <c r="J26" s="369">
        <v>0</v>
      </c>
      <c r="K26" s="369">
        <v>0</v>
      </c>
      <c r="L26" s="369">
        <v>0</v>
      </c>
      <c r="M26" s="369">
        <v>0</v>
      </c>
      <c r="N26" s="369">
        <f t="shared" si="2"/>
        <v>41667</v>
      </c>
      <c r="O26" s="369"/>
      <c r="P26" s="369">
        <f>N26+520551</f>
        <v>562218</v>
      </c>
      <c r="Q26" s="369"/>
    </row>
    <row r="27" spans="1:122 16371:16371" s="426" customFormat="1" ht="15.75" x14ac:dyDescent="0.25">
      <c r="A27" s="388" t="s">
        <v>221</v>
      </c>
      <c r="B27" s="389">
        <f t="shared" ref="B27:D27" si="4">SUM(B13:B26)</f>
        <v>37100</v>
      </c>
      <c r="C27" s="389">
        <f t="shared" si="4"/>
        <v>0</v>
      </c>
      <c r="D27" s="389">
        <f t="shared" si="4"/>
        <v>0</v>
      </c>
      <c r="E27" s="389">
        <f t="shared" ref="E27:M27" si="5">SUM(E13:E26)</f>
        <v>0</v>
      </c>
      <c r="F27" s="389">
        <f t="shared" si="5"/>
        <v>0</v>
      </c>
      <c r="G27" s="389">
        <f t="shared" si="5"/>
        <v>0</v>
      </c>
      <c r="H27" s="389">
        <f t="shared" si="5"/>
        <v>0</v>
      </c>
      <c r="I27" s="389">
        <f t="shared" si="5"/>
        <v>0</v>
      </c>
      <c r="J27" s="389">
        <f t="shared" si="5"/>
        <v>0</v>
      </c>
      <c r="K27" s="389">
        <f t="shared" si="5"/>
        <v>0</v>
      </c>
      <c r="L27" s="389">
        <f t="shared" si="5"/>
        <v>0</v>
      </c>
      <c r="M27" s="389">
        <f t="shared" si="5"/>
        <v>0</v>
      </c>
      <c r="N27" s="389">
        <f>SUM(N13:N26)</f>
        <v>37100</v>
      </c>
      <c r="O27" s="389"/>
      <c r="P27" s="389">
        <f>SUM(P13:P26)</f>
        <v>1742387</v>
      </c>
      <c r="Q27" s="389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  <c r="DN27" s="352"/>
      <c r="DO27" s="352"/>
      <c r="DP27" s="352"/>
      <c r="DQ27" s="352"/>
      <c r="DR27" s="352"/>
    </row>
    <row r="28" spans="1:122 16371:16371" x14ac:dyDescent="0.2">
      <c r="A28" s="35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XEQ28" s="359"/>
    </row>
    <row r="29" spans="1:122 16371:16371" ht="15.75" x14ac:dyDescent="0.25">
      <c r="A29" s="390" t="s">
        <v>222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69"/>
      <c r="P29" s="381"/>
      <c r="Q29" s="381"/>
    </row>
    <row r="30" spans="1:122 16371:16371" x14ac:dyDescent="0.2">
      <c r="A30" s="382" t="s">
        <v>216</v>
      </c>
      <c r="B30" s="369">
        <v>0</v>
      </c>
      <c r="C30" s="369">
        <v>0</v>
      </c>
      <c r="D30" s="369">
        <v>0</v>
      </c>
      <c r="E30" s="369">
        <v>0</v>
      </c>
      <c r="F30" s="369">
        <v>0</v>
      </c>
      <c r="G30" s="369">
        <v>0</v>
      </c>
      <c r="H30" s="369">
        <v>0</v>
      </c>
      <c r="I30" s="369">
        <v>0</v>
      </c>
      <c r="J30" s="369">
        <v>0</v>
      </c>
      <c r="K30" s="369">
        <v>0</v>
      </c>
      <c r="L30" s="369">
        <v>0</v>
      </c>
      <c r="M30" s="369">
        <v>0</v>
      </c>
      <c r="N30" s="369">
        <f>SUM(B30:M30)</f>
        <v>0</v>
      </c>
      <c r="O30" s="369"/>
      <c r="P30" s="369">
        <f>N30+132</f>
        <v>132</v>
      </c>
      <c r="Q30" s="369"/>
    </row>
    <row r="31" spans="1:122 16371:16371" x14ac:dyDescent="0.2">
      <c r="A31" s="368" t="s">
        <v>217</v>
      </c>
      <c r="B31" s="369">
        <v>400</v>
      </c>
      <c r="C31" s="369">
        <v>0</v>
      </c>
      <c r="D31" s="369">
        <v>0</v>
      </c>
      <c r="E31" s="369">
        <v>0</v>
      </c>
      <c r="F31" s="369">
        <v>0</v>
      </c>
      <c r="G31" s="369">
        <v>0</v>
      </c>
      <c r="H31" s="369">
        <v>0</v>
      </c>
      <c r="I31" s="369">
        <v>0</v>
      </c>
      <c r="J31" s="369">
        <v>0</v>
      </c>
      <c r="K31" s="369">
        <v>0</v>
      </c>
      <c r="L31" s="369">
        <v>0</v>
      </c>
      <c r="M31" s="369">
        <v>0</v>
      </c>
      <c r="N31" s="369">
        <f>SUM(B31:M31)</f>
        <v>400</v>
      </c>
      <c r="O31" s="369"/>
      <c r="P31" s="369">
        <f>N31+187463</f>
        <v>187863</v>
      </c>
      <c r="Q31" s="369"/>
    </row>
    <row r="32" spans="1:122 16371:16371" s="359" customFormat="1" x14ac:dyDescent="0.2">
      <c r="A32" s="368" t="s">
        <v>220</v>
      </c>
      <c r="B32" s="369">
        <v>36050</v>
      </c>
      <c r="C32" s="369">
        <v>0</v>
      </c>
      <c r="D32" s="369">
        <v>0</v>
      </c>
      <c r="E32" s="369">
        <v>0</v>
      </c>
      <c r="F32" s="369">
        <v>0</v>
      </c>
      <c r="G32" s="369">
        <v>0</v>
      </c>
      <c r="H32" s="369">
        <v>0</v>
      </c>
      <c r="I32" s="369">
        <v>0</v>
      </c>
      <c r="J32" s="369">
        <v>0</v>
      </c>
      <c r="K32" s="369">
        <v>0</v>
      </c>
      <c r="L32" s="369">
        <v>0</v>
      </c>
      <c r="M32" s="369">
        <v>0</v>
      </c>
      <c r="N32" s="369">
        <f>SUM(B32:M32)</f>
        <v>36050</v>
      </c>
      <c r="O32" s="353"/>
      <c r="P32" s="369">
        <f>N32+108990</f>
        <v>145040</v>
      </c>
      <c r="Q32" s="353"/>
    </row>
    <row r="33" spans="1:17" s="359" customFormat="1" x14ac:dyDescent="0.2">
      <c r="A33" s="368" t="s">
        <v>218</v>
      </c>
      <c r="B33" s="369">
        <v>650</v>
      </c>
      <c r="C33" s="369">
        <v>0</v>
      </c>
      <c r="D33" s="369">
        <v>0</v>
      </c>
      <c r="E33" s="369">
        <v>0</v>
      </c>
      <c r="F33" s="369">
        <v>0</v>
      </c>
      <c r="G33" s="369">
        <v>0</v>
      </c>
      <c r="H33" s="369">
        <v>0</v>
      </c>
      <c r="I33" s="369">
        <v>0</v>
      </c>
      <c r="J33" s="369">
        <v>0</v>
      </c>
      <c r="K33" s="369">
        <v>0</v>
      </c>
      <c r="L33" s="369">
        <v>0</v>
      </c>
      <c r="M33" s="369">
        <v>0</v>
      </c>
      <c r="N33" s="369">
        <f>SUM(B33:M33)</f>
        <v>650</v>
      </c>
      <c r="O33" s="353"/>
      <c r="P33" s="369">
        <f>N33+541733</f>
        <v>542383</v>
      </c>
      <c r="Q33" s="353"/>
    </row>
    <row r="34" spans="1:17" s="359" customFormat="1" x14ac:dyDescent="0.2">
      <c r="A34" s="383" t="s">
        <v>219</v>
      </c>
      <c r="B34" s="369">
        <v>0</v>
      </c>
      <c r="C34" s="369">
        <v>0</v>
      </c>
      <c r="D34" s="369">
        <v>0</v>
      </c>
      <c r="E34" s="369">
        <v>0</v>
      </c>
      <c r="F34" s="369">
        <v>0</v>
      </c>
      <c r="G34" s="369">
        <v>0</v>
      </c>
      <c r="H34" s="369">
        <v>0</v>
      </c>
      <c r="I34" s="369">
        <v>0</v>
      </c>
      <c r="J34" s="369">
        <v>0</v>
      </c>
      <c r="K34" s="369">
        <v>0</v>
      </c>
      <c r="L34" s="369">
        <v>0</v>
      </c>
      <c r="M34" s="369">
        <v>0</v>
      </c>
      <c r="N34" s="369">
        <f>SUM(B34:M34)</f>
        <v>0</v>
      </c>
      <c r="O34" s="353"/>
      <c r="P34" s="369">
        <f>N34+866969</f>
        <v>866969</v>
      </c>
      <c r="Q34" s="353"/>
    </row>
    <row r="35" spans="1:17" s="359" customFormat="1" ht="15.75" x14ac:dyDescent="0.25">
      <c r="A35" s="391" t="s">
        <v>223</v>
      </c>
      <c r="B35" s="393">
        <f t="shared" ref="B35:D35" si="6">SUM(B30:B34)</f>
        <v>37100</v>
      </c>
      <c r="C35" s="393">
        <f t="shared" si="6"/>
        <v>0</v>
      </c>
      <c r="D35" s="393">
        <f t="shared" si="6"/>
        <v>0</v>
      </c>
      <c r="E35" s="393">
        <f t="shared" ref="E35:M35" si="7">SUM(E30:E34)</f>
        <v>0</v>
      </c>
      <c r="F35" s="393">
        <f t="shared" si="7"/>
        <v>0</v>
      </c>
      <c r="G35" s="393">
        <f t="shared" si="7"/>
        <v>0</v>
      </c>
      <c r="H35" s="393">
        <f t="shared" si="7"/>
        <v>0</v>
      </c>
      <c r="I35" s="393">
        <f t="shared" si="7"/>
        <v>0</v>
      </c>
      <c r="J35" s="393">
        <f t="shared" si="7"/>
        <v>0</v>
      </c>
      <c r="K35" s="393">
        <f t="shared" si="7"/>
        <v>0</v>
      </c>
      <c r="L35" s="393">
        <f t="shared" si="7"/>
        <v>0</v>
      </c>
      <c r="M35" s="393">
        <f t="shared" si="7"/>
        <v>0</v>
      </c>
      <c r="N35" s="393">
        <f>SUM(N30:N34)</f>
        <v>37100</v>
      </c>
      <c r="O35" s="392"/>
      <c r="P35" s="393">
        <f>SUM(P30:P34)</f>
        <v>1742387</v>
      </c>
      <c r="Q35" s="392"/>
    </row>
    <row r="36" spans="1:17" x14ac:dyDescent="0.2">
      <c r="A36" s="394"/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6"/>
      <c r="P36" s="395"/>
      <c r="Q36" s="395"/>
    </row>
    <row r="37" spans="1:17" ht="15.75" x14ac:dyDescent="0.25">
      <c r="A37" s="390" t="s">
        <v>224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69"/>
      <c r="P37" s="381"/>
      <c r="Q37" s="381"/>
    </row>
    <row r="38" spans="1:17" s="359" customFormat="1" x14ac:dyDescent="0.2">
      <c r="A38" s="368" t="s">
        <v>225</v>
      </c>
      <c r="B38" s="369">
        <v>0</v>
      </c>
      <c r="C38" s="369">
        <v>0</v>
      </c>
      <c r="D38" s="369">
        <v>0</v>
      </c>
      <c r="E38" s="369">
        <v>0</v>
      </c>
      <c r="F38" s="369">
        <v>0</v>
      </c>
      <c r="G38" s="369">
        <v>0</v>
      </c>
      <c r="H38" s="369">
        <v>0</v>
      </c>
      <c r="I38" s="369">
        <v>0</v>
      </c>
      <c r="J38" s="369">
        <v>0</v>
      </c>
      <c r="K38" s="369">
        <v>0</v>
      </c>
      <c r="L38" s="369">
        <v>0</v>
      </c>
      <c r="M38" s="369">
        <v>0</v>
      </c>
      <c r="N38" s="369">
        <f>SUM(B38:M38)</f>
        <v>0</v>
      </c>
      <c r="O38" s="369"/>
      <c r="P38" s="369">
        <f>N38</f>
        <v>0</v>
      </c>
      <c r="Q38" s="369"/>
    </row>
    <row r="39" spans="1:17" s="359" customFormat="1" x14ac:dyDescent="0.2">
      <c r="A39" s="382" t="s">
        <v>226</v>
      </c>
      <c r="B39" s="369">
        <v>6674</v>
      </c>
      <c r="C39" s="369">
        <v>0</v>
      </c>
      <c r="D39" s="369">
        <v>0</v>
      </c>
      <c r="E39" s="369">
        <v>0</v>
      </c>
      <c r="F39" s="369">
        <v>0</v>
      </c>
      <c r="G39" s="369">
        <v>0</v>
      </c>
      <c r="H39" s="369">
        <v>0</v>
      </c>
      <c r="I39" s="369">
        <v>0</v>
      </c>
      <c r="J39" s="369">
        <v>0</v>
      </c>
      <c r="K39" s="369">
        <v>0</v>
      </c>
      <c r="L39" s="369">
        <v>0</v>
      </c>
      <c r="M39" s="369">
        <v>0</v>
      </c>
      <c r="N39" s="369">
        <f>SUM(B39:M39)</f>
        <v>6674</v>
      </c>
      <c r="O39" s="369"/>
      <c r="P39" s="369">
        <f>N39+145592</f>
        <v>152266</v>
      </c>
      <c r="Q39" s="369"/>
    </row>
    <row r="40" spans="1:17" s="359" customFormat="1" ht="14.25" customHeight="1" x14ac:dyDescent="0.2">
      <c r="A40" s="368" t="s">
        <v>227</v>
      </c>
      <c r="B40" s="369">
        <v>9511</v>
      </c>
      <c r="C40" s="369">
        <v>0</v>
      </c>
      <c r="D40" s="369">
        <v>0</v>
      </c>
      <c r="E40" s="369">
        <v>0</v>
      </c>
      <c r="F40" s="369">
        <v>0</v>
      </c>
      <c r="G40" s="369">
        <v>0</v>
      </c>
      <c r="H40" s="369">
        <v>0</v>
      </c>
      <c r="I40" s="369">
        <v>0</v>
      </c>
      <c r="J40" s="369">
        <v>0</v>
      </c>
      <c r="K40" s="369">
        <v>0</v>
      </c>
      <c r="L40" s="369">
        <v>0</v>
      </c>
      <c r="M40" s="369">
        <v>0</v>
      </c>
      <c r="N40" s="369">
        <f>SUM(B40:M40)</f>
        <v>9511</v>
      </c>
      <c r="O40" s="369"/>
      <c r="P40" s="369">
        <f>N40+260842</f>
        <v>270353</v>
      </c>
      <c r="Q40" s="369"/>
    </row>
    <row r="41" spans="1:17" s="359" customFormat="1" x14ac:dyDescent="0.2">
      <c r="A41" s="368" t="s">
        <v>228</v>
      </c>
      <c r="B41" s="369">
        <v>20915</v>
      </c>
      <c r="C41" s="369">
        <v>0</v>
      </c>
      <c r="D41" s="369">
        <v>0</v>
      </c>
      <c r="E41" s="369">
        <v>0</v>
      </c>
      <c r="F41" s="369">
        <v>0</v>
      </c>
      <c r="G41" s="369">
        <v>0</v>
      </c>
      <c r="H41" s="369">
        <v>0</v>
      </c>
      <c r="I41" s="369">
        <v>0</v>
      </c>
      <c r="J41" s="369">
        <v>0</v>
      </c>
      <c r="K41" s="369">
        <v>0</v>
      </c>
      <c r="L41" s="369">
        <v>0</v>
      </c>
      <c r="M41" s="369">
        <v>0</v>
      </c>
      <c r="N41" s="369">
        <f>SUM(B41:M41)</f>
        <v>20915</v>
      </c>
      <c r="O41" s="353"/>
      <c r="P41" s="369">
        <f>N41+1298853</f>
        <v>1319768</v>
      </c>
      <c r="Q41" s="353"/>
    </row>
    <row r="42" spans="1:17" s="359" customFormat="1" ht="15.75" x14ac:dyDescent="0.25">
      <c r="A42" s="391" t="s">
        <v>229</v>
      </c>
      <c r="B42" s="393">
        <f t="shared" ref="B42:D42" si="8">SUM(B38:B41)</f>
        <v>37100</v>
      </c>
      <c r="C42" s="393">
        <f t="shared" si="8"/>
        <v>0</v>
      </c>
      <c r="D42" s="393">
        <f t="shared" si="8"/>
        <v>0</v>
      </c>
      <c r="E42" s="393">
        <f t="shared" ref="E42:M42" si="9">SUM(E38:E41)</f>
        <v>0</v>
      </c>
      <c r="F42" s="393">
        <f t="shared" si="9"/>
        <v>0</v>
      </c>
      <c r="G42" s="393">
        <f t="shared" si="9"/>
        <v>0</v>
      </c>
      <c r="H42" s="393">
        <f t="shared" si="9"/>
        <v>0</v>
      </c>
      <c r="I42" s="393">
        <f t="shared" si="9"/>
        <v>0</v>
      </c>
      <c r="J42" s="393">
        <f t="shared" si="9"/>
        <v>0</v>
      </c>
      <c r="K42" s="393">
        <f t="shared" si="9"/>
        <v>0</v>
      </c>
      <c r="L42" s="393">
        <f t="shared" si="9"/>
        <v>0</v>
      </c>
      <c r="M42" s="393">
        <f t="shared" si="9"/>
        <v>0</v>
      </c>
      <c r="N42" s="393">
        <f>SUM(N38:N41)</f>
        <v>37100</v>
      </c>
      <c r="O42" s="393">
        <f>SUM(O38:O41)</f>
        <v>0</v>
      </c>
      <c r="P42" s="393">
        <f>SUM(P38:P41)</f>
        <v>1742387</v>
      </c>
      <c r="Q42" s="392"/>
    </row>
    <row r="43" spans="1:17" s="359" customFormat="1" x14ac:dyDescent="0.2"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</row>
    <row r="44" spans="1:17" s="359" customFormat="1" x14ac:dyDescent="0.2"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</row>
    <row r="45" spans="1:17" x14ac:dyDescent="0.2">
      <c r="A45" s="397" t="s">
        <v>25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</row>
    <row r="46" spans="1:17" ht="30" customHeight="1" x14ac:dyDescent="0.2">
      <c r="A46" s="450" t="s">
        <v>238</v>
      </c>
      <c r="B46" s="450"/>
      <c r="C46" s="450"/>
      <c r="D46" s="450"/>
      <c r="N46" s="369"/>
      <c r="O46" s="369"/>
      <c r="P46" s="369"/>
      <c r="Q46" s="369"/>
    </row>
    <row r="47" spans="1:17" s="352" customFormat="1" ht="14.25" x14ac:dyDescent="0.2">
      <c r="A47" s="449" t="s">
        <v>239</v>
      </c>
      <c r="B47" s="450"/>
      <c r="C47" s="450"/>
      <c r="D47" s="450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</row>
    <row r="48" spans="1:17" ht="14.25" x14ac:dyDescent="0.2">
      <c r="A48" s="449" t="s">
        <v>240</v>
      </c>
      <c r="B48" s="450"/>
      <c r="C48" s="450"/>
      <c r="D48" s="450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</row>
    <row r="49" spans="1:17" ht="14.25" x14ac:dyDescent="0.2">
      <c r="A49" s="449" t="s">
        <v>241</v>
      </c>
      <c r="B49" s="450"/>
      <c r="C49" s="450"/>
      <c r="D49" s="450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</row>
    <row r="50" spans="1:17" x14ac:dyDescent="0.2">
      <c r="A50" s="352"/>
      <c r="B50" s="399"/>
      <c r="C50" s="399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</row>
    <row r="51" spans="1:17" x14ac:dyDescent="0.2">
      <c r="A51" s="400"/>
      <c r="B51" s="399"/>
      <c r="C51" s="399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</row>
    <row r="52" spans="1:17" x14ac:dyDescent="0.2">
      <c r="A52" s="352"/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</row>
    <row r="53" spans="1:17" x14ac:dyDescent="0.2">
      <c r="A53" s="352"/>
      <c r="B53" s="352"/>
      <c r="C53" s="352"/>
      <c r="D53" s="401"/>
      <c r="E53" s="404"/>
      <c r="F53" s="369"/>
      <c r="G53" s="352"/>
      <c r="H53" s="352"/>
      <c r="I53" s="352"/>
      <c r="J53" s="352"/>
      <c r="K53" s="352"/>
      <c r="M53" s="352"/>
    </row>
    <row r="54" spans="1:17" x14ac:dyDescent="0.2">
      <c r="A54" s="352"/>
      <c r="B54" s="352"/>
      <c r="C54" s="352"/>
      <c r="D54" s="401"/>
      <c r="E54" s="404"/>
      <c r="F54" s="369"/>
      <c r="G54" s="352"/>
      <c r="H54" s="352"/>
      <c r="I54" s="352"/>
      <c r="J54" s="352"/>
      <c r="K54" s="352"/>
      <c r="M54" s="352"/>
    </row>
    <row r="55" spans="1:17" x14ac:dyDescent="0.2">
      <c r="A55" s="352"/>
      <c r="B55" s="352"/>
      <c r="C55" s="352"/>
      <c r="D55" s="352"/>
      <c r="E55" s="404"/>
      <c r="F55" s="352"/>
      <c r="G55" s="352"/>
      <c r="H55" s="352"/>
      <c r="I55" s="352"/>
      <c r="J55" s="352"/>
      <c r="K55" s="352"/>
      <c r="M55" s="352"/>
    </row>
    <row r="56" spans="1:17" x14ac:dyDescent="0.2">
      <c r="B56" s="352"/>
      <c r="C56" s="352"/>
      <c r="D56" s="369"/>
      <c r="E56" s="404"/>
      <c r="F56" s="369"/>
      <c r="G56" s="352"/>
      <c r="H56" s="352"/>
      <c r="I56" s="352"/>
      <c r="J56" s="352"/>
      <c r="K56" s="352"/>
      <c r="M56" s="352"/>
    </row>
    <row r="57" spans="1:17" x14ac:dyDescent="0.2">
      <c r="B57" s="352"/>
      <c r="C57" s="352"/>
      <c r="D57" s="369"/>
      <c r="E57" s="404"/>
      <c r="F57" s="369"/>
      <c r="G57" s="352"/>
      <c r="H57" s="352"/>
      <c r="I57" s="352"/>
      <c r="J57" s="352"/>
      <c r="K57" s="352"/>
      <c r="M57" s="352"/>
    </row>
    <row r="58" spans="1:17" x14ac:dyDescent="0.2">
      <c r="D58" s="402"/>
      <c r="E58" s="405"/>
      <c r="F58" s="402"/>
    </row>
    <row r="59" spans="1:17" x14ac:dyDescent="0.2">
      <c r="D59" s="402"/>
      <c r="E59" s="405"/>
      <c r="F59" s="402"/>
    </row>
    <row r="60" spans="1:17" x14ac:dyDescent="0.2">
      <c r="D60" s="402"/>
      <c r="E60" s="405"/>
      <c r="F60" s="402"/>
    </row>
    <row r="61" spans="1:17" x14ac:dyDescent="0.2">
      <c r="E61" s="403"/>
      <c r="F61" s="402"/>
    </row>
  </sheetData>
  <mergeCells count="7">
    <mergeCell ref="A49:D49"/>
    <mergeCell ref="N2:N3"/>
    <mergeCell ref="P2:P3"/>
    <mergeCell ref="Q2:Q3"/>
    <mergeCell ref="A46:D46"/>
    <mergeCell ref="A47:D47"/>
    <mergeCell ref="A48:D48"/>
  </mergeCells>
  <pageMargins left="0.75" right="0.75" top="1" bottom="1" header="0.5" footer="0.5"/>
  <pageSetup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1"/>
  <sheetViews>
    <sheetView zoomScaleNormal="100" workbookViewId="0">
      <selection activeCell="A13" sqref="A13"/>
    </sheetView>
  </sheetViews>
  <sheetFormatPr defaultRowHeight="12.75" x14ac:dyDescent="0.2"/>
  <cols>
    <col min="1" max="1" width="29.28515625" style="7" customWidth="1"/>
    <col min="2" max="2" width="15" style="7" customWidth="1"/>
    <col min="3" max="3" width="58.42578125" style="7" customWidth="1"/>
    <col min="4" max="4" width="10.85546875" style="7" customWidth="1"/>
    <col min="5" max="5" width="78.140625" style="7" customWidth="1"/>
    <col min="6" max="16384" width="9.140625" style="7"/>
  </cols>
  <sheetData>
    <row r="1" spans="1:5" x14ac:dyDescent="0.2">
      <c r="A1" s="9" t="s">
        <v>50</v>
      </c>
      <c r="B1" s="8"/>
      <c r="C1" s="8"/>
    </row>
    <row r="3" spans="1:5" s="9" customFormat="1" x14ac:dyDescent="0.2">
      <c r="A3" s="9" t="s">
        <v>51</v>
      </c>
      <c r="B3" s="9" t="s">
        <v>52</v>
      </c>
    </row>
    <row r="4" spans="1:5" s="9" customFormat="1" x14ac:dyDescent="0.2">
      <c r="B4" s="9" t="s">
        <v>53</v>
      </c>
    </row>
    <row r="7" spans="1:5" s="10" customFormat="1" x14ac:dyDescent="0.2">
      <c r="A7" s="11" t="s">
        <v>57</v>
      </c>
      <c r="B7" s="11" t="s">
        <v>54</v>
      </c>
      <c r="C7" s="11" t="s">
        <v>56</v>
      </c>
      <c r="D7" s="11" t="s">
        <v>19</v>
      </c>
      <c r="E7" s="11" t="s">
        <v>55</v>
      </c>
    </row>
    <row r="8" spans="1:5" s="10" customFormat="1" x14ac:dyDescent="0.2">
      <c r="A8" s="350" t="s">
        <v>200</v>
      </c>
      <c r="B8" s="13">
        <v>-6400000</v>
      </c>
      <c r="C8" s="12" t="s">
        <v>31</v>
      </c>
      <c r="D8" s="14">
        <v>41053</v>
      </c>
      <c r="E8" s="12" t="s">
        <v>202</v>
      </c>
    </row>
    <row r="9" spans="1:5" s="10" customFormat="1" x14ac:dyDescent="0.2">
      <c r="A9" s="11"/>
      <c r="B9" s="13">
        <v>6400000</v>
      </c>
      <c r="C9" s="12" t="s">
        <v>201</v>
      </c>
      <c r="D9" s="14">
        <v>41053</v>
      </c>
      <c r="E9" s="12" t="s">
        <v>202</v>
      </c>
    </row>
    <row r="10" spans="1:5" x14ac:dyDescent="0.2">
      <c r="A10" s="12" t="s">
        <v>197</v>
      </c>
      <c r="B10" s="13">
        <v>-1800000</v>
      </c>
      <c r="C10" s="12" t="s">
        <v>99</v>
      </c>
      <c r="D10" s="14">
        <v>41104</v>
      </c>
      <c r="E10" s="12" t="s">
        <v>199</v>
      </c>
    </row>
    <row r="11" spans="1:5" x14ac:dyDescent="0.2">
      <c r="A11" s="12"/>
      <c r="B11" s="13">
        <v>1800000</v>
      </c>
      <c r="C11" s="12" t="s">
        <v>198</v>
      </c>
      <c r="D11" s="14">
        <v>41104</v>
      </c>
      <c r="E11" s="12" t="s">
        <v>199</v>
      </c>
    </row>
    <row r="12" spans="1:5" x14ac:dyDescent="0.2">
      <c r="A12" s="12" t="s">
        <v>248</v>
      </c>
      <c r="B12" s="13">
        <v>-100000</v>
      </c>
      <c r="C12" s="12" t="s">
        <v>249</v>
      </c>
      <c r="D12" s="14">
        <v>41183</v>
      </c>
      <c r="E12" s="12" t="s">
        <v>251</v>
      </c>
    </row>
    <row r="13" spans="1:5" x14ac:dyDescent="0.2">
      <c r="A13" s="12"/>
      <c r="B13" s="13">
        <v>100000</v>
      </c>
      <c r="C13" s="12" t="s">
        <v>250</v>
      </c>
      <c r="D13" s="14">
        <v>41183</v>
      </c>
      <c r="E13" s="12" t="s">
        <v>251</v>
      </c>
    </row>
    <row r="14" spans="1:5" x14ac:dyDescent="0.2">
      <c r="A14" s="15"/>
      <c r="B14" s="16"/>
      <c r="C14" s="12"/>
      <c r="D14" s="14"/>
      <c r="E14" s="12"/>
    </row>
    <row r="15" spans="1:5" x14ac:dyDescent="0.2">
      <c r="A15" s="17" t="s">
        <v>58</v>
      </c>
      <c r="B15" s="18">
        <f>SUM(B10:B14)</f>
        <v>0</v>
      </c>
      <c r="C15" s="15"/>
      <c r="D15" s="15"/>
      <c r="E15" s="15"/>
    </row>
    <row r="16" spans="1:5" x14ac:dyDescent="0.2">
      <c r="A16" s="15"/>
      <c r="B16" s="15"/>
      <c r="C16" s="15"/>
      <c r="D16" s="15"/>
      <c r="E16" s="15"/>
    </row>
    <row r="18" spans="1:5" x14ac:dyDescent="0.2">
      <c r="A18" s="8" t="s">
        <v>25</v>
      </c>
      <c r="B18" s="8" t="s">
        <v>59</v>
      </c>
    </row>
    <row r="24" spans="1:5" ht="15" x14ac:dyDescent="0.25">
      <c r="E24" s="435"/>
    </row>
    <row r="31" spans="1:5" x14ac:dyDescent="0.2">
      <c r="C31" s="8"/>
    </row>
  </sheetData>
  <phoneticPr fontId="31" type="noConversion"/>
  <pageMargins left="0.75" right="0.75" top="1" bottom="1" header="0.5" footer="0.5"/>
  <pageSetup scale="50" orientation="landscape" r:id="rId1"/>
  <headerFooter alignWithMargins="0">
    <oddHeader>&amp;C&amp;"Arial,Bold"SDGE
FUND SHIFTING
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"/>
  <sheetViews>
    <sheetView view="pageBreakPreview" zoomScale="75" zoomScaleNormal="75" zoomScaleSheetLayoutView="75" workbookViewId="0">
      <pane ySplit="3" topLeftCell="A4" activePane="bottomLeft" state="frozen"/>
      <selection pane="bottomLeft" activeCell="B5" sqref="B5"/>
    </sheetView>
  </sheetViews>
  <sheetFormatPr defaultRowHeight="14.1" customHeight="1" x14ac:dyDescent="0.2"/>
  <cols>
    <col min="1" max="1" width="34.7109375" style="429" bestFit="1" customWidth="1"/>
    <col min="2" max="2" width="15.28515625" style="427" customWidth="1"/>
    <col min="3" max="3" width="15.7109375" style="428" customWidth="1"/>
    <col min="4" max="4" width="26.5703125" style="429" customWidth="1"/>
    <col min="5" max="5" width="20.7109375" style="430" bestFit="1" customWidth="1"/>
    <col min="6" max="6" width="18.7109375" style="429" bestFit="1" customWidth="1"/>
    <col min="7" max="7" width="37" style="429" customWidth="1"/>
    <col min="8" max="16384" width="9.140625" style="431"/>
  </cols>
  <sheetData>
    <row r="1" spans="1:7" ht="14.1" customHeight="1" x14ac:dyDescent="0.2">
      <c r="A1" s="427" t="s">
        <v>63</v>
      </c>
    </row>
    <row r="2" spans="1:7" ht="14.1" customHeight="1" x14ac:dyDescent="0.2">
      <c r="A2" s="427" t="s">
        <v>57</v>
      </c>
      <c r="B2" s="427" t="s">
        <v>33</v>
      </c>
      <c r="C2" s="428" t="s">
        <v>19</v>
      </c>
      <c r="D2" s="429" t="s">
        <v>26</v>
      </c>
      <c r="E2" s="430" t="s">
        <v>159</v>
      </c>
      <c r="F2" s="429" t="s">
        <v>24</v>
      </c>
      <c r="G2" s="429" t="s">
        <v>160</v>
      </c>
    </row>
    <row r="3" spans="1:7" ht="14.1" customHeight="1" x14ac:dyDescent="0.2">
      <c r="A3" s="432" t="s">
        <v>158</v>
      </c>
      <c r="B3" s="432" t="s">
        <v>76</v>
      </c>
      <c r="C3" s="433">
        <v>41275</v>
      </c>
      <c r="D3" s="245" t="s">
        <v>158</v>
      </c>
      <c r="E3" s="434" t="s">
        <v>76</v>
      </c>
      <c r="F3" s="245" t="s">
        <v>76</v>
      </c>
      <c r="G3" s="245" t="s">
        <v>158</v>
      </c>
    </row>
  </sheetData>
  <phoneticPr fontId="0" type="noConversion"/>
  <printOptions horizontalCentered="1" gridLines="1"/>
  <pageMargins left="0.7" right="0.7" top="0.75" bottom="0.75" header="0.3" footer="0.3"/>
  <pageSetup scale="64" fitToWidth="0" fitToHeight="0" orientation="landscape" blackAndWhite="1" r:id="rId1"/>
  <headerFooter alignWithMargins="0">
    <oddHeader>&amp;C&amp;"Arial,Bold"SDGE Interruptible and Price Responsive Programs
 2013 Event Summary</oddHeader>
    <oddFooter>&amp;L&amp;F&amp;R&amp;D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71"/>
  <sheetViews>
    <sheetView view="pageBreakPreview" zoomScale="75" zoomScaleNormal="100" zoomScaleSheetLayoutView="75" workbookViewId="0">
      <pane xSplit="1" ySplit="3" topLeftCell="B4" activePane="bottomRight" state="frozen"/>
      <selection activeCell="I16" sqref="I16"/>
      <selection pane="topRight" activeCell="I16" sqref="I16"/>
      <selection pane="bottomLeft" activeCell="I16" sqref="I16"/>
      <selection pane="bottomRight" activeCell="D69" sqref="D69"/>
    </sheetView>
  </sheetViews>
  <sheetFormatPr defaultColWidth="17" defaultRowHeight="12.75" x14ac:dyDescent="0.2"/>
  <cols>
    <col min="1" max="1" width="42.5703125" style="235" customWidth="1"/>
    <col min="2" max="9" width="11.7109375" style="235" customWidth="1"/>
    <col min="10" max="10" width="11.7109375" style="236" customWidth="1"/>
    <col min="11" max="11" width="11.7109375" style="235" customWidth="1"/>
    <col min="12" max="12" width="12.28515625" style="235" customWidth="1"/>
    <col min="13" max="13" width="11.7109375" style="235" customWidth="1"/>
    <col min="14" max="14" width="12.7109375" style="235" customWidth="1"/>
    <col min="15" max="15" width="12.85546875" style="235" customWidth="1"/>
    <col min="16" max="16" width="12.42578125" style="235" customWidth="1"/>
    <col min="17" max="16384" width="17" style="235"/>
  </cols>
  <sheetData>
    <row r="1" spans="1:16" ht="13.5" thickBot="1" x14ac:dyDescent="0.25"/>
    <row r="2" spans="1:16" x14ac:dyDescent="0.2">
      <c r="A2" s="237"/>
      <c r="B2" s="238"/>
      <c r="C2" s="238"/>
      <c r="D2" s="238"/>
      <c r="E2" s="238"/>
      <c r="F2" s="238"/>
      <c r="G2" s="238"/>
      <c r="H2" s="238"/>
      <c r="I2" s="238"/>
      <c r="J2" s="239"/>
      <c r="K2" s="238"/>
      <c r="L2" s="238"/>
      <c r="M2" s="238"/>
      <c r="N2" s="238"/>
      <c r="O2" s="238"/>
      <c r="P2" s="240"/>
    </row>
    <row r="3" spans="1:16" ht="25.5" x14ac:dyDescent="0.2">
      <c r="A3" s="241" t="s">
        <v>17</v>
      </c>
      <c r="B3" s="242" t="s">
        <v>0</v>
      </c>
      <c r="C3" s="242" t="s">
        <v>1</v>
      </c>
      <c r="D3" s="242" t="s">
        <v>2</v>
      </c>
      <c r="E3" s="242" t="s">
        <v>3</v>
      </c>
      <c r="F3" s="242" t="s">
        <v>4</v>
      </c>
      <c r="G3" s="242" t="s">
        <v>5</v>
      </c>
      <c r="H3" s="242" t="s">
        <v>6</v>
      </c>
      <c r="I3" s="242" t="s">
        <v>7</v>
      </c>
      <c r="J3" s="243" t="s">
        <v>8</v>
      </c>
      <c r="K3" s="242" t="s">
        <v>9</v>
      </c>
      <c r="L3" s="242" t="s">
        <v>10</v>
      </c>
      <c r="M3" s="242" t="s">
        <v>11</v>
      </c>
      <c r="N3" s="244" t="s">
        <v>97</v>
      </c>
      <c r="O3" s="245"/>
      <c r="P3" s="246" t="s">
        <v>98</v>
      </c>
    </row>
    <row r="4" spans="1:16" x14ac:dyDescent="0.2">
      <c r="A4" s="247"/>
      <c r="B4" s="248"/>
      <c r="C4" s="248"/>
      <c r="D4" s="248"/>
      <c r="E4" s="248"/>
      <c r="F4" s="248"/>
      <c r="G4" s="248"/>
      <c r="H4" s="248"/>
      <c r="I4" s="248"/>
      <c r="J4" s="249"/>
      <c r="K4" s="248"/>
      <c r="L4" s="248"/>
      <c r="M4" s="248"/>
      <c r="N4" s="250"/>
      <c r="O4" s="251"/>
      <c r="P4" s="252"/>
    </row>
    <row r="5" spans="1:16" x14ac:dyDescent="0.2">
      <c r="A5" s="253" t="s">
        <v>81</v>
      </c>
      <c r="B5" s="248"/>
      <c r="C5" s="248"/>
      <c r="D5" s="248"/>
      <c r="E5" s="248"/>
      <c r="F5" s="248"/>
      <c r="G5" s="248"/>
      <c r="H5" s="248"/>
      <c r="I5" s="248"/>
      <c r="J5" s="249"/>
      <c r="K5" s="248"/>
      <c r="L5" s="248"/>
      <c r="M5" s="248"/>
      <c r="N5" s="254"/>
      <c r="O5" s="251"/>
      <c r="P5" s="252"/>
    </row>
    <row r="6" spans="1:16" x14ac:dyDescent="0.2">
      <c r="A6" s="255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7"/>
      <c r="M6" s="256"/>
      <c r="N6" s="258"/>
      <c r="O6" s="259"/>
      <c r="P6" s="260"/>
    </row>
    <row r="7" spans="1:16" x14ac:dyDescent="0.2">
      <c r="A7" s="255" t="s">
        <v>31</v>
      </c>
      <c r="B7" s="256">
        <v>42.655000000000001</v>
      </c>
      <c r="C7" s="256">
        <v>0</v>
      </c>
      <c r="D7" s="256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7">
        <v>0</v>
      </c>
      <c r="M7" s="256">
        <v>0</v>
      </c>
      <c r="N7" s="258">
        <f t="shared" ref="N7:N37" si="0">SUM(B7:M7)</f>
        <v>42.655000000000001</v>
      </c>
      <c r="O7" s="261">
        <v>0</v>
      </c>
      <c r="P7" s="260" t="s">
        <v>76</v>
      </c>
    </row>
    <row r="8" spans="1:16" x14ac:dyDescent="0.2">
      <c r="A8" s="255" t="s">
        <v>99</v>
      </c>
      <c r="B8" s="256">
        <v>1.59</v>
      </c>
      <c r="C8" s="256">
        <v>0</v>
      </c>
      <c r="D8" s="256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7">
        <v>0</v>
      </c>
      <c r="M8" s="256">
        <v>0</v>
      </c>
      <c r="N8" s="258">
        <f t="shared" si="0"/>
        <v>1.59</v>
      </c>
      <c r="O8" s="259">
        <v>0</v>
      </c>
      <c r="P8" s="260" t="s">
        <v>76</v>
      </c>
    </row>
    <row r="9" spans="1:16" x14ac:dyDescent="0.2">
      <c r="A9" s="255" t="s">
        <v>147</v>
      </c>
      <c r="B9" s="256">
        <v>0</v>
      </c>
      <c r="C9" s="256">
        <v>0</v>
      </c>
      <c r="D9" s="256">
        <v>0</v>
      </c>
      <c r="E9" s="256">
        <v>0</v>
      </c>
      <c r="F9" s="256">
        <v>0</v>
      </c>
      <c r="G9" s="256">
        <v>0</v>
      </c>
      <c r="H9" s="256">
        <v>0</v>
      </c>
      <c r="I9" s="256">
        <v>0</v>
      </c>
      <c r="J9" s="256">
        <v>0</v>
      </c>
      <c r="K9" s="256">
        <v>0</v>
      </c>
      <c r="L9" s="257">
        <v>0</v>
      </c>
      <c r="M9" s="256">
        <v>0</v>
      </c>
      <c r="N9" s="258">
        <f t="shared" si="0"/>
        <v>0</v>
      </c>
      <c r="O9" s="259">
        <v>0</v>
      </c>
      <c r="P9" s="260" t="s">
        <v>76</v>
      </c>
    </row>
    <row r="10" spans="1:16" x14ac:dyDescent="0.2">
      <c r="A10" s="255" t="s">
        <v>100</v>
      </c>
      <c r="B10" s="256">
        <v>0.78700000000000003</v>
      </c>
      <c r="C10" s="256">
        <v>0</v>
      </c>
      <c r="D10" s="256">
        <v>0</v>
      </c>
      <c r="E10" s="256">
        <v>0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7">
        <v>0</v>
      </c>
      <c r="M10" s="256">
        <v>0</v>
      </c>
      <c r="N10" s="258">
        <f t="shared" si="0"/>
        <v>0.78700000000000003</v>
      </c>
      <c r="O10" s="259">
        <v>0</v>
      </c>
      <c r="P10" s="260" t="s">
        <v>76</v>
      </c>
    </row>
    <row r="11" spans="1:16" x14ac:dyDescent="0.2">
      <c r="A11" s="255" t="s">
        <v>101</v>
      </c>
      <c r="B11" s="256">
        <v>25.542000000000002</v>
      </c>
      <c r="C11" s="256">
        <v>0</v>
      </c>
      <c r="D11" s="256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7">
        <v>0</v>
      </c>
      <c r="M11" s="256">
        <v>0</v>
      </c>
      <c r="N11" s="258">
        <f t="shared" si="0"/>
        <v>25.542000000000002</v>
      </c>
      <c r="O11" s="259">
        <v>0</v>
      </c>
      <c r="P11" s="260" t="s">
        <v>76</v>
      </c>
    </row>
    <row r="12" spans="1:16" x14ac:dyDescent="0.2">
      <c r="A12" s="255" t="s">
        <v>102</v>
      </c>
      <c r="B12" s="256">
        <v>77.116</v>
      </c>
      <c r="C12" s="256">
        <v>0</v>
      </c>
      <c r="D12" s="256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7">
        <v>0</v>
      </c>
      <c r="M12" s="256">
        <v>0</v>
      </c>
      <c r="N12" s="258">
        <f t="shared" si="0"/>
        <v>77.116</v>
      </c>
      <c r="O12" s="259">
        <v>0</v>
      </c>
      <c r="P12" s="260" t="s">
        <v>76</v>
      </c>
    </row>
    <row r="13" spans="1:16" x14ac:dyDescent="0.2">
      <c r="A13" s="255" t="s">
        <v>103</v>
      </c>
      <c r="B13" s="256">
        <v>-1.58</v>
      </c>
      <c r="C13" s="256">
        <v>0</v>
      </c>
      <c r="D13" s="256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7">
        <v>0</v>
      </c>
      <c r="M13" s="256">
        <v>0</v>
      </c>
      <c r="N13" s="258">
        <f t="shared" si="0"/>
        <v>-1.58</v>
      </c>
      <c r="O13" s="259">
        <v>0</v>
      </c>
      <c r="P13" s="260" t="s">
        <v>76</v>
      </c>
    </row>
    <row r="14" spans="1:16" x14ac:dyDescent="0.2">
      <c r="A14" s="255" t="s">
        <v>104</v>
      </c>
      <c r="B14" s="256">
        <v>-40.521000000000001</v>
      </c>
      <c r="C14" s="256">
        <v>0</v>
      </c>
      <c r="D14" s="256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7">
        <v>0</v>
      </c>
      <c r="M14" s="256">
        <v>0</v>
      </c>
      <c r="N14" s="258">
        <f t="shared" si="0"/>
        <v>-40.521000000000001</v>
      </c>
      <c r="O14" s="259">
        <v>0</v>
      </c>
      <c r="P14" s="260" t="s">
        <v>76</v>
      </c>
    </row>
    <row r="15" spans="1:16" x14ac:dyDescent="0.2">
      <c r="A15" s="255" t="s">
        <v>165</v>
      </c>
      <c r="B15" s="256">
        <f>26.766+7.404</f>
        <v>34.17</v>
      </c>
      <c r="C15" s="256">
        <v>0</v>
      </c>
      <c r="D15" s="256">
        <v>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6">
        <v>0</v>
      </c>
      <c r="L15" s="257">
        <v>0</v>
      </c>
      <c r="M15" s="256">
        <v>0</v>
      </c>
      <c r="N15" s="258">
        <f t="shared" si="0"/>
        <v>34.17</v>
      </c>
      <c r="O15" s="259">
        <v>0</v>
      </c>
      <c r="P15" s="260" t="s">
        <v>76</v>
      </c>
    </row>
    <row r="16" spans="1:16" x14ac:dyDescent="0.2">
      <c r="A16" s="255" t="s">
        <v>105</v>
      </c>
      <c r="B16" s="256">
        <v>89.881</v>
      </c>
      <c r="C16" s="256">
        <v>0</v>
      </c>
      <c r="D16" s="256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7">
        <v>0</v>
      </c>
      <c r="M16" s="256">
        <v>0</v>
      </c>
      <c r="N16" s="258">
        <f t="shared" si="0"/>
        <v>89.881</v>
      </c>
      <c r="O16" s="259">
        <v>0</v>
      </c>
      <c r="P16" s="260" t="s">
        <v>76</v>
      </c>
    </row>
    <row r="17" spans="1:18" x14ac:dyDescent="0.2">
      <c r="A17" s="255" t="s">
        <v>172</v>
      </c>
      <c r="B17" s="256">
        <v>41.667000000000002</v>
      </c>
      <c r="C17" s="256">
        <v>0</v>
      </c>
      <c r="D17" s="256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7">
        <v>0</v>
      </c>
      <c r="M17" s="256">
        <v>0</v>
      </c>
      <c r="N17" s="258">
        <f t="shared" si="0"/>
        <v>41.667000000000002</v>
      </c>
      <c r="O17" s="259">
        <v>0</v>
      </c>
      <c r="P17" s="260" t="s">
        <v>76</v>
      </c>
    </row>
    <row r="18" spans="1:18" x14ac:dyDescent="0.2">
      <c r="A18" s="255" t="s">
        <v>170</v>
      </c>
      <c r="B18" s="256">
        <v>9.6690000000000005</v>
      </c>
      <c r="C18" s="256">
        <v>0</v>
      </c>
      <c r="D18" s="256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7">
        <v>0</v>
      </c>
      <c r="M18" s="256">
        <v>0</v>
      </c>
      <c r="N18" s="258">
        <f t="shared" si="0"/>
        <v>9.6690000000000005</v>
      </c>
      <c r="O18" s="259">
        <v>0</v>
      </c>
      <c r="P18" s="260" t="s">
        <v>76</v>
      </c>
    </row>
    <row r="19" spans="1:18" x14ac:dyDescent="0.2">
      <c r="A19" s="255" t="s">
        <v>203</v>
      </c>
      <c r="B19" s="256">
        <v>5.9429999999999996</v>
      </c>
      <c r="C19" s="256">
        <v>0</v>
      </c>
      <c r="D19" s="256">
        <v>0</v>
      </c>
      <c r="E19" s="256">
        <v>0</v>
      </c>
      <c r="F19" s="256">
        <v>0</v>
      </c>
      <c r="G19" s="256">
        <v>0</v>
      </c>
      <c r="H19" s="256">
        <v>0</v>
      </c>
      <c r="I19" s="256">
        <v>0</v>
      </c>
      <c r="J19" s="256">
        <v>0</v>
      </c>
      <c r="K19" s="256">
        <v>0</v>
      </c>
      <c r="L19" s="257">
        <v>0</v>
      </c>
      <c r="M19" s="256">
        <v>0</v>
      </c>
      <c r="N19" s="258">
        <f>SUM(B19:M19)</f>
        <v>5.9429999999999996</v>
      </c>
      <c r="O19" s="259">
        <v>0</v>
      </c>
      <c r="P19" s="260" t="s">
        <v>76</v>
      </c>
    </row>
    <row r="20" spans="1:18" x14ac:dyDescent="0.2">
      <c r="A20" s="255" t="s">
        <v>193</v>
      </c>
      <c r="B20" s="256">
        <v>5.7670000000000003</v>
      </c>
      <c r="C20" s="256">
        <v>0</v>
      </c>
      <c r="D20" s="256">
        <v>0</v>
      </c>
      <c r="E20" s="256">
        <v>0</v>
      </c>
      <c r="F20" s="256">
        <v>0</v>
      </c>
      <c r="G20" s="256">
        <v>0</v>
      </c>
      <c r="H20" s="256">
        <v>0</v>
      </c>
      <c r="I20" s="256">
        <v>0</v>
      </c>
      <c r="J20" s="256">
        <v>0</v>
      </c>
      <c r="K20" s="256">
        <v>0</v>
      </c>
      <c r="L20" s="257">
        <v>0</v>
      </c>
      <c r="M20" s="256">
        <v>0</v>
      </c>
      <c r="N20" s="258">
        <f t="shared" si="0"/>
        <v>5.7670000000000003</v>
      </c>
      <c r="O20" s="259">
        <v>0</v>
      </c>
      <c r="P20" s="260" t="s">
        <v>76</v>
      </c>
    </row>
    <row r="21" spans="1:18" x14ac:dyDescent="0.2">
      <c r="A21" s="255" t="s">
        <v>194</v>
      </c>
      <c r="B21" s="256">
        <v>0.23</v>
      </c>
      <c r="C21" s="256">
        <v>0</v>
      </c>
      <c r="D21" s="256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7">
        <v>0</v>
      </c>
      <c r="M21" s="256">
        <v>0</v>
      </c>
      <c r="N21" s="258">
        <f t="shared" si="0"/>
        <v>0.23</v>
      </c>
      <c r="O21" s="259">
        <v>0</v>
      </c>
      <c r="P21" s="260" t="s">
        <v>76</v>
      </c>
    </row>
    <row r="22" spans="1:18" x14ac:dyDescent="0.2">
      <c r="A22" s="255" t="s">
        <v>195</v>
      </c>
      <c r="B22" s="256">
        <v>5.0869999999999997</v>
      </c>
      <c r="C22" s="256">
        <v>0</v>
      </c>
      <c r="D22" s="256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7">
        <v>0</v>
      </c>
      <c r="M22" s="256">
        <v>0</v>
      </c>
      <c r="N22" s="258">
        <f t="shared" si="0"/>
        <v>5.0869999999999997</v>
      </c>
      <c r="O22" s="259">
        <v>0</v>
      </c>
      <c r="P22" s="260" t="s">
        <v>76</v>
      </c>
    </row>
    <row r="23" spans="1:18" x14ac:dyDescent="0.2">
      <c r="A23" s="255" t="s">
        <v>161</v>
      </c>
      <c r="B23" s="256">
        <v>-1.8129999999999999</v>
      </c>
      <c r="C23" s="256">
        <v>0</v>
      </c>
      <c r="D23" s="256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7">
        <v>0</v>
      </c>
      <c r="M23" s="256">
        <v>0</v>
      </c>
      <c r="N23" s="258">
        <f t="shared" si="0"/>
        <v>-1.8129999999999999</v>
      </c>
      <c r="O23" s="259">
        <v>0</v>
      </c>
      <c r="P23" s="260" t="s">
        <v>76</v>
      </c>
    </row>
    <row r="24" spans="1:18" s="262" customFormat="1" x14ac:dyDescent="0.2">
      <c r="A24" s="255" t="s">
        <v>106</v>
      </c>
      <c r="B24" s="256">
        <v>0.115</v>
      </c>
      <c r="C24" s="256">
        <v>0</v>
      </c>
      <c r="D24" s="256">
        <v>0</v>
      </c>
      <c r="E24" s="256">
        <v>0</v>
      </c>
      <c r="F24" s="256">
        <v>0</v>
      </c>
      <c r="G24" s="256">
        <v>0</v>
      </c>
      <c r="H24" s="256">
        <v>0</v>
      </c>
      <c r="I24" s="256">
        <v>0</v>
      </c>
      <c r="J24" s="256">
        <v>0</v>
      </c>
      <c r="K24" s="256">
        <v>0</v>
      </c>
      <c r="L24" s="257">
        <v>0</v>
      </c>
      <c r="M24" s="256">
        <v>0</v>
      </c>
      <c r="N24" s="258">
        <f t="shared" si="0"/>
        <v>0.115</v>
      </c>
      <c r="O24" s="259">
        <v>0</v>
      </c>
      <c r="P24" s="260" t="s">
        <v>76</v>
      </c>
      <c r="Q24" s="235"/>
      <c r="R24" s="235"/>
    </row>
    <row r="25" spans="1:18" s="262" customFormat="1" x14ac:dyDescent="0.2">
      <c r="A25" s="255" t="s">
        <v>107</v>
      </c>
      <c r="B25" s="256">
        <v>318.69099999999997</v>
      </c>
      <c r="C25" s="256">
        <v>0</v>
      </c>
      <c r="D25" s="256">
        <v>0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7">
        <v>0</v>
      </c>
      <c r="M25" s="256">
        <v>0</v>
      </c>
      <c r="N25" s="258">
        <f t="shared" si="0"/>
        <v>318.69099999999997</v>
      </c>
      <c r="O25" s="259">
        <v>0</v>
      </c>
      <c r="P25" s="260" t="s">
        <v>76</v>
      </c>
      <c r="Q25" s="235"/>
      <c r="R25" s="235"/>
    </row>
    <row r="26" spans="1:18" s="262" customFormat="1" x14ac:dyDescent="0.2">
      <c r="A26" s="255" t="s">
        <v>108</v>
      </c>
      <c r="B26" s="256">
        <v>7.8650000000000002</v>
      </c>
      <c r="C26" s="256">
        <v>0</v>
      </c>
      <c r="D26" s="256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0</v>
      </c>
      <c r="J26" s="256">
        <v>0</v>
      </c>
      <c r="K26" s="256">
        <v>0</v>
      </c>
      <c r="L26" s="257">
        <v>0</v>
      </c>
      <c r="M26" s="256">
        <v>0</v>
      </c>
      <c r="N26" s="258">
        <f t="shared" si="0"/>
        <v>7.8650000000000002</v>
      </c>
      <c r="O26" s="259">
        <v>0</v>
      </c>
      <c r="P26" s="260" t="s">
        <v>76</v>
      </c>
      <c r="Q26" s="235"/>
      <c r="R26" s="235"/>
    </row>
    <row r="27" spans="1:18" s="262" customFormat="1" x14ac:dyDescent="0.2">
      <c r="A27" s="255" t="s">
        <v>253</v>
      </c>
      <c r="B27" s="256">
        <v>0</v>
      </c>
      <c r="C27" s="256">
        <v>0</v>
      </c>
      <c r="D27" s="256">
        <v>0</v>
      </c>
      <c r="E27" s="256">
        <v>0</v>
      </c>
      <c r="F27" s="256">
        <v>0</v>
      </c>
      <c r="G27" s="256">
        <v>0</v>
      </c>
      <c r="H27" s="256">
        <v>0</v>
      </c>
      <c r="I27" s="256">
        <v>0</v>
      </c>
      <c r="J27" s="256">
        <v>0</v>
      </c>
      <c r="K27" s="256">
        <v>0</v>
      </c>
      <c r="L27" s="257">
        <v>0</v>
      </c>
      <c r="M27" s="256">
        <v>0</v>
      </c>
      <c r="N27" s="258">
        <f t="shared" si="0"/>
        <v>0</v>
      </c>
      <c r="O27" s="259">
        <v>0</v>
      </c>
      <c r="P27" s="260" t="s">
        <v>76</v>
      </c>
      <c r="Q27" s="235"/>
      <c r="R27" s="235"/>
    </row>
    <row r="28" spans="1:18" s="262" customFormat="1" x14ac:dyDescent="0.2">
      <c r="A28" s="255" t="s">
        <v>254</v>
      </c>
      <c r="B28" s="256">
        <v>0</v>
      </c>
      <c r="C28" s="256">
        <v>0</v>
      </c>
      <c r="D28" s="256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7">
        <v>0</v>
      </c>
      <c r="M28" s="256">
        <v>0</v>
      </c>
      <c r="N28" s="258">
        <f t="shared" si="0"/>
        <v>0</v>
      </c>
      <c r="O28" s="259">
        <v>0</v>
      </c>
      <c r="P28" s="260" t="s">
        <v>76</v>
      </c>
      <c r="Q28" s="235"/>
      <c r="R28" s="235"/>
    </row>
    <row r="29" spans="1:18" s="262" customFormat="1" x14ac:dyDescent="0.2">
      <c r="A29" s="255" t="s">
        <v>255</v>
      </c>
      <c r="B29" s="256">
        <v>0</v>
      </c>
      <c r="C29" s="256">
        <v>0</v>
      </c>
      <c r="D29" s="256">
        <v>0</v>
      </c>
      <c r="E29" s="256">
        <v>0</v>
      </c>
      <c r="F29" s="256">
        <v>0</v>
      </c>
      <c r="G29" s="256">
        <v>0</v>
      </c>
      <c r="H29" s="256">
        <v>0</v>
      </c>
      <c r="I29" s="256">
        <v>0</v>
      </c>
      <c r="J29" s="256">
        <v>0</v>
      </c>
      <c r="K29" s="256">
        <v>0</v>
      </c>
      <c r="L29" s="257">
        <v>0</v>
      </c>
      <c r="M29" s="256">
        <v>0</v>
      </c>
      <c r="N29" s="258">
        <f t="shared" si="0"/>
        <v>0</v>
      </c>
      <c r="O29" s="259">
        <v>0</v>
      </c>
      <c r="P29" s="260" t="s">
        <v>76</v>
      </c>
      <c r="Q29" s="235"/>
      <c r="R29" s="235"/>
    </row>
    <row r="30" spans="1:18" s="262" customFormat="1" x14ac:dyDescent="0.2">
      <c r="A30" s="255" t="s">
        <v>258</v>
      </c>
      <c r="B30" s="256">
        <v>0</v>
      </c>
      <c r="C30" s="256">
        <v>0</v>
      </c>
      <c r="D30" s="256">
        <v>0</v>
      </c>
      <c r="E30" s="256">
        <v>0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6">
        <v>0</v>
      </c>
      <c r="L30" s="257">
        <v>0</v>
      </c>
      <c r="M30" s="256">
        <v>0</v>
      </c>
      <c r="N30" s="258">
        <f t="shared" si="0"/>
        <v>0</v>
      </c>
      <c r="O30" s="259">
        <v>0</v>
      </c>
      <c r="P30" s="260" t="s">
        <v>76</v>
      </c>
      <c r="Q30" s="235"/>
      <c r="R30" s="235"/>
    </row>
    <row r="31" spans="1:18" s="262" customFormat="1" x14ac:dyDescent="0.2">
      <c r="A31" s="255" t="s">
        <v>256</v>
      </c>
      <c r="B31" s="256">
        <v>0</v>
      </c>
      <c r="C31" s="256">
        <v>0</v>
      </c>
      <c r="D31" s="256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7">
        <v>0</v>
      </c>
      <c r="M31" s="256">
        <v>0</v>
      </c>
      <c r="N31" s="258">
        <f t="shared" si="0"/>
        <v>0</v>
      </c>
      <c r="O31" s="259">
        <v>0</v>
      </c>
      <c r="P31" s="260" t="s">
        <v>76</v>
      </c>
      <c r="Q31" s="235"/>
      <c r="R31" s="235"/>
    </row>
    <row r="32" spans="1:18" s="262" customFormat="1" x14ac:dyDescent="0.2">
      <c r="A32" s="255" t="s">
        <v>259</v>
      </c>
      <c r="B32" s="256">
        <v>0</v>
      </c>
      <c r="C32" s="256">
        <v>0</v>
      </c>
      <c r="D32" s="256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7">
        <v>0</v>
      </c>
      <c r="M32" s="256">
        <v>0</v>
      </c>
      <c r="N32" s="258">
        <f t="shared" si="0"/>
        <v>0</v>
      </c>
      <c r="O32" s="259">
        <v>0</v>
      </c>
      <c r="P32" s="260" t="s">
        <v>76</v>
      </c>
      <c r="Q32" s="235"/>
      <c r="R32" s="235"/>
    </row>
    <row r="33" spans="1:18" s="262" customFormat="1" x14ac:dyDescent="0.2">
      <c r="A33" s="255" t="s">
        <v>257</v>
      </c>
      <c r="B33" s="256">
        <v>0</v>
      </c>
      <c r="C33" s="256">
        <v>0</v>
      </c>
      <c r="D33" s="256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7">
        <v>0</v>
      </c>
      <c r="M33" s="256">
        <v>0</v>
      </c>
      <c r="N33" s="258">
        <f t="shared" si="0"/>
        <v>0</v>
      </c>
      <c r="O33" s="259">
        <v>0</v>
      </c>
      <c r="P33" s="260" t="s">
        <v>76</v>
      </c>
      <c r="Q33" s="235"/>
      <c r="R33" s="235"/>
    </row>
    <row r="34" spans="1:18" s="262" customFormat="1" x14ac:dyDescent="0.2">
      <c r="A34" s="255" t="s">
        <v>66</v>
      </c>
      <c r="B34" s="256">
        <v>0.13300000000000001</v>
      </c>
      <c r="C34" s="256">
        <v>0</v>
      </c>
      <c r="D34" s="256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7">
        <v>0</v>
      </c>
      <c r="M34" s="256">
        <v>0</v>
      </c>
      <c r="N34" s="258">
        <f t="shared" si="0"/>
        <v>0.13300000000000001</v>
      </c>
      <c r="O34" s="259">
        <v>0</v>
      </c>
      <c r="P34" s="260" t="s">
        <v>76</v>
      </c>
      <c r="Q34" s="235"/>
      <c r="R34" s="235"/>
    </row>
    <row r="35" spans="1:18" s="262" customFormat="1" x14ac:dyDescent="0.2">
      <c r="A35" s="255" t="s">
        <v>109</v>
      </c>
      <c r="B35" s="256">
        <v>0</v>
      </c>
      <c r="C35" s="256">
        <v>0</v>
      </c>
      <c r="D35" s="256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7">
        <v>0</v>
      </c>
      <c r="M35" s="256">
        <v>0</v>
      </c>
      <c r="N35" s="258">
        <f t="shared" si="0"/>
        <v>0</v>
      </c>
      <c r="O35" s="259">
        <v>0</v>
      </c>
      <c r="P35" s="260" t="s">
        <v>76</v>
      </c>
      <c r="Q35" s="235"/>
      <c r="R35" s="235"/>
    </row>
    <row r="36" spans="1:18" s="262" customFormat="1" x14ac:dyDescent="0.2">
      <c r="A36" s="255" t="s">
        <v>168</v>
      </c>
      <c r="B36" s="256">
        <v>16.847999999999999</v>
      </c>
      <c r="C36" s="256">
        <v>0</v>
      </c>
      <c r="D36" s="256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7">
        <v>0</v>
      </c>
      <c r="M36" s="256">
        <v>0</v>
      </c>
      <c r="N36" s="263">
        <f t="shared" si="0"/>
        <v>16.847999999999999</v>
      </c>
      <c r="O36" s="259">
        <v>0</v>
      </c>
      <c r="P36" s="260" t="s">
        <v>76</v>
      </c>
      <c r="Q36" s="235"/>
      <c r="R36" s="235"/>
    </row>
    <row r="37" spans="1:18" s="262" customFormat="1" x14ac:dyDescent="0.2">
      <c r="A37" s="255" t="s">
        <v>167</v>
      </c>
      <c r="B37" s="256">
        <v>68.730999999999995</v>
      </c>
      <c r="C37" s="256">
        <v>0</v>
      </c>
      <c r="D37" s="256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7">
        <v>0</v>
      </c>
      <c r="M37" s="256">
        <v>0</v>
      </c>
      <c r="N37" s="263">
        <f t="shared" si="0"/>
        <v>68.730999999999995</v>
      </c>
      <c r="O37" s="256"/>
      <c r="P37" s="260"/>
      <c r="Q37" s="235"/>
      <c r="R37" s="235"/>
    </row>
    <row r="38" spans="1:18" x14ac:dyDescent="0.2">
      <c r="A38" s="264" t="s">
        <v>110</v>
      </c>
      <c r="B38" s="265">
        <f t="shared" ref="B38:N38" si="1">SUM(B6:B37)</f>
        <v>708.57299999999998</v>
      </c>
      <c r="C38" s="265">
        <f t="shared" si="1"/>
        <v>0</v>
      </c>
      <c r="D38" s="265">
        <f t="shared" si="1"/>
        <v>0</v>
      </c>
      <c r="E38" s="265">
        <f t="shared" si="1"/>
        <v>0</v>
      </c>
      <c r="F38" s="265">
        <f t="shared" si="1"/>
        <v>0</v>
      </c>
      <c r="G38" s="265">
        <f t="shared" si="1"/>
        <v>0</v>
      </c>
      <c r="H38" s="265">
        <f t="shared" si="1"/>
        <v>0</v>
      </c>
      <c r="I38" s="265">
        <f t="shared" si="1"/>
        <v>0</v>
      </c>
      <c r="J38" s="265">
        <f t="shared" si="1"/>
        <v>0</v>
      </c>
      <c r="K38" s="265">
        <f t="shared" si="1"/>
        <v>0</v>
      </c>
      <c r="L38" s="265">
        <f t="shared" si="1"/>
        <v>0</v>
      </c>
      <c r="M38" s="265">
        <f t="shared" si="1"/>
        <v>0</v>
      </c>
      <c r="N38" s="266">
        <f t="shared" si="1"/>
        <v>708.57299999999998</v>
      </c>
      <c r="O38" s="265">
        <f>SUM(O6:O24)</f>
        <v>0</v>
      </c>
      <c r="P38" s="267" t="s">
        <v>76</v>
      </c>
    </row>
    <row r="39" spans="1:18" ht="13.5" customHeight="1" x14ac:dyDescent="0.2">
      <c r="A39" s="268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8"/>
      <c r="O39" s="259"/>
      <c r="P39" s="269"/>
      <c r="Q39" s="270"/>
      <c r="R39" s="256"/>
    </row>
    <row r="40" spans="1:18" x14ac:dyDescent="0.2">
      <c r="A40" s="253" t="s">
        <v>111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8"/>
      <c r="O40" s="259"/>
      <c r="P40" s="269"/>
    </row>
    <row r="41" spans="1:18" x14ac:dyDescent="0.2">
      <c r="A41" s="255" t="s">
        <v>99</v>
      </c>
      <c r="B41" s="256">
        <v>0</v>
      </c>
      <c r="C41" s="256">
        <v>0</v>
      </c>
      <c r="D41" s="256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8">
        <f>B41+C41+D41+E41+F41+G41+H41+I41+J41+K41+L41+M41</f>
        <v>0</v>
      </c>
      <c r="O41" s="259">
        <v>0</v>
      </c>
      <c r="P41" s="260" t="s">
        <v>76</v>
      </c>
    </row>
    <row r="42" spans="1:18" x14ac:dyDescent="0.2">
      <c r="A42" s="255" t="s">
        <v>112</v>
      </c>
      <c r="B42" s="256">
        <v>0</v>
      </c>
      <c r="C42" s="256">
        <v>0</v>
      </c>
      <c r="D42" s="256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8">
        <f>B42+C42+D42+E42+F42+G42+H42+I42+J42+K42+L42+M42</f>
        <v>0</v>
      </c>
      <c r="O42" s="259">
        <v>0</v>
      </c>
      <c r="P42" s="260" t="s">
        <v>76</v>
      </c>
    </row>
    <row r="43" spans="1:18" x14ac:dyDescent="0.2">
      <c r="A43" s="264" t="s">
        <v>113</v>
      </c>
      <c r="B43" s="271">
        <f t="shared" ref="B43:I43" si="2">SUM(B41:B42)</f>
        <v>0</v>
      </c>
      <c r="C43" s="271">
        <f t="shared" si="2"/>
        <v>0</v>
      </c>
      <c r="D43" s="271">
        <f t="shared" si="2"/>
        <v>0</v>
      </c>
      <c r="E43" s="271">
        <f t="shared" si="2"/>
        <v>0</v>
      </c>
      <c r="F43" s="271">
        <f t="shared" si="2"/>
        <v>0</v>
      </c>
      <c r="G43" s="271">
        <f t="shared" si="2"/>
        <v>0</v>
      </c>
      <c r="H43" s="271">
        <f t="shared" si="2"/>
        <v>0</v>
      </c>
      <c r="I43" s="271">
        <f t="shared" si="2"/>
        <v>0</v>
      </c>
      <c r="J43" s="271">
        <v>0</v>
      </c>
      <c r="K43" s="271">
        <f>SUM(K41:K42)</f>
        <v>0</v>
      </c>
      <c r="L43" s="271">
        <f>SUM(L41:L42)</f>
        <v>0</v>
      </c>
      <c r="M43" s="271">
        <f>SUM(M41:M42)</f>
        <v>0</v>
      </c>
      <c r="N43" s="272">
        <f>B43+C43+D43+E43+F43+G43+H43+I43+J43+K43+L43+M43</f>
        <v>0</v>
      </c>
      <c r="O43" s="273">
        <f>SUM(O41:O42)</f>
        <v>0</v>
      </c>
      <c r="P43" s="267" t="s">
        <v>76</v>
      </c>
    </row>
    <row r="44" spans="1:18" x14ac:dyDescent="0.2">
      <c r="A44" s="268" t="s">
        <v>13</v>
      </c>
      <c r="B44" s="256"/>
      <c r="C44" s="256"/>
      <c r="D44" s="256"/>
      <c r="E44" s="256"/>
      <c r="F44" s="256"/>
      <c r="G44" s="256"/>
      <c r="H44" s="256"/>
      <c r="I44" s="256"/>
      <c r="K44" s="256"/>
      <c r="L44" s="256"/>
      <c r="M44" s="256"/>
      <c r="N44" s="258"/>
      <c r="O44" s="259"/>
      <c r="P44" s="269"/>
    </row>
    <row r="45" spans="1:18" x14ac:dyDescent="0.2">
      <c r="A45" s="253" t="s">
        <v>114</v>
      </c>
      <c r="B45" s="256"/>
      <c r="C45" s="256"/>
      <c r="D45" s="256"/>
      <c r="E45" s="256"/>
      <c r="F45" s="256"/>
      <c r="H45" s="256"/>
      <c r="I45" s="256"/>
      <c r="K45" s="274"/>
      <c r="L45" s="256"/>
      <c r="M45" s="256"/>
      <c r="N45" s="258" t="s">
        <v>13</v>
      </c>
      <c r="O45" s="259"/>
      <c r="P45" s="269"/>
    </row>
    <row r="46" spans="1:18" x14ac:dyDescent="0.2">
      <c r="A46" s="255" t="s">
        <v>171</v>
      </c>
      <c r="B46" s="256">
        <v>-3.28</v>
      </c>
      <c r="C46" s="256">
        <v>0</v>
      </c>
      <c r="D46" s="256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8">
        <f>B46+C46+D46+E46+F46+G46+H46+I46+J46+K46+L46+M46</f>
        <v>-3.28</v>
      </c>
      <c r="O46" s="275">
        <v>0</v>
      </c>
      <c r="P46" s="260" t="s">
        <v>76</v>
      </c>
    </row>
    <row r="47" spans="1:18" x14ac:dyDescent="0.2">
      <c r="A47" s="255" t="s">
        <v>116</v>
      </c>
      <c r="B47" s="256">
        <v>200.77799999999999</v>
      </c>
      <c r="C47" s="256">
        <v>0</v>
      </c>
      <c r="D47" s="256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7">
        <v>0</v>
      </c>
      <c r="M47" s="256">
        <v>0</v>
      </c>
      <c r="N47" s="258">
        <f>B47+C47+D47+E47+F47+G47+H47+I47+J47+K47+L47+M47</f>
        <v>200.77799999999999</v>
      </c>
      <c r="O47" s="275">
        <v>0</v>
      </c>
      <c r="P47" s="260" t="s">
        <v>76</v>
      </c>
    </row>
    <row r="48" spans="1:18" x14ac:dyDescent="0.2">
      <c r="A48" s="276" t="s">
        <v>117</v>
      </c>
      <c r="B48" s="271">
        <f t="shared" ref="B48:O48" si="3">SUM(B46:B47)</f>
        <v>197.49799999999999</v>
      </c>
      <c r="C48" s="271">
        <f t="shared" si="3"/>
        <v>0</v>
      </c>
      <c r="D48" s="271">
        <f t="shared" si="3"/>
        <v>0</v>
      </c>
      <c r="E48" s="271">
        <f t="shared" si="3"/>
        <v>0</v>
      </c>
      <c r="F48" s="271">
        <f t="shared" si="3"/>
        <v>0</v>
      </c>
      <c r="G48" s="271">
        <f t="shared" si="3"/>
        <v>0</v>
      </c>
      <c r="H48" s="271">
        <f t="shared" si="3"/>
        <v>0</v>
      </c>
      <c r="I48" s="271">
        <f t="shared" si="3"/>
        <v>0</v>
      </c>
      <c r="J48" s="271">
        <f t="shared" si="3"/>
        <v>0</v>
      </c>
      <c r="K48" s="271">
        <f t="shared" si="3"/>
        <v>0</v>
      </c>
      <c r="L48" s="271">
        <f t="shared" si="3"/>
        <v>0</v>
      </c>
      <c r="M48" s="271">
        <f t="shared" si="3"/>
        <v>0</v>
      </c>
      <c r="N48" s="277">
        <f t="shared" si="3"/>
        <v>197.49799999999999</v>
      </c>
      <c r="O48" s="278">
        <f t="shared" si="3"/>
        <v>0</v>
      </c>
      <c r="P48" s="267" t="s">
        <v>76</v>
      </c>
    </row>
    <row r="49" spans="1:26" x14ac:dyDescent="0.2">
      <c r="A49" s="279"/>
      <c r="B49" s="256"/>
      <c r="C49" s="256"/>
      <c r="D49" s="256"/>
      <c r="E49" s="256"/>
      <c r="F49" s="256"/>
      <c r="G49" s="256"/>
      <c r="H49" s="256"/>
      <c r="I49" s="256"/>
      <c r="K49" s="256"/>
      <c r="L49" s="256"/>
      <c r="M49" s="256"/>
      <c r="N49" s="258"/>
      <c r="O49" s="259"/>
      <c r="P49" s="269"/>
    </row>
    <row r="50" spans="1:26" s="262" customFormat="1" x14ac:dyDescent="0.2">
      <c r="A50" s="253" t="s">
        <v>91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8"/>
      <c r="O50" s="259"/>
      <c r="P50" s="269"/>
      <c r="Q50" s="235"/>
      <c r="R50" s="235"/>
    </row>
    <row r="51" spans="1:26" x14ac:dyDescent="0.2">
      <c r="A51" s="255" t="s">
        <v>31</v>
      </c>
      <c r="B51" s="256">
        <v>0</v>
      </c>
      <c r="C51" s="256">
        <v>0</v>
      </c>
      <c r="D51" s="256">
        <v>0</v>
      </c>
      <c r="E51" s="256">
        <v>0</v>
      </c>
      <c r="F51" s="256">
        <v>0</v>
      </c>
      <c r="G51" s="256">
        <v>0</v>
      </c>
      <c r="H51" s="256">
        <v>0</v>
      </c>
      <c r="I51" s="256">
        <v>0</v>
      </c>
      <c r="J51" s="256">
        <v>0</v>
      </c>
      <c r="K51" s="256">
        <v>0</v>
      </c>
      <c r="L51" s="257">
        <v>0</v>
      </c>
      <c r="M51" s="256">
        <v>0</v>
      </c>
      <c r="N51" s="258">
        <f t="shared" ref="N51:N56" si="4">B51+C51+D51+E51+F51+G51+H51+I51+J51+K51+L51+M51</f>
        <v>0</v>
      </c>
      <c r="O51" s="259">
        <v>0</v>
      </c>
      <c r="P51" s="260" t="s">
        <v>76</v>
      </c>
    </row>
    <row r="52" spans="1:26" x14ac:dyDescent="0.2">
      <c r="A52" s="255" t="s">
        <v>118</v>
      </c>
      <c r="B52" s="256">
        <v>2.8809999999999998</v>
      </c>
      <c r="C52" s="256">
        <v>0</v>
      </c>
      <c r="D52" s="256">
        <v>0</v>
      </c>
      <c r="E52" s="256">
        <v>0</v>
      </c>
      <c r="F52" s="256">
        <v>0</v>
      </c>
      <c r="G52" s="256">
        <v>0</v>
      </c>
      <c r="H52" s="256">
        <v>0</v>
      </c>
      <c r="I52" s="256">
        <v>0</v>
      </c>
      <c r="J52" s="256">
        <v>0</v>
      </c>
      <c r="K52" s="256">
        <v>0</v>
      </c>
      <c r="L52" s="256">
        <v>0</v>
      </c>
      <c r="M52" s="256">
        <v>0</v>
      </c>
      <c r="N52" s="258">
        <f t="shared" si="4"/>
        <v>2.8809999999999998</v>
      </c>
      <c r="O52" s="259">
        <v>0</v>
      </c>
      <c r="P52" s="260" t="s">
        <v>76</v>
      </c>
    </row>
    <row r="53" spans="1:26" x14ac:dyDescent="0.2">
      <c r="A53" s="255" t="s">
        <v>101</v>
      </c>
      <c r="B53" s="256">
        <v>0</v>
      </c>
      <c r="C53" s="256">
        <f>-37.202+37.202</f>
        <v>0</v>
      </c>
      <c r="D53" s="256">
        <v>0</v>
      </c>
      <c r="E53" s="256">
        <v>0</v>
      </c>
      <c r="F53" s="256">
        <v>0</v>
      </c>
      <c r="G53" s="256">
        <v>0</v>
      </c>
      <c r="H53" s="256">
        <v>0</v>
      </c>
      <c r="I53" s="256">
        <v>0</v>
      </c>
      <c r="J53" s="256">
        <v>0</v>
      </c>
      <c r="K53" s="256">
        <v>0</v>
      </c>
      <c r="L53" s="257">
        <v>0</v>
      </c>
      <c r="M53" s="256">
        <v>0</v>
      </c>
      <c r="N53" s="258">
        <f t="shared" si="4"/>
        <v>0</v>
      </c>
      <c r="O53" s="259">
        <v>0</v>
      </c>
      <c r="P53" s="260" t="s">
        <v>76</v>
      </c>
    </row>
    <row r="54" spans="1:26" x14ac:dyDescent="0.2">
      <c r="A54" s="255" t="s">
        <v>102</v>
      </c>
      <c r="B54" s="256">
        <v>0</v>
      </c>
      <c r="C54" s="256">
        <v>0</v>
      </c>
      <c r="D54" s="256">
        <v>0</v>
      </c>
      <c r="E54" s="256">
        <v>0</v>
      </c>
      <c r="F54" s="256">
        <v>0</v>
      </c>
      <c r="G54" s="256">
        <v>0</v>
      </c>
      <c r="H54" s="256">
        <v>0</v>
      </c>
      <c r="I54" s="256">
        <v>0</v>
      </c>
      <c r="J54" s="256">
        <v>0</v>
      </c>
      <c r="K54" s="256">
        <v>0</v>
      </c>
      <c r="L54" s="257">
        <v>0</v>
      </c>
      <c r="M54" s="256">
        <v>0</v>
      </c>
      <c r="N54" s="258">
        <f t="shared" si="4"/>
        <v>0</v>
      </c>
      <c r="O54" s="259">
        <v>0</v>
      </c>
      <c r="P54" s="260" t="s">
        <v>76</v>
      </c>
    </row>
    <row r="55" spans="1:26" x14ac:dyDescent="0.2">
      <c r="A55" s="255" t="s">
        <v>119</v>
      </c>
      <c r="B55" s="256">
        <v>0</v>
      </c>
      <c r="C55" s="256">
        <v>0</v>
      </c>
      <c r="D55" s="256">
        <v>0</v>
      </c>
      <c r="E55" s="256">
        <v>0</v>
      </c>
      <c r="F55" s="256">
        <v>0</v>
      </c>
      <c r="G55" s="256">
        <v>0</v>
      </c>
      <c r="H55" s="256">
        <v>0</v>
      </c>
      <c r="I55" s="256">
        <v>0</v>
      </c>
      <c r="J55" s="256">
        <v>0</v>
      </c>
      <c r="K55" s="256">
        <v>0</v>
      </c>
      <c r="L55" s="257">
        <v>0</v>
      </c>
      <c r="M55" s="256">
        <v>0</v>
      </c>
      <c r="N55" s="258">
        <f t="shared" si="4"/>
        <v>0</v>
      </c>
      <c r="O55" s="259">
        <v>0</v>
      </c>
      <c r="P55" s="260" t="s">
        <v>76</v>
      </c>
    </row>
    <row r="56" spans="1:26" x14ac:dyDescent="0.2">
      <c r="A56" s="255" t="s">
        <v>115</v>
      </c>
      <c r="B56" s="256">
        <v>1.2909999999999999</v>
      </c>
      <c r="C56" s="256">
        <v>0</v>
      </c>
      <c r="D56" s="256">
        <v>0</v>
      </c>
      <c r="E56" s="256">
        <v>0</v>
      </c>
      <c r="F56" s="256">
        <v>0</v>
      </c>
      <c r="G56" s="256">
        <v>0</v>
      </c>
      <c r="H56" s="256">
        <v>0</v>
      </c>
      <c r="I56" s="256">
        <v>0</v>
      </c>
      <c r="J56" s="256">
        <v>0</v>
      </c>
      <c r="K56" s="256">
        <v>0</v>
      </c>
      <c r="L56" s="257">
        <v>0</v>
      </c>
      <c r="M56" s="256">
        <v>0</v>
      </c>
      <c r="N56" s="258">
        <f t="shared" si="4"/>
        <v>1.2909999999999999</v>
      </c>
      <c r="O56" s="259">
        <v>0</v>
      </c>
      <c r="P56" s="260" t="s">
        <v>76</v>
      </c>
    </row>
    <row r="57" spans="1:26" x14ac:dyDescent="0.2">
      <c r="A57" s="276" t="s">
        <v>93</v>
      </c>
      <c r="B57" s="271">
        <f t="shared" ref="B57:O57" si="5">SUM(B51:B56)</f>
        <v>4.1719999999999997</v>
      </c>
      <c r="C57" s="271">
        <f t="shared" si="5"/>
        <v>0</v>
      </c>
      <c r="D57" s="271">
        <f t="shared" si="5"/>
        <v>0</v>
      </c>
      <c r="E57" s="271">
        <f t="shared" si="5"/>
        <v>0</v>
      </c>
      <c r="F57" s="271">
        <f t="shared" si="5"/>
        <v>0</v>
      </c>
      <c r="G57" s="271">
        <f t="shared" si="5"/>
        <v>0</v>
      </c>
      <c r="H57" s="271">
        <f t="shared" si="5"/>
        <v>0</v>
      </c>
      <c r="I57" s="271">
        <f t="shared" si="5"/>
        <v>0</v>
      </c>
      <c r="J57" s="271">
        <f t="shared" si="5"/>
        <v>0</v>
      </c>
      <c r="K57" s="271">
        <f t="shared" si="5"/>
        <v>0</v>
      </c>
      <c r="L57" s="271">
        <f t="shared" si="5"/>
        <v>0</v>
      </c>
      <c r="M57" s="280">
        <f t="shared" si="5"/>
        <v>0</v>
      </c>
      <c r="N57" s="281">
        <f t="shared" si="5"/>
        <v>4.1719999999999997</v>
      </c>
      <c r="O57" s="278">
        <f t="shared" si="5"/>
        <v>0</v>
      </c>
      <c r="P57" s="267" t="s">
        <v>76</v>
      </c>
    </row>
    <row r="58" spans="1:26" ht="30.2" customHeight="1" x14ac:dyDescent="0.2">
      <c r="A58" s="282" t="s">
        <v>120</v>
      </c>
      <c r="B58" s="271">
        <f t="shared" ref="B58:O58" si="6">+B57+B48+B43+B38</f>
        <v>910.24299999999994</v>
      </c>
      <c r="C58" s="271">
        <f t="shared" si="6"/>
        <v>0</v>
      </c>
      <c r="D58" s="271">
        <f t="shared" si="6"/>
        <v>0</v>
      </c>
      <c r="E58" s="271">
        <f t="shared" si="6"/>
        <v>0</v>
      </c>
      <c r="F58" s="271">
        <f t="shared" si="6"/>
        <v>0</v>
      </c>
      <c r="G58" s="271">
        <f t="shared" si="6"/>
        <v>0</v>
      </c>
      <c r="H58" s="271">
        <f t="shared" si="6"/>
        <v>0</v>
      </c>
      <c r="I58" s="271">
        <f t="shared" si="6"/>
        <v>0</v>
      </c>
      <c r="J58" s="271">
        <f t="shared" si="6"/>
        <v>0</v>
      </c>
      <c r="K58" s="271">
        <f t="shared" si="6"/>
        <v>0</v>
      </c>
      <c r="L58" s="271">
        <f t="shared" si="6"/>
        <v>0</v>
      </c>
      <c r="M58" s="280">
        <f t="shared" si="6"/>
        <v>0</v>
      </c>
      <c r="N58" s="277">
        <f t="shared" si="6"/>
        <v>910.24299999999994</v>
      </c>
      <c r="O58" s="273">
        <f t="shared" si="6"/>
        <v>0</v>
      </c>
      <c r="P58" s="267" t="s">
        <v>76</v>
      </c>
    </row>
    <row r="59" spans="1:26" ht="15.95" customHeight="1" x14ac:dyDescent="0.2">
      <c r="A59" s="283"/>
      <c r="B59" s="284"/>
      <c r="C59" s="271"/>
      <c r="D59" s="285"/>
      <c r="E59" s="285"/>
      <c r="F59" s="285"/>
      <c r="G59" s="285"/>
      <c r="H59" s="285"/>
      <c r="I59" s="285"/>
      <c r="J59" s="286"/>
      <c r="K59" s="285"/>
      <c r="L59" s="285"/>
      <c r="M59" s="285"/>
      <c r="N59" s="285"/>
      <c r="O59" s="284"/>
      <c r="P59" s="284"/>
    </row>
    <row r="60" spans="1:26" ht="30.2" customHeight="1" thickBot="1" x14ac:dyDescent="0.25">
      <c r="A60" s="287" t="s">
        <v>121</v>
      </c>
      <c r="B60" s="288">
        <v>782.1</v>
      </c>
      <c r="C60" s="289"/>
      <c r="D60" s="334"/>
      <c r="E60" s="334"/>
      <c r="F60" s="334"/>
      <c r="G60" s="351"/>
      <c r="H60" s="336"/>
      <c r="I60" s="336"/>
      <c r="J60" s="338"/>
      <c r="K60" s="338"/>
      <c r="L60" s="338"/>
      <c r="M60" s="338"/>
      <c r="N60" s="290">
        <f>SUM(B60:M60)</f>
        <v>782.1</v>
      </c>
      <c r="O60" s="291"/>
      <c r="P60" s="292"/>
    </row>
    <row r="61" spans="1:26" x14ac:dyDescent="0.2">
      <c r="A61" s="235" t="s">
        <v>122</v>
      </c>
      <c r="H61" s="256"/>
    </row>
    <row r="62" spans="1:26" x14ac:dyDescent="0.2">
      <c r="A62" s="235" t="s">
        <v>166</v>
      </c>
      <c r="B62" s="256"/>
      <c r="C62" s="256"/>
      <c r="D62" s="256"/>
      <c r="E62" s="256"/>
      <c r="F62" s="256"/>
      <c r="G62" s="256"/>
      <c r="H62" s="256"/>
      <c r="I62" s="256"/>
      <c r="J62" s="337"/>
      <c r="K62" s="256"/>
      <c r="L62" s="256"/>
      <c r="M62" s="256"/>
    </row>
    <row r="63" spans="1:26" ht="15" x14ac:dyDescent="0.25">
      <c r="A63" s="342" t="s">
        <v>25</v>
      </c>
      <c r="B63" s="339"/>
      <c r="C63" s="339"/>
      <c r="D63" s="343"/>
      <c r="E63" s="339"/>
      <c r="F63" s="341"/>
      <c r="G63" s="349"/>
      <c r="H63" s="341"/>
      <c r="I63" s="339"/>
      <c r="J63" s="349"/>
      <c r="K63" s="339"/>
      <c r="L63" s="339"/>
      <c r="M63" s="349"/>
      <c r="N63" s="339"/>
      <c r="O63" s="339"/>
      <c r="P63" s="340"/>
      <c r="Q63" s="339"/>
      <c r="R63" s="339"/>
      <c r="S63" s="339"/>
      <c r="T63" s="339"/>
      <c r="U63" s="339"/>
      <c r="V63" s="339"/>
      <c r="W63" s="339"/>
      <c r="X63" s="339"/>
      <c r="Y63" s="339"/>
      <c r="Z63" s="339"/>
    </row>
    <row r="64" spans="1:26" x14ac:dyDescent="0.2">
      <c r="A64" s="448" t="s">
        <v>163</v>
      </c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</row>
    <row r="65" spans="2:14" x14ac:dyDescent="0.2">
      <c r="B65" s="256"/>
      <c r="D65" s="256"/>
    </row>
    <row r="66" spans="2:14" x14ac:dyDescent="0.2"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</row>
    <row r="69" spans="2:14" x14ac:dyDescent="0.2">
      <c r="L69" s="256"/>
    </row>
    <row r="71" spans="2:14" x14ac:dyDescent="0.2">
      <c r="C71" s="256"/>
      <c r="I71" s="256"/>
      <c r="M71" s="256"/>
      <c r="N71" s="256"/>
    </row>
  </sheetData>
  <mergeCells count="1">
    <mergeCell ref="A64:Z64"/>
  </mergeCells>
  <phoneticPr fontId="0" type="noConversion"/>
  <printOptions horizontalCentered="1"/>
  <pageMargins left="0.55000000000000004" right="0.2" top="0.81" bottom="0.38" header="0.21" footer="0.19"/>
  <pageSetup scale="46" orientation="landscape" r:id="rId1"/>
  <headerFooter alignWithMargins="0">
    <oddHeader>&amp;C&amp;"Arial,Bold"SDGE
Demand Response Programs 
Total Cost and AMDRMA 2013 Accounts Balance
$000</oddHeader>
    <oddFooter>&amp;L&amp;F&amp;R&amp;D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V36"/>
  <sheetViews>
    <sheetView showGridLines="0" view="pageBreakPreview" topLeftCell="A2" zoomScale="75" zoomScaleNormal="100" zoomScaleSheetLayoutView="75" workbookViewId="0">
      <pane xSplit="1" ySplit="2" topLeftCell="B4" activePane="bottomRight" state="frozen"/>
      <selection activeCell="I16" sqref="I16"/>
      <selection pane="topRight" activeCell="I16" sqref="I16"/>
      <selection pane="bottomLeft" activeCell="I16" sqref="I16"/>
      <selection pane="bottomRight" activeCell="B18" sqref="B18"/>
    </sheetView>
  </sheetViews>
  <sheetFormatPr defaultRowHeight="12.75" x14ac:dyDescent="0.2"/>
  <cols>
    <col min="1" max="1" width="39.42578125" style="202" customWidth="1"/>
    <col min="2" max="2" width="11" style="202" customWidth="1"/>
    <col min="3" max="3" width="9.7109375" style="202" customWidth="1"/>
    <col min="4" max="4" width="11" style="202" customWidth="1"/>
    <col min="5" max="5" width="11.7109375" style="202" customWidth="1"/>
    <col min="6" max="8" width="11" style="202" customWidth="1"/>
    <col min="9" max="9" width="3.85546875" style="202" customWidth="1"/>
    <col min="10" max="10" width="10.28515625" style="202" bestFit="1" customWidth="1"/>
    <col min="11" max="11" width="2.85546875" style="202" bestFit="1" customWidth="1"/>
    <col min="12" max="12" width="11" style="202" customWidth="1"/>
    <col min="13" max="13" width="3.42578125" style="202" bestFit="1" customWidth="1"/>
    <col min="14" max="16" width="11" style="202" customWidth="1"/>
    <col min="17" max="17" width="15.7109375" style="202" bestFit="1" customWidth="1"/>
    <col min="18" max="18" width="9.7109375" style="202" bestFit="1" customWidth="1"/>
    <col min="19" max="19" width="9.140625" style="202"/>
    <col min="20" max="20" width="22.28515625" style="202" customWidth="1"/>
    <col min="21" max="16384" width="9.140625" style="202"/>
  </cols>
  <sheetData>
    <row r="2" spans="1:18" ht="13.5" thickBot="1" x14ac:dyDescent="0.25">
      <c r="A2" s="293"/>
    </row>
    <row r="3" spans="1:18" ht="31.7" customHeight="1" x14ac:dyDescent="0.2">
      <c r="A3" s="294" t="s">
        <v>17</v>
      </c>
      <c r="B3" s="295" t="s">
        <v>0</v>
      </c>
      <c r="C3" s="295" t="s">
        <v>1</v>
      </c>
      <c r="D3" s="295" t="s">
        <v>2</v>
      </c>
      <c r="E3" s="295" t="s">
        <v>3</v>
      </c>
      <c r="F3" s="295" t="s">
        <v>4</v>
      </c>
      <c r="G3" s="295" t="s">
        <v>5</v>
      </c>
      <c r="H3" s="295" t="s">
        <v>6</v>
      </c>
      <c r="I3" s="295"/>
      <c r="J3" s="295" t="s">
        <v>7</v>
      </c>
      <c r="K3" s="295"/>
      <c r="L3" s="295" t="s">
        <v>8</v>
      </c>
      <c r="M3" s="295"/>
      <c r="N3" s="295" t="s">
        <v>9</v>
      </c>
      <c r="O3" s="295" t="s">
        <v>10</v>
      </c>
      <c r="P3" s="295" t="s">
        <v>11</v>
      </c>
      <c r="Q3" s="296" t="s">
        <v>16</v>
      </c>
    </row>
    <row r="4" spans="1:18" ht="16.5" x14ac:dyDescent="0.25">
      <c r="A4" s="297" t="s">
        <v>80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9"/>
    </row>
    <row r="5" spans="1:18" ht="6" customHeight="1" x14ac:dyDescent="0.2">
      <c r="A5" s="300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9"/>
    </row>
    <row r="6" spans="1:18" x14ac:dyDescent="0.2">
      <c r="A6" s="300" t="s">
        <v>81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9"/>
    </row>
    <row r="7" spans="1:18" x14ac:dyDescent="0.2">
      <c r="A7" s="301" t="s">
        <v>82</v>
      </c>
      <c r="B7" s="302">
        <v>0</v>
      </c>
      <c r="C7" s="302">
        <v>0</v>
      </c>
      <c r="D7" s="302">
        <v>0</v>
      </c>
      <c r="E7" s="302">
        <v>0</v>
      </c>
      <c r="F7" s="302">
        <v>0</v>
      </c>
      <c r="G7" s="302">
        <v>0</v>
      </c>
      <c r="H7" s="302">
        <v>0</v>
      </c>
      <c r="I7" s="302"/>
      <c r="J7" s="302">
        <v>0</v>
      </c>
      <c r="K7" s="302"/>
      <c r="L7" s="302">
        <v>0</v>
      </c>
      <c r="M7" s="302"/>
      <c r="N7" s="302">
        <v>0</v>
      </c>
      <c r="O7" s="302">
        <v>0</v>
      </c>
      <c r="P7" s="302">
        <v>0</v>
      </c>
      <c r="Q7" s="305">
        <f t="shared" ref="Q7:Q12" si="0">SUM(B7:P7)</f>
        <v>0</v>
      </c>
    </row>
    <row r="8" spans="1:18" ht="14.25" customHeight="1" x14ac:dyDescent="0.2">
      <c r="A8" s="301" t="s">
        <v>69</v>
      </c>
      <c r="B8" s="302">
        <v>9.6839999999999993</v>
      </c>
      <c r="C8" s="302">
        <v>0</v>
      </c>
      <c r="D8" s="302">
        <v>0</v>
      </c>
      <c r="E8" s="302">
        <v>0</v>
      </c>
      <c r="F8" s="302">
        <v>0</v>
      </c>
      <c r="G8" s="302">
        <v>0</v>
      </c>
      <c r="H8" s="302">
        <v>0</v>
      </c>
      <c r="I8" s="302"/>
      <c r="J8" s="302">
        <v>0</v>
      </c>
      <c r="K8" s="302"/>
      <c r="L8" s="302">
        <v>0</v>
      </c>
      <c r="M8" s="302"/>
      <c r="N8" s="302">
        <v>0</v>
      </c>
      <c r="O8" s="302">
        <v>0</v>
      </c>
      <c r="P8" s="302">
        <v>0</v>
      </c>
      <c r="Q8" s="305">
        <f t="shared" si="0"/>
        <v>9.6839999999999993</v>
      </c>
    </row>
    <row r="9" spans="1:18" x14ac:dyDescent="0.2">
      <c r="A9" s="301" t="s">
        <v>28</v>
      </c>
      <c r="B9" s="302">
        <v>0</v>
      </c>
      <c r="C9" s="302">
        <v>0</v>
      </c>
      <c r="D9" s="302">
        <v>0</v>
      </c>
      <c r="E9" s="302">
        <v>0</v>
      </c>
      <c r="F9" s="302">
        <v>0</v>
      </c>
      <c r="G9" s="302">
        <v>0</v>
      </c>
      <c r="H9" s="302">
        <v>0</v>
      </c>
      <c r="I9" s="302"/>
      <c r="J9" s="302">
        <v>0</v>
      </c>
      <c r="K9" s="302"/>
      <c r="L9" s="302">
        <v>0</v>
      </c>
      <c r="M9" s="302"/>
      <c r="N9" s="302">
        <v>0</v>
      </c>
      <c r="O9" s="302">
        <v>0</v>
      </c>
      <c r="P9" s="302">
        <v>0</v>
      </c>
      <c r="Q9" s="305">
        <f t="shared" si="0"/>
        <v>0</v>
      </c>
    </row>
    <row r="10" spans="1:18" x14ac:dyDescent="0.2">
      <c r="A10" s="301" t="s">
        <v>83</v>
      </c>
      <c r="B10" s="302">
        <v>-0.51</v>
      </c>
      <c r="C10" s="302">
        <v>0</v>
      </c>
      <c r="D10" s="302">
        <v>0</v>
      </c>
      <c r="E10" s="302">
        <v>0</v>
      </c>
      <c r="F10" s="302">
        <v>0</v>
      </c>
      <c r="G10" s="302">
        <v>0</v>
      </c>
      <c r="H10" s="302">
        <v>0</v>
      </c>
      <c r="I10" s="302"/>
      <c r="J10" s="302">
        <v>0</v>
      </c>
      <c r="K10" s="302"/>
      <c r="L10" s="302">
        <v>0</v>
      </c>
      <c r="M10" s="302"/>
      <c r="N10" s="302">
        <v>0</v>
      </c>
      <c r="O10" s="302">
        <v>0</v>
      </c>
      <c r="P10" s="302">
        <v>0</v>
      </c>
      <c r="Q10" s="305">
        <f t="shared" si="0"/>
        <v>-0.51</v>
      </c>
    </row>
    <row r="11" spans="1:18" x14ac:dyDescent="0.2">
      <c r="A11" s="301" t="s">
        <v>14</v>
      </c>
      <c r="B11" s="302">
        <v>0</v>
      </c>
      <c r="C11" s="302">
        <v>0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302"/>
      <c r="J11" s="302">
        <v>0</v>
      </c>
      <c r="K11" s="302"/>
      <c r="L11" s="302">
        <v>0</v>
      </c>
      <c r="M11" s="302"/>
      <c r="N11" s="302">
        <v>0</v>
      </c>
      <c r="O11" s="302">
        <v>0</v>
      </c>
      <c r="P11" s="302">
        <v>0</v>
      </c>
      <c r="Q11" s="305">
        <f t="shared" si="0"/>
        <v>0</v>
      </c>
      <c r="R11" s="306"/>
    </row>
    <row r="12" spans="1:18" x14ac:dyDescent="0.2">
      <c r="A12" s="264" t="s">
        <v>84</v>
      </c>
      <c r="B12" s="307">
        <f t="shared" ref="B12:H12" si="1">SUM(B7:B11)</f>
        <v>9.1739999999999995</v>
      </c>
      <c r="C12" s="307">
        <f t="shared" si="1"/>
        <v>0</v>
      </c>
      <c r="D12" s="307">
        <f t="shared" si="1"/>
        <v>0</v>
      </c>
      <c r="E12" s="307">
        <f t="shared" si="1"/>
        <v>0</v>
      </c>
      <c r="F12" s="307">
        <f t="shared" si="1"/>
        <v>0</v>
      </c>
      <c r="G12" s="307">
        <f t="shared" si="1"/>
        <v>0</v>
      </c>
      <c r="H12" s="307">
        <f t="shared" si="1"/>
        <v>0</v>
      </c>
      <c r="I12" s="307"/>
      <c r="J12" s="307">
        <f>SUM(J7:J11)</f>
        <v>0</v>
      </c>
      <c r="K12" s="307"/>
      <c r="L12" s="307">
        <f>SUM(L7:L11)</f>
        <v>0</v>
      </c>
      <c r="M12" s="307"/>
      <c r="N12" s="307">
        <f>SUM(N7:N11)</f>
        <v>0</v>
      </c>
      <c r="O12" s="307">
        <f>SUM(O7:O11)</f>
        <v>0</v>
      </c>
      <c r="P12" s="307">
        <f>SUM(P7:P11)</f>
        <v>0</v>
      </c>
      <c r="Q12" s="308">
        <f t="shared" si="0"/>
        <v>9.1739999999999995</v>
      </c>
    </row>
    <row r="13" spans="1:18" x14ac:dyDescent="0.2">
      <c r="A13" s="301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5"/>
    </row>
    <row r="14" spans="1:18" x14ac:dyDescent="0.2">
      <c r="A14" s="300" t="s">
        <v>85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5"/>
    </row>
    <row r="15" spans="1:18" x14ac:dyDescent="0.2">
      <c r="A15" s="301" t="s">
        <v>86</v>
      </c>
      <c r="B15" s="302">
        <v>0</v>
      </c>
      <c r="C15" s="302">
        <v>0</v>
      </c>
      <c r="D15" s="302">
        <v>0</v>
      </c>
      <c r="E15" s="302">
        <v>0</v>
      </c>
      <c r="F15" s="302">
        <v>0</v>
      </c>
      <c r="G15" s="302">
        <v>0</v>
      </c>
      <c r="H15" s="302">
        <v>0</v>
      </c>
      <c r="I15" s="302"/>
      <c r="J15" s="302">
        <v>0</v>
      </c>
      <c r="K15" s="302"/>
      <c r="L15" s="302">
        <v>0</v>
      </c>
      <c r="M15" s="302"/>
      <c r="N15" s="302">
        <v>0</v>
      </c>
      <c r="O15" s="302">
        <v>0</v>
      </c>
      <c r="P15" s="302">
        <v>0</v>
      </c>
      <c r="Q15" s="305">
        <f>SUM(B15:P15)</f>
        <v>0</v>
      </c>
    </row>
    <row r="16" spans="1:18" x14ac:dyDescent="0.2">
      <c r="A16" s="264" t="s">
        <v>87</v>
      </c>
      <c r="B16" s="307">
        <f t="shared" ref="B16:H16" si="2">SUM(B15:B15)</f>
        <v>0</v>
      </c>
      <c r="C16" s="307">
        <f t="shared" si="2"/>
        <v>0</v>
      </c>
      <c r="D16" s="307">
        <f t="shared" si="2"/>
        <v>0</v>
      </c>
      <c r="E16" s="307">
        <f t="shared" si="2"/>
        <v>0</v>
      </c>
      <c r="F16" s="307">
        <f t="shared" si="2"/>
        <v>0</v>
      </c>
      <c r="G16" s="307">
        <f t="shared" si="2"/>
        <v>0</v>
      </c>
      <c r="H16" s="307">
        <f t="shared" si="2"/>
        <v>0</v>
      </c>
      <c r="I16" s="307"/>
      <c r="J16" s="307">
        <f>SUM(J15:J15)</f>
        <v>0</v>
      </c>
      <c r="K16" s="307"/>
      <c r="L16" s="307">
        <f>SUM(L15:L15)</f>
        <v>0</v>
      </c>
      <c r="M16" s="307"/>
      <c r="N16" s="307">
        <f>SUM(N15:N15)</f>
        <v>0</v>
      </c>
      <c r="O16" s="307">
        <f>SUM(O15:O15)</f>
        <v>0</v>
      </c>
      <c r="P16" s="307">
        <f>SUM(P15:P15)</f>
        <v>0</v>
      </c>
      <c r="Q16" s="308">
        <f>SUM(B16:P16)</f>
        <v>0</v>
      </c>
    </row>
    <row r="17" spans="1:22" x14ac:dyDescent="0.2">
      <c r="A17" s="279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9"/>
    </row>
    <row r="18" spans="1:22" x14ac:dyDescent="0.2">
      <c r="A18" s="300" t="s">
        <v>88</v>
      </c>
      <c r="B18" s="302" t="s">
        <v>13</v>
      </c>
      <c r="C18" s="302" t="s">
        <v>13</v>
      </c>
      <c r="D18" s="302" t="s">
        <v>13</v>
      </c>
      <c r="E18" s="302"/>
      <c r="F18" s="302" t="s">
        <v>13</v>
      </c>
      <c r="G18" s="298"/>
      <c r="H18" s="302" t="s">
        <v>13</v>
      </c>
      <c r="I18" s="302"/>
      <c r="J18" s="302" t="s">
        <v>13</v>
      </c>
      <c r="K18" s="302"/>
      <c r="L18" s="302" t="s">
        <v>13</v>
      </c>
      <c r="M18" s="302"/>
      <c r="N18" s="302" t="s">
        <v>13</v>
      </c>
      <c r="O18" s="302" t="s">
        <v>13</v>
      </c>
      <c r="P18" s="302" t="s">
        <v>13</v>
      </c>
      <c r="Q18" s="305" t="s">
        <v>13</v>
      </c>
    </row>
    <row r="19" spans="1:22" x14ac:dyDescent="0.2">
      <c r="A19" s="301" t="s">
        <v>89</v>
      </c>
      <c r="B19" s="303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3">
        <v>0</v>
      </c>
      <c r="I19" s="303"/>
      <c r="J19" s="304">
        <v>0</v>
      </c>
      <c r="K19" s="304"/>
      <c r="L19" s="310">
        <v>0</v>
      </c>
      <c r="M19" s="310"/>
      <c r="N19" s="304">
        <v>0</v>
      </c>
      <c r="O19" s="310">
        <v>0</v>
      </c>
      <c r="P19" s="304">
        <v>0</v>
      </c>
      <c r="Q19" s="305">
        <f>SUM(B19:P19)</f>
        <v>0</v>
      </c>
    </row>
    <row r="20" spans="1:22" x14ac:dyDescent="0.2">
      <c r="A20" s="276" t="s">
        <v>90</v>
      </c>
      <c r="B20" s="307">
        <f t="shared" ref="B20:H20" si="3">SUM(B19:B19)</f>
        <v>0</v>
      </c>
      <c r="C20" s="307">
        <f t="shared" si="3"/>
        <v>0</v>
      </c>
      <c r="D20" s="307">
        <f t="shared" si="3"/>
        <v>0</v>
      </c>
      <c r="E20" s="307">
        <f t="shared" si="3"/>
        <v>0</v>
      </c>
      <c r="F20" s="307">
        <f t="shared" si="3"/>
        <v>0</v>
      </c>
      <c r="G20" s="307">
        <f t="shared" si="3"/>
        <v>0</v>
      </c>
      <c r="H20" s="307">
        <f t="shared" si="3"/>
        <v>0</v>
      </c>
      <c r="I20" s="307"/>
      <c r="J20" s="307">
        <f>SUM(J19:J19)</f>
        <v>0</v>
      </c>
      <c r="K20" s="307"/>
      <c r="L20" s="307">
        <f>SUM(L19:L19)</f>
        <v>0</v>
      </c>
      <c r="M20" s="307"/>
      <c r="N20" s="307">
        <f>SUM(N19:N19)</f>
        <v>0</v>
      </c>
      <c r="O20" s="307">
        <f>SUM(O19:O19)</f>
        <v>0</v>
      </c>
      <c r="P20" s="307">
        <f>SUM(P19:P19)</f>
        <v>0</v>
      </c>
      <c r="Q20" s="308">
        <f>SUM(B20:P20)</f>
        <v>0</v>
      </c>
    </row>
    <row r="21" spans="1:22" x14ac:dyDescent="0.2">
      <c r="A21" s="311"/>
      <c r="B21" s="303"/>
      <c r="C21" s="303"/>
      <c r="D21" s="303"/>
      <c r="E21" s="303"/>
      <c r="F21" s="303"/>
      <c r="G21" s="312"/>
      <c r="H21" s="303"/>
      <c r="I21" s="303"/>
      <c r="J21" s="312"/>
      <c r="K21" s="303"/>
      <c r="L21" s="303"/>
      <c r="M21" s="303"/>
      <c r="N21" s="303"/>
      <c r="O21" s="312"/>
      <c r="P21" s="303"/>
      <c r="Q21" s="309"/>
    </row>
    <row r="22" spans="1:22" x14ac:dyDescent="0.2">
      <c r="A22" s="313" t="s">
        <v>91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9"/>
    </row>
    <row r="23" spans="1:22" x14ac:dyDescent="0.2">
      <c r="A23" s="301" t="s">
        <v>92</v>
      </c>
      <c r="B23" s="310">
        <v>0</v>
      </c>
      <c r="C23" s="310">
        <v>0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/>
      <c r="J23" s="310">
        <v>0</v>
      </c>
      <c r="K23" s="310"/>
      <c r="L23" s="310">
        <v>0</v>
      </c>
      <c r="M23" s="310"/>
      <c r="N23" s="310">
        <v>0</v>
      </c>
      <c r="O23" s="310">
        <v>0</v>
      </c>
      <c r="P23" s="310">
        <v>0</v>
      </c>
      <c r="Q23" s="309">
        <f>SUM(B23:P23)</f>
        <v>0</v>
      </c>
    </row>
    <row r="24" spans="1:22" x14ac:dyDescent="0.2">
      <c r="A24" s="301" t="s">
        <v>12</v>
      </c>
      <c r="B24" s="310">
        <v>0</v>
      </c>
      <c r="C24" s="310">
        <v>0</v>
      </c>
      <c r="D24" s="310">
        <v>0</v>
      </c>
      <c r="E24" s="310">
        <v>0</v>
      </c>
      <c r="F24" s="310">
        <v>0</v>
      </c>
      <c r="G24" s="310">
        <v>0</v>
      </c>
      <c r="H24" s="310">
        <v>0</v>
      </c>
      <c r="I24" s="310"/>
      <c r="J24" s="310">
        <v>0</v>
      </c>
      <c r="K24" s="310"/>
      <c r="L24" s="310">
        <v>0</v>
      </c>
      <c r="M24" s="310"/>
      <c r="N24" s="310">
        <v>0</v>
      </c>
      <c r="O24" s="310">
        <v>0</v>
      </c>
      <c r="P24" s="310">
        <v>0</v>
      </c>
      <c r="Q24" s="309">
        <f>SUM(B24:P24)</f>
        <v>0</v>
      </c>
    </row>
    <row r="25" spans="1:22" x14ac:dyDescent="0.2">
      <c r="A25" s="301" t="s">
        <v>28</v>
      </c>
      <c r="B25" s="310">
        <v>0</v>
      </c>
      <c r="C25" s="310">
        <v>0</v>
      </c>
      <c r="D25" s="310">
        <v>0</v>
      </c>
      <c r="E25" s="310">
        <v>0</v>
      </c>
      <c r="F25" s="310">
        <v>0</v>
      </c>
      <c r="G25" s="310">
        <v>0</v>
      </c>
      <c r="H25" s="310">
        <v>0</v>
      </c>
      <c r="I25" s="310"/>
      <c r="J25" s="310">
        <v>0</v>
      </c>
      <c r="K25" s="310"/>
      <c r="L25" s="310">
        <v>0</v>
      </c>
      <c r="M25" s="310"/>
      <c r="N25" s="310">
        <v>0</v>
      </c>
      <c r="O25" s="310">
        <v>0</v>
      </c>
      <c r="P25" s="310">
        <v>0</v>
      </c>
      <c r="Q25" s="309">
        <f>SUM(B25:P25)</f>
        <v>0</v>
      </c>
    </row>
    <row r="26" spans="1:22" x14ac:dyDescent="0.2">
      <c r="A26" s="301" t="s">
        <v>83</v>
      </c>
      <c r="B26" s="310">
        <v>0</v>
      </c>
      <c r="C26" s="310">
        <v>0</v>
      </c>
      <c r="D26" s="310">
        <v>0</v>
      </c>
      <c r="E26" s="310">
        <v>0</v>
      </c>
      <c r="F26" s="310">
        <v>0</v>
      </c>
      <c r="G26" s="310">
        <v>0</v>
      </c>
      <c r="H26" s="310">
        <v>0</v>
      </c>
      <c r="I26" s="310"/>
      <c r="J26" s="310">
        <v>0</v>
      </c>
      <c r="K26" s="310"/>
      <c r="L26" s="310">
        <v>0</v>
      </c>
      <c r="M26" s="310"/>
      <c r="N26" s="310">
        <v>0</v>
      </c>
      <c r="O26" s="310">
        <v>0</v>
      </c>
      <c r="P26" s="314">
        <v>0</v>
      </c>
      <c r="Q26" s="309">
        <f>SUM(B26:P26)</f>
        <v>0</v>
      </c>
    </row>
    <row r="27" spans="1:22" x14ac:dyDescent="0.2">
      <c r="A27" s="315" t="s">
        <v>93</v>
      </c>
      <c r="B27" s="307">
        <f t="shared" ref="B27:H27" si="4">SUM(B23:B26)</f>
        <v>0</v>
      </c>
      <c r="C27" s="307">
        <f t="shared" si="4"/>
        <v>0</v>
      </c>
      <c r="D27" s="307">
        <f t="shared" si="4"/>
        <v>0</v>
      </c>
      <c r="E27" s="307">
        <f t="shared" si="4"/>
        <v>0</v>
      </c>
      <c r="F27" s="307">
        <f t="shared" si="4"/>
        <v>0</v>
      </c>
      <c r="G27" s="307">
        <f t="shared" si="4"/>
        <v>0</v>
      </c>
      <c r="H27" s="307">
        <f t="shared" si="4"/>
        <v>0</v>
      </c>
      <c r="I27" s="307"/>
      <c r="J27" s="307">
        <f>SUM(J22:J26)</f>
        <v>0</v>
      </c>
      <c r="K27" s="307"/>
      <c r="L27" s="307">
        <f>SUM(L23:L26)</f>
        <v>0</v>
      </c>
      <c r="M27" s="307"/>
      <c r="N27" s="307">
        <f>SUM(N23:N26)</f>
        <v>0</v>
      </c>
      <c r="O27" s="307">
        <f>SUM(O23:O26)</f>
        <v>0</v>
      </c>
      <c r="P27" s="307">
        <f>SUM(P23:P26)</f>
        <v>0</v>
      </c>
      <c r="Q27" s="308">
        <f>SUM(B27:P27)</f>
        <v>0</v>
      </c>
      <c r="R27" s="306"/>
    </row>
    <row r="28" spans="1:22" ht="10.15" customHeight="1" x14ac:dyDescent="0.2">
      <c r="A28" s="316"/>
      <c r="B28" s="312"/>
      <c r="C28" s="312"/>
      <c r="D28" s="312"/>
      <c r="E28" s="312"/>
      <c r="F28" s="312"/>
      <c r="G28" s="312"/>
      <c r="H28" s="312"/>
      <c r="I28" s="312"/>
      <c r="J28" s="312"/>
      <c r="K28" s="307"/>
      <c r="L28" s="312"/>
      <c r="M28" s="307"/>
      <c r="N28" s="312"/>
      <c r="O28" s="312"/>
      <c r="P28" s="312"/>
      <c r="Q28" s="317"/>
    </row>
    <row r="29" spans="1:22" ht="15" customHeight="1" x14ac:dyDescent="0.2">
      <c r="A29" s="318" t="s">
        <v>94</v>
      </c>
      <c r="B29" s="319">
        <v>0</v>
      </c>
      <c r="C29" s="319">
        <v>0</v>
      </c>
      <c r="D29" s="319">
        <v>0</v>
      </c>
      <c r="E29" s="319">
        <v>0</v>
      </c>
      <c r="F29" s="319">
        <v>0</v>
      </c>
      <c r="G29" s="319">
        <v>0</v>
      </c>
      <c r="H29" s="319">
        <v>0</v>
      </c>
      <c r="I29" s="320"/>
      <c r="J29" s="319">
        <v>0</v>
      </c>
      <c r="K29" s="321"/>
      <c r="L29" s="307">
        <v>0</v>
      </c>
      <c r="M29" s="321"/>
      <c r="N29" s="307">
        <v>0</v>
      </c>
      <c r="O29" s="322">
        <v>0</v>
      </c>
      <c r="P29" s="323">
        <v>0</v>
      </c>
      <c r="Q29" s="324">
        <f>SUM(B29:P29)</f>
        <v>0</v>
      </c>
      <c r="R29" s="310"/>
      <c r="S29" s="310"/>
      <c r="T29" s="310"/>
      <c r="U29" s="310"/>
      <c r="V29" s="325"/>
    </row>
    <row r="30" spans="1:22" ht="28.15" customHeight="1" thickBot="1" x14ac:dyDescent="0.25">
      <c r="A30" s="287" t="s">
        <v>95</v>
      </c>
      <c r="B30" s="326">
        <f t="shared" ref="B30:H30" si="5">B12+B16+B20+B27+B29</f>
        <v>9.1739999999999995</v>
      </c>
      <c r="C30" s="326">
        <f t="shared" si="5"/>
        <v>0</v>
      </c>
      <c r="D30" s="326">
        <f t="shared" si="5"/>
        <v>0</v>
      </c>
      <c r="E30" s="326">
        <f t="shared" si="5"/>
        <v>0</v>
      </c>
      <c r="F30" s="326">
        <f t="shared" si="5"/>
        <v>0</v>
      </c>
      <c r="G30" s="326">
        <f t="shared" si="5"/>
        <v>0</v>
      </c>
      <c r="H30" s="326">
        <f t="shared" si="5"/>
        <v>0</v>
      </c>
      <c r="I30" s="326"/>
      <c r="J30" s="326">
        <f>J12+J16+J20+J27+J29</f>
        <v>0</v>
      </c>
      <c r="K30" s="326"/>
      <c r="L30" s="326">
        <f>L12+L16+L20+L27+L29</f>
        <v>0</v>
      </c>
      <c r="M30" s="326"/>
      <c r="N30" s="326">
        <f>N12+N16+N20+N27+N29</f>
        <v>0</v>
      </c>
      <c r="O30" s="326">
        <f>O12+O16+O20+O27+O29</f>
        <v>0</v>
      </c>
      <c r="P30" s="326">
        <f>P12+P16+P20+P27+P29</f>
        <v>0</v>
      </c>
      <c r="Q30" s="327">
        <f>SUM(B30:P30)</f>
        <v>9.1739999999999995</v>
      </c>
      <c r="R30" s="306"/>
    </row>
    <row r="31" spans="1:22" ht="11.45" customHeight="1" x14ac:dyDescent="0.2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</row>
    <row r="32" spans="1:22" ht="11.45" customHeight="1" x14ac:dyDescent="0.2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</row>
    <row r="33" spans="1:17" ht="11.45" customHeight="1" x14ac:dyDescent="0.2">
      <c r="A33" s="455" t="s">
        <v>96</v>
      </c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</row>
    <row r="34" spans="1:17" x14ac:dyDescent="0.2">
      <c r="A34" s="262"/>
    </row>
    <row r="36" spans="1:17" x14ac:dyDescent="0.2">
      <c r="H36" s="306"/>
    </row>
  </sheetData>
  <mergeCells count="1">
    <mergeCell ref="A33:Q33"/>
  </mergeCells>
  <phoneticPr fontId="0" type="noConversion"/>
  <printOptions horizontalCentered="1" verticalCentered="1"/>
  <pageMargins left="0.25" right="0.25" top="0.75" bottom="0.5" header="0.3" footer="0.5"/>
  <pageSetup scale="69" orientation="landscape" r:id="rId1"/>
  <headerFooter alignWithMargins="0">
    <oddHeader xml:space="preserve">&amp;C&amp;"Arial,Bold"SDGE GRC Programs
2013 
$000
&amp;"Arial,Regular"
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Program MW </vt:lpstr>
      <vt:lpstr>Ex ante LI &amp; Eligibility Stats</vt:lpstr>
      <vt:lpstr>Ex post LI &amp; Eligibility Stats</vt:lpstr>
      <vt:lpstr>TA-TI Distribution</vt:lpstr>
      <vt:lpstr>DRP Expenditures</vt:lpstr>
      <vt:lpstr>Marketing </vt:lpstr>
      <vt:lpstr>Fund Shift Log</vt:lpstr>
      <vt:lpstr>Event Summary</vt:lpstr>
      <vt:lpstr>SDGE Costs - AMDRMA Balance</vt:lpstr>
      <vt:lpstr>SDGE Costs -GRC</vt:lpstr>
      <vt:lpstr>'Event Summary'!Print_Area</vt:lpstr>
      <vt:lpstr>'Ex ante LI &amp; Eligibility Stats'!Print_Area</vt:lpstr>
      <vt:lpstr>'Ex post LI &amp; Eligibility Stats'!Print_Area</vt:lpstr>
      <vt:lpstr>'Marketing '!Print_Area</vt:lpstr>
      <vt:lpstr>'Program MW '!Print_Area</vt:lpstr>
      <vt:lpstr>'SDGE Costs - AMDRMA Balance'!Print_Area</vt:lpstr>
      <vt:lpstr>'SDGE Costs -GRC'!Print_Area</vt:lpstr>
    </vt:vector>
  </TitlesOfParts>
  <Company>Edison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 Configuration</dc:creator>
  <cp:lastModifiedBy>TKinjo</cp:lastModifiedBy>
  <cp:lastPrinted>2013-02-19T22:26:23Z</cp:lastPrinted>
  <dcterms:created xsi:type="dcterms:W3CDTF">2001-06-12T23:12:10Z</dcterms:created>
  <dcterms:modified xsi:type="dcterms:W3CDTF">2013-02-19T22:32:28Z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