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05" yWindow="-15" windowWidth="12510" windowHeight="12405" tabRatio="887"/>
  </bookViews>
  <sheets>
    <sheet name="Program MW " sheetId="33" r:id="rId1"/>
    <sheet name="Ex ante LI &amp; Eligibility Stats" sheetId="34" r:id="rId2"/>
    <sheet name="Ex post LI &amp; Eligibility Stats" sheetId="35" r:id="rId3"/>
    <sheet name="TA-TI Distribution" sheetId="36" r:id="rId4"/>
    <sheet name="DRP Expenditures" sheetId="104" r:id="rId5"/>
    <sheet name="Marketing" sheetId="107" r:id="rId6"/>
    <sheet name="Fund Shift Log" sheetId="29" r:id="rId7"/>
    <sheet name="Event Summary" sheetId="57" r:id="rId8"/>
    <sheet name="SDGE Costs - AMDRMA Balance" sheetId="103" r:id="rId9"/>
    <sheet name="SDGE Costs -GRC " sheetId="100" r:id="rId10"/>
  </sheets>
  <externalReferences>
    <externalReference r:id="rId11"/>
    <externalReference r:id="rId12"/>
  </externalReferences>
  <definedNames>
    <definedName name="_DAT1" localSheetId="4">#REF!</definedName>
    <definedName name="_DAT1" localSheetId="5">#REF!</definedName>
    <definedName name="_DAT1" localSheetId="8">#REF!</definedName>
    <definedName name="_DAT1">#REF!</definedName>
    <definedName name="_DAT10" localSheetId="4">#REF!</definedName>
    <definedName name="_DAT10" localSheetId="5">#REF!</definedName>
    <definedName name="_DAT10">#REF!</definedName>
    <definedName name="_DAT11" localSheetId="4">#REF!</definedName>
    <definedName name="_DAT11" localSheetId="5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xlnm._FilterDatabase" localSheetId="7" hidden="1">'Event Summary'!$A$2:$G$58</definedName>
    <definedName name="Achieve_GRC" localSheetId="4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3">#REF!</definedName>
    <definedName name="Achieve_GRC">#REF!</definedName>
    <definedName name="Achieve_Service_Excellenc" localSheetId="4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3">#REF!</definedName>
    <definedName name="Achieve_Service_Excellenc">#REF!</definedName>
    <definedName name="Achieve_Service_Excellence" localSheetId="4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3">#REF!</definedName>
    <definedName name="Achieve_Service_Excellence">#REF!</definedName>
    <definedName name="Collect_Revenue" localSheetId="4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3">#REF!</definedName>
    <definedName name="Collect_Revenue">#REF!</definedName>
    <definedName name="DATA1" localSheetId="4">#REF!</definedName>
    <definedName name="DATA1">#REF!</definedName>
    <definedName name="DATA10" localSheetId="4">#REF!</definedName>
    <definedName name="DATA10">#REF!</definedName>
    <definedName name="DATA11" localSheetId="4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5000">'[1]ACTMA Detail'!$N$2:$N$102</definedName>
    <definedName name="DATA6" localSheetId="4">#REF!</definedName>
    <definedName name="DATA6" localSheetId="5">#REF!</definedName>
    <definedName name="DATA6">#REF!</definedName>
    <definedName name="DATA7" localSheetId="4">#REF!</definedName>
    <definedName name="DATA7" localSheetId="5">#REF!</definedName>
    <definedName name="DATA7">#REF!</definedName>
    <definedName name="DATA8" localSheetId="4">#REF!</definedName>
    <definedName name="DATA8" localSheetId="5">#REF!</definedName>
    <definedName name="DATA8">#REF!</definedName>
    <definedName name="DATA9" localSheetId="4">#REF!</definedName>
    <definedName name="DATA9">#REF!</definedName>
    <definedName name="DayTypeList">[2]LOOKUP!$E$2:$E$14</definedName>
    <definedName name="Enhance_Delivery_Channels" localSheetId="4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3">#REF!</definedName>
    <definedName name="Enhance_Delivery_Channels">#REF!</definedName>
    <definedName name="Ethics_and_Compliance" localSheetId="4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3">#REF!</definedName>
    <definedName name="Ethics_and_Compliance">#REF!</definedName>
    <definedName name="Launch_Refine_Market" localSheetId="4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3">#REF!</definedName>
    <definedName name="Launch_Refine_Market">#REF!</definedName>
    <definedName name="Manage_AMI" localSheetId="4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3">#REF!</definedName>
    <definedName name="Manage_AMI">#REF!</definedName>
    <definedName name="Meet_Financial_Targets" localSheetId="4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4">'DRP Expenditures'!$A$1:$Z$64</definedName>
    <definedName name="_xlnm.Print_Area" localSheetId="7">'Event Summary'!$A$1:$G$58</definedName>
    <definedName name="_xlnm.Print_Area" localSheetId="1">'Ex ante LI &amp; Eligibility Stats'!$A$1:$P$26</definedName>
    <definedName name="_xlnm.Print_Area" localSheetId="2">'Ex post LI &amp; Eligibility Stats'!$A$1:$O$23</definedName>
    <definedName name="_xlnm.Print_Area" localSheetId="5">Marketing!$A$1:$Q$53</definedName>
    <definedName name="_xlnm.Print_Area" localSheetId="0">'Program MW '!$A$1:$U$56</definedName>
    <definedName name="_xlnm.Print_Area" localSheetId="8">'SDGE Costs - AMDRMA Balance'!$A$1:$R$69</definedName>
    <definedName name="_xlnm.Print_Area" localSheetId="9">'SDGE Costs -GRC '!$A$1:$Q$37</definedName>
    <definedName name="Reliability_Expectations" localSheetId="4">#REF!</definedName>
    <definedName name="Reliability_Expectations" localSheetId="1">#REF!</definedName>
    <definedName name="Reliability_Expectations" localSheetId="2">#REF!</definedName>
    <definedName name="Reliability_Expectations" localSheetId="5">#REF!</definedName>
    <definedName name="Reliability_Expectations" localSheetId="0">#REF!</definedName>
    <definedName name="Reliability_Expectations" localSheetId="3">#REF!</definedName>
    <definedName name="Reliability_Expectations">#REF!</definedName>
    <definedName name="Stabilization_Customer_Base" localSheetId="4">#REF!</definedName>
    <definedName name="Stabilization_Customer_Base" localSheetId="1">#REF!</definedName>
    <definedName name="Stabilization_Customer_Base" localSheetId="2">#REF!</definedName>
    <definedName name="Stabilization_Customer_Base" localSheetId="5">#REF!</definedName>
    <definedName name="Stabilization_Customer_Base" localSheetId="0">#REF!</definedName>
    <definedName name="Stabilization_Customer_Base" localSheetId="3">#REF!</definedName>
    <definedName name="Stabilization_Customer_Base">#REF!</definedName>
    <definedName name="TEST0" localSheetId="4">#REF!</definedName>
    <definedName name="TEST0" localSheetId="5">#REF!</definedName>
    <definedName name="TEST0">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18" localSheetId="4">#REF!</definedName>
    <definedName name="TEST18">#REF!</definedName>
    <definedName name="TEST19" localSheetId="4">#REF!</definedName>
    <definedName name="TEST19">#REF!</definedName>
    <definedName name="TEST2" localSheetId="4">#REF!</definedName>
    <definedName name="TEST2">#REF!</definedName>
    <definedName name="TEST20" localSheetId="4">#REF!</definedName>
    <definedName name="TEST20">#REF!</definedName>
    <definedName name="TEST21" localSheetId="4">#REF!</definedName>
    <definedName name="TEST21">#REF!</definedName>
    <definedName name="TEST22" localSheetId="4">#REF!</definedName>
    <definedName name="TEST22">#REF!</definedName>
    <definedName name="TEST23" localSheetId="4">#REF!</definedName>
    <definedName name="TEST23">#REF!</definedName>
    <definedName name="TEST24" localSheetId="4">#REF!</definedName>
    <definedName name="TEST24">#REF!</definedName>
    <definedName name="TEST25" localSheetId="4">#REF!</definedName>
    <definedName name="TEST25">#REF!</definedName>
    <definedName name="TEST26" localSheetId="4">#REF!</definedName>
    <definedName name="TEST26">#REF!</definedName>
    <definedName name="TEST27" localSheetId="4">#REF!</definedName>
    <definedName name="TEST27">#REF!</definedName>
    <definedName name="TEST28" localSheetId="4">#REF!</definedName>
    <definedName name="TEST28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Valued_Service_Provider" localSheetId="4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3">#REF!</definedName>
    <definedName name="Valued_Service_Provider">#REF!</definedName>
    <definedName name="Voice_of_Customer" localSheetId="4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Stats'!$A$1:$O$23</definedName>
    <definedName name="Z_E5DF83AA_DC53_4EBF_A523_33DA0FE284E8_.wvu.PrintArea" localSheetId="0" hidden="1">'Program MW '!$A$1:$Z$55</definedName>
    <definedName name="Z_E5DF83AA_DC53_4EBF_A523_33DA0FE284E8_.wvu.PrintArea" localSheetId="3" hidden="1">'TA-TI Distribution'!#REF!</definedName>
  </definedNames>
  <calcPr calcId="145621"/>
</workbook>
</file>

<file path=xl/calcChain.xml><?xml version="1.0" encoding="utf-8"?>
<calcChain xmlns="http://schemas.openxmlformats.org/spreadsheetml/2006/main">
  <c r="S46" i="104" l="1"/>
  <c r="S41" i="104"/>
  <c r="S30" i="104"/>
  <c r="S25" i="104"/>
  <c r="S8" i="104"/>
  <c r="S9" i="104"/>
  <c r="S14" i="104"/>
  <c r="M6" i="107" l="1"/>
  <c r="M31" i="103"/>
  <c r="R42" i="33" l="1"/>
  <c r="O42" i="33"/>
  <c r="Q43" i="33" l="1"/>
  <c r="O46" i="107"/>
  <c r="L46" i="107"/>
  <c r="K46" i="107"/>
  <c r="J46" i="107"/>
  <c r="I46" i="107"/>
  <c r="H46" i="107"/>
  <c r="G46" i="107"/>
  <c r="F46" i="107"/>
  <c r="E46" i="107"/>
  <c r="D46" i="107"/>
  <c r="C46" i="107"/>
  <c r="M45" i="107"/>
  <c r="M46" i="107"/>
  <c r="K45" i="107"/>
  <c r="H45" i="107"/>
  <c r="N44" i="107"/>
  <c r="P44" i="107"/>
  <c r="D44" i="107"/>
  <c r="B44" i="107"/>
  <c r="B46" i="107"/>
  <c r="N43" i="107"/>
  <c r="P43" i="107"/>
  <c r="N42" i="107"/>
  <c r="M39" i="107"/>
  <c r="L39" i="107"/>
  <c r="K39" i="107"/>
  <c r="J39" i="107"/>
  <c r="F39" i="107"/>
  <c r="E39" i="107"/>
  <c r="D39" i="107"/>
  <c r="C39" i="107"/>
  <c r="N38" i="107"/>
  <c r="P38" i="107" s="1"/>
  <c r="N37" i="107"/>
  <c r="N39" i="107" s="1"/>
  <c r="P37" i="107"/>
  <c r="G36" i="107"/>
  <c r="G39" i="107"/>
  <c r="B36" i="107"/>
  <c r="N36" i="107"/>
  <c r="P36" i="107"/>
  <c r="I35" i="107"/>
  <c r="I39" i="107"/>
  <c r="H35" i="107"/>
  <c r="H39" i="107"/>
  <c r="N34" i="107"/>
  <c r="P34" i="107"/>
  <c r="K31" i="107"/>
  <c r="J31" i="107"/>
  <c r="I31" i="107"/>
  <c r="H31" i="107"/>
  <c r="G31" i="107"/>
  <c r="F31" i="107"/>
  <c r="D31" i="107"/>
  <c r="C31" i="107"/>
  <c r="B31" i="107"/>
  <c r="N30" i="107"/>
  <c r="P30" i="107"/>
  <c r="N29" i="107"/>
  <c r="P29" i="107"/>
  <c r="N28" i="107"/>
  <c r="P28" i="107"/>
  <c r="N27" i="107"/>
  <c r="P27" i="107"/>
  <c r="H27" i="107"/>
  <c r="N26" i="107"/>
  <c r="P26" i="107"/>
  <c r="J22" i="107"/>
  <c r="F22" i="107"/>
  <c r="E22" i="107"/>
  <c r="E31" i="107"/>
  <c r="C22" i="107"/>
  <c r="N22" i="107"/>
  <c r="P22" i="107"/>
  <c r="N21" i="107"/>
  <c r="P21" i="107"/>
  <c r="L20" i="107"/>
  <c r="N20" i="107"/>
  <c r="P20" i="107"/>
  <c r="N19" i="107"/>
  <c r="P19" i="107"/>
  <c r="N18" i="107"/>
  <c r="P18" i="107"/>
  <c r="N17" i="107"/>
  <c r="P17" i="107"/>
  <c r="N16" i="107"/>
  <c r="P16" i="107"/>
  <c r="N15" i="107"/>
  <c r="P15" i="107"/>
  <c r="M15" i="107"/>
  <c r="M31" i="107"/>
  <c r="N14" i="107"/>
  <c r="P14" i="107"/>
  <c r="P13" i="107"/>
  <c r="N13" i="107"/>
  <c r="M7" i="107"/>
  <c r="L7" i="107"/>
  <c r="K7" i="107"/>
  <c r="J7" i="107"/>
  <c r="I7" i="107"/>
  <c r="H7" i="107"/>
  <c r="G7" i="107"/>
  <c r="F7" i="107"/>
  <c r="E7" i="107"/>
  <c r="D7" i="107"/>
  <c r="C7" i="107"/>
  <c r="B7" i="107"/>
  <c r="N6" i="107"/>
  <c r="N7" i="107" s="1"/>
  <c r="P6" i="107"/>
  <c r="P7" i="107" s="1"/>
  <c r="P5" i="107"/>
  <c r="O5" i="107"/>
  <c r="O7" i="107"/>
  <c r="N5" i="107"/>
  <c r="P31" i="107"/>
  <c r="B39" i="107"/>
  <c r="N45" i="107"/>
  <c r="P45" i="107"/>
  <c r="L31" i="107"/>
  <c r="N35" i="107"/>
  <c r="P42" i="107"/>
  <c r="N31" i="107"/>
  <c r="P46" i="107"/>
  <c r="P35" i="107"/>
  <c r="N46" i="107"/>
  <c r="R50" i="104"/>
  <c r="Q50" i="104"/>
  <c r="N50" i="104"/>
  <c r="M50" i="104"/>
  <c r="L50" i="104"/>
  <c r="K50" i="104"/>
  <c r="J50" i="104"/>
  <c r="I50" i="104"/>
  <c r="H50" i="104"/>
  <c r="G50" i="104"/>
  <c r="F50" i="104"/>
  <c r="E50" i="104"/>
  <c r="D50" i="104"/>
  <c r="C50" i="104"/>
  <c r="B50" i="104"/>
  <c r="O49" i="104"/>
  <c r="O50" i="104"/>
  <c r="R46" i="104"/>
  <c r="Q46" i="104"/>
  <c r="N46" i="104"/>
  <c r="M46" i="104"/>
  <c r="L46" i="104"/>
  <c r="K46" i="104"/>
  <c r="J46" i="104"/>
  <c r="I46" i="104"/>
  <c r="H46" i="104"/>
  <c r="G46" i="104"/>
  <c r="F46" i="104"/>
  <c r="E46" i="104"/>
  <c r="D46" i="104"/>
  <c r="C46" i="104"/>
  <c r="B46" i="104"/>
  <c r="O45" i="104"/>
  <c r="P45" i="104"/>
  <c r="S45" i="104"/>
  <c r="O44" i="104"/>
  <c r="P44" i="104"/>
  <c r="S44" i="104"/>
  <c r="R41" i="104"/>
  <c r="Q41" i="104"/>
  <c r="N41" i="104"/>
  <c r="M41" i="104"/>
  <c r="L41" i="104"/>
  <c r="K41" i="104"/>
  <c r="J41" i="104"/>
  <c r="I41" i="104"/>
  <c r="H41" i="104"/>
  <c r="G41" i="104"/>
  <c r="F41" i="104"/>
  <c r="E41" i="104"/>
  <c r="D41" i="104"/>
  <c r="C41" i="104"/>
  <c r="B41" i="104"/>
  <c r="O40" i="104"/>
  <c r="P40" i="104"/>
  <c r="S40" i="104"/>
  <c r="O39" i="104"/>
  <c r="P39" i="104"/>
  <c r="S39" i="104"/>
  <c r="R36" i="104"/>
  <c r="Q36" i="104"/>
  <c r="N36" i="104"/>
  <c r="M36" i="104"/>
  <c r="L36" i="104"/>
  <c r="K36" i="104"/>
  <c r="J36" i="104"/>
  <c r="I36" i="104"/>
  <c r="H36" i="104"/>
  <c r="G36" i="104"/>
  <c r="F36" i="104"/>
  <c r="E36" i="104"/>
  <c r="D36" i="104"/>
  <c r="C36" i="104"/>
  <c r="B36" i="104"/>
  <c r="O35" i="104"/>
  <c r="P35" i="104"/>
  <c r="S35" i="104"/>
  <c r="O34" i="104"/>
  <c r="P34" i="104"/>
  <c r="S34" i="104"/>
  <c r="O33" i="104"/>
  <c r="P33" i="104"/>
  <c r="R30" i="104"/>
  <c r="Q30" i="104"/>
  <c r="N30" i="104"/>
  <c r="M30" i="104"/>
  <c r="L30" i="104"/>
  <c r="K30" i="104"/>
  <c r="J30" i="104"/>
  <c r="I30" i="104"/>
  <c r="H30" i="104"/>
  <c r="G30" i="104"/>
  <c r="F30" i="104"/>
  <c r="E30" i="104"/>
  <c r="D30" i="104"/>
  <c r="C30" i="104"/>
  <c r="B30" i="104"/>
  <c r="O29" i="104"/>
  <c r="P29" i="104"/>
  <c r="S29" i="104"/>
  <c r="O28" i="104"/>
  <c r="P28" i="104"/>
  <c r="R25" i="104"/>
  <c r="Q25" i="104"/>
  <c r="N25" i="104"/>
  <c r="M25" i="104"/>
  <c r="L25" i="104"/>
  <c r="K25" i="104"/>
  <c r="J25" i="104"/>
  <c r="I25" i="104"/>
  <c r="H25" i="104"/>
  <c r="G25" i="104"/>
  <c r="F25" i="104"/>
  <c r="E25" i="104"/>
  <c r="D25" i="104"/>
  <c r="C25" i="104"/>
  <c r="B25" i="104"/>
  <c r="O24" i="104"/>
  <c r="P24" i="104"/>
  <c r="S24" i="104"/>
  <c r="O23" i="104"/>
  <c r="P23" i="104"/>
  <c r="R20" i="104"/>
  <c r="Q20" i="104"/>
  <c r="N20" i="104"/>
  <c r="M20" i="104"/>
  <c r="L20" i="104"/>
  <c r="K20" i="104"/>
  <c r="J20" i="104"/>
  <c r="I20" i="104"/>
  <c r="H20" i="104"/>
  <c r="G20" i="104"/>
  <c r="F20" i="104"/>
  <c r="E20" i="104"/>
  <c r="D20" i="104"/>
  <c r="C20" i="104"/>
  <c r="B20" i="104"/>
  <c r="O19" i="104"/>
  <c r="P19" i="104"/>
  <c r="S19" i="104"/>
  <c r="O18" i="104"/>
  <c r="P18" i="104"/>
  <c r="O17" i="104"/>
  <c r="P17" i="104"/>
  <c r="S17" i="104"/>
  <c r="R14" i="104"/>
  <c r="Q14" i="104"/>
  <c r="N14" i="104"/>
  <c r="M14" i="104"/>
  <c r="L14" i="104"/>
  <c r="K14" i="104"/>
  <c r="J14" i="104"/>
  <c r="I14" i="104"/>
  <c r="H14" i="104"/>
  <c r="G14" i="104"/>
  <c r="F14" i="104"/>
  <c r="E14" i="104"/>
  <c r="D14" i="104"/>
  <c r="C14" i="104"/>
  <c r="B14" i="104"/>
  <c r="Q13" i="104"/>
  <c r="O13" i="104"/>
  <c r="P13" i="104"/>
  <c r="S13" i="104"/>
  <c r="O12" i="104"/>
  <c r="P12" i="104"/>
  <c r="R9" i="104"/>
  <c r="R53" i="104"/>
  <c r="Q9" i="104"/>
  <c r="Q53" i="104"/>
  <c r="N9" i="104"/>
  <c r="M9" i="104"/>
  <c r="L9" i="104"/>
  <c r="L53" i="104"/>
  <c r="K9" i="104"/>
  <c r="K53" i="104"/>
  <c r="J9" i="104"/>
  <c r="J53" i="104"/>
  <c r="I9" i="104"/>
  <c r="I53" i="104"/>
  <c r="H9" i="104"/>
  <c r="H53" i="104"/>
  <c r="G9" i="104"/>
  <c r="G53" i="104"/>
  <c r="F9" i="104"/>
  <c r="F53" i="104"/>
  <c r="E9" i="104"/>
  <c r="E53" i="104"/>
  <c r="D9" i="104"/>
  <c r="D53" i="104"/>
  <c r="C9" i="104"/>
  <c r="C53" i="104"/>
  <c r="B9" i="104"/>
  <c r="B53" i="104"/>
  <c r="O8" i="104"/>
  <c r="P8" i="104"/>
  <c r="O7" i="104"/>
  <c r="N62" i="103"/>
  <c r="O59" i="103"/>
  <c r="O60" i="103"/>
  <c r="M59" i="103"/>
  <c r="L59" i="103"/>
  <c r="K59" i="103"/>
  <c r="K60" i="103"/>
  <c r="J59" i="103"/>
  <c r="J60" i="103"/>
  <c r="I59" i="103"/>
  <c r="H59" i="103"/>
  <c r="G59" i="103"/>
  <c r="F59" i="103"/>
  <c r="F60" i="103"/>
  <c r="E59" i="103"/>
  <c r="D59" i="103"/>
  <c r="C59" i="103"/>
  <c r="B59" i="103"/>
  <c r="N58" i="103"/>
  <c r="N57" i="103"/>
  <c r="N56" i="103"/>
  <c r="N55" i="103"/>
  <c r="N54" i="103"/>
  <c r="N53" i="103"/>
  <c r="N52" i="103"/>
  <c r="N51" i="103"/>
  <c r="O48" i="103"/>
  <c r="M48" i="103"/>
  <c r="L48" i="103"/>
  <c r="K48" i="103"/>
  <c r="J48" i="103"/>
  <c r="I48" i="103"/>
  <c r="I60" i="103"/>
  <c r="H48" i="103"/>
  <c r="H60" i="103"/>
  <c r="G48" i="103"/>
  <c r="F48" i="103"/>
  <c r="E48" i="103"/>
  <c r="E60" i="103"/>
  <c r="D48" i="103"/>
  <c r="D60" i="103"/>
  <c r="C48" i="103"/>
  <c r="B48" i="103"/>
  <c r="N47" i="103"/>
  <c r="N46" i="103"/>
  <c r="O43" i="103"/>
  <c r="M43" i="103"/>
  <c r="L43" i="103"/>
  <c r="K43" i="103"/>
  <c r="I43" i="103"/>
  <c r="H43" i="103"/>
  <c r="G43" i="103"/>
  <c r="F43" i="103"/>
  <c r="E43" i="103"/>
  <c r="D43" i="103"/>
  <c r="C43" i="103"/>
  <c r="N43" i="103"/>
  <c r="B43" i="103"/>
  <c r="N42" i="103"/>
  <c r="N41" i="103"/>
  <c r="O38" i="103"/>
  <c r="M38" i="103"/>
  <c r="L38" i="103"/>
  <c r="K38" i="103"/>
  <c r="J38" i="103"/>
  <c r="I38" i="103"/>
  <c r="H38" i="103"/>
  <c r="G38" i="103"/>
  <c r="F38" i="103"/>
  <c r="E38" i="103"/>
  <c r="D38" i="103"/>
  <c r="C38" i="103"/>
  <c r="B38" i="103"/>
  <c r="N37" i="103"/>
  <c r="N36" i="103"/>
  <c r="N35" i="103"/>
  <c r="N34" i="103"/>
  <c r="N33" i="103"/>
  <c r="N32" i="103"/>
  <c r="N31" i="103"/>
  <c r="N38" i="103" s="1"/>
  <c r="N60" i="103" s="1"/>
  <c r="N30" i="103"/>
  <c r="N29" i="103"/>
  <c r="N28" i="103"/>
  <c r="N27" i="103"/>
  <c r="N26" i="103"/>
  <c r="N25" i="103"/>
  <c r="N24" i="103"/>
  <c r="N23" i="103"/>
  <c r="N22" i="103"/>
  <c r="N21" i="103"/>
  <c r="N20" i="103"/>
  <c r="N19" i="103"/>
  <c r="N18" i="103"/>
  <c r="N17" i="103"/>
  <c r="N16" i="103"/>
  <c r="N15" i="103"/>
  <c r="N14" i="103"/>
  <c r="N13" i="103"/>
  <c r="N12" i="103"/>
  <c r="N11" i="103"/>
  <c r="N10" i="103"/>
  <c r="N9" i="103"/>
  <c r="N8" i="103"/>
  <c r="N7" i="103"/>
  <c r="N53" i="104"/>
  <c r="C60" i="103"/>
  <c r="B60" i="103"/>
  <c r="N48" i="103"/>
  <c r="G60" i="103"/>
  <c r="M60" i="103"/>
  <c r="N59" i="103"/>
  <c r="L60" i="103"/>
  <c r="P49" i="104"/>
  <c r="S49" i="104"/>
  <c r="O9" i="104"/>
  <c r="O20" i="104"/>
  <c r="M53" i="104"/>
  <c r="P7" i="104"/>
  <c r="S7" i="104"/>
  <c r="P9" i="104"/>
  <c r="P25" i="104"/>
  <c r="S23" i="104"/>
  <c r="P36" i="104"/>
  <c r="S36" i="104"/>
  <c r="S33" i="104"/>
  <c r="P14" i="104"/>
  <c r="S12" i="104"/>
  <c r="P20" i="104"/>
  <c r="S20" i="104"/>
  <c r="S18" i="104"/>
  <c r="P30" i="104"/>
  <c r="S28" i="104"/>
  <c r="O36" i="104"/>
  <c r="O41" i="104"/>
  <c r="O46" i="104"/>
  <c r="O25" i="104"/>
  <c r="O30" i="104"/>
  <c r="P41" i="104"/>
  <c r="P46" i="104"/>
  <c r="O14" i="104"/>
  <c r="P50" i="104"/>
  <c r="S50" i="104"/>
  <c r="O53" i="104"/>
  <c r="V54" i="36"/>
  <c r="R54" i="36"/>
  <c r="F54" i="36"/>
  <c r="B54" i="36"/>
  <c r="V52" i="36"/>
  <c r="R52" i="36"/>
  <c r="N52" i="36"/>
  <c r="N54" i="36"/>
  <c r="J52" i="36"/>
  <c r="J54" i="36"/>
  <c r="F52" i="36"/>
  <c r="B52" i="36"/>
  <c r="S47" i="36"/>
  <c r="Y44" i="36"/>
  <c r="Y43" i="36"/>
  <c r="Y42" i="36"/>
  <c r="Y41" i="36"/>
  <c r="Y40" i="36"/>
  <c r="Y46" i="36"/>
  <c r="U46" i="36"/>
  <c r="U44" i="36"/>
  <c r="U43" i="36"/>
  <c r="U42" i="36"/>
  <c r="U41" i="36"/>
  <c r="U40" i="36"/>
  <c r="U45" i="36"/>
  <c r="Q44" i="36"/>
  <c r="Q43" i="36"/>
  <c r="Q42" i="36"/>
  <c r="Q41" i="36"/>
  <c r="Q46" i="36"/>
  <c r="Q40" i="36"/>
  <c r="M44" i="36"/>
  <c r="M43" i="36"/>
  <c r="M42" i="36"/>
  <c r="M41" i="36"/>
  <c r="M40" i="36"/>
  <c r="M45" i="36"/>
  <c r="I44" i="36"/>
  <c r="I43" i="36"/>
  <c r="I42" i="36"/>
  <c r="I41" i="36"/>
  <c r="I40" i="36"/>
  <c r="I46" i="36"/>
  <c r="X45" i="36"/>
  <c r="X47" i="36"/>
  <c r="W45" i="36"/>
  <c r="T45" i="36"/>
  <c r="S45" i="36"/>
  <c r="P45" i="36"/>
  <c r="O45" i="36"/>
  <c r="L45" i="36"/>
  <c r="K45" i="36"/>
  <c r="H45" i="36"/>
  <c r="H47" i="36"/>
  <c r="G45" i="36"/>
  <c r="D45" i="36"/>
  <c r="C45" i="36"/>
  <c r="C47" i="36"/>
  <c r="E43" i="36"/>
  <c r="E42" i="36"/>
  <c r="E41" i="36"/>
  <c r="E45" i="36"/>
  <c r="X38" i="36"/>
  <c r="W38" i="36"/>
  <c r="W47" i="36"/>
  <c r="T38" i="36"/>
  <c r="T47" i="36"/>
  <c r="S38" i="36"/>
  <c r="P38" i="36"/>
  <c r="P47" i="36"/>
  <c r="O38" i="36"/>
  <c r="O47" i="36"/>
  <c r="L38" i="36"/>
  <c r="L47" i="36"/>
  <c r="K38" i="36"/>
  <c r="K47" i="36"/>
  <c r="H38" i="36"/>
  <c r="G38" i="36"/>
  <c r="G47" i="36"/>
  <c r="D38" i="36"/>
  <c r="D47" i="36"/>
  <c r="C38" i="36"/>
  <c r="Y37" i="36"/>
  <c r="Y36" i="36"/>
  <c r="Y35" i="36"/>
  <c r="Y38" i="36"/>
  <c r="Y34" i="36"/>
  <c r="Y33" i="36"/>
  <c r="Y32" i="36"/>
  <c r="U37" i="36"/>
  <c r="U36" i="36"/>
  <c r="U35" i="36"/>
  <c r="U34" i="36"/>
  <c r="U33" i="36"/>
  <c r="U38" i="36"/>
  <c r="U32" i="36"/>
  <c r="Q37" i="36"/>
  <c r="Q36" i="36"/>
  <c r="Q35" i="36"/>
  <c r="Q34" i="36"/>
  <c r="Q33" i="36"/>
  <c r="Q32" i="36"/>
  <c r="Q38" i="36"/>
  <c r="M37" i="36"/>
  <c r="M36" i="36"/>
  <c r="M35" i="36"/>
  <c r="M34" i="36"/>
  <c r="M33" i="36"/>
  <c r="M32" i="36"/>
  <c r="M38" i="36"/>
  <c r="M47" i="36"/>
  <c r="I37" i="36"/>
  <c r="I36" i="36"/>
  <c r="I35" i="36"/>
  <c r="I38" i="36"/>
  <c r="I34" i="36"/>
  <c r="I33" i="36"/>
  <c r="I32" i="36"/>
  <c r="E36" i="36"/>
  <c r="E35" i="36"/>
  <c r="E34" i="36"/>
  <c r="E33" i="36"/>
  <c r="E32" i="36"/>
  <c r="E38" i="36"/>
  <c r="N27" i="36"/>
  <c r="J27" i="36"/>
  <c r="V25" i="36"/>
  <c r="V27" i="36"/>
  <c r="R25" i="36"/>
  <c r="R27" i="36"/>
  <c r="N25" i="36"/>
  <c r="J25" i="36"/>
  <c r="F25" i="36"/>
  <c r="F27" i="36"/>
  <c r="B25" i="36"/>
  <c r="B27" i="36"/>
  <c r="P20" i="36"/>
  <c r="L20" i="36"/>
  <c r="K20" i="36"/>
  <c r="G20" i="36"/>
  <c r="C20" i="36"/>
  <c r="X18" i="36"/>
  <c r="X20" i="36"/>
  <c r="W18" i="36"/>
  <c r="W20" i="36"/>
  <c r="T18" i="36"/>
  <c r="S18" i="36"/>
  <c r="P18" i="36"/>
  <c r="O18" i="36"/>
  <c r="L18" i="36"/>
  <c r="K18" i="36"/>
  <c r="H18" i="36"/>
  <c r="H20" i="36"/>
  <c r="G18" i="36"/>
  <c r="D18" i="36"/>
  <c r="Y16" i="36"/>
  <c r="Y18" i="36"/>
  <c r="Y15" i="36"/>
  <c r="Y14" i="36"/>
  <c r="Y13" i="36"/>
  <c r="Y19" i="36"/>
  <c r="U16" i="36"/>
  <c r="U15" i="36"/>
  <c r="U14" i="36"/>
  <c r="U13" i="36"/>
  <c r="U19" i="36"/>
  <c r="Q16" i="36"/>
  <c r="Q18" i="36"/>
  <c r="Q15" i="36"/>
  <c r="Q14" i="36"/>
  <c r="Q13" i="36"/>
  <c r="Q19" i="36"/>
  <c r="M16" i="36"/>
  <c r="M15" i="36"/>
  <c r="M14" i="36"/>
  <c r="M13" i="36"/>
  <c r="M19" i="36"/>
  <c r="E16" i="36"/>
  <c r="E15" i="36"/>
  <c r="E14" i="36"/>
  <c r="E18" i="36"/>
  <c r="I14" i="36"/>
  <c r="I18" i="36"/>
  <c r="X11" i="36"/>
  <c r="W11" i="36"/>
  <c r="V11" i="36"/>
  <c r="U11" i="36"/>
  <c r="T11" i="36"/>
  <c r="T20" i="36"/>
  <c r="S11" i="36"/>
  <c r="S20" i="36"/>
  <c r="R11" i="36"/>
  <c r="P11" i="36"/>
  <c r="O11" i="36"/>
  <c r="O20" i="36"/>
  <c r="N11" i="36"/>
  <c r="L11" i="36"/>
  <c r="K11" i="36"/>
  <c r="J11" i="36"/>
  <c r="I11" i="36"/>
  <c r="I20" i="36"/>
  <c r="H11" i="36"/>
  <c r="G11" i="36"/>
  <c r="D11" i="36"/>
  <c r="D20" i="36"/>
  <c r="C11" i="36"/>
  <c r="Y10" i="36"/>
  <c r="Y9" i="36"/>
  <c r="Y8" i="36"/>
  <c r="Y11" i="36"/>
  <c r="Y20" i="36"/>
  <c r="U10" i="36"/>
  <c r="U9" i="36"/>
  <c r="U8" i="36"/>
  <c r="Q10" i="36"/>
  <c r="Q9" i="36"/>
  <c r="Q8" i="36"/>
  <c r="M10" i="36"/>
  <c r="M9" i="36"/>
  <c r="M11" i="36"/>
  <c r="M8" i="36"/>
  <c r="I10" i="36"/>
  <c r="E9" i="36"/>
  <c r="E8" i="36"/>
  <c r="I8" i="36"/>
  <c r="Y5" i="36"/>
  <c r="U5" i="36"/>
  <c r="Q5" i="36"/>
  <c r="Q11" i="36"/>
  <c r="Q20" i="36"/>
  <c r="M5" i="36"/>
  <c r="I5" i="36"/>
  <c r="E5" i="36"/>
  <c r="E11" i="36"/>
  <c r="N43" i="33"/>
  <c r="K43" i="33"/>
  <c r="H43" i="33"/>
  <c r="E43" i="33"/>
  <c r="E44" i="33"/>
  <c r="B43" i="33"/>
  <c r="S41" i="33"/>
  <c r="R41" i="33"/>
  <c r="S40" i="33"/>
  <c r="R40" i="33"/>
  <c r="S39" i="33"/>
  <c r="R39" i="33"/>
  <c r="S38" i="33"/>
  <c r="R38" i="33"/>
  <c r="S37" i="33"/>
  <c r="R37" i="33"/>
  <c r="S36" i="33"/>
  <c r="R36" i="33"/>
  <c r="S35" i="33"/>
  <c r="R35" i="33"/>
  <c r="S34" i="33"/>
  <c r="R34" i="33"/>
  <c r="P41" i="33"/>
  <c r="O41" i="33"/>
  <c r="P40" i="33"/>
  <c r="O40" i="33"/>
  <c r="P39" i="33"/>
  <c r="O39" i="33"/>
  <c r="P38" i="33"/>
  <c r="O38" i="33"/>
  <c r="P37" i="33"/>
  <c r="O37" i="33"/>
  <c r="P36" i="33"/>
  <c r="O36" i="33"/>
  <c r="P35" i="33"/>
  <c r="O35" i="33"/>
  <c r="P34" i="33"/>
  <c r="O34" i="33"/>
  <c r="M42" i="33"/>
  <c r="L42" i="33"/>
  <c r="M41" i="33"/>
  <c r="L41" i="33"/>
  <c r="M40" i="33"/>
  <c r="L40" i="33"/>
  <c r="M39" i="33"/>
  <c r="L39" i="33"/>
  <c r="M38" i="33"/>
  <c r="L38" i="33"/>
  <c r="M37" i="33"/>
  <c r="L37" i="33"/>
  <c r="M36" i="33"/>
  <c r="L36" i="33"/>
  <c r="M35" i="33"/>
  <c r="L35" i="33"/>
  <c r="M34" i="33"/>
  <c r="L34" i="33"/>
  <c r="J42" i="33"/>
  <c r="I42" i="33"/>
  <c r="J41" i="33"/>
  <c r="I41" i="33"/>
  <c r="J40" i="33"/>
  <c r="I40" i="33"/>
  <c r="J39" i="33"/>
  <c r="I39" i="33"/>
  <c r="J38" i="33"/>
  <c r="I38" i="33"/>
  <c r="J37" i="33"/>
  <c r="I37" i="33"/>
  <c r="J36" i="33"/>
  <c r="I36" i="33"/>
  <c r="J35" i="33"/>
  <c r="I35" i="33"/>
  <c r="J34" i="33"/>
  <c r="I34" i="33"/>
  <c r="G42" i="33"/>
  <c r="F42" i="33"/>
  <c r="G41" i="33"/>
  <c r="F41" i="33"/>
  <c r="G40" i="33"/>
  <c r="F40" i="33"/>
  <c r="G39" i="33"/>
  <c r="F39" i="33"/>
  <c r="G38" i="33"/>
  <c r="F38" i="33"/>
  <c r="G37" i="33"/>
  <c r="F37" i="33"/>
  <c r="G36" i="33"/>
  <c r="F36" i="33"/>
  <c r="G35" i="33"/>
  <c r="F35" i="33"/>
  <c r="G34" i="33"/>
  <c r="F34" i="33"/>
  <c r="D42" i="33"/>
  <c r="C42" i="33"/>
  <c r="D41" i="33"/>
  <c r="C41" i="33"/>
  <c r="D40" i="33"/>
  <c r="C40" i="33"/>
  <c r="D39" i="33"/>
  <c r="C39" i="33"/>
  <c r="D38" i="33"/>
  <c r="C38" i="33"/>
  <c r="D37" i="33"/>
  <c r="C37" i="33"/>
  <c r="D36" i="33"/>
  <c r="C36" i="33"/>
  <c r="D35" i="33"/>
  <c r="C35" i="33"/>
  <c r="D34" i="33"/>
  <c r="D43" i="33"/>
  <c r="C34" i="33"/>
  <c r="Q32" i="33"/>
  <c r="N32" i="33"/>
  <c r="M32" i="33"/>
  <c r="K32" i="33"/>
  <c r="K44" i="33"/>
  <c r="J32" i="33"/>
  <c r="I32" i="33"/>
  <c r="H32" i="33"/>
  <c r="H44" i="33"/>
  <c r="B32" i="33"/>
  <c r="B44" i="33" s="1"/>
  <c r="S31" i="33"/>
  <c r="S32" i="33"/>
  <c r="R31" i="33"/>
  <c r="R32" i="33"/>
  <c r="P31" i="33"/>
  <c r="P32" i="33"/>
  <c r="O31" i="33"/>
  <c r="O32" i="33"/>
  <c r="M31" i="33"/>
  <c r="L31" i="33"/>
  <c r="L32" i="33"/>
  <c r="J31" i="33"/>
  <c r="I31" i="33"/>
  <c r="G31" i="33"/>
  <c r="G32" i="33"/>
  <c r="F31" i="33"/>
  <c r="F32" i="33"/>
  <c r="D31" i="33"/>
  <c r="D32" i="33"/>
  <c r="D44" i="33" s="1"/>
  <c r="C31" i="33"/>
  <c r="C32" i="33"/>
  <c r="F27" i="33"/>
  <c r="C27" i="33"/>
  <c r="U22" i="33"/>
  <c r="Q22" i="33"/>
  <c r="N22" i="33"/>
  <c r="K22" i="33"/>
  <c r="H22" i="33"/>
  <c r="E22" i="33"/>
  <c r="B22" i="33"/>
  <c r="S20" i="33"/>
  <c r="R20" i="33"/>
  <c r="S19" i="33"/>
  <c r="R19" i="33"/>
  <c r="S18" i="33"/>
  <c r="R18" i="33"/>
  <c r="S17" i="33"/>
  <c r="R17" i="33"/>
  <c r="S16" i="33"/>
  <c r="R16" i="33"/>
  <c r="S15" i="33"/>
  <c r="R15" i="33"/>
  <c r="S14" i="33"/>
  <c r="R14" i="33"/>
  <c r="S13" i="33"/>
  <c r="R13" i="33"/>
  <c r="P20" i="33"/>
  <c r="O20" i="33"/>
  <c r="P19" i="33"/>
  <c r="O19" i="33"/>
  <c r="P18" i="33"/>
  <c r="O18" i="33"/>
  <c r="P17" i="33"/>
  <c r="O17" i="33"/>
  <c r="P16" i="33"/>
  <c r="O16" i="33"/>
  <c r="P15" i="33"/>
  <c r="O15" i="33"/>
  <c r="P14" i="33"/>
  <c r="O14" i="33"/>
  <c r="P13" i="33"/>
  <c r="P22" i="33"/>
  <c r="O13" i="33"/>
  <c r="O22" i="33"/>
  <c r="M20" i="33"/>
  <c r="L20" i="33"/>
  <c r="M19" i="33"/>
  <c r="L19" i="33"/>
  <c r="M18" i="33"/>
  <c r="L18" i="33"/>
  <c r="M17" i="33"/>
  <c r="L17" i="33"/>
  <c r="M16" i="33"/>
  <c r="L16" i="33"/>
  <c r="M15" i="33"/>
  <c r="L15" i="33"/>
  <c r="M14" i="33"/>
  <c r="L14" i="33"/>
  <c r="M13" i="33"/>
  <c r="L13" i="33"/>
  <c r="L22" i="33"/>
  <c r="J20" i="33"/>
  <c r="I20" i="33"/>
  <c r="J19" i="33"/>
  <c r="I19" i="33"/>
  <c r="J18" i="33"/>
  <c r="I18" i="33"/>
  <c r="J17" i="33"/>
  <c r="I17" i="33"/>
  <c r="J16" i="33"/>
  <c r="I16" i="33"/>
  <c r="J15" i="33"/>
  <c r="I15" i="33"/>
  <c r="J14" i="33"/>
  <c r="I14" i="33"/>
  <c r="J13" i="33"/>
  <c r="I13" i="33"/>
  <c r="I22" i="33"/>
  <c r="G20" i="33"/>
  <c r="F20" i="33"/>
  <c r="G19" i="33"/>
  <c r="F19" i="33"/>
  <c r="G18" i="33"/>
  <c r="F18" i="33"/>
  <c r="G17" i="33"/>
  <c r="F17" i="33"/>
  <c r="G16" i="33"/>
  <c r="F16" i="33"/>
  <c r="G15" i="33"/>
  <c r="F15" i="33"/>
  <c r="G14" i="33"/>
  <c r="F14" i="33"/>
  <c r="G13" i="33"/>
  <c r="G22" i="33"/>
  <c r="F13" i="33"/>
  <c r="F22" i="33"/>
  <c r="D20" i="33"/>
  <c r="C20" i="33"/>
  <c r="D19" i="33"/>
  <c r="C19" i="33"/>
  <c r="D18" i="33"/>
  <c r="C18" i="33"/>
  <c r="D17" i="33"/>
  <c r="C17" i="33"/>
  <c r="D16" i="33"/>
  <c r="C16" i="33"/>
  <c r="D15" i="33"/>
  <c r="C15" i="33"/>
  <c r="D14" i="33"/>
  <c r="C14" i="33"/>
  <c r="D13" i="33"/>
  <c r="D22" i="33"/>
  <c r="C13" i="33"/>
  <c r="C22" i="33"/>
  <c r="Q11" i="33"/>
  <c r="N11" i="33"/>
  <c r="K11" i="33"/>
  <c r="K23" i="33"/>
  <c r="H11" i="33"/>
  <c r="H23" i="33"/>
  <c r="E11" i="33"/>
  <c r="E23" i="33"/>
  <c r="B11" i="33"/>
  <c r="B23" i="33"/>
  <c r="S10" i="33"/>
  <c r="S11" i="33"/>
  <c r="R10" i="33"/>
  <c r="R11" i="33"/>
  <c r="P10" i="33"/>
  <c r="P11" i="33"/>
  <c r="O10" i="33"/>
  <c r="O11" i="33"/>
  <c r="M10" i="33"/>
  <c r="M11" i="33"/>
  <c r="L10" i="33"/>
  <c r="L11" i="33"/>
  <c r="J10" i="33"/>
  <c r="J11" i="33"/>
  <c r="I10" i="33"/>
  <c r="I11" i="33"/>
  <c r="I23" i="33"/>
  <c r="G10" i="33"/>
  <c r="G11" i="33"/>
  <c r="F10" i="33"/>
  <c r="F11" i="33"/>
  <c r="D10" i="33"/>
  <c r="D11" i="33"/>
  <c r="C10" i="33"/>
  <c r="C11" i="33"/>
  <c r="C23" i="33"/>
  <c r="F5" i="33"/>
  <c r="I5" i="33"/>
  <c r="D5" i="33"/>
  <c r="D27" i="33"/>
  <c r="L43" i="33"/>
  <c r="J43" i="33"/>
  <c r="F43" i="33"/>
  <c r="F44" i="33"/>
  <c r="S22" i="33"/>
  <c r="Q23" i="33"/>
  <c r="R22" i="33"/>
  <c r="O23" i="33"/>
  <c r="N23" i="33"/>
  <c r="S43" i="33"/>
  <c r="P43" i="33"/>
  <c r="P44" i="33"/>
  <c r="N44" i="33"/>
  <c r="P53" i="104"/>
  <c r="S53" i="104"/>
  <c r="S44" i="33"/>
  <c r="J44" i="33"/>
  <c r="Q44" i="33"/>
  <c r="G43" i="33"/>
  <c r="G44" i="33"/>
  <c r="M43" i="33"/>
  <c r="L23" i="33"/>
  <c r="R23" i="33"/>
  <c r="J22" i="33"/>
  <c r="J23" i="33"/>
  <c r="M22" i="33"/>
  <c r="M23" i="33"/>
  <c r="C43" i="33"/>
  <c r="C44" i="33"/>
  <c r="I43" i="33"/>
  <c r="I44" i="33"/>
  <c r="O43" i="33"/>
  <c r="O44" i="33"/>
  <c r="R43" i="33"/>
  <c r="R44" i="33"/>
  <c r="E20" i="36"/>
  <c r="U20" i="36"/>
  <c r="E47" i="36"/>
  <c r="U47" i="36"/>
  <c r="Y47" i="36"/>
  <c r="Q45" i="36"/>
  <c r="Q47" i="36"/>
  <c r="M18" i="36"/>
  <c r="M20" i="36"/>
  <c r="U18" i="36"/>
  <c r="I45" i="36"/>
  <c r="I47" i="36"/>
  <c r="M46" i="36"/>
  <c r="Y45" i="36"/>
  <c r="D23" i="33"/>
  <c r="P23" i="33"/>
  <c r="F23" i="33"/>
  <c r="S23" i="33"/>
  <c r="I27" i="33"/>
  <c r="L5" i="33"/>
  <c r="J5" i="33"/>
  <c r="J27" i="33"/>
  <c r="G23" i="33"/>
  <c r="L44" i="33"/>
  <c r="M44" i="33"/>
  <c r="G5" i="33"/>
  <c r="G27" i="33"/>
  <c r="O5" i="33"/>
  <c r="M5" i="33"/>
  <c r="M27" i="33"/>
  <c r="L27" i="33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O27" i="33"/>
  <c r="R5" i="33"/>
  <c r="P5" i="33"/>
  <c r="P27" i="33"/>
  <c r="B34" i="57"/>
  <c r="B35" i="57"/>
  <c r="B36" i="57"/>
  <c r="B37" i="57"/>
  <c r="B38" i="57"/>
  <c r="B39" i="57"/>
  <c r="B40" i="57"/>
  <c r="B41" i="57"/>
  <c r="B42" i="57"/>
  <c r="B43" i="57"/>
  <c r="S5" i="33"/>
  <c r="S27" i="33"/>
  <c r="R27" i="33"/>
  <c r="Q29" i="100"/>
  <c r="P27" i="100"/>
  <c r="O27" i="100"/>
  <c r="N27" i="100"/>
  <c r="L27" i="100"/>
  <c r="J27" i="100"/>
  <c r="H27" i="100"/>
  <c r="G27" i="100"/>
  <c r="F27" i="100"/>
  <c r="E27" i="100"/>
  <c r="D27" i="100"/>
  <c r="C27" i="100"/>
  <c r="B27" i="100"/>
  <c r="Q27" i="100"/>
  <c r="Q26" i="100"/>
  <c r="Q25" i="100"/>
  <c r="Q24" i="100"/>
  <c r="Q23" i="100"/>
  <c r="P20" i="100"/>
  <c r="O20" i="100"/>
  <c r="N20" i="100"/>
  <c r="L20" i="100"/>
  <c r="J20" i="100"/>
  <c r="H20" i="100"/>
  <c r="G20" i="100"/>
  <c r="F20" i="100"/>
  <c r="E20" i="100"/>
  <c r="D20" i="100"/>
  <c r="C20" i="100"/>
  <c r="B20" i="100"/>
  <c r="Q20" i="100"/>
  <c r="Q19" i="100"/>
  <c r="P16" i="100"/>
  <c r="O16" i="100"/>
  <c r="N16" i="100"/>
  <c r="L16" i="100"/>
  <c r="J16" i="100"/>
  <c r="H16" i="100"/>
  <c r="H30" i="100"/>
  <c r="G16" i="100"/>
  <c r="G30" i="100"/>
  <c r="F16" i="100"/>
  <c r="E16" i="100"/>
  <c r="D16" i="100"/>
  <c r="D30" i="100"/>
  <c r="C16" i="100"/>
  <c r="C30" i="100"/>
  <c r="B16" i="100"/>
  <c r="Q16" i="100"/>
  <c r="Q15" i="100"/>
  <c r="P12" i="100"/>
  <c r="P30" i="100"/>
  <c r="O12" i="100"/>
  <c r="N12" i="100"/>
  <c r="L12" i="100"/>
  <c r="L30" i="100"/>
  <c r="J12" i="100"/>
  <c r="J30" i="100"/>
  <c r="H12" i="100"/>
  <c r="G12" i="100"/>
  <c r="F12" i="100"/>
  <c r="F30" i="100"/>
  <c r="E12" i="100"/>
  <c r="E30" i="100"/>
  <c r="D12" i="100"/>
  <c r="C12" i="100"/>
  <c r="B12" i="100"/>
  <c r="B30" i="100"/>
  <c r="Q11" i="100"/>
  <c r="Q10" i="100"/>
  <c r="Q9" i="100"/>
  <c r="Q8" i="100"/>
  <c r="Q7" i="100"/>
  <c r="O30" i="100"/>
  <c r="N30" i="100"/>
  <c r="Q30" i="100"/>
  <c r="Q12" i="100"/>
  <c r="B15" i="29"/>
  <c r="P39" i="107" l="1"/>
</calcChain>
</file>

<file path=xl/sharedStrings.xml><?xml version="1.0" encoding="utf-8"?>
<sst xmlns="http://schemas.openxmlformats.org/spreadsheetml/2006/main" count="834" uniqueCount="297">
  <si>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</si>
  <si>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</si>
  <si>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</si>
  <si>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</si>
  <si>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</si>
  <si>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</si>
  <si>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</si>
  <si>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</si>
  <si>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</si>
  <si>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</si>
  <si>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</si>
  <si>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</si>
  <si>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</si>
  <si>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</si>
  <si>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</si>
  <si>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</si>
  <si>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</si>
  <si>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</si>
  <si>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</si>
  <si>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</si>
  <si>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</si>
  <si>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</si>
  <si>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</si>
  <si>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</si>
  <si>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</si>
  <si>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</si>
  <si>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</si>
  <si>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</si>
  <si>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</si>
  <si>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</si>
  <si>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</si>
  <si>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</si>
  <si>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DR Contracts</t>
  </si>
  <si>
    <t>Event No.</t>
  </si>
  <si>
    <t xml:space="preserve">  Sub-Total Price Response</t>
  </si>
  <si>
    <t>Category 2:  Price Responsive Programs</t>
  </si>
  <si>
    <t xml:space="preserve"> Budget Category 4 Total</t>
  </si>
  <si>
    <t xml:space="preserve"> Budget Category 5 Total</t>
  </si>
  <si>
    <t xml:space="preserve"> Budget Category 6 Total</t>
  </si>
  <si>
    <t xml:space="preserve"> Budget Category 7 Total</t>
  </si>
  <si>
    <t xml:space="preserve"> Budget Category 8 Total</t>
  </si>
  <si>
    <t xml:space="preserve"> Budget Category 9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</si>
  <si>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</si>
  <si>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</si>
  <si>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</si>
  <si>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</si>
  <si>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</si>
  <si>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</si>
  <si>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</si>
  <si>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3-Year Funding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</si>
  <si>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</si>
  <si>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</si>
  <si>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</si>
  <si>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</si>
  <si>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</si>
  <si>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</si>
  <si>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</si>
  <si>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</si>
  <si>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</si>
  <si>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Provide concise rationale for the fund shift in colum "Rationale for Fund Shift"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</si>
  <si>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</si>
  <si>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</si>
  <si>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</si>
  <si>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</si>
  <si>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</si>
  <si>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PLP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</si>
  <si>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</si>
  <si>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</si>
  <si>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</si>
  <si>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</si>
  <si>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</si>
  <si>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</si>
  <si>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</si>
  <si>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</si>
  <si>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</si>
  <si>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Residential customers with AC</t>
  </si>
  <si>
    <t>Commercial Customers &lt; 100kw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</si>
  <si>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</si>
  <si>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</si>
  <si>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</si>
  <si>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</si>
  <si>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</si>
  <si>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</si>
  <si>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</si>
  <si>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</si>
  <si>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</si>
  <si>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</si>
  <si>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</si>
  <si>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</si>
  <si>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AL-TOU-CP (2)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</si>
  <si>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</si>
  <si>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</si>
  <si>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</si>
  <si>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</si>
  <si>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</si>
  <si>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</si>
  <si>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Base Interruptible Program</t>
  </si>
  <si>
    <t>CPP-Emergency</t>
  </si>
  <si>
    <t>Technology Incentives</t>
  </si>
  <si>
    <t>Technology Assistance</t>
  </si>
  <si>
    <t>Customer Education, Awareness &amp; Outreach</t>
  </si>
  <si>
    <t>Emerging Markets/Technologies</t>
  </si>
  <si>
    <t>Celerity **</t>
  </si>
  <si>
    <t>Summer Saver **</t>
  </si>
  <si>
    <t>Permanent Load Shifting</t>
  </si>
  <si>
    <t>RACT</t>
  </si>
  <si>
    <t xml:space="preserve">  Total Administrative (O&amp;M) </t>
  </si>
  <si>
    <t xml:space="preserve">Capital 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</si>
  <si>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</si>
  <si>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</si>
  <si>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</si>
  <si>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</si>
  <si>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</si>
  <si>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</si>
  <si>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</si>
  <si>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Celerity </t>
  </si>
  <si>
    <t xml:space="preserve">Total </t>
  </si>
  <si>
    <t>AMDRMA Account End of Month Balance for WG2</t>
  </si>
  <si>
    <t>** Budgeted under a different proceeding</t>
  </si>
  <si>
    <t>Base Interruptible Program (BIP)</t>
  </si>
  <si>
    <t>Capacity Bidding Program (CBP)</t>
  </si>
  <si>
    <t>Technical Assistance (TA)</t>
  </si>
  <si>
    <t>Technical Incentives (TI)</t>
  </si>
  <si>
    <t>Emerging Technologies (ET)</t>
  </si>
  <si>
    <t>Ex Ante Estimated MW</t>
  </si>
  <si>
    <t>Ex Post Estimated MW</t>
  </si>
  <si>
    <t>Price Response</t>
  </si>
  <si>
    <t>Average Ex Ante Load Impact kW / Customer</t>
  </si>
  <si>
    <t>Eligibility Criteria (Refer to tariff for specifics)</t>
  </si>
  <si>
    <t>Average Ex Post Load Impact kW / Customer</t>
  </si>
  <si>
    <t>Detailed Breakdown of MWs To Date in TA/Auto DR/TI Programs</t>
  </si>
  <si>
    <t>TA Identified MWs</t>
  </si>
  <si>
    <t>Auto DR Verified MWs</t>
  </si>
  <si>
    <t>TI Verified MWs</t>
  </si>
  <si>
    <t>Total Technology MWs</t>
  </si>
  <si>
    <t>CBP</t>
  </si>
  <si>
    <t>-</t>
  </si>
  <si>
    <t xml:space="preserve">  </t>
  </si>
  <si>
    <t>TA (may also be enrolled in TI and AutoDR)</t>
  </si>
  <si>
    <t>Total TA MWs</t>
  </si>
  <si>
    <t>N/A</t>
  </si>
  <si>
    <t>AMP</t>
  </si>
  <si>
    <t>DBP</t>
  </si>
  <si>
    <t>Peak Choice - Best Effort</t>
  </si>
  <si>
    <t>Peak Choice - Committed</t>
  </si>
  <si>
    <t>Represents "Identified MW" from TA Program participants' service accounts from completed TA audits.</t>
  </si>
  <si>
    <t>AutoDR Verified MWs</t>
  </si>
  <si>
    <t>Represents verified i.e.tested MW for service accounts that participate in Auto DR.</t>
  </si>
  <si>
    <t>Represents verified MW for service accounts that participated in Technology Incentives (TI). Customer service accounts must be enrolled in a DR program however not in AutoDR. MW reported in this column are not necessarily the amount enrolled in a DR Program.</t>
  </si>
  <si>
    <t>Represents the sum of verified MWs associated with the service accounts that participated in TI plus Auto DR programs.</t>
  </si>
  <si>
    <t>General Program category</t>
  </si>
  <si>
    <t xml:space="preserve">Represents MW of participants in the TA stage i.e."Identified MW". </t>
  </si>
  <si>
    <t xml:space="preserve">Estimated Average Ex Post Load Impact kW / Customer = Average kW / Customer service account over all actual event hours for the preceeding year when or if events occurred. </t>
  </si>
  <si>
    <t xml:space="preserve">Load Reduction     kW </t>
  </si>
  <si>
    <t>Program Tolled Hours (Annual)</t>
  </si>
  <si>
    <t>WMP</t>
  </si>
  <si>
    <t>Effective May 23, 2011 The DemandSMART Agreement was mutually terminated.</t>
  </si>
  <si>
    <t>CEAO-IDSM</t>
  </si>
  <si>
    <t>*** General Admin Overhead will be allocated when a final budget is approved.</t>
  </si>
  <si>
    <t>General Admin***</t>
  </si>
  <si>
    <t>Information Technology***</t>
  </si>
  <si>
    <t xml:space="preserve">Effective Dec 31, 2011, Demand Response Wholesale Market Program was terminated. </t>
  </si>
  <si>
    <t>PTR</t>
  </si>
  <si>
    <t>Research</t>
  </si>
  <si>
    <t>Other Local Marketing</t>
  </si>
  <si>
    <t>Program-to-Date Total Expenditures 2012-2014</t>
  </si>
  <si>
    <t>Category 1:  Reliability Programs</t>
  </si>
  <si>
    <t>Peak Time Rebate (PTR)</t>
  </si>
  <si>
    <t>Category 4:  Emerging &amp; Enabling Technologies</t>
  </si>
  <si>
    <t>Small Customer Technology Incentives (SCTD)</t>
  </si>
  <si>
    <t xml:space="preserve">Category 5:  Pilots </t>
  </si>
  <si>
    <t>Locational DR</t>
  </si>
  <si>
    <t>New Construction DR</t>
  </si>
  <si>
    <t>Category 6:  Evaluation, Measurement &amp; Verification</t>
  </si>
  <si>
    <t>DRMEC</t>
  </si>
  <si>
    <t>Category 7:  Marketing Education &amp; Outreach</t>
  </si>
  <si>
    <t>Category 8:  DR System Support Activities</t>
  </si>
  <si>
    <t>Regulatory Policy &amp; Program Support</t>
  </si>
  <si>
    <t>IT Infrastructure &amp; System Support</t>
  </si>
  <si>
    <t>Category 9:  Integrated Programs and Activities</t>
  </si>
  <si>
    <t>Customer, Education &amp; Outreach - IDSM</t>
  </si>
  <si>
    <t>Category 10:  Special Projects</t>
  </si>
  <si>
    <t>D.12-04-045</t>
  </si>
  <si>
    <t>SCTD</t>
  </si>
  <si>
    <t>LDR</t>
  </si>
  <si>
    <t>NCDRP</t>
  </si>
  <si>
    <t>Demand Bidding</t>
  </si>
  <si>
    <t>Reliability Programs</t>
  </si>
  <si>
    <t>Demand Bidding Program</t>
  </si>
  <si>
    <t>To fund the Demand Bidding Program per AL. 2370-E</t>
  </si>
  <si>
    <t>Price-Responsive Programs</t>
  </si>
  <si>
    <t>Peak Time Rebate (A)</t>
  </si>
  <si>
    <t>To fund PTR(A) per AL. 2351-E</t>
  </si>
  <si>
    <t>PTR-A</t>
  </si>
  <si>
    <t>;</t>
  </si>
  <si>
    <t>2012- 2014 Funding Cycle Customer Communication, Marketing, and Outreach</t>
  </si>
  <si>
    <t>2012-2014 Total Expenditures</t>
  </si>
  <si>
    <t>Authorized Budget (if Applicable)</t>
  </si>
  <si>
    <t>Carryover Expenditures to Date 2012 - 2014</t>
  </si>
  <si>
    <t xml:space="preserve">I. STATEWIDE MARKETING </t>
  </si>
  <si>
    <t xml:space="preserve">I. TOTAL STATEWIDE MARKETING </t>
  </si>
  <si>
    <t>II. UTILITY MARKETING BY ACTIVITY * (1)</t>
  </si>
  <si>
    <t>TOTAL AUTHORIZED UTILITY MARKETING BUDGET FOR 2012-2014</t>
  </si>
  <si>
    <t>Technical Incentives</t>
  </si>
  <si>
    <t>Customer Research</t>
  </si>
  <si>
    <t>Collateral- Development, Printing, Distribution etc. (all non-labor costs)</t>
  </si>
  <si>
    <t>Paid Media</t>
  </si>
  <si>
    <t>Other Costs</t>
  </si>
  <si>
    <t>Labor</t>
  </si>
  <si>
    <t>II. TOTAL UTILITY MARKETING BY ACTIVITY</t>
  </si>
  <si>
    <t xml:space="preserve">III. UTILITY MARKETING BY ITEMIZED COST </t>
  </si>
  <si>
    <t xml:space="preserve">III. TOTAL UTILITY MARKETING BY ITEMIZED COST </t>
  </si>
  <si>
    <t>IV. UTILITY MARKETING BY CUSTOMER SEGMENT</t>
  </si>
  <si>
    <t>Large Commercial and Industrial</t>
  </si>
  <si>
    <t>Small and Medium Commercial</t>
  </si>
  <si>
    <t>Residential</t>
  </si>
  <si>
    <t>IV. TOTAL UTILITY MARKETING BY CUSTOMER SEGMENT</t>
  </si>
  <si>
    <t>SAN DIEGO GAS AND ELECTRIC</t>
  </si>
  <si>
    <r>
      <t>PROGRAMS, RATES &amp; ACTIVITES WHICH DO NOT REQUIRE ITEMIZED ACCOUNTING</t>
    </r>
    <r>
      <rPr>
        <b/>
        <vertAlign val="superscript"/>
        <sz val="10"/>
        <rFont val="Calibri"/>
        <family val="2"/>
      </rPr>
      <t xml:space="preserve"> 1,2</t>
    </r>
  </si>
  <si>
    <t>Small Customer Technology Deployment</t>
  </si>
  <si>
    <t>Customer Awareness, Education and Outreach (CEAO - DR)</t>
  </si>
  <si>
    <t xml:space="preserve">Integrated Demand Side Marketing (CEAO - IDSM) </t>
  </si>
  <si>
    <r>
      <t>PROGRAMS &amp; RATES WHICH REQUIRE ITEMIZED ACCOUNTING</t>
    </r>
    <r>
      <rPr>
        <b/>
        <vertAlign val="superscript"/>
        <sz val="10"/>
        <rFont val="Calibri"/>
        <family val="2"/>
      </rPr>
      <t xml:space="preserve"> 3,4  </t>
    </r>
  </si>
  <si>
    <t xml:space="preserve">Reduce Your Use (PTR) </t>
  </si>
  <si>
    <r>
      <t>1</t>
    </r>
    <r>
      <rPr>
        <sz val="9"/>
        <rFont val="Calibri"/>
        <family val="2"/>
      </rPr>
      <t xml:space="preserve"> Programs, Rates &amp; Activities does not include "Marketing My Account/Energy and Integrated Online Audit Tools" - the 2012 ICEAT program is funded through D.09-09-047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</si>
  <si>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Programs, Rates &amp; Activities does not include "Critical Peak Pricing &gt; 200kW" (CPP-D) as program funding is not approved or directed in D.12-04-045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</si>
  <si>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Programs, Rates &amp; Activities does not include SDG&amp;E's Summer Saver program as program funding is not approved or directed in D.12-04-045</t>
    </r>
  </si>
  <si>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 xml:space="preserve"> Programs, Rates &amp; Activities does not include "Critical Peak Pricing &lt; 200kW" as program funding is not approved or directed in D.12-04-045</t>
    </r>
  </si>
  <si>
    <t>PTR Residential</t>
  </si>
  <si>
    <t>Eligible Accounts as of Aug 31, 2012</t>
  </si>
  <si>
    <t>Non-residential customers &gt; 20kw</t>
  </si>
  <si>
    <t xml:space="preserve">All residential customers </t>
  </si>
  <si>
    <t>Summer Saver</t>
  </si>
  <si>
    <t>Marketing Education &amp; Outreach</t>
  </si>
  <si>
    <t>Flex Alert</t>
  </si>
  <si>
    <t>Customer Eduacation and Outreach</t>
  </si>
  <si>
    <t>To support SDG&amp;E Marketing outreach for Summer 2012</t>
  </si>
  <si>
    <t>PTR Jul-Sept updated for Incentives (12/17/2012)</t>
  </si>
  <si>
    <t>SW-COM-Customer Services (TA)</t>
  </si>
  <si>
    <t>SW-IND-Customer Services (TA)</t>
  </si>
  <si>
    <t>SW-AG-Customer Services (TA)</t>
  </si>
  <si>
    <t>Local-IDSM-ME&amp;O-Behavioral Programs</t>
  </si>
  <si>
    <t>SW-CALS-Energy Advisor-HEES</t>
  </si>
  <si>
    <t>Local-IDSM-ME&amp;O-Local Marketing</t>
  </si>
  <si>
    <t>small customer technology deployment</t>
  </si>
  <si>
    <t>Year-to Date 2013 Expenditures</t>
  </si>
  <si>
    <r>
      <t xml:space="preserve">IOU Administrative Costs </t>
    </r>
    <r>
      <rPr>
        <vertAlign val="superscript"/>
        <sz val="10"/>
        <rFont val="Calibri"/>
        <family val="2"/>
      </rPr>
      <t>5</t>
    </r>
  </si>
  <si>
    <r>
      <rPr>
        <vertAlign val="superscript"/>
        <sz val="9"/>
        <rFont val="Calibri"/>
        <family val="2"/>
      </rPr>
      <t>5</t>
    </r>
    <r>
      <rPr>
        <sz val="9"/>
        <rFont val="Calibri"/>
        <family val="2"/>
      </rPr>
      <t xml:space="preserve"> Negative dollars in February are due to an accrual reversal.  Still awaiting actual invoice for payment.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</si>
  <si>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Negative dollars in February are due to an accrual reversal.  Still awaiting actual invoice for payment.</t>
    </r>
  </si>
  <si>
    <t xml:space="preserve">DBP </t>
  </si>
  <si>
    <r>
      <t xml:space="preserve">Statewide Marketing - Flex Alert Network (FAN) </t>
    </r>
    <r>
      <rPr>
        <vertAlign val="superscript"/>
        <sz val="10"/>
        <rFont val="Arial"/>
        <family val="2"/>
      </rPr>
      <t>1</t>
    </r>
  </si>
  <si>
    <t xml:space="preserve">Local IDSM </t>
  </si>
  <si>
    <t xml:space="preserve">Estimated Average Ex Ante Load Impact kW/Customer = Average kW / Customer, under 1-in-2 weather conditions, of an event that would occur from 1 - 6 pm on the system peak day of the month, as reported in the load impact reports filed in April 2013. </t>
  </si>
  <si>
    <t>Eligible Accounts</t>
  </si>
  <si>
    <t>Non-residential customers who can provide load reduciton &gt; 5 MW</t>
  </si>
  <si>
    <t>SW-COM-Customer Services</t>
  </si>
  <si>
    <t>SW-IND-Customer Services</t>
  </si>
  <si>
    <t>SW-AG-Customer Services</t>
  </si>
  <si>
    <t>;l</t>
  </si>
  <si>
    <t>Year-to Date 2014 Expenditures</t>
  </si>
  <si>
    <t>Agricultural</t>
  </si>
  <si>
    <t>Met Price Triggers</t>
  </si>
  <si>
    <t>At discretion of Utility</t>
  </si>
  <si>
    <t xml:space="preserve">Reduce your Use </t>
  </si>
  <si>
    <t xml:space="preserve">Capacity Bidding Program –( Day Ahead) </t>
  </si>
  <si>
    <t xml:space="preserve">Base Interruptible Program - Day Of </t>
  </si>
  <si>
    <t>Demand Bidding Program - Day Of</t>
  </si>
  <si>
    <t xml:space="preserve">Capacity Bidding Program - Day Of </t>
  </si>
  <si>
    <t>Summer Saver Program - Day Of</t>
  </si>
  <si>
    <t xml:space="preserve">Demand Bidding Program (Day Ahead) </t>
  </si>
  <si>
    <t xml:space="preserve"> 2:00 PM to 6:00 PM</t>
  </si>
  <si>
    <t xml:space="preserve"> 4:00 PM to 8:00 PM</t>
  </si>
  <si>
    <t xml:space="preserve"> 3:00 PM to 7:00 PM</t>
  </si>
  <si>
    <t>11:00 AM to 6:00 PM</t>
  </si>
  <si>
    <t>10:45 AM to 2:45 PM</t>
  </si>
  <si>
    <t>11:00 AM to 3:00 PM</t>
  </si>
  <si>
    <t>12:00 PM to 4:00 PM</t>
  </si>
  <si>
    <t xml:space="preserve">Critical Peak Pricing Default </t>
  </si>
  <si>
    <t>Reduce your Use</t>
  </si>
  <si>
    <t xml:space="preserve"> 4:00 PM to 9:00 PM</t>
  </si>
  <si>
    <t xml:space="preserve"> 1:00 PM to 5:00 PM</t>
  </si>
  <si>
    <t>PTR residential -  Effective  May 1, 2014 per  D.13-07-003    …..data reflects cumulative PTR residential customers who opt into the  program</t>
  </si>
  <si>
    <t xml:space="preserve"> 4:30pm-8:30pm</t>
  </si>
  <si>
    <t xml:space="preserve"> 9/11/2014 </t>
  </si>
  <si>
    <t>2:00 PM to 6:00 PM</t>
  </si>
  <si>
    <t>3:00 PM to 7:00 PM</t>
  </si>
  <si>
    <t>TOU-A-P (Small Commercial)</t>
  </si>
  <si>
    <t>TOU-A-P Small Commercial</t>
  </si>
  <si>
    <t>No forecast for TOU-A-P was filed on April 1st 2013 becuae the tarrif was not approved. The ex-ante load impact kW/customer shown is equal to the average impact per customer of the September 2014 event results.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</si>
  <si>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TOU Ap - No expenditures are made through AMDRMA or from the DR Cycle 2012-2014 as TOU AP is funded currently through SDG&amp;E’s Smart Pricing Program.  </t>
    </r>
  </si>
  <si>
    <r>
      <t>SW-ME&amp;O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</si>
  <si>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$1.4 million was both paid and accrued in December.</t>
    </r>
  </si>
  <si>
    <r>
      <t>Statewide ME&amp;O contract</t>
    </r>
    <r>
      <rPr>
        <vertAlign val="superscript"/>
        <sz val="10"/>
        <rFont val="Calibri"/>
        <family val="2"/>
      </rPr>
      <t>6</t>
    </r>
  </si>
  <si>
    <r>
      <rPr>
        <vertAlign val="superscript"/>
        <sz val="10"/>
        <color theme="1"/>
        <rFont val="Calibri"/>
        <family val="2"/>
      </rPr>
      <t>6</t>
    </r>
    <r>
      <rPr>
        <sz val="10"/>
        <color theme="1"/>
        <rFont val="Calibri"/>
        <family val="2"/>
      </rPr>
      <t>An invoice was both paid and accrued in December.</t>
    </r>
  </si>
  <si>
    <t xml:space="preserve">Flex Alert Network </t>
  </si>
  <si>
    <r>
      <t>Capacity Bidding Program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</si>
  <si>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Adjustment made in December to reclass dollars from Administrative to Incentives.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</si>
</sst>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  <numFmt numFmtId="175" formatCode="_(&quot;$&quot;* #,##0.0_);_(&quot;$&quot;* \(#,##0.0\);_(&quot;$&quot;* &quot;-&quot;??_);_(@_)"/>
    <numFmt numFmtId="176" formatCode="0.00000"/>
  </numFmts>
  <fonts count="6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rgb="FF0000FF"/>
      <name val="Century Gothic"/>
      <family val="2"/>
    </font>
    <font>
      <sz val="10"/>
      <color rgb="FFFF0000"/>
      <name val="Arial"/>
      <family val="2"/>
    </font>
    <font>
      <vertAlign val="superscript"/>
      <sz val="10"/>
      <color theme="1"/>
      <name val="Calibri"/>
      <family val="2"/>
    </font>
    <font>
      <sz val="10"/>
      <color theme="1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8" borderId="0" applyNumberFormat="0" applyBorder="0" applyAlignment="0" applyProtection="0"/>
    <xf numFmtId="0" fontId="10" fillId="28" borderId="1" applyNumberFormat="0" applyAlignment="0" applyProtection="0"/>
    <xf numFmtId="0" fontId="11" fillId="19" borderId="2" applyNumberFormat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1" fillId="0" borderId="0"/>
    <xf numFmtId="0" fontId="3" fillId="0" borderId="0"/>
    <xf numFmtId="0" fontId="1" fillId="26" borderId="7" applyNumberFormat="0" applyFont="0" applyAlignment="0" applyProtection="0"/>
    <xf numFmtId="0" fontId="21" fillId="28" borderId="8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33" borderId="9" applyNumberFormat="0" applyProtection="0">
      <alignment vertical="center"/>
    </xf>
    <xf numFmtId="4" fontId="23" fillId="33" borderId="9" applyNumberFormat="0" applyProtection="0">
      <alignment vertical="center"/>
    </xf>
    <xf numFmtId="4" fontId="22" fillId="33" borderId="9" applyNumberFormat="0" applyProtection="0">
      <alignment horizontal="left" vertical="center" indent="1"/>
    </xf>
    <xf numFmtId="0" fontId="22" fillId="33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22" fillId="40" borderId="10" applyNumberFormat="0" applyProtection="0">
      <alignment horizontal="left" vertical="center" indent="1"/>
    </xf>
    <xf numFmtId="4" fontId="5" fillId="41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5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44" fontId="1" fillId="0" borderId="0" applyFont="0" applyFill="0" applyBorder="0" applyAlignment="0" applyProtection="0"/>
    <xf numFmtId="4" fontId="3" fillId="7" borderId="9" applyNumberFormat="0" applyProtection="0">
      <alignment horizontal="right" vertical="center"/>
    </xf>
    <xf numFmtId="4" fontId="3" fillId="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9" applyNumberFormat="0" applyProtection="0">
      <alignment horizontal="right" vertical="center"/>
    </xf>
    <xf numFmtId="4" fontId="3" fillId="4" borderId="9" applyNumberFormat="0" applyProtection="0">
      <alignment vertical="center"/>
    </xf>
    <xf numFmtId="4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4" fontId="3" fillId="41" borderId="9" applyNumberFormat="0" applyProtection="0">
      <alignment horizontal="right" vertical="center"/>
    </xf>
    <xf numFmtId="4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9" fontId="58" fillId="0" borderId="0" applyFont="0" applyFill="0" applyBorder="0" applyAlignment="0" applyProtection="0"/>
  </cellStyleXfs>
  <cellXfs count="501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2" fillId="0" borderId="14" xfId="0" applyFont="1" applyFill="1" applyBorder="1" applyAlignment="1">
      <alignment horizontal="center"/>
    </xf>
    <xf numFmtId="0" fontId="0" fillId="0" borderId="15" xfId="0" applyFill="1" applyBorder="1"/>
    <xf numFmtId="0" fontId="3" fillId="0" borderId="0" xfId="67"/>
    <xf numFmtId="0" fontId="3" fillId="0" borderId="0" xfId="67" applyFont="1"/>
    <xf numFmtId="0" fontId="22" fillId="0" borderId="0" xfId="67" applyFont="1"/>
    <xf numFmtId="0" fontId="22" fillId="0" borderId="0" xfId="67" applyFont="1" applyAlignment="1">
      <alignment horizontal="center"/>
    </xf>
    <xf numFmtId="0" fontId="22" fillId="0" borderId="11" xfId="67" applyFont="1" applyBorder="1" applyAlignment="1">
      <alignment horizontal="center"/>
    </xf>
    <xf numFmtId="0" fontId="3" fillId="0" borderId="11" xfId="67" applyFont="1" applyBorder="1"/>
    <xf numFmtId="6" fontId="3" fillId="0" borderId="11" xfId="67" applyNumberFormat="1" applyFont="1" applyBorder="1"/>
    <xf numFmtId="14" fontId="3" fillId="0" borderId="11" xfId="67" applyNumberFormat="1" applyBorder="1"/>
    <xf numFmtId="0" fontId="3" fillId="0" borderId="11" xfId="67" applyBorder="1"/>
    <xf numFmtId="6" fontId="3" fillId="0" borderId="11" xfId="67" applyNumberFormat="1" applyBorder="1"/>
    <xf numFmtId="0" fontId="22" fillId="0" borderId="11" xfId="67" applyFont="1" applyBorder="1"/>
    <xf numFmtId="6" fontId="22" fillId="0" borderId="11" xfId="67" applyNumberFormat="1" applyFont="1" applyBorder="1"/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1" fillId="0" borderId="0" xfId="0" applyFont="1" applyProtection="1"/>
    <xf numFmtId="0" fontId="1" fillId="0" borderId="16" xfId="0" applyFont="1" applyBorder="1" applyProtection="1"/>
    <xf numFmtId="0" fontId="32" fillId="0" borderId="17" xfId="0" applyFont="1" applyBorder="1" applyAlignment="1" applyProtection="1"/>
    <xf numFmtId="0" fontId="32" fillId="0" borderId="11" xfId="0" applyFont="1" applyBorder="1" applyProtection="1"/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19" xfId="0" applyFont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center" wrapText="1"/>
    </xf>
    <xf numFmtId="0" fontId="32" fillId="0" borderId="21" xfId="0" applyFont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left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0" fontId="32" fillId="0" borderId="23" xfId="0" applyFont="1" applyFill="1" applyBorder="1" applyProtection="1"/>
    <xf numFmtId="3" fontId="1" fillId="0" borderId="24" xfId="0" applyNumberFormat="1" applyFont="1" applyFill="1" applyBorder="1" applyAlignment="1" applyProtection="1">
      <alignment horizontal="center"/>
    </xf>
    <xf numFmtId="2" fontId="1" fillId="0" borderId="24" xfId="0" applyNumberFormat="1" applyFont="1" applyFill="1" applyBorder="1" applyAlignment="1" applyProtection="1">
      <alignment horizontal="center"/>
    </xf>
    <xf numFmtId="165" fontId="1" fillId="0" borderId="25" xfId="0" applyNumberFormat="1" applyFont="1" applyFill="1" applyBorder="1" applyAlignment="1" applyProtection="1">
      <alignment horizontal="center"/>
    </xf>
    <xf numFmtId="165" fontId="1" fillId="0" borderId="24" xfId="0" applyNumberFormat="1" applyFont="1" applyFill="1" applyBorder="1" applyAlignment="1" applyProtection="1">
      <alignment horizontal="center"/>
    </xf>
    <xf numFmtId="3" fontId="32" fillId="0" borderId="18" xfId="0" applyNumberFormat="1" applyFont="1" applyFill="1" applyBorder="1" applyAlignment="1" applyProtection="1">
      <alignment horizontal="center" wrapText="1"/>
    </xf>
    <xf numFmtId="0" fontId="32" fillId="0" borderId="26" xfId="0" applyFont="1" applyFill="1" applyBorder="1" applyAlignment="1" applyProtection="1">
      <alignment horizontal="center"/>
    </xf>
    <xf numFmtId="3" fontId="32" fillId="0" borderId="20" xfId="0" applyNumberFormat="1" applyFont="1" applyFill="1" applyBorder="1" applyAlignment="1" applyProtection="1">
      <alignment horizontal="center" wrapText="1"/>
    </xf>
    <xf numFmtId="2" fontId="32" fillId="0" borderId="18" xfId="0" applyNumberFormat="1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/>
    </xf>
    <xf numFmtId="165" fontId="1" fillId="0" borderId="0" xfId="0" applyNumberFormat="1" applyFont="1" applyBorder="1" applyProtection="1"/>
    <xf numFmtId="3" fontId="34" fillId="0" borderId="0" xfId="0" applyNumberFormat="1" applyFont="1" applyFill="1" applyBorder="1" applyAlignment="1" applyProtection="1">
      <alignment horizontal="center"/>
      <protection locked="0"/>
    </xf>
    <xf numFmtId="172" fontId="1" fillId="0" borderId="2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32" fillId="0" borderId="28" xfId="0" applyFont="1" applyFill="1" applyBorder="1" applyProtection="1"/>
    <xf numFmtId="166" fontId="1" fillId="0" borderId="29" xfId="0" applyNumberFormat="1" applyFont="1" applyBorder="1" applyAlignment="1" applyProtection="1">
      <alignment horizontal="center"/>
    </xf>
    <xf numFmtId="173" fontId="1" fillId="0" borderId="30" xfId="0" applyNumberFormat="1" applyFont="1" applyFill="1" applyBorder="1" applyAlignment="1" applyProtection="1">
      <alignment horizontal="center"/>
    </xf>
    <xf numFmtId="3" fontId="1" fillId="0" borderId="31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center"/>
    </xf>
    <xf numFmtId="165" fontId="1" fillId="0" borderId="32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3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73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6" xfId="0" applyFont="1" applyFill="1" applyBorder="1" applyProtection="1"/>
    <xf numFmtId="0" fontId="32" fillId="0" borderId="0" xfId="0" applyFont="1" applyFill="1" applyBorder="1" applyAlignment="1" applyProtection="1"/>
    <xf numFmtId="0" fontId="32" fillId="0" borderId="20" xfId="0" applyFont="1" applyFill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32" fillId="0" borderId="18" xfId="0" applyFont="1" applyFill="1" applyBorder="1" applyAlignment="1" applyProtection="1">
      <alignment horizontal="center" wrapText="1"/>
    </xf>
    <xf numFmtId="3" fontId="1" fillId="0" borderId="33" xfId="0" applyNumberFormat="1" applyFont="1" applyFill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3" fontId="1" fillId="0" borderId="31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35" fillId="0" borderId="0" xfId="0" applyFont="1" applyProtection="1"/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2" fillId="0" borderId="0" xfId="0" applyFont="1" applyFill="1" applyProtection="1"/>
    <xf numFmtId="0" fontId="36" fillId="0" borderId="0" xfId="0" applyFont="1"/>
    <xf numFmtId="43" fontId="1" fillId="0" borderId="0" xfId="46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/>
    <xf numFmtId="0" fontId="22" fillId="0" borderId="0" xfId="0" applyFont="1" applyFill="1"/>
    <xf numFmtId="0" fontId="5" fillId="0" borderId="0" xfId="0" applyFont="1" applyFill="1"/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5" fillId="0" borderId="11" xfId="0" applyFont="1" applyFill="1" applyBorder="1"/>
    <xf numFmtId="172" fontId="5" fillId="0" borderId="11" xfId="0" applyNumberFormat="1" applyFont="1" applyFill="1" applyBorder="1"/>
    <xf numFmtId="172" fontId="5" fillId="0" borderId="11" xfId="46" applyNumberFormat="1" applyFont="1" applyFill="1" applyBorder="1" applyAlignment="1">
      <alignment horizontal="right"/>
    </xf>
    <xf numFmtId="172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/>
    <xf numFmtId="166" fontId="5" fillId="0" borderId="11" xfId="0" applyNumberFormat="1" applyFont="1" applyFill="1" applyBorder="1"/>
    <xf numFmtId="172" fontId="5" fillId="0" borderId="11" xfId="0" quotePrefix="1" applyNumberFormat="1" applyFont="1" applyFill="1" applyBorder="1" applyAlignment="1">
      <alignment horizontal="center"/>
    </xf>
    <xf numFmtId="166" fontId="5" fillId="0" borderId="11" xfId="46" applyNumberFormat="1" applyFont="1" applyFill="1" applyBorder="1" applyAlignment="1">
      <alignment horizontal="right" wrapText="1"/>
    </xf>
    <xf numFmtId="0" fontId="22" fillId="0" borderId="20" xfId="0" applyFont="1" applyFill="1" applyBorder="1"/>
    <xf numFmtId="172" fontId="22" fillId="0" borderId="20" xfId="0" quotePrefix="1" applyNumberFormat="1" applyFont="1" applyFill="1" applyBorder="1" applyAlignment="1">
      <alignment horizontal="center"/>
    </xf>
    <xf numFmtId="172" fontId="22" fillId="0" borderId="20" xfId="0" applyNumberFormat="1" applyFont="1" applyFill="1" applyBorder="1"/>
    <xf numFmtId="166" fontId="22" fillId="0" borderId="20" xfId="0" applyNumberFormat="1" applyFont="1" applyFill="1" applyBorder="1"/>
    <xf numFmtId="38" fontId="5" fillId="0" borderId="11" xfId="0" applyNumberFormat="1" applyFont="1" applyFill="1" applyBorder="1"/>
    <xf numFmtId="165" fontId="22" fillId="0" borderId="11" xfId="0" applyNumberFormat="1" applyFont="1" applyFill="1" applyBorder="1" applyAlignment="1"/>
    <xf numFmtId="166" fontId="5" fillId="0" borderId="11" xfId="0" applyNumberFormat="1" applyFont="1" applyFill="1" applyBorder="1" applyAlignment="1"/>
    <xf numFmtId="0" fontId="22" fillId="0" borderId="20" xfId="0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72" fontId="22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/>
    <xf numFmtId="0" fontId="22" fillId="0" borderId="22" xfId="0" applyFont="1" applyFill="1" applyBorder="1"/>
    <xf numFmtId="0" fontId="22" fillId="0" borderId="27" xfId="0" applyFont="1" applyFill="1" applyBorder="1"/>
    <xf numFmtId="38" fontId="5" fillId="0" borderId="27" xfId="0" applyNumberFormat="1" applyFont="1" applyFill="1" applyBorder="1"/>
    <xf numFmtId="165" fontId="22" fillId="0" borderId="27" xfId="0" applyNumberFormat="1" applyFont="1" applyFill="1" applyBorder="1" applyAlignment="1"/>
    <xf numFmtId="166" fontId="5" fillId="0" borderId="27" xfId="0" applyNumberFormat="1" applyFont="1" applyFill="1" applyBorder="1"/>
    <xf numFmtId="166" fontId="5" fillId="0" borderId="27" xfId="0" applyNumberFormat="1" applyFont="1" applyFill="1" applyBorder="1" applyAlignment="1"/>
    <xf numFmtId="166" fontId="22" fillId="0" borderId="27" xfId="0" applyNumberFormat="1" applyFont="1" applyFill="1" applyBorder="1"/>
    <xf numFmtId="0" fontId="5" fillId="0" borderId="20" xfId="0" applyFont="1" applyFill="1" applyBorder="1"/>
    <xf numFmtId="170" fontId="5" fillId="0" borderId="18" xfId="46" applyNumberFormat="1" applyFont="1" applyFill="1" applyBorder="1" applyAlignment="1">
      <alignment horizontal="right"/>
    </xf>
    <xf numFmtId="169" fontId="22" fillId="0" borderId="18" xfId="46" applyNumberFormat="1" applyFont="1" applyFill="1" applyBorder="1" applyAlignment="1">
      <alignment horizontal="right"/>
    </xf>
    <xf numFmtId="0" fontId="5" fillId="0" borderId="18" xfId="0" applyFont="1" applyFill="1" applyBorder="1"/>
    <xf numFmtId="166" fontId="5" fillId="0" borderId="18" xfId="46" applyNumberFormat="1" applyFont="1" applyFill="1" applyBorder="1" applyAlignment="1">
      <alignment horizontal="right"/>
    </xf>
    <xf numFmtId="166" fontId="5" fillId="0" borderId="18" xfId="0" applyNumberFormat="1" applyFont="1" applyFill="1" applyBorder="1"/>
    <xf numFmtId="166" fontId="5" fillId="0" borderId="19" xfId="0" applyNumberFormat="1" applyFont="1" applyFill="1" applyBorder="1"/>
    <xf numFmtId="0" fontId="5" fillId="0" borderId="11" xfId="0" applyFont="1" applyFill="1" applyBorder="1" applyAlignment="1">
      <alignment wrapText="1" shrinkToFit="1"/>
    </xf>
    <xf numFmtId="170" fontId="5" fillId="0" borderId="11" xfId="46" applyNumberFormat="1" applyFont="1" applyFill="1" applyBorder="1" applyAlignment="1">
      <alignment horizontal="right"/>
    </xf>
    <xf numFmtId="169" fontId="22" fillId="0" borderId="11" xfId="46" applyNumberFormat="1" applyFont="1" applyFill="1" applyBorder="1" applyAlignment="1">
      <alignment horizontal="right"/>
    </xf>
    <xf numFmtId="0" fontId="22" fillId="0" borderId="11" xfId="0" applyFont="1" applyFill="1" applyBorder="1"/>
    <xf numFmtId="172" fontId="22" fillId="0" borderId="11" xfId="0" applyNumberFormat="1" applyFont="1" applyFill="1" applyBorder="1"/>
    <xf numFmtId="166" fontId="22" fillId="0" borderId="11" xfId="46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38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16" xfId="0" applyFont="1" applyFill="1" applyBorder="1"/>
    <xf numFmtId="166" fontId="5" fillId="0" borderId="11" xfId="0" quotePrefix="1" applyNumberFormat="1" applyFont="1" applyFill="1" applyBorder="1" applyAlignment="1">
      <alignment horizontal="center"/>
    </xf>
    <xf numFmtId="166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center"/>
    </xf>
    <xf numFmtId="166" fontId="22" fillId="0" borderId="20" xfId="0" quotePrefix="1" applyNumberFormat="1" applyFont="1" applyFill="1" applyBorder="1" applyAlignment="1">
      <alignment horizontal="center"/>
    </xf>
    <xf numFmtId="166" fontId="22" fillId="0" borderId="27" xfId="0" applyNumberFormat="1" applyFont="1" applyFill="1" applyBorder="1" applyAlignment="1"/>
    <xf numFmtId="166" fontId="5" fillId="0" borderId="20" xfId="0" applyNumberFormat="1" applyFont="1" applyFill="1" applyBorder="1"/>
    <xf numFmtId="166" fontId="22" fillId="0" borderId="18" xfId="46" applyNumberFormat="1" applyFont="1" applyFill="1" applyBorder="1" applyAlignment="1">
      <alignment horizontal="right"/>
    </xf>
    <xf numFmtId="166" fontId="22" fillId="0" borderId="20" xfId="0" applyNumberFormat="1" applyFont="1" applyFill="1" applyBorder="1" applyAlignment="1">
      <alignment horizontal="right"/>
    </xf>
    <xf numFmtId="0" fontId="37" fillId="0" borderId="0" xfId="0" applyFont="1" applyFill="1"/>
    <xf numFmtId="172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38" fontId="38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0" fontId="38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indent="1"/>
    </xf>
    <xf numFmtId="3" fontId="35" fillId="0" borderId="0" xfId="0" applyNumberFormat="1" applyFont="1" applyProtection="1"/>
    <xf numFmtId="1" fontId="1" fillId="0" borderId="0" xfId="0" applyNumberFormat="1" applyFont="1" applyBorder="1" applyProtection="1"/>
    <xf numFmtId="1" fontId="35" fillId="0" borderId="0" xfId="0" applyNumberFormat="1" applyFont="1" applyProtection="1"/>
    <xf numFmtId="3" fontId="32" fillId="43" borderId="18" xfId="0" applyNumberFormat="1" applyFont="1" applyFill="1" applyBorder="1" applyAlignment="1" applyProtection="1">
      <alignment horizontal="center" wrapText="1"/>
    </xf>
    <xf numFmtId="0" fontId="32" fillId="43" borderId="26" xfId="0" applyFont="1" applyFill="1" applyBorder="1" applyAlignment="1" applyProtection="1">
      <alignment horizontal="center"/>
    </xf>
    <xf numFmtId="43" fontId="39" fillId="43" borderId="0" xfId="46" quotePrefix="1" applyFont="1" applyFill="1" applyBorder="1" applyAlignment="1">
      <alignment horizontal="left"/>
    </xf>
    <xf numFmtId="4" fontId="1" fillId="0" borderId="24" xfId="0" applyNumberFormat="1" applyFont="1" applyFill="1" applyBorder="1" applyAlignment="1" applyProtection="1">
      <alignment horizontal="center"/>
    </xf>
    <xf numFmtId="0" fontId="2" fillId="0" borderId="0" xfId="66" applyFont="1" applyFill="1"/>
    <xf numFmtId="0" fontId="1" fillId="0" borderId="0" xfId="66" applyFill="1"/>
    <xf numFmtId="0" fontId="2" fillId="0" borderId="35" xfId="66" applyFont="1" applyFill="1" applyBorder="1"/>
    <xf numFmtId="0" fontId="2" fillId="0" borderId="36" xfId="66" applyFont="1" applyFill="1" applyBorder="1"/>
    <xf numFmtId="0" fontId="1" fillId="0" borderId="37" xfId="66" applyFill="1" applyBorder="1"/>
    <xf numFmtId="0" fontId="1" fillId="0" borderId="38" xfId="66" applyFill="1" applyBorder="1"/>
    <xf numFmtId="0" fontId="1" fillId="0" borderId="39" xfId="66" applyFill="1" applyBorder="1"/>
    <xf numFmtId="0" fontId="2" fillId="0" borderId="40" xfId="66" applyFont="1" applyFill="1" applyBorder="1"/>
    <xf numFmtId="0" fontId="2" fillId="0" borderId="41" xfId="66" applyFont="1" applyFill="1" applyBorder="1"/>
    <xf numFmtId="0" fontId="1" fillId="0" borderId="14" xfId="66" applyFill="1" applyBorder="1"/>
    <xf numFmtId="0" fontId="1" fillId="0" borderId="18" xfId="66" applyFill="1" applyBorder="1"/>
    <xf numFmtId="0" fontId="1" fillId="0" borderId="19" xfId="66" applyFill="1" applyBorder="1"/>
    <xf numFmtId="0" fontId="2" fillId="0" borderId="42" xfId="66" applyFont="1" applyFill="1" applyBorder="1" applyAlignment="1">
      <alignment horizontal="center"/>
    </xf>
    <xf numFmtId="0" fontId="2" fillId="0" borderId="14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 wrapText="1"/>
    </xf>
    <xf numFmtId="0" fontId="4" fillId="0" borderId="43" xfId="66" applyFont="1" applyFill="1" applyBorder="1" applyAlignment="1">
      <alignment wrapText="1"/>
    </xf>
    <xf numFmtId="0" fontId="4" fillId="0" borderId="44" xfId="66" applyFont="1" applyFill="1" applyBorder="1" applyAlignment="1">
      <alignment wrapText="1"/>
    </xf>
    <xf numFmtId="6" fontId="1" fillId="0" borderId="0" xfId="66" applyNumberFormat="1" applyFill="1" applyBorder="1"/>
    <xf numFmtId="0" fontId="2" fillId="0" borderId="13" xfId="66" applyFont="1" applyFill="1" applyBorder="1" applyAlignment="1">
      <alignment horizontal="center" wrapText="1"/>
    </xf>
    <xf numFmtId="0" fontId="1" fillId="0" borderId="13" xfId="66" applyFill="1" applyBorder="1"/>
    <xf numFmtId="0" fontId="1" fillId="0" borderId="45" xfId="66" applyFill="1" applyBorder="1" applyAlignment="1">
      <alignment horizontal="left" indent="1"/>
    </xf>
    <xf numFmtId="6" fontId="1" fillId="0" borderId="43" xfId="66" applyNumberFormat="1" applyFill="1" applyBorder="1"/>
    <xf numFmtId="6" fontId="1" fillId="0" borderId="0" xfId="66" applyNumberFormat="1" applyFont="1" applyFill="1" applyBorder="1"/>
    <xf numFmtId="6" fontId="1" fillId="0" borderId="13" xfId="66" applyNumberFormat="1" applyFill="1" applyBorder="1"/>
    <xf numFmtId="6" fontId="1" fillId="0" borderId="13" xfId="66" applyNumberFormat="1" applyFont="1" applyFill="1" applyBorder="1" applyAlignment="1">
      <alignment horizontal="right"/>
    </xf>
    <xf numFmtId="167" fontId="1" fillId="0" borderId="13" xfId="66" applyNumberFormat="1" applyFont="1" applyFill="1" applyBorder="1" applyAlignment="1">
      <alignment horizontal="right"/>
    </xf>
    <xf numFmtId="6" fontId="1" fillId="0" borderId="46" xfId="66" applyNumberFormat="1" applyFill="1" applyBorder="1"/>
    <xf numFmtId="0" fontId="2" fillId="0" borderId="47" xfId="66" applyFont="1" applyFill="1" applyBorder="1"/>
    <xf numFmtId="6" fontId="1" fillId="0" borderId="42" xfId="66" applyNumberFormat="1" applyFill="1" applyBorder="1"/>
    <xf numFmtId="6" fontId="1" fillId="0" borderId="18" xfId="66" applyNumberFormat="1" applyFont="1" applyFill="1" applyBorder="1"/>
    <xf numFmtId="6" fontId="1" fillId="0" borderId="11" xfId="66" applyNumberFormat="1" applyFill="1" applyBorder="1"/>
    <xf numFmtId="167" fontId="1" fillId="0" borderId="11" xfId="66" applyNumberFormat="1" applyFont="1" applyFill="1" applyBorder="1" applyAlignment="1">
      <alignment horizontal="right"/>
    </xf>
    <xf numFmtId="0" fontId="1" fillId="0" borderId="0" xfId="66"/>
    <xf numFmtId="0" fontId="1" fillId="0" borderId="43" xfId="66" applyFill="1" applyBorder="1" applyAlignment="1">
      <alignment horizontal="left" indent="1"/>
    </xf>
    <xf numFmtId="0" fontId="2" fillId="0" borderId="42" xfId="66" applyFont="1" applyFill="1" applyBorder="1"/>
    <xf numFmtId="6" fontId="1" fillId="0" borderId="13" xfId="66" applyNumberFormat="1" applyFill="1" applyBorder="1" applyAlignment="1">
      <alignment horizontal="right" vertical="center"/>
    </xf>
    <xf numFmtId="6" fontId="1" fillId="0" borderId="17" xfId="66" applyNumberFormat="1" applyFill="1" applyBorder="1"/>
    <xf numFmtId="167" fontId="1" fillId="0" borderId="11" xfId="66" applyNumberFormat="1" applyFill="1" applyBorder="1"/>
    <xf numFmtId="6" fontId="1" fillId="0" borderId="13" xfId="66" applyNumberFormat="1" applyFont="1" applyFill="1" applyBorder="1"/>
    <xf numFmtId="167" fontId="1" fillId="0" borderId="13" xfId="66" applyNumberFormat="1" applyFill="1" applyBorder="1"/>
    <xf numFmtId="6" fontId="1" fillId="0" borderId="0" xfId="66" applyNumberFormat="1" applyFill="1" applyBorder="1" applyAlignment="1">
      <alignment horizontal="right"/>
    </xf>
    <xf numFmtId="0" fontId="2" fillId="0" borderId="43" xfId="66" applyFont="1" applyFill="1" applyBorder="1" applyAlignment="1">
      <alignment horizontal="left" indent="1"/>
    </xf>
    <xf numFmtId="0" fontId="2" fillId="0" borderId="44" xfId="66" applyFont="1" applyFill="1" applyBorder="1" applyAlignment="1">
      <alignment horizontal="left" indent="1"/>
    </xf>
    <xf numFmtId="0" fontId="2" fillId="0" borderId="42" xfId="66" applyFont="1" applyFill="1" applyBorder="1" applyAlignment="1">
      <alignment wrapText="1"/>
    </xf>
    <xf numFmtId="6" fontId="1" fillId="0" borderId="48" xfId="66" applyNumberFormat="1" applyFont="1" applyFill="1" applyBorder="1" applyAlignment="1">
      <alignment wrapText="1"/>
    </xf>
    <xf numFmtId="6" fontId="1" fillId="0" borderId="24" xfId="66" applyNumberFormat="1" applyFill="1" applyBorder="1"/>
    <xf numFmtId="6" fontId="1" fillId="0" borderId="23" xfId="66" applyNumberFormat="1" applyFill="1" applyBorder="1"/>
    <xf numFmtId="167" fontId="1" fillId="0" borderId="23" xfId="66" applyNumberFormat="1" applyFill="1" applyBorder="1"/>
    <xf numFmtId="0" fontId="2" fillId="0" borderId="43" xfId="66" applyFont="1" applyFill="1" applyBorder="1" applyAlignment="1">
      <alignment wrapText="1"/>
    </xf>
    <xf numFmtId="0" fontId="2" fillId="0" borderId="0" xfId="66" applyFont="1" applyFill="1" applyBorder="1" applyAlignment="1">
      <alignment wrapText="1"/>
    </xf>
    <xf numFmtId="0" fontId="2" fillId="0" borderId="49" xfId="66" applyFont="1" applyBorder="1"/>
    <xf numFmtId="0" fontId="2" fillId="0" borderId="50" xfId="66" applyFont="1" applyBorder="1"/>
    <xf numFmtId="164" fontId="1" fillId="0" borderId="50" xfId="66" applyNumberFormat="1" applyBorder="1"/>
    <xf numFmtId="0" fontId="1" fillId="0" borderId="50" xfId="66" applyFill="1" applyBorder="1"/>
    <xf numFmtId="6" fontId="1" fillId="0" borderId="0" xfId="66" applyNumberFormat="1" applyFill="1"/>
    <xf numFmtId="0" fontId="1" fillId="0" borderId="0" xfId="66" applyNumberFormat="1" applyFill="1" applyAlignment="1">
      <alignment horizontal="left"/>
    </xf>
    <xf numFmtId="0" fontId="1" fillId="0" borderId="0" xfId="66" applyFill="1" applyBorder="1"/>
    <xf numFmtId="44" fontId="1" fillId="0" borderId="0" xfId="50" applyFill="1"/>
    <xf numFmtId="6" fontId="1" fillId="0" borderId="0" xfId="66" applyNumberFormat="1"/>
    <xf numFmtId="6" fontId="1" fillId="0" borderId="0" xfId="66" applyNumberFormat="1" applyBorder="1" applyAlignment="1">
      <alignment horizontal="right"/>
    </xf>
    <xf numFmtId="168" fontId="1" fillId="0" borderId="0" xfId="50" applyNumberFormat="1"/>
    <xf numFmtId="0" fontId="1" fillId="0" borderId="0" xfId="66" applyBorder="1"/>
    <xf numFmtId="168" fontId="1" fillId="0" borderId="0" xfId="50" applyNumberFormat="1" applyFont="1"/>
    <xf numFmtId="6" fontId="1" fillId="0" borderId="0" xfId="66" applyNumberFormat="1" applyFont="1" applyBorder="1"/>
    <xf numFmtId="168" fontId="1" fillId="0" borderId="0" xfId="66" applyNumberFormat="1"/>
    <xf numFmtId="0" fontId="1" fillId="44" borderId="0" xfId="66" applyFont="1" applyFill="1" applyBorder="1"/>
    <xf numFmtId="44" fontId="1" fillId="44" borderId="0" xfId="50" applyFont="1" applyFill="1" applyBorder="1"/>
    <xf numFmtId="0" fontId="2" fillId="45" borderId="35" xfId="66" applyFont="1" applyFill="1" applyBorder="1"/>
    <xf numFmtId="0" fontId="1" fillId="44" borderId="38" xfId="66" applyFont="1" applyFill="1" applyBorder="1"/>
    <xf numFmtId="44" fontId="1" fillId="44" borderId="38" xfId="50" applyFont="1" applyFill="1" applyBorder="1"/>
    <xf numFmtId="0" fontId="1" fillId="44" borderId="51" xfId="66" applyFont="1" applyFill="1" applyBorder="1"/>
    <xf numFmtId="0" fontId="2" fillId="45" borderId="52" xfId="66" applyFont="1" applyFill="1" applyBorder="1" applyAlignment="1">
      <alignment horizontal="center"/>
    </xf>
    <xf numFmtId="0" fontId="2" fillId="44" borderId="18" xfId="66" applyFont="1" applyFill="1" applyBorder="1" applyAlignment="1">
      <alignment horizontal="center"/>
    </xf>
    <xf numFmtId="44" fontId="2" fillId="44" borderId="18" xfId="50" applyFont="1" applyFill="1" applyBorder="1" applyAlignment="1">
      <alignment horizontal="center"/>
    </xf>
    <xf numFmtId="0" fontId="2" fillId="44" borderId="20" xfId="66" applyFont="1" applyFill="1" applyBorder="1" applyAlignment="1">
      <alignment horizontal="center" wrapText="1"/>
    </xf>
    <xf numFmtId="0" fontId="2" fillId="44" borderId="11" xfId="66" applyFont="1" applyFill="1" applyBorder="1" applyAlignment="1">
      <alignment horizontal="center" wrapText="1"/>
    </xf>
    <xf numFmtId="0" fontId="2" fillId="44" borderId="53" xfId="66" applyFont="1" applyFill="1" applyBorder="1" applyAlignment="1">
      <alignment horizontal="center" wrapText="1"/>
    </xf>
    <xf numFmtId="0" fontId="2" fillId="45" borderId="54" xfId="66" applyFont="1" applyFill="1" applyBorder="1" applyAlignment="1">
      <alignment horizontal="center"/>
    </xf>
    <xf numFmtId="0" fontId="2" fillId="44" borderId="0" xfId="66" applyFont="1" applyFill="1" applyBorder="1" applyAlignment="1">
      <alignment horizontal="center"/>
    </xf>
    <xf numFmtId="44" fontId="2" fillId="44" borderId="0" xfId="50" applyFont="1" applyFill="1" applyBorder="1" applyAlignment="1">
      <alignment horizontal="center"/>
    </xf>
    <xf numFmtId="0" fontId="2" fillId="44" borderId="17" xfId="66" applyFont="1" applyFill="1" applyBorder="1" applyAlignment="1">
      <alignment horizontal="center" wrapText="1"/>
    </xf>
    <xf numFmtId="0" fontId="2" fillId="44" borderId="13" xfId="66" applyFont="1" applyFill="1" applyBorder="1" applyAlignment="1">
      <alignment horizontal="center" wrapText="1"/>
    </xf>
    <xf numFmtId="0" fontId="2" fillId="44" borderId="55" xfId="66" applyFont="1" applyFill="1" applyBorder="1" applyAlignment="1">
      <alignment horizontal="center" wrapText="1"/>
    </xf>
    <xf numFmtId="0" fontId="2" fillId="0" borderId="54" xfId="66" applyFont="1" applyFill="1" applyBorder="1" applyAlignment="1">
      <alignment horizontal="center"/>
    </xf>
    <xf numFmtId="0" fontId="2" fillId="0" borderId="17" xfId="66" applyFont="1" applyFill="1" applyBorder="1" applyAlignment="1">
      <alignment horizontal="center" wrapText="1"/>
    </xf>
    <xf numFmtId="0" fontId="1" fillId="0" borderId="54" xfId="66" applyFill="1" applyBorder="1"/>
    <xf numFmtId="164" fontId="1" fillId="44" borderId="0" xfId="66" applyNumberFormat="1" applyFont="1" applyFill="1" applyBorder="1"/>
    <xf numFmtId="164" fontId="1" fillId="0" borderId="0" xfId="66" applyNumberFormat="1" applyFont="1" applyFill="1" applyBorder="1"/>
    <xf numFmtId="164" fontId="1" fillId="0" borderId="17" xfId="66" applyNumberFormat="1" applyFont="1" applyFill="1" applyBorder="1"/>
    <xf numFmtId="164" fontId="1" fillId="44" borderId="13" xfId="66" applyNumberFormat="1" applyFont="1" applyFill="1" applyBorder="1"/>
    <xf numFmtId="167" fontId="1" fillId="44" borderId="55" xfId="71" applyNumberFormat="1" applyFont="1" applyFill="1" applyBorder="1" applyAlignment="1">
      <alignment horizontal="center"/>
    </xf>
    <xf numFmtId="164" fontId="1" fillId="44" borderId="13" xfId="66" applyNumberFormat="1" applyFont="1" applyFill="1" applyBorder="1" applyAlignment="1">
      <alignment horizontal="right"/>
    </xf>
    <xf numFmtId="0" fontId="1" fillId="0" borderId="0" xfId="66" applyFont="1" applyFill="1" applyBorder="1"/>
    <xf numFmtId="164" fontId="1" fillId="0" borderId="13" xfId="66" applyNumberFormat="1" applyFont="1" applyFill="1" applyBorder="1"/>
    <xf numFmtId="0" fontId="2" fillId="0" borderId="52" xfId="66" applyFont="1" applyFill="1" applyBorder="1"/>
    <xf numFmtId="164" fontId="2" fillId="44" borderId="18" xfId="66" applyNumberFormat="1" applyFont="1" applyFill="1" applyBorder="1" applyAlignment="1">
      <alignment horizontal="right"/>
    </xf>
    <xf numFmtId="164" fontId="2" fillId="0" borderId="11" xfId="66" applyNumberFormat="1" applyFont="1" applyFill="1" applyBorder="1" applyAlignment="1">
      <alignment horizontal="right"/>
    </xf>
    <xf numFmtId="167" fontId="2" fillId="44" borderId="53" xfId="71" applyNumberFormat="1" applyFont="1" applyFill="1" applyBorder="1" applyAlignment="1">
      <alignment horizontal="center"/>
    </xf>
    <xf numFmtId="0" fontId="1" fillId="0" borderId="54" xfId="66" applyFont="1" applyFill="1" applyBorder="1"/>
    <xf numFmtId="164" fontId="1" fillId="44" borderId="55" xfId="66" applyNumberFormat="1" applyFont="1" applyFill="1" applyBorder="1"/>
    <xf numFmtId="8" fontId="1" fillId="44" borderId="0" xfId="66" applyNumberFormat="1" applyFont="1" applyFill="1" applyBorder="1"/>
    <xf numFmtId="164" fontId="2" fillId="44" borderId="18" xfId="66" applyNumberFormat="1" applyFont="1" applyFill="1" applyBorder="1"/>
    <xf numFmtId="164" fontId="2" fillId="0" borderId="20" xfId="66" applyNumberFormat="1" applyFont="1" applyFill="1" applyBorder="1"/>
    <xf numFmtId="164" fontId="2" fillId="44" borderId="11" xfId="66" applyNumberFormat="1" applyFont="1" applyFill="1" applyBorder="1"/>
    <xf numFmtId="49" fontId="2" fillId="44" borderId="0" xfId="66" applyNumberFormat="1" applyFont="1" applyFill="1" applyBorder="1" applyAlignment="1">
      <alignment horizontal="center"/>
    </xf>
    <xf numFmtId="164" fontId="1" fillId="44" borderId="17" xfId="66" applyNumberFormat="1" applyFont="1" applyFill="1" applyBorder="1"/>
    <xf numFmtId="0" fontId="2" fillId="0" borderId="52" xfId="66" applyFont="1" applyFill="1" applyBorder="1" applyAlignment="1">
      <alignment horizontal="left" wrapText="1" indent="1"/>
    </xf>
    <xf numFmtId="164" fontId="2" fillId="0" borderId="11" xfId="66" applyNumberFormat="1" applyFont="1" applyFill="1" applyBorder="1"/>
    <xf numFmtId="164" fontId="2" fillId="44" borderId="20" xfId="66" applyNumberFormat="1" applyFont="1" applyFill="1" applyBorder="1"/>
    <xf numFmtId="0" fontId="2" fillId="0" borderId="54" xfId="66" applyFont="1" applyFill="1" applyBorder="1"/>
    <xf numFmtId="164" fontId="2" fillId="44" borderId="19" xfId="66" applyNumberFormat="1" applyFont="1" applyFill="1" applyBorder="1"/>
    <xf numFmtId="164" fontId="2" fillId="0" borderId="18" xfId="66" applyNumberFormat="1" applyFont="1" applyFill="1" applyBorder="1"/>
    <xf numFmtId="0" fontId="2" fillId="0" borderId="52" xfId="66" applyFont="1" applyFill="1" applyBorder="1" applyAlignment="1">
      <alignment wrapText="1"/>
    </xf>
    <xf numFmtId="0" fontId="2" fillId="0" borderId="27" xfId="66" applyFont="1" applyFill="1" applyBorder="1"/>
    <xf numFmtId="164" fontId="2" fillId="44" borderId="27" xfId="66" applyNumberFormat="1" applyFont="1" applyFill="1" applyBorder="1"/>
    <xf numFmtId="164" fontId="2" fillId="44" borderId="0" xfId="66" applyNumberFormat="1" applyFont="1" applyFill="1" applyBorder="1"/>
    <xf numFmtId="44" fontId="2" fillId="44" borderId="0" xfId="50" applyFont="1" applyFill="1" applyBorder="1"/>
    <xf numFmtId="0" fontId="2" fillId="0" borderId="56" xfId="66" applyFont="1" applyFill="1" applyBorder="1" applyAlignment="1">
      <alignment wrapText="1"/>
    </xf>
    <xf numFmtId="164" fontId="2" fillId="44" borderId="57" xfId="66" applyNumberFormat="1" applyFont="1" applyFill="1" applyBorder="1"/>
    <xf numFmtId="164" fontId="2" fillId="44" borderId="50" xfId="66" applyNumberFormat="1" applyFont="1" applyFill="1" applyBorder="1"/>
    <xf numFmtId="164" fontId="2" fillId="0" borderId="57" xfId="66" applyNumberFormat="1" applyFont="1" applyFill="1" applyBorder="1" applyAlignment="1">
      <alignment horizontal="center"/>
    </xf>
    <xf numFmtId="164" fontId="2" fillId="44" borderId="59" xfId="66" applyNumberFormat="1" applyFont="1" applyFill="1" applyBorder="1" applyAlignment="1">
      <alignment horizontal="center"/>
    </xf>
    <xf numFmtId="164" fontId="2" fillId="44" borderId="60" xfId="66" applyNumberFormat="1" applyFont="1" applyFill="1" applyBorder="1" applyAlignment="1">
      <alignment horizontal="center"/>
    </xf>
    <xf numFmtId="0" fontId="31" fillId="0" borderId="0" xfId="66" applyFont="1"/>
    <xf numFmtId="0" fontId="2" fillId="45" borderId="35" xfId="66" applyFont="1" applyFill="1" applyBorder="1" applyAlignment="1">
      <alignment horizontal="center"/>
    </xf>
    <xf numFmtId="0" fontId="2" fillId="0" borderId="37" xfId="66" applyFont="1" applyBorder="1" applyAlignment="1">
      <alignment horizontal="center"/>
    </xf>
    <xf numFmtId="0" fontId="2" fillId="0" borderId="61" xfId="66" applyFont="1" applyBorder="1" applyAlignment="1">
      <alignment horizontal="center" wrapText="1"/>
    </xf>
    <xf numFmtId="0" fontId="33" fillId="0" borderId="54" xfId="66" applyFont="1" applyBorder="1" applyAlignment="1">
      <alignment horizontal="center"/>
    </xf>
    <xf numFmtId="0" fontId="1" fillId="0" borderId="0" xfId="66" applyBorder="1" applyAlignment="1"/>
    <xf numFmtId="0" fontId="1" fillId="0" borderId="55" xfId="66" applyBorder="1" applyAlignment="1"/>
    <xf numFmtId="0" fontId="2" fillId="0" borderId="54" xfId="66" applyFont="1" applyBorder="1" applyAlignment="1">
      <alignment horizontal="center"/>
    </xf>
    <xf numFmtId="0" fontId="1" fillId="0" borderId="54" xfId="66" applyBorder="1"/>
    <xf numFmtId="164" fontId="1" fillId="0" borderId="0" xfId="66" applyNumberFormat="1" applyBorder="1" applyAlignment="1"/>
    <xf numFmtId="164" fontId="1" fillId="0" borderId="0" xfId="66" applyNumberFormat="1" applyFill="1" applyBorder="1" applyAlignment="1"/>
    <xf numFmtId="164" fontId="1" fillId="0" borderId="0" xfId="66" applyNumberFormat="1" applyBorder="1" applyAlignment="1">
      <alignment horizontal="right"/>
    </xf>
    <xf numFmtId="164" fontId="1" fillId="0" borderId="55" xfId="66" applyNumberFormat="1" applyBorder="1" applyAlignment="1"/>
    <xf numFmtId="164" fontId="1" fillId="0" borderId="0" xfId="66" applyNumberFormat="1"/>
    <xf numFmtId="164" fontId="1" fillId="0" borderId="18" xfId="66" applyNumberFormat="1" applyFill="1" applyBorder="1" applyAlignment="1"/>
    <xf numFmtId="164" fontId="1" fillId="0" borderId="53" xfId="66" applyNumberFormat="1" applyFill="1" applyBorder="1" applyAlignment="1"/>
    <xf numFmtId="164" fontId="1" fillId="0" borderId="55" xfId="66" applyNumberFormat="1" applyFill="1" applyBorder="1" applyAlignment="1"/>
    <xf numFmtId="164" fontId="1" fillId="0" borderId="0" xfId="66" applyNumberFormat="1" applyFill="1" applyBorder="1" applyAlignment="1">
      <alignment horizontal="right"/>
    </xf>
    <xf numFmtId="0" fontId="2" fillId="0" borderId="54" xfId="66" applyFont="1" applyFill="1" applyBorder="1" applyAlignment="1">
      <alignment horizontal="left" indent="1"/>
    </xf>
    <xf numFmtId="164" fontId="1" fillId="0" borderId="27" xfId="66" applyNumberFormat="1" applyFill="1" applyBorder="1" applyAlignment="1"/>
    <xf numFmtId="0" fontId="2" fillId="0" borderId="54" xfId="66" applyFont="1" applyFill="1" applyBorder="1" applyAlignment="1">
      <alignment horizontal="center" wrapText="1"/>
    </xf>
    <xf numFmtId="164" fontId="1" fillId="0" borderId="14" xfId="66" applyNumberFormat="1" applyFill="1" applyBorder="1" applyAlignment="1">
      <alignment horizontal="right"/>
    </xf>
    <xf numFmtId="0" fontId="2" fillId="0" borderId="52" xfId="66" applyFont="1" applyFill="1" applyBorder="1" applyAlignment="1">
      <alignment horizontal="left" indent="1"/>
    </xf>
    <xf numFmtId="0" fontId="2" fillId="0" borderId="62" xfId="66" applyFont="1" applyFill="1" applyBorder="1" applyAlignment="1">
      <alignment horizontal="left" indent="1"/>
    </xf>
    <xf numFmtId="164" fontId="1" fillId="0" borderId="63" xfId="66" applyNumberFormat="1" applyFill="1" applyBorder="1" applyAlignment="1"/>
    <xf numFmtId="0" fontId="2" fillId="0" borderId="11" xfId="66" applyFont="1" applyFill="1" applyBorder="1"/>
    <xf numFmtId="164" fontId="1" fillId="45" borderId="18" xfId="66" applyNumberFormat="1" applyFill="1" applyBorder="1" applyAlignment="1"/>
    <xf numFmtId="164" fontId="1" fillId="45" borderId="18" xfId="66" quotePrefix="1" applyNumberFormat="1" applyFill="1" applyBorder="1" applyAlignment="1"/>
    <xf numFmtId="49" fontId="1" fillId="0" borderId="0" xfId="66" applyNumberFormat="1"/>
    <xf numFmtId="164" fontId="1" fillId="45" borderId="18" xfId="66" applyNumberFormat="1" applyFill="1" applyBorder="1" applyAlignment="1">
      <alignment horizontal="right"/>
    </xf>
    <xf numFmtId="164" fontId="1" fillId="45" borderId="19" xfId="66" applyNumberFormat="1" applyFill="1" applyBorder="1" applyAlignment="1">
      <alignment horizontal="right"/>
    </xf>
    <xf numFmtId="164" fontId="1" fillId="45" borderId="53" xfId="66" applyNumberFormat="1" applyFill="1" applyBorder="1" applyAlignment="1">
      <alignment horizontal="right"/>
    </xf>
    <xf numFmtId="164" fontId="1" fillId="45" borderId="0" xfId="66" applyNumberFormat="1" applyFill="1" applyBorder="1" applyAlignment="1"/>
    <xf numFmtId="164" fontId="2" fillId="0" borderId="58" xfId="66" applyNumberFormat="1" applyFont="1" applyFill="1" applyBorder="1" applyAlignment="1"/>
    <xf numFmtId="164" fontId="2" fillId="0" borderId="60" xfId="66" applyNumberFormat="1" applyFont="1" applyFill="1" applyBorder="1" applyAlignment="1"/>
    <xf numFmtId="0" fontId="2" fillId="0" borderId="38" xfId="66" applyFont="1" applyFill="1" applyBorder="1" applyAlignment="1">
      <alignment wrapText="1"/>
    </xf>
    <xf numFmtId="164" fontId="2" fillId="0" borderId="38" xfId="66" applyNumberFormat="1" applyFont="1" applyFill="1" applyBorder="1" applyAlignment="1"/>
    <xf numFmtId="0" fontId="2" fillId="0" borderId="0" xfId="66" applyFont="1" applyBorder="1" applyAlignment="1">
      <alignment wrapText="1"/>
    </xf>
    <xf numFmtId="164" fontId="1" fillId="0" borderId="0" xfId="66" applyNumberFormat="1" applyBorder="1"/>
    <xf numFmtId="40" fontId="1" fillId="0" borderId="32" xfId="0" applyNumberFormat="1" applyFont="1" applyBorder="1" applyAlignment="1" applyProtection="1">
      <alignment horizontal="center"/>
    </xf>
    <xf numFmtId="3" fontId="34" fillId="44" borderId="17" xfId="0" applyNumberFormat="1" applyFont="1" applyFill="1" applyBorder="1" applyAlignment="1" applyProtection="1">
      <alignment horizontal="center"/>
      <protection locked="0"/>
    </xf>
    <xf numFmtId="164" fontId="2" fillId="44" borderId="58" xfId="66" applyNumberFormat="1" applyFont="1" applyFill="1" applyBorder="1"/>
    <xf numFmtId="0" fontId="41" fillId="0" borderId="0" xfId="0" applyFont="1" applyAlignment="1"/>
    <xf numFmtId="174" fontId="2" fillId="44" borderId="58" xfId="66" applyNumberFormat="1" applyFont="1" applyFill="1" applyBorder="1"/>
    <xf numFmtId="164" fontId="1" fillId="44" borderId="0" xfId="50" applyNumberFormat="1" applyFont="1" applyFill="1" applyBorder="1"/>
    <xf numFmtId="169" fontId="2" fillId="44" borderId="58" xfId="48" applyNumberFormat="1" applyFont="1" applyFill="1" applyBorder="1"/>
    <xf numFmtId="0" fontId="27" fillId="0" borderId="0" xfId="66" applyFont="1" applyProtection="1"/>
    <xf numFmtId="1" fontId="27" fillId="0" borderId="0" xfId="66" applyNumberFormat="1" applyFont="1" applyProtection="1"/>
    <xf numFmtId="3" fontId="27" fillId="0" borderId="0" xfId="66" applyNumberFormat="1" applyFont="1" applyProtection="1"/>
    <xf numFmtId="0" fontId="41" fillId="0" borderId="0" xfId="66" applyFont="1" applyAlignment="1"/>
    <xf numFmtId="8" fontId="27" fillId="0" borderId="0" xfId="66" applyNumberFormat="1" applyFont="1" applyProtection="1"/>
    <xf numFmtId="0" fontId="4" fillId="0" borderId="45" xfId="66" applyFont="1" applyFill="1" applyBorder="1" applyAlignment="1">
      <alignment wrapText="1"/>
    </xf>
    <xf numFmtId="6" fontId="1" fillId="0" borderId="64" xfId="66" applyNumberFormat="1" applyFill="1" applyBorder="1"/>
    <xf numFmtId="0" fontId="1" fillId="0" borderId="0" xfId="66" applyNumberFormat="1" applyFont="1" applyFill="1" applyBorder="1" applyAlignment="1">
      <alignment horizontal="left" wrapText="1"/>
    </xf>
    <xf numFmtId="6" fontId="2" fillId="0" borderId="0" xfId="66" applyNumberFormat="1" applyFont="1" applyFill="1" applyBorder="1"/>
    <xf numFmtId="0" fontId="1" fillId="0" borderId="65" xfId="66" applyBorder="1"/>
    <xf numFmtId="164" fontId="27" fillId="0" borderId="0" xfId="66" applyNumberFormat="1" applyFont="1" applyProtection="1"/>
    <xf numFmtId="0" fontId="3" fillId="0" borderId="11" xfId="67" applyFont="1" applyBorder="1" applyAlignment="1">
      <alignment horizontal="left"/>
    </xf>
    <xf numFmtId="0" fontId="43" fillId="0" borderId="0" xfId="66" applyFont="1" applyFill="1" applyBorder="1"/>
    <xf numFmtId="0" fontId="43" fillId="0" borderId="0" xfId="66" applyFont="1"/>
    <xf numFmtId="0" fontId="44" fillId="0" borderId="46" xfId="66" applyFont="1" applyFill="1" applyBorder="1" applyAlignment="1"/>
    <xf numFmtId="0" fontId="45" fillId="46" borderId="20" xfId="66" applyFont="1" applyFill="1" applyBorder="1" applyAlignment="1"/>
    <xf numFmtId="0" fontId="45" fillId="46" borderId="18" xfId="66" applyFont="1" applyFill="1" applyBorder="1" applyAlignment="1"/>
    <xf numFmtId="0" fontId="45" fillId="46" borderId="19" xfId="66" applyFont="1" applyFill="1" applyBorder="1" applyAlignment="1"/>
    <xf numFmtId="0" fontId="43" fillId="0" borderId="27" xfId="66" applyFont="1" applyFill="1" applyBorder="1" applyAlignment="1">
      <alignment horizontal="center" vertical="center"/>
    </xf>
    <xf numFmtId="0" fontId="43" fillId="0" borderId="0" xfId="66" applyFont="1" applyFill="1"/>
    <xf numFmtId="0" fontId="44" fillId="0" borderId="16" xfId="66" applyFont="1" applyFill="1" applyBorder="1" applyAlignment="1"/>
    <xf numFmtId="0" fontId="44" fillId="0" borderId="21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/>
    </xf>
    <xf numFmtId="0" fontId="44" fillId="0" borderId="16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 vertical="center" wrapText="1"/>
    </xf>
    <xf numFmtId="0" fontId="45" fillId="0" borderId="18" xfId="66" applyFont="1" applyFill="1" applyBorder="1" applyAlignment="1">
      <alignment wrapText="1"/>
    </xf>
    <xf numFmtId="6" fontId="43" fillId="0" borderId="18" xfId="66" applyNumberFormat="1" applyFont="1" applyFill="1" applyBorder="1"/>
    <xf numFmtId="0" fontId="44" fillId="0" borderId="18" xfId="66" applyFont="1" applyFill="1" applyBorder="1" applyAlignment="1">
      <alignment horizontal="center" wrapText="1"/>
    </xf>
    <xf numFmtId="0" fontId="43" fillId="0" borderId="0" xfId="66" applyFont="1" applyFill="1" applyBorder="1" applyAlignment="1">
      <alignment horizontal="left" indent="2"/>
    </xf>
    <xf numFmtId="6" fontId="43" fillId="0" borderId="0" xfId="66" applyNumberFormat="1" applyFont="1" applyFill="1" applyBorder="1"/>
    <xf numFmtId="0" fontId="45" fillId="46" borderId="20" xfId="66" applyFont="1" applyFill="1" applyBorder="1"/>
    <xf numFmtId="6" fontId="44" fillId="46" borderId="18" xfId="66" applyNumberFormat="1" applyFont="1" applyFill="1" applyBorder="1"/>
    <xf numFmtId="0" fontId="43" fillId="0" borderId="0" xfId="66" applyFont="1" applyBorder="1"/>
    <xf numFmtId="0" fontId="45" fillId="0" borderId="0" xfId="66" applyFont="1" applyBorder="1"/>
    <xf numFmtId="0" fontId="43" fillId="0" borderId="0" xfId="66" applyFont="1" applyBorder="1" applyAlignment="1">
      <alignment horizontal="left" indent="2"/>
    </xf>
    <xf numFmtId="0" fontId="43" fillId="47" borderId="0" xfId="66" applyFont="1" applyFill="1" applyBorder="1"/>
    <xf numFmtId="6" fontId="43" fillId="47" borderId="0" xfId="66" applyNumberFormat="1" applyFont="1" applyFill="1" applyBorder="1"/>
    <xf numFmtId="0" fontId="44" fillId="0" borderId="0" xfId="66" applyFont="1" applyBorder="1"/>
    <xf numFmtId="0" fontId="44" fillId="0" borderId="14" xfId="66" applyFont="1" applyFill="1" applyBorder="1" applyAlignment="1">
      <alignment wrapText="1"/>
    </xf>
    <xf numFmtId="0" fontId="43" fillId="0" borderId="14" xfId="66" applyFont="1" applyBorder="1"/>
    <xf numFmtId="0" fontId="43" fillId="0" borderId="14" xfId="66" applyFont="1" applyFill="1" applyBorder="1"/>
    <xf numFmtId="6" fontId="43" fillId="0" borderId="14" xfId="66" applyNumberFormat="1" applyFont="1" applyFill="1" applyBorder="1"/>
    <xf numFmtId="0" fontId="43" fillId="0" borderId="0" xfId="66" applyFont="1" applyFill="1" applyBorder="1" applyAlignment="1">
      <alignment horizontal="left" wrapText="1" indent="2"/>
    </xf>
    <xf numFmtId="0" fontId="43" fillId="0" borderId="0" xfId="66" applyFont="1" applyFill="1" applyAlignment="1">
      <alignment horizontal="left" indent="2"/>
    </xf>
    <xf numFmtId="0" fontId="44" fillId="0" borderId="17" xfId="66" applyFont="1" applyFill="1" applyBorder="1"/>
    <xf numFmtId="6" fontId="44" fillId="0" borderId="0" xfId="66" applyNumberFormat="1" applyFont="1" applyFill="1" applyBorder="1"/>
    <xf numFmtId="0" fontId="44" fillId="0" borderId="0" xfId="66" applyFont="1" applyFill="1" applyBorder="1"/>
    <xf numFmtId="0" fontId="44" fillId="0" borderId="0" xfId="66" applyFont="1" applyFill="1" applyBorder="1" applyAlignment="1">
      <alignment wrapText="1"/>
    </xf>
    <xf numFmtId="0" fontId="45" fillId="48" borderId="18" xfId="66" applyFont="1" applyFill="1" applyBorder="1"/>
    <xf numFmtId="6" fontId="43" fillId="48" borderId="18" xfId="66" applyNumberFormat="1" applyFont="1" applyFill="1" applyBorder="1"/>
    <xf numFmtId="0" fontId="45" fillId="0" borderId="14" xfId="66" applyFont="1" applyFill="1" applyBorder="1"/>
    <xf numFmtId="0" fontId="45" fillId="46" borderId="18" xfId="66" applyFont="1" applyFill="1" applyBorder="1"/>
    <xf numFmtId="0" fontId="43" fillId="46" borderId="18" xfId="66" applyFont="1" applyFill="1" applyBorder="1"/>
    <xf numFmtId="6" fontId="43" fillId="46" borderId="18" xfId="66" applyNumberFormat="1" applyFont="1" applyFill="1" applyBorder="1"/>
    <xf numFmtId="0" fontId="44" fillId="0" borderId="27" xfId="66" applyFont="1" applyFill="1" applyBorder="1"/>
    <xf numFmtId="0" fontId="43" fillId="0" borderId="27" xfId="66" applyFont="1" applyFill="1" applyBorder="1"/>
    <xf numFmtId="0" fontId="43" fillId="46" borderId="0" xfId="66" applyFont="1" applyFill="1" applyBorder="1"/>
    <xf numFmtId="0" fontId="46" fillId="0" borderId="0" xfId="66" applyFont="1" applyFill="1" applyBorder="1"/>
    <xf numFmtId="0" fontId="43" fillId="0" borderId="0" xfId="66" applyFont="1" applyFill="1" applyBorder="1" applyAlignment="1">
      <alignment vertical="top" wrapText="1"/>
    </xf>
    <xf numFmtId="0" fontId="43" fillId="0" borderId="0" xfId="66" applyFont="1" applyFill="1" applyBorder="1" applyAlignment="1">
      <alignment horizontal="left" vertical="top" wrapText="1"/>
    </xf>
    <xf numFmtId="6" fontId="43" fillId="0" borderId="0" xfId="66" applyNumberFormat="1" applyFont="1" applyFill="1" applyBorder="1" applyAlignment="1">
      <alignment horizontal="right"/>
    </xf>
    <xf numFmtId="6" fontId="43" fillId="0" borderId="0" xfId="66" applyNumberFormat="1" applyFont="1" applyBorder="1"/>
    <xf numFmtId="168" fontId="43" fillId="0" borderId="0" xfId="66" applyNumberFormat="1" applyFont="1" applyBorder="1"/>
    <xf numFmtId="168" fontId="43" fillId="0" borderId="0" xfId="52" applyNumberFormat="1" applyFont="1" applyFill="1" applyBorder="1"/>
    <xf numFmtId="168" fontId="43" fillId="0" borderId="0" xfId="52" applyNumberFormat="1" applyFont="1" applyBorder="1"/>
    <xf numFmtId="43" fontId="39" fillId="43" borderId="46" xfId="46" quotePrefix="1" applyFont="1" applyFill="1" applyBorder="1" applyAlignment="1">
      <alignment horizontal="left"/>
    </xf>
    <xf numFmtId="43" fontId="39" fillId="43" borderId="16" xfId="46" quotePrefix="1" applyFont="1" applyFill="1" applyBorder="1" applyAlignment="1">
      <alignment horizontal="left"/>
    </xf>
    <xf numFmtId="4" fontId="1" fillId="0" borderId="25" xfId="0" applyNumberFormat="1" applyFont="1" applyFill="1" applyBorder="1" applyAlignment="1" applyProtection="1">
      <alignment horizontal="center"/>
    </xf>
    <xf numFmtId="165" fontId="1" fillId="0" borderId="25" xfId="0" applyNumberFormat="1" applyFont="1" applyBorder="1" applyAlignment="1" applyProtection="1">
      <alignment horizontal="center"/>
    </xf>
    <xf numFmtId="172" fontId="40" fillId="49" borderId="11" xfId="0" applyNumberFormat="1" applyFont="1" applyFill="1" applyBorder="1" applyAlignment="1">
      <alignment horizontal="right"/>
    </xf>
    <xf numFmtId="172" fontId="40" fillId="49" borderId="11" xfId="0" applyNumberFormat="1" applyFont="1" applyFill="1" applyBorder="1" applyAlignment="1"/>
    <xf numFmtId="172" fontId="3" fillId="49" borderId="11" xfId="0" applyNumberFormat="1" applyFont="1" applyFill="1" applyBorder="1" applyAlignment="1">
      <alignment horizontal="right"/>
    </xf>
    <xf numFmtId="172" fontId="3" fillId="49" borderId="11" xfId="0" applyNumberFormat="1" applyFont="1" applyFill="1" applyBorder="1" applyAlignment="1"/>
    <xf numFmtId="2" fontId="40" fillId="49" borderId="11" xfId="0" applyNumberFormat="1" applyFont="1" applyFill="1" applyBorder="1" applyAlignment="1">
      <alignment horizontal="right"/>
    </xf>
    <xf numFmtId="0" fontId="50" fillId="0" borderId="0" xfId="0" applyFont="1" applyFill="1"/>
    <xf numFmtId="3" fontId="50" fillId="50" borderId="11" xfId="0" applyNumberFormat="1" applyFont="1" applyFill="1" applyBorder="1" applyAlignment="1">
      <alignment wrapText="1"/>
    </xf>
    <xf numFmtId="0" fontId="50" fillId="0" borderId="0" xfId="0" applyFont="1"/>
    <xf numFmtId="0" fontId="50" fillId="0" borderId="0" xfId="0" applyFont="1" applyProtection="1"/>
    <xf numFmtId="172" fontId="40" fillId="49" borderId="0" xfId="0" applyNumberFormat="1" applyFont="1" applyFill="1" applyAlignment="1">
      <alignment horizontal="right"/>
    </xf>
    <xf numFmtId="0" fontId="43" fillId="48" borderId="0" xfId="66" applyFont="1" applyFill="1" applyBorder="1"/>
    <xf numFmtId="0" fontId="2" fillId="44" borderId="0" xfId="66" applyFont="1" applyFill="1" applyAlignment="1">
      <alignment horizontal="center"/>
    </xf>
    <xf numFmtId="171" fontId="1" fillId="44" borderId="0" xfId="66" applyNumberFormat="1" applyFont="1" applyFill="1" applyAlignment="1">
      <alignment horizontal="center"/>
    </xf>
    <xf numFmtId="0" fontId="1" fillId="44" borderId="0" xfId="66" applyFont="1" applyFill="1" applyAlignment="1">
      <alignment horizontal="center"/>
    </xf>
    <xf numFmtId="0" fontId="1" fillId="44" borderId="0" xfId="66" applyFont="1" applyFill="1"/>
    <xf numFmtId="0" fontId="52" fillId="0" borderId="0" xfId="0" applyFont="1"/>
    <xf numFmtId="175" fontId="2" fillId="44" borderId="58" xfId="50" applyNumberFormat="1" applyFont="1" applyFill="1" applyBorder="1"/>
    <xf numFmtId="0" fontId="1" fillId="44" borderId="0" xfId="66" applyFont="1" applyFill="1" applyAlignment="1">
      <alignment horizontal="right"/>
    </xf>
    <xf numFmtId="0" fontId="55" fillId="0" borderId="0" xfId="0" applyFont="1"/>
    <xf numFmtId="3" fontId="56" fillId="0" borderId="27" xfId="0" applyNumberFormat="1" applyFont="1" applyFill="1" applyBorder="1" applyAlignment="1" applyProtection="1">
      <alignment horizontal="center"/>
      <protection locked="0"/>
    </xf>
    <xf numFmtId="3" fontId="56" fillId="0" borderId="0" xfId="0" applyNumberFormat="1" applyFont="1" applyFill="1" applyBorder="1" applyAlignment="1" applyProtection="1">
      <alignment horizontal="center"/>
      <protection locked="0"/>
    </xf>
    <xf numFmtId="38" fontId="56" fillId="0" borderId="0" xfId="0" applyNumberFormat="1" applyFont="1" applyFill="1" applyBorder="1" applyAlignment="1" applyProtection="1">
      <alignment horizontal="center"/>
      <protection locked="0"/>
    </xf>
    <xf numFmtId="38" fontId="56" fillId="0" borderId="17" xfId="0" applyNumberFormat="1" applyFont="1" applyFill="1" applyBorder="1" applyAlignment="1" applyProtection="1">
      <alignment horizontal="center"/>
      <protection locked="0"/>
    </xf>
    <xf numFmtId="0" fontId="1" fillId="0" borderId="11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/>
    </xf>
    <xf numFmtId="171" fontId="1" fillId="0" borderId="11" xfId="66" applyNumberFormat="1" applyFont="1" applyFill="1" applyBorder="1" applyAlignment="1">
      <alignment horizontal="center"/>
    </xf>
    <xf numFmtId="0" fontId="1" fillId="0" borderId="11" xfId="66" quotePrefix="1" applyFont="1" applyFill="1" applyBorder="1" applyAlignment="1">
      <alignment horizontal="center"/>
    </xf>
    <xf numFmtId="0" fontId="1" fillId="0" borderId="11" xfId="66" applyFont="1" applyFill="1" applyBorder="1" applyAlignment="1">
      <alignment horizontal="right"/>
    </xf>
    <xf numFmtId="170" fontId="1" fillId="0" borderId="11" xfId="46" applyNumberFormat="1" applyFont="1" applyFill="1" applyBorder="1" applyAlignment="1">
      <alignment horizontal="right"/>
    </xf>
    <xf numFmtId="176" fontId="40" fillId="49" borderId="11" xfId="0" applyNumberFormat="1" applyFont="1" applyFill="1" applyBorder="1" applyAlignment="1">
      <alignment horizontal="right"/>
    </xf>
    <xf numFmtId="3" fontId="1" fillId="0" borderId="0" xfId="0" applyNumberFormat="1" applyFont="1" applyProtection="1"/>
    <xf numFmtId="9" fontId="1" fillId="0" borderId="0" xfId="145" applyFont="1" applyProtection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1" fillId="51" borderId="0" xfId="66" applyFont="1" applyFill="1" applyBorder="1"/>
    <xf numFmtId="0" fontId="2" fillId="0" borderId="11" xfId="0" applyFont="1" applyFill="1" applyBorder="1" applyAlignment="1">
      <alignment horizontal="center"/>
    </xf>
    <xf numFmtId="3" fontId="34" fillId="0" borderId="20" xfId="0" applyNumberFormat="1" applyFont="1" applyFill="1" applyBorder="1" applyAlignment="1" applyProtection="1">
      <alignment horizontal="center"/>
      <protection locked="0"/>
    </xf>
    <xf numFmtId="0" fontId="2" fillId="0" borderId="11" xfId="66" applyFont="1" applyFill="1" applyBorder="1" applyAlignment="1">
      <alignment horizontal="right"/>
    </xf>
    <xf numFmtId="171" fontId="2" fillId="0" borderId="11" xfId="66" applyNumberFormat="1" applyFont="1" applyFill="1" applyBorder="1" applyAlignment="1">
      <alignment horizontal="center"/>
    </xf>
    <xf numFmtId="0" fontId="1" fillId="0" borderId="34" xfId="66" applyFont="1" applyFill="1" applyBorder="1" applyAlignment="1">
      <alignment horizontal="right"/>
    </xf>
    <xf numFmtId="0" fontId="2" fillId="0" borderId="34" xfId="66" applyFont="1" applyFill="1" applyBorder="1" applyAlignment="1">
      <alignment horizontal="center"/>
    </xf>
    <xf numFmtId="171" fontId="1" fillId="0" borderId="34" xfId="66" applyNumberFormat="1" applyFont="1" applyFill="1" applyBorder="1" applyAlignment="1">
      <alignment horizontal="center"/>
    </xf>
    <xf numFmtId="0" fontId="1" fillId="0" borderId="34" xfId="66" applyFon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0" fontId="0" fillId="0" borderId="34" xfId="0" applyFill="1" applyBorder="1"/>
    <xf numFmtId="0" fontId="0" fillId="0" borderId="34" xfId="0" applyFill="1" applyBorder="1" applyAlignment="1">
      <alignment horizontal="center"/>
    </xf>
    <xf numFmtId="0" fontId="60" fillId="0" borderId="34" xfId="0" applyFont="1" applyFill="1" applyBorder="1" applyAlignment="1">
      <alignment horizontal="center"/>
    </xf>
    <xf numFmtId="0" fontId="1" fillId="0" borderId="34" xfId="66" quotePrefix="1" applyFont="1" applyFill="1" applyBorder="1" applyAlignment="1">
      <alignment horizontal="center"/>
    </xf>
    <xf numFmtId="0" fontId="1" fillId="0" borderId="15" xfId="66" applyFont="1" applyFill="1" applyBorder="1" applyAlignment="1">
      <alignment horizontal="center"/>
    </xf>
    <xf numFmtId="172" fontId="61" fillId="0" borderId="0" xfId="0" applyNumberFormat="1" applyFont="1"/>
    <xf numFmtId="172" fontId="62" fillId="0" borderId="0" xfId="0" applyNumberFormat="1" applyFont="1"/>
    <xf numFmtId="0" fontId="62" fillId="0" borderId="0" xfId="0" applyFont="1"/>
    <xf numFmtId="0" fontId="61" fillId="0" borderId="0" xfId="0" applyFont="1"/>
    <xf numFmtId="172" fontId="63" fillId="0" borderId="0" xfId="0" applyNumberFormat="1" applyFont="1"/>
    <xf numFmtId="172" fontId="1" fillId="44" borderId="0" xfId="66" applyNumberFormat="1" applyFont="1" applyFill="1" applyAlignment="1">
      <alignment horizontal="right"/>
    </xf>
    <xf numFmtId="3" fontId="1" fillId="0" borderId="46" xfId="0" applyNumberFormat="1" applyFont="1" applyBorder="1" applyAlignment="1" applyProtection="1">
      <alignment wrapText="1"/>
    </xf>
    <xf numFmtId="0" fontId="1" fillId="0" borderId="13" xfId="0" applyFont="1" applyBorder="1"/>
    <xf numFmtId="0" fontId="1" fillId="0" borderId="0" xfId="0" applyFont="1" applyFill="1"/>
    <xf numFmtId="0" fontId="64" fillId="0" borderId="11" xfId="0" applyFont="1" applyFill="1" applyBorder="1"/>
    <xf numFmtId="3" fontId="1" fillId="0" borderId="66" xfId="0" applyNumberFormat="1" applyFont="1" applyBorder="1" applyAlignment="1" applyProtection="1">
      <alignment wrapText="1"/>
    </xf>
    <xf numFmtId="3" fontId="34" fillId="0" borderId="22" xfId="0" applyNumberFormat="1" applyFont="1" applyFill="1" applyBorder="1" applyAlignment="1" applyProtection="1">
      <alignment horizontal="center"/>
      <protection locked="0"/>
    </xf>
    <xf numFmtId="43" fontId="39" fillId="43" borderId="27" xfId="46" quotePrefix="1" applyFont="1" applyFill="1" applyBorder="1" applyAlignment="1">
      <alignment horizontal="left"/>
    </xf>
    <xf numFmtId="43" fontId="39" fillId="43" borderId="66" xfId="46" quotePrefix="1" applyFont="1" applyFill="1" applyBorder="1" applyAlignment="1">
      <alignment horizontal="left"/>
    </xf>
    <xf numFmtId="3" fontId="34" fillId="0" borderId="21" xfId="0" applyNumberFormat="1" applyFont="1" applyFill="1" applyBorder="1" applyAlignment="1" applyProtection="1">
      <alignment horizontal="center"/>
      <protection locked="0"/>
    </xf>
    <xf numFmtId="43" fontId="39" fillId="43" borderId="14" xfId="46" quotePrefix="1" applyFont="1" applyFill="1" applyBorder="1" applyAlignment="1">
      <alignment horizontal="left"/>
    </xf>
    <xf numFmtId="0" fontId="66" fillId="0" borderId="0" xfId="66" applyFont="1" applyFill="1" applyBorder="1"/>
    <xf numFmtId="0" fontId="32" fillId="0" borderId="0" xfId="0" applyFont="1" applyAlignment="1" applyProtection="1">
      <alignment vertical="top" wrapText="1"/>
    </xf>
    <xf numFmtId="0" fontId="0" fillId="0" borderId="0" xfId="0"/>
    <xf numFmtId="0" fontId="4" fillId="0" borderId="0" xfId="0" applyFont="1" applyAlignment="1" applyProtection="1">
      <alignment vertical="top" wrapText="1"/>
    </xf>
    <xf numFmtId="0" fontId="59" fillId="0" borderId="0" xfId="0" applyFont="1"/>
    <xf numFmtId="0" fontId="2" fillId="0" borderId="0" xfId="0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32" fillId="0" borderId="0" xfId="0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 wrapText="1"/>
    </xf>
    <xf numFmtId="0" fontId="51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" fillId="0" borderId="0" xfId="66" applyFont="1" applyFill="1" applyAlignment="1" applyProtection="1">
      <alignment wrapText="1"/>
    </xf>
    <xf numFmtId="0" fontId="49" fillId="0" borderId="0" xfId="66" applyFont="1" applyFill="1" applyBorder="1" applyAlignment="1">
      <alignment horizontal="left" vertical="top" wrapText="1"/>
    </xf>
    <xf numFmtId="0" fontId="48" fillId="0" borderId="0" xfId="66" applyFont="1" applyFill="1" applyBorder="1" applyAlignment="1">
      <alignment horizontal="left" vertical="top" wrapText="1"/>
    </xf>
    <xf numFmtId="0" fontId="44" fillId="0" borderId="22" xfId="66" applyFont="1" applyFill="1" applyBorder="1" applyAlignment="1">
      <alignment horizontal="center" vertical="center" wrapText="1"/>
    </xf>
    <xf numFmtId="0" fontId="44" fillId="0" borderId="21" xfId="66" applyFont="1" applyFill="1" applyBorder="1" applyAlignment="1">
      <alignment horizontal="center" vertical="center" wrapText="1"/>
    </xf>
    <xf numFmtId="0" fontId="44" fillId="0" borderId="15" xfId="66" applyFont="1" applyFill="1" applyBorder="1" applyAlignment="1">
      <alignment horizontal="center" vertical="center" wrapText="1"/>
    </xf>
    <xf numFmtId="0" fontId="44" fillId="0" borderId="34" xfId="66" applyFont="1" applyFill="1" applyBorder="1" applyAlignment="1">
      <alignment horizontal="center" vertical="center" wrapText="1"/>
    </xf>
    <xf numFmtId="0" fontId="57" fillId="44" borderId="20" xfId="66" applyFont="1" applyFill="1" applyBorder="1" applyAlignment="1">
      <alignment horizontal="center" wrapText="1"/>
    </xf>
    <xf numFmtId="0" fontId="57" fillId="44" borderId="18" xfId="66" applyFont="1" applyFill="1" applyBorder="1" applyAlignment="1">
      <alignment horizontal="center" wrapText="1"/>
    </xf>
    <xf numFmtId="0" fontId="57" fillId="44" borderId="19" xfId="66" applyFont="1" applyFill="1" applyBorder="1" applyAlignment="1">
      <alignment horizontal="center" wrapText="1"/>
    </xf>
    <xf numFmtId="0" fontId="1" fillId="0" borderId="0" xfId="66" applyAlignment="1">
      <alignment wrapText="1"/>
    </xf>
    <xf numFmtId="2" fontId="1" fillId="0" borderId="25" xfId="0" applyNumberFormat="1" applyFont="1" applyFill="1" applyBorder="1" applyAlignment="1" applyProtection="1">
      <alignment horizontal="center"/>
    </xf>
    <xf numFmtId="0" fontId="32" fillId="0" borderId="67" xfId="0" applyFont="1" applyFill="1" applyBorder="1" applyAlignment="1" applyProtection="1">
      <alignment horizontal="center"/>
    </xf>
    <xf numFmtId="0" fontId="0" fillId="0" borderId="11" xfId="0" applyBorder="1"/>
    <xf numFmtId="0" fontId="1" fillId="0" borderId="11" xfId="0" applyFont="1" applyBorder="1"/>
    <xf numFmtId="0" fontId="50" fillId="0" borderId="11" xfId="0" applyFont="1" applyFill="1" applyBorder="1"/>
    <xf numFmtId="0" fontId="1" fillId="0" borderId="11" xfId="0" applyFont="1" applyBorder="1" applyAlignment="1">
      <alignment wrapText="1"/>
    </xf>
    <xf numFmtId="172" fontId="1" fillId="49" borderId="11" xfId="0" applyNumberFormat="1" applyFont="1" applyFill="1" applyBorder="1" applyAlignment="1">
      <alignment horizontal="right"/>
    </xf>
    <xf numFmtId="0" fontId="50" fillId="0" borderId="11" xfId="0" applyFont="1" applyBorder="1"/>
  </cellXfs>
  <cellStyles count="146">
    <cellStyle name="20% - Accent1" xfId="1" builtinId="30" customBuiltin="1"/>
    <cellStyle name="20% - Accent1 2" xfId="115"/>
    <cellStyle name="20% - Accent2" xfId="2" builtinId="34" customBuiltin="1"/>
    <cellStyle name="20% - Accent2 2" xfId="116"/>
    <cellStyle name="20% - Accent3" xfId="3" builtinId="38" customBuiltin="1"/>
    <cellStyle name="20% - Accent3 2" xfId="117"/>
    <cellStyle name="20% - Accent4" xfId="4" builtinId="42" customBuiltin="1"/>
    <cellStyle name="20% - Accent4 2" xfId="118"/>
    <cellStyle name="20% - Accent5" xfId="5" builtinId="46" customBuiltin="1"/>
    <cellStyle name="20% - Accent5 2" xfId="119"/>
    <cellStyle name="20% - Accent6" xfId="6" builtinId="50" customBuiltin="1"/>
    <cellStyle name="20% - Accent6 2" xfId="120"/>
    <cellStyle name="40% - Accent1" xfId="7" builtinId="31" customBuiltin="1"/>
    <cellStyle name="40% - Accent1 2" xfId="121"/>
    <cellStyle name="40% - Accent2" xfId="8" builtinId="35" customBuiltin="1"/>
    <cellStyle name="40% - Accent2 2" xfId="122"/>
    <cellStyle name="40% - Accent3" xfId="9" builtinId="39" customBuiltin="1"/>
    <cellStyle name="40% - Accent3 2" xfId="123"/>
    <cellStyle name="40% - Accent4" xfId="10" builtinId="43" customBuiltin="1"/>
    <cellStyle name="40% - Accent4 2" xfId="124"/>
    <cellStyle name="40% - Accent5" xfId="11" builtinId="47" customBuiltin="1"/>
    <cellStyle name="40% - Accent5 2" xfId="125"/>
    <cellStyle name="40% - Accent6" xfId="12" builtinId="51" customBuiltin="1"/>
    <cellStyle name="40% - Accent6 2" xfId="12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47"/>
    <cellStyle name="Comma 2 2" xfId="48"/>
    <cellStyle name="Currency 2" xfId="49"/>
    <cellStyle name="Currency 2 2" xfId="50"/>
    <cellStyle name="Currency 3" xfId="51"/>
    <cellStyle name="Currency 3 2" xfId="52"/>
    <cellStyle name="Currency 4" xfId="53"/>
    <cellStyle name="Currency 4 2" xfId="127"/>
    <cellStyle name="Emphasis 1" xfId="54"/>
    <cellStyle name="Emphasis 2" xfId="55"/>
    <cellStyle name="Emphasis 3" xfId="56"/>
    <cellStyle name="Explanatory Text" xfId="57" builtinId="53" customBuiltin="1"/>
    <cellStyle name="Good" xfId="58" builtinId="26" customBuiltin="1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Linked Cell" xfId="64" builtinId="24" customBuiltin="1"/>
    <cellStyle name="Neutral" xfId="65" builtinId="28" customBuiltin="1"/>
    <cellStyle name="Normal" xfId="0" builtinId="0"/>
    <cellStyle name="Normal 2" xfId="66"/>
    <cellStyle name="Normal_Funding Shift Table Sample" xfId="67"/>
    <cellStyle name="Note" xfId="68" builtinId="10" customBuiltin="1"/>
    <cellStyle name="Output" xfId="69" builtinId="21" customBuiltin="1"/>
    <cellStyle name="Percent" xfId="145" builtinId="5"/>
    <cellStyle name="Percent 2" xfId="70"/>
    <cellStyle name="Percent 2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7 2" xfId="128"/>
    <cellStyle name="SAPBEXexcBad8" xfId="78"/>
    <cellStyle name="SAPBEXexcBad8 2" xfId="129"/>
    <cellStyle name="SAPBEXexcBad9" xfId="79"/>
    <cellStyle name="SAPBEXexcBad9 2" xfId="130"/>
    <cellStyle name="SAPBEXexcCritical4" xfId="80"/>
    <cellStyle name="SAPBEXexcCritical4 2" xfId="131"/>
    <cellStyle name="SAPBEXexcCritical5" xfId="81"/>
    <cellStyle name="SAPBEXexcCritical5 2" xfId="132"/>
    <cellStyle name="SAPBEXexcCritical6" xfId="82"/>
    <cellStyle name="SAPBEXexcCritical6 2" xfId="133"/>
    <cellStyle name="SAPBEXexcGood1" xfId="83"/>
    <cellStyle name="SAPBEXexcGood1 2" xfId="134"/>
    <cellStyle name="SAPBEXexcGood2" xfId="84"/>
    <cellStyle name="SAPBEXexcGood2 2" xfId="135"/>
    <cellStyle name="SAPBEXexcGood3" xfId="85"/>
    <cellStyle name="SAPBEXexcGood3 2" xfId="136"/>
    <cellStyle name="SAPBEXfilterDrill" xfId="86"/>
    <cellStyle name="SAPBEXfilterItem" xfId="87"/>
    <cellStyle name="SAPBEXfilterItem 2" xfId="137"/>
    <cellStyle name="SAPBEXfilterText" xfId="88"/>
    <cellStyle name="SAPBEXformats" xfId="89"/>
    <cellStyle name="SAPBEXformats 2" xfId="138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 2" xfId="139"/>
    <cellStyle name="SAPBEXresDataEmph" xfId="102"/>
    <cellStyle name="SAPBEXresItem" xfId="103"/>
    <cellStyle name="SAPBEXresItem 2" xfId="140"/>
    <cellStyle name="SAPBEXresItemX" xfId="104"/>
    <cellStyle name="SAPBEXresItemX 2" xfId="141"/>
    <cellStyle name="SAPBEXstdData" xfId="105"/>
    <cellStyle name="SAPBEXstdData 2" xfId="142"/>
    <cellStyle name="SAPBEXstdDataEmph" xfId="106"/>
    <cellStyle name="SAPBEXstdItem" xfId="107"/>
    <cellStyle name="SAPBEXstdItem 2" xfId="143"/>
    <cellStyle name="SAPBEXstdItemX" xfId="108"/>
    <cellStyle name="SAPBEXstdItemX 2" xfId="144"/>
    <cellStyle name="SAPBEXtitle" xfId="109"/>
    <cellStyle name="SAPBEXundefined" xfId="110"/>
    <cellStyle name="Sheet Title" xfId="111"/>
    <cellStyle name="Title" xfId="112" builtinId="15" customBuiltin="1"/>
    <cellStyle name="Total" xfId="113" builtinId="25" customBuiltin="1"/>
    <cellStyle name="Warning Text" xfId="1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00075"/>
          <a:ext cx="93535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2014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injo\AppData\Local\Microsoft\Windows\Temporary%20Internet%20Files\Content.Outlook\XGUO2WB4\BIP%20Study%20Appendix%20FF%20%20Ex-Ante%20Load%20Impac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OUTPUTS"/>
      <sheetName val="LOOKUP"/>
      <sheetName val="DATA"/>
      <sheetName val="ENROLLMENT"/>
    </sheetNames>
    <sheetDataSet>
      <sheetData sheetId="0" refreshError="1"/>
      <sheetData sheetId="1">
        <row r="2">
          <cell r="E2" t="str">
            <v>Typical Event Day</v>
          </cell>
        </row>
        <row r="3">
          <cell r="E3" t="str">
            <v>January Monthly Peak</v>
          </cell>
        </row>
        <row r="4">
          <cell r="E4" t="str">
            <v>February Monthly Peak</v>
          </cell>
        </row>
        <row r="5">
          <cell r="E5" t="str">
            <v>March Monthly Peak</v>
          </cell>
        </row>
        <row r="6">
          <cell r="E6" t="str">
            <v>April Monthly Peak</v>
          </cell>
        </row>
        <row r="7">
          <cell r="E7" t="str">
            <v>May Monthly Peak</v>
          </cell>
        </row>
        <row r="8">
          <cell r="E8" t="str">
            <v>June Monthly Peak</v>
          </cell>
        </row>
        <row r="9">
          <cell r="E9" t="str">
            <v>July Monthly Peak</v>
          </cell>
        </row>
        <row r="10">
          <cell r="E10" t="str">
            <v>August Monthly Peak</v>
          </cell>
        </row>
        <row r="11">
          <cell r="E11" t="str">
            <v>September Monthly Peak</v>
          </cell>
        </row>
        <row r="12">
          <cell r="E12" t="str">
            <v>October Monthly Peak</v>
          </cell>
        </row>
        <row r="13">
          <cell r="E13" t="str">
            <v>November Monthly Peak</v>
          </cell>
        </row>
        <row r="14">
          <cell r="E14" t="str">
            <v>December Monthly Peak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9"/>
  <sheetViews>
    <sheetView showGridLines="0" showRowColHeaders="0" tabSelected="1" topLeftCell="J1" zoomScaleNormal="100" zoomScaleSheetLayoutView="80" workbookViewId="0">
      <selection activeCell="S31" sqref="S31"/>
    </sheetView>
  </sheetViews>
  <sheetFormatPr defaultColWidth="9.140625" defaultRowHeight="12.75" x14ac:dyDescent="0.2"/>
  <cols>
    <col min="1" max="1" width="41.5703125" style="21" customWidth="1"/>
    <col min="2" max="2" width="9.42578125" style="21" bestFit="1" customWidth="1"/>
    <col min="3" max="3" width="11.5703125" style="21" customWidth="1"/>
    <col min="4" max="4" width="14" style="21" bestFit="1" customWidth="1"/>
    <col min="5" max="5" width="12" style="21" customWidth="1"/>
    <col min="6" max="6" width="9.140625" style="21"/>
    <col min="7" max="7" width="9.85546875" style="21" bestFit="1" customWidth="1"/>
    <col min="8" max="8" width="9.5703125" style="21" customWidth="1"/>
    <col min="9" max="9" width="11.5703125" style="21" bestFit="1" customWidth="1"/>
    <col min="10" max="10" width="7.7109375" style="21" bestFit="1" customWidth="1"/>
    <col min="11" max="16" width="12.5703125" style="21" customWidth="1"/>
    <col min="17" max="17" width="10.7109375" style="21" customWidth="1"/>
    <col min="18" max="18" width="11" style="21" customWidth="1"/>
    <col min="19" max="19" width="11.28515625" style="21" customWidth="1"/>
    <col min="20" max="20" width="14.140625" style="21" hidden="1" customWidth="1"/>
    <col min="21" max="21" width="9.7109375" style="21" customWidth="1"/>
    <col min="22" max="22" width="11.42578125" style="21" customWidth="1"/>
    <col min="23" max="23" width="11" style="21" customWidth="1"/>
    <col min="24" max="25" width="9.7109375" style="21" customWidth="1"/>
    <col min="26" max="26" width="12.85546875" style="21" customWidth="1"/>
    <col min="27" max="27" width="8.85546875" style="21" bestFit="1" customWidth="1"/>
    <col min="28" max="28" width="10.5703125" style="21" customWidth="1"/>
    <col min="29" max="29" width="9.85546875" style="21" bestFit="1" customWidth="1"/>
    <col min="30" max="30" width="11.140625" style="21" customWidth="1"/>
    <col min="31" max="31" width="9.85546875" style="21" bestFit="1" customWidth="1"/>
    <col min="32" max="32" width="10.85546875" style="21" customWidth="1"/>
    <col min="33" max="33" width="12.140625" style="21" bestFit="1" customWidth="1"/>
    <col min="34" max="34" width="12.140625" style="21" customWidth="1"/>
    <col min="35" max="35" width="9.5703125" style="21" bestFit="1" customWidth="1"/>
    <col min="36" max="36" width="11.140625" style="21" customWidth="1"/>
    <col min="37" max="37" width="11.7109375" style="21" bestFit="1" customWidth="1"/>
    <col min="38" max="38" width="11.7109375" style="21" customWidth="1"/>
    <col min="39" max="16384" width="9.140625" style="21"/>
  </cols>
  <sheetData>
    <row r="1" spans="1:31" x14ac:dyDescent="0.2">
      <c r="E1" s="81"/>
    </row>
    <row r="3" spans="1:31" ht="14.25" customHeight="1" x14ac:dyDescent="0.2">
      <c r="Q3" s="429"/>
      <c r="R3" s="430"/>
    </row>
    <row r="4" spans="1:31" ht="14.25" customHeight="1" x14ac:dyDescent="0.2"/>
    <row r="5" spans="1:31" hidden="1" x14ac:dyDescent="0.2">
      <c r="C5" s="21">
        <v>2</v>
      </c>
      <c r="D5" s="21">
        <f>C5</f>
        <v>2</v>
      </c>
      <c r="F5" s="21">
        <f>C5+1</f>
        <v>3</v>
      </c>
      <c r="G5" s="21">
        <f>F5</f>
        <v>3</v>
      </c>
      <c r="I5" s="21">
        <f>F5+1</f>
        <v>4</v>
      </c>
      <c r="J5" s="21">
        <f>I5</f>
        <v>4</v>
      </c>
      <c r="L5" s="21">
        <f>I5+1</f>
        <v>5</v>
      </c>
      <c r="M5" s="21">
        <f>L5</f>
        <v>5</v>
      </c>
      <c r="O5" s="21">
        <f>L5+1</f>
        <v>6</v>
      </c>
      <c r="P5" s="21">
        <f>O5</f>
        <v>6</v>
      </c>
      <c r="R5" s="21">
        <f>O5+1</f>
        <v>7</v>
      </c>
      <c r="S5" s="21">
        <f>R5</f>
        <v>7</v>
      </c>
    </row>
    <row r="6" spans="1:31" x14ac:dyDescent="0.2">
      <c r="C6" s="5"/>
    </row>
    <row r="7" spans="1:31" ht="15" customHeight="1" x14ac:dyDescent="0.2">
      <c r="A7" s="22"/>
      <c r="B7" s="20"/>
      <c r="C7" s="82" t="s">
        <v>0</v>
      </c>
      <c r="D7" s="20"/>
      <c r="E7" s="20"/>
      <c r="F7" s="20" t="s">
        <v>1</v>
      </c>
      <c r="G7" s="20"/>
      <c r="H7" s="20"/>
      <c r="I7" s="20" t="s">
        <v>2</v>
      </c>
      <c r="J7" s="20"/>
      <c r="K7" s="20"/>
      <c r="L7" s="20" t="s">
        <v>3</v>
      </c>
      <c r="M7" s="20"/>
      <c r="N7" s="20"/>
      <c r="O7" s="20" t="s">
        <v>4</v>
      </c>
      <c r="P7" s="20"/>
      <c r="Q7" s="20"/>
      <c r="R7" s="20" t="s">
        <v>5</v>
      </c>
      <c r="S7" s="20"/>
      <c r="T7" s="23"/>
    </row>
    <row r="8" spans="1:31" ht="41.25" customHeight="1" x14ac:dyDescent="0.2">
      <c r="A8" s="24" t="s">
        <v>21</v>
      </c>
      <c r="B8" s="25" t="s">
        <v>15</v>
      </c>
      <c r="C8" s="26" t="s">
        <v>124</v>
      </c>
      <c r="D8" s="27" t="s">
        <v>125</v>
      </c>
      <c r="E8" s="25" t="s">
        <v>15</v>
      </c>
      <c r="F8" s="26" t="s">
        <v>124</v>
      </c>
      <c r="G8" s="27" t="s">
        <v>125</v>
      </c>
      <c r="H8" s="28" t="s">
        <v>15</v>
      </c>
      <c r="I8" s="26" t="s">
        <v>124</v>
      </c>
      <c r="J8" s="27" t="s">
        <v>125</v>
      </c>
      <c r="K8" s="29" t="s">
        <v>15</v>
      </c>
      <c r="L8" s="26" t="s">
        <v>124</v>
      </c>
      <c r="M8" s="27" t="s">
        <v>125</v>
      </c>
      <c r="N8" s="29" t="s">
        <v>15</v>
      </c>
      <c r="O8" s="26" t="s">
        <v>124</v>
      </c>
      <c r="P8" s="27" t="s">
        <v>125</v>
      </c>
      <c r="Q8" s="28" t="s">
        <v>15</v>
      </c>
      <c r="R8" s="26" t="s">
        <v>124</v>
      </c>
      <c r="S8" s="27" t="s">
        <v>125</v>
      </c>
      <c r="T8" s="27" t="s">
        <v>229</v>
      </c>
    </row>
    <row r="9" spans="1:31" ht="12.75" customHeight="1" x14ac:dyDescent="0.2">
      <c r="A9" s="30" t="s">
        <v>22</v>
      </c>
      <c r="B9" s="25"/>
      <c r="C9" s="25"/>
      <c r="D9" s="31"/>
      <c r="E9" s="28"/>
      <c r="F9" s="25"/>
      <c r="G9" s="31"/>
      <c r="H9" s="28"/>
      <c r="I9" s="25"/>
      <c r="J9" s="25"/>
      <c r="K9" s="28"/>
      <c r="L9" s="25"/>
      <c r="M9" s="32"/>
      <c r="N9" s="28"/>
      <c r="O9" s="25"/>
      <c r="P9" s="32"/>
      <c r="Q9" s="28"/>
      <c r="R9" s="25"/>
      <c r="S9" s="32"/>
      <c r="T9" s="32"/>
    </row>
    <row r="10" spans="1:31" x14ac:dyDescent="0.2">
      <c r="A10" s="2" t="s">
        <v>66</v>
      </c>
      <c r="B10" s="421">
        <v>7</v>
      </c>
      <c r="C10" s="159">
        <f>B10*(INDEX('Ex ante LI &amp; Eligibility Stats'!$A$5:$M$14,MATCH('Program MW '!$A10,'Ex ante LI &amp; Eligibility Stats'!$A$5:$A$14,0),MATCH('Program MW '!C$7,'Ex ante LI &amp; Eligibility Stats'!$A$5:$M$5,0))/1000)</f>
        <v>0.66426054545454549</v>
      </c>
      <c r="D10" s="159">
        <f>B10*(INDEX('Ex post LI &amp; Eligibility Stats'!$A$6:$N$15,MATCH($A10,'Ex post LI &amp; Eligibility Stats'!$A$6:$A$15,0),MATCH('Program MW '!C$7,'Ex post LI &amp; Eligibility Stats'!$A$6:$N$6,0))/1000)</f>
        <v>0.50909090909090915</v>
      </c>
      <c r="E10" s="33">
        <v>7</v>
      </c>
      <c r="F10" s="159">
        <f>E10*(INDEX('Ex ante LI &amp; Eligibility Stats'!$A$5:$M$14,MATCH('Program MW '!$A10,'Ex ante LI &amp; Eligibility Stats'!$A$5:$A$14,0),MATCH('Program MW '!F$7,'Ex ante LI &amp; Eligibility Stats'!$A$5:$M$5,0))/1000)</f>
        <v>0.61629279090909095</v>
      </c>
      <c r="G10" s="159">
        <f>E10*(INDEX('Ex post LI &amp; Eligibility Stats'!$A$6:$N$15,MATCH($A10,'Ex post LI &amp; Eligibility Stats'!$A$6:$A$15,0),MATCH('Program MW '!F$7,'Ex post LI &amp; Eligibility Stats'!$A$6:$N$6,0))/1000)</f>
        <v>0.50909090909090915</v>
      </c>
      <c r="H10" s="33">
        <v>7</v>
      </c>
      <c r="I10" s="159">
        <f>H10*(INDEX('Ex ante LI &amp; Eligibility Stats'!$A$5:$M$14,MATCH('Program MW '!$A10,'Ex ante LI &amp; Eligibility Stats'!$A$5:$A$14,0),MATCH('Program MW '!I$7,'Ex ante LI &amp; Eligibility Stats'!$A$5:$M$5,0))/1000)</f>
        <v>0.676086090909091</v>
      </c>
      <c r="J10" s="159">
        <f>H10*(INDEX('Ex post LI &amp; Eligibility Stats'!$A$6:$N$15,MATCH($A10,'Ex post LI &amp; Eligibility Stats'!$A$6:$A$15,0),MATCH('Program MW '!I$7,'Ex post LI &amp; Eligibility Stats'!$A$6:$N$6,0))/1000)</f>
        <v>0.50909090909090915</v>
      </c>
      <c r="K10" s="33">
        <v>7</v>
      </c>
      <c r="L10" s="159">
        <f>K10*(INDEX('Ex ante LI &amp; Eligibility Stats'!$A$5:$M$14,MATCH('Program MW '!$A10,'Ex ante LI &amp; Eligibility Stats'!$A$5:$A$14,0),MATCH('Program MW '!L$7,'Ex ante LI &amp; Eligibility Stats'!$A$5:$M$5,0))/1000)</f>
        <v>0.51421529090909091</v>
      </c>
      <c r="M10" s="159">
        <f>K10*(INDEX('Ex post LI &amp; Eligibility Stats'!$A$6:$N$15,MATCH($A10,'Ex post LI &amp; Eligibility Stats'!$A$6:$A$15,0),MATCH('Program MW '!L$7,'Ex post LI &amp; Eligibility Stats'!$A$6:$N$6,0))/1000)</f>
        <v>0.50909090909090915</v>
      </c>
      <c r="N10" s="33">
        <v>7</v>
      </c>
      <c r="O10" s="159">
        <f>N10*(INDEX('Ex ante LI &amp; Eligibility Stats'!$A$5:$M$14,MATCH('Program MW '!$A10,'Ex ante LI &amp; Eligibility Stats'!$A$5:$A$14,0),MATCH('Program MW '!O$7,'Ex ante LI &amp; Eligibility Stats'!$A$5:$M$5,0))/1000)</f>
        <v>0.57047734545454543</v>
      </c>
      <c r="P10" s="159">
        <f>N10*(INDEX('Ex post LI &amp; Eligibility Stats'!$A$6:$N$15,MATCH($A10,'Ex post LI &amp; Eligibility Stats'!$A$6:$A$15,0),MATCH('Program MW '!O$7,'Ex post LI &amp; Eligibility Stats'!$A$6:$N$6,0))/1000)</f>
        <v>0.50909090909090915</v>
      </c>
      <c r="Q10" s="33">
        <v>7</v>
      </c>
      <c r="R10" s="159">
        <f>Q10*(INDEX('Ex ante LI &amp; Eligibility Stats'!$A$5:$M$14,MATCH('Program MW '!$A10,'Ex ante LI &amp; Eligibility Stats'!$A$5:$A$14,0),MATCH('Program MW '!R$7,'Ex ante LI &amp; Eligibility Stats'!$A$5:$M$5,0))/1000)</f>
        <v>0.45657735454545445</v>
      </c>
      <c r="S10" s="463">
        <f>Q10*(INDEX('Ex post LI &amp; Eligibility Stats'!$A$6:$N$15,MATCH($A10,'Ex post LI &amp; Eligibility Stats'!$A$6:$A$15,0),MATCH('Program MW '!R$7,'Ex post LI &amp; Eligibility Stats'!$A$6:$N$6,0))/1000)</f>
        <v>0.50909090909090915</v>
      </c>
      <c r="T10" s="456">
        <v>5276</v>
      </c>
      <c r="U10"/>
      <c r="V10"/>
      <c r="W10"/>
      <c r="X10"/>
    </row>
    <row r="11" spans="1:31" ht="14.25" customHeight="1" thickBot="1" x14ac:dyDescent="0.25">
      <c r="A11" s="34" t="s">
        <v>20</v>
      </c>
      <c r="B11" s="35">
        <f t="shared" ref="B11:S11" si="0">SUM(B10:B10)</f>
        <v>7</v>
      </c>
      <c r="C11" s="36">
        <f t="shared" si="0"/>
        <v>0.66426054545454549</v>
      </c>
      <c r="D11" s="36">
        <f t="shared" si="0"/>
        <v>0.50909090909090915</v>
      </c>
      <c r="E11" s="35">
        <f t="shared" si="0"/>
        <v>7</v>
      </c>
      <c r="F11" s="36">
        <f t="shared" si="0"/>
        <v>0.61629279090909095</v>
      </c>
      <c r="G11" s="36">
        <f t="shared" si="0"/>
        <v>0.50909090909090915</v>
      </c>
      <c r="H11" s="35">
        <f t="shared" si="0"/>
        <v>7</v>
      </c>
      <c r="I11" s="36">
        <f t="shared" si="0"/>
        <v>0.676086090909091</v>
      </c>
      <c r="J11" s="36">
        <f t="shared" si="0"/>
        <v>0.50909090909090915</v>
      </c>
      <c r="K11" s="35">
        <f t="shared" si="0"/>
        <v>7</v>
      </c>
      <c r="L11" s="36">
        <f t="shared" si="0"/>
        <v>0.51421529090909091</v>
      </c>
      <c r="M11" s="36">
        <f t="shared" si="0"/>
        <v>0.50909090909090915</v>
      </c>
      <c r="N11" s="35">
        <f t="shared" si="0"/>
        <v>7</v>
      </c>
      <c r="O11" s="36">
        <f t="shared" si="0"/>
        <v>0.57047734545454543</v>
      </c>
      <c r="P11" s="36">
        <f t="shared" si="0"/>
        <v>0.50909090909090915</v>
      </c>
      <c r="Q11" s="35">
        <f t="shared" si="0"/>
        <v>7</v>
      </c>
      <c r="R11" s="36">
        <f t="shared" si="0"/>
        <v>0.45657735454545445</v>
      </c>
      <c r="S11" s="493">
        <f t="shared" si="0"/>
        <v>0.50909090909090915</v>
      </c>
      <c r="T11" s="37"/>
      <c r="U11"/>
      <c r="V11"/>
      <c r="W11"/>
      <c r="X11"/>
    </row>
    <row r="12" spans="1:31" ht="16.5" customHeight="1" thickTop="1" x14ac:dyDescent="0.2">
      <c r="A12" s="30" t="s">
        <v>126</v>
      </c>
      <c r="B12" s="39"/>
      <c r="C12" s="39"/>
      <c r="D12" s="40"/>
      <c r="E12" s="41"/>
      <c r="F12" s="42"/>
      <c r="G12" s="40"/>
      <c r="H12" s="41"/>
      <c r="I12" s="39"/>
      <c r="J12" s="40"/>
      <c r="K12" s="41"/>
      <c r="L12" s="39"/>
      <c r="M12" s="40"/>
      <c r="N12" s="41"/>
      <c r="O12" s="157"/>
      <c r="P12" s="158"/>
      <c r="Q12" s="41"/>
      <c r="R12" s="39"/>
      <c r="S12" s="494"/>
      <c r="T12" s="43"/>
      <c r="U12"/>
      <c r="V12"/>
      <c r="W12"/>
      <c r="X12"/>
      <c r="Y12" s="44"/>
      <c r="Z12" s="44"/>
      <c r="AA12" s="44"/>
      <c r="AB12" s="44"/>
      <c r="AC12" s="44"/>
      <c r="AD12" s="44"/>
      <c r="AE12" s="44"/>
    </row>
    <row r="13" spans="1:31" x14ac:dyDescent="0.2">
      <c r="A13" s="2" t="s">
        <v>67</v>
      </c>
      <c r="B13" s="418">
        <v>1130</v>
      </c>
      <c r="C13" s="159">
        <f>B13*(INDEX('Ex ante LI &amp; Eligibility Stats'!$A$5:$M$14,MATCH($A13,'Ex ante LI &amp; Eligibility Stats'!$A$5:$A$14,0),MATCH('Program MW '!C$7,'Ex ante LI &amp; Eligibility Stats'!$A$5:$M$5,0))/1000)</f>
        <v>5.1058810550045086</v>
      </c>
      <c r="D13" s="159">
        <f>B13*(INDEX('Ex post LI &amp; Eligibility Stats'!$A$6:$N$15,MATCH($A13,'Ex post LI &amp; Eligibility Stats'!$A$6:$A$15,0),MATCH('Program MW '!C$7,'Ex post LI &amp; Eligibility Stats'!$A$6:$N$6,0))/1000)</f>
        <v>18.442741208295764</v>
      </c>
      <c r="E13" s="33">
        <v>1134</v>
      </c>
      <c r="F13" s="159">
        <f>E13*(INDEX('Ex ante LI &amp; Eligibility Stats'!$A$5:$M$14,MATCH($A13,'Ex ante LI &amp; Eligibility Stats'!$A$5:$A$14,0),MATCH('Program MW '!F$7,'Ex ante LI &amp; Eligibility Stats'!$A$5:$M$5,0))/1000)</f>
        <v>5.1606550550045087</v>
      </c>
      <c r="G13" s="159">
        <f>E13*(INDEX('Ex post LI &amp; Eligibility Stats'!$A$6:$N$15,MATCH($A13,'Ex post LI &amp; Eligibility Stats'!$A$6:$A$15,0),MATCH('Program MW '!F$7,'Ex post LI &amp; Eligibility Stats'!$A$6:$N$6,0))/1000)</f>
        <v>18.508025247971148</v>
      </c>
      <c r="H13" s="33">
        <v>1137</v>
      </c>
      <c r="I13" s="159">
        <f>H13*(INDEX('Ex ante LI &amp; Eligibility Stats'!$A$5:$M$14,MATCH($A13,'Ex ante LI &amp; Eligibility Stats'!$A$5:$A$14,0),MATCH('Program MW '!I$7,'Ex ante LI &amp; Eligibility Stats'!$A$5:$M$5,0))/1000)</f>
        <v>5.1288429603246168</v>
      </c>
      <c r="J13" s="159">
        <f>H13*(INDEX('Ex post LI &amp; Eligibility Stats'!$A$6:$N$15,MATCH($A13,'Ex post LI &amp; Eligibility Stats'!$A$6:$A$15,0),MATCH('Program MW '!I$7,'Ex post LI &amp; Eligibility Stats'!$A$6:$N$6,0))/1000)</f>
        <v>18.556988277727687</v>
      </c>
      <c r="K13" s="33">
        <v>1137</v>
      </c>
      <c r="L13" s="159">
        <f>K13*(INDEX('Ex ante LI &amp; Eligibility Stats'!$A$5:$M$14,MATCH($A13,'Ex ante LI &amp; Eligibility Stats'!$A$5:$A$14,0),MATCH('Program MW '!L$7,'Ex ante LI &amp; Eligibility Stats'!$A$5:$M$5,0))/1000)</f>
        <v>15.696577195671775</v>
      </c>
      <c r="M13" s="159">
        <f>K13*(INDEX('Ex post LI &amp; Eligibility Stats'!$A$6:$N$15,MATCH($A13,'Ex post LI &amp; Eligibility Stats'!$A$6:$A$15,0),MATCH('Program MW '!L$7,'Ex post LI &amp; Eligibility Stats'!$A$6:$N$6,0))/1000)</f>
        <v>18.556988277727687</v>
      </c>
      <c r="N13" s="33">
        <v>1139</v>
      </c>
      <c r="O13" s="159">
        <f>N13*(INDEX('Ex ante LI &amp; Eligibility Stats'!$A$5:$M$14,MATCH($A13,'Ex ante LI &amp; Eligibility Stats'!$A$5:$A$14,0),MATCH('Program MW '!O$7,'Ex ante LI &amp; Eligibility Stats'!$A$5:$M$5,0))/1000)</f>
        <v>15.012410279531109</v>
      </c>
      <c r="P13" s="159">
        <f>N13*(INDEX('Ex post LI &amp; Eligibility Stats'!$A$6:$N$15,MATCH($A13,'Ex post LI &amp; Eligibility Stats'!$A$6:$A$15,0),MATCH('Program MW '!O$7,'Ex post LI &amp; Eligibility Stats'!$A$6:$N$6,0))/1000)</f>
        <v>18.589630297565378</v>
      </c>
      <c r="Q13" s="33">
        <v>1139</v>
      </c>
      <c r="R13" s="159">
        <f>Q13*(INDEX('Ex ante LI &amp; Eligibility Stats'!$A$5:$M$14,MATCH($A13,'Ex ante LI &amp; Eligibility Stats'!$A$5:$A$14,0),MATCH('Program MW '!R$7,'Ex ante LI &amp; Eligibility Stats'!$A$5:$M$5,0))/1000)</f>
        <v>14.998575897204688</v>
      </c>
      <c r="S13" s="395">
        <f>Q13*(INDEX('Ex post LI &amp; Eligibility Stats'!$A$6:$N$15,MATCH($A13,'Ex post LI &amp; Eligibility Stats'!$A$6:$A$15,0),MATCH('Program MW '!R$7,'Ex post LI &amp; Eligibility Stats'!$A$6:$N$6,0))/1000)</f>
        <v>18.589630297565378</v>
      </c>
      <c r="T13" s="460">
        <v>138123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1" x14ac:dyDescent="0.2">
      <c r="A14" s="2" t="s">
        <v>68</v>
      </c>
      <c r="B14" s="419">
        <v>28512</v>
      </c>
      <c r="C14" s="159">
        <f>B14*(INDEX('Ex ante LI &amp; Eligibility Stats'!$A$5:$M$14,MATCH($A14,'Ex ante LI &amp; Eligibility Stats'!$A$5:$A$14,0),MATCH('Program MW '!C$7,'Ex ante LI &amp; Eligibility Stats'!$A$5:$M$5,0))/1000)</f>
        <v>0</v>
      </c>
      <c r="D14" s="159">
        <f>B14*(INDEX('Ex post LI &amp; Eligibility Stats'!$A$6:$N$15,MATCH($A14,'Ex post LI &amp; Eligibility Stats'!$A$6:$A$15,0),MATCH('Program MW '!C$7,'Ex post LI &amp; Eligibility Stats'!$A$6:$N$6,0))/1000)</f>
        <v>12.532288194571628</v>
      </c>
      <c r="E14" s="33">
        <v>28119</v>
      </c>
      <c r="F14" s="159">
        <f>E14*(INDEX('Ex ante LI &amp; Eligibility Stats'!$A$5:$M$14,MATCH($A14,'Ex ante LI &amp; Eligibility Stats'!$A$5:$A$14,0),MATCH('Program MW '!F$7,'Ex ante LI &amp; Eligibility Stats'!$A$5:$M$5,0))/1000)</f>
        <v>0</v>
      </c>
      <c r="G14" s="159">
        <f>E14*(INDEX('Ex post LI &amp; Eligibility Stats'!$A$6:$N$15,MATCH($A14,'Ex post LI &amp; Eligibility Stats'!$A$6:$A$15,0),MATCH('Program MW '!F$7,'Ex post LI &amp; Eligibility Stats'!$A$6:$N$6,0))/1000)</f>
        <v>12.359547269330793</v>
      </c>
      <c r="H14" s="33">
        <v>28119</v>
      </c>
      <c r="I14" s="159">
        <f>H14*(INDEX('Ex ante LI &amp; Eligibility Stats'!$A$5:$M$14,MATCH($A14,'Ex ante LI &amp; Eligibility Stats'!$A$5:$A$14,0),MATCH('Program MW '!I$7,'Ex ante LI &amp; Eligibility Stats'!$A$5:$M$5,0))/1000)</f>
        <v>0</v>
      </c>
      <c r="J14" s="159">
        <f>H14*(INDEX('Ex post LI &amp; Eligibility Stats'!$A$6:$N$15,MATCH($A14,'Ex post LI &amp; Eligibility Stats'!$A$6:$A$15,0),MATCH('Program MW '!I$7,'Ex post LI &amp; Eligibility Stats'!$A$6:$N$6,0))/1000)</f>
        <v>12.359547269330793</v>
      </c>
      <c r="K14" s="33">
        <v>28223</v>
      </c>
      <c r="L14" s="159">
        <f>K14*(INDEX('Ex ante LI &amp; Eligibility Stats'!$A$5:$M$14,MATCH($A14,'Ex ante LI &amp; Eligibility Stats'!$A$5:$A$14,0),MATCH('Program MW '!L$7,'Ex ante LI &amp; Eligibility Stats'!$A$5:$M$5,0))/1000)</f>
        <v>0</v>
      </c>
      <c r="M14" s="159">
        <f>K14*(INDEX('Ex post LI &amp; Eligibility Stats'!$A$6:$N$15,MATCH($A14,'Ex post LI &amp; Eligibility Stats'!$A$6:$A$15,0),MATCH('Program MW '!L$7,'Ex post LI &amp; Eligibility Stats'!$A$6:$N$6,0))/1000)</f>
        <v>12.405259880590455</v>
      </c>
      <c r="N14" s="33">
        <v>27690</v>
      </c>
      <c r="O14" s="159">
        <f>N14*(INDEX('Ex ante LI &amp; Eligibility Stats'!$A$5:$M$14,MATCH($A14,'Ex ante LI &amp; Eligibility Stats'!$A$5:$A$14,0),MATCH('Program MW '!O$7,'Ex ante LI &amp; Eligibility Stats'!$A$5:$M$5,0))/1000)</f>
        <v>2.5641263079914807</v>
      </c>
      <c r="P14" s="159">
        <f>N14*(INDEX('Ex post LI &amp; Eligibility Stats'!$A$6:$N$15,MATCH($A14,'Ex post LI &amp; Eligibility Stats'!$A$6:$A$15,0),MATCH('Program MW '!O$7,'Ex post LI &amp; Eligibility Stats'!$A$6:$N$6,0))/1000)</f>
        <v>12.170982747884693</v>
      </c>
      <c r="Q14" s="33">
        <v>27715</v>
      </c>
      <c r="R14" s="159">
        <f>Q14*(INDEX('Ex ante LI &amp; Eligibility Stats'!$A$5:$M$14,MATCH($A14,'Ex ante LI &amp; Eligibility Stats'!$A$5:$A$14,0),MATCH('Program MW '!R$7,'Ex ante LI &amp; Eligibility Stats'!$A$5:$M$5,0))/1000)</f>
        <v>5.1328826743216966</v>
      </c>
      <c r="S14" s="395">
        <f>Q14*(INDEX('Ex post LI &amp; Eligibility Stats'!$A$6:$N$15,MATCH($A14,'Ex post LI &amp; Eligibility Stats'!$A$6:$A$15,0),MATCH('Program MW '!R$7,'Ex post LI &amp; Eligibility Stats'!$A$6:$N$6,0))/1000)</f>
        <v>12.181971356360574</v>
      </c>
      <c r="T14" s="456">
        <v>663393.5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x14ac:dyDescent="0.2">
      <c r="A15" s="2" t="s">
        <v>69</v>
      </c>
      <c r="B15" s="419">
        <v>11536</v>
      </c>
      <c r="C15" s="159">
        <f>B15*(INDEX('Ex ante LI &amp; Eligibility Stats'!$A$5:$M$14,MATCH($A15,'Ex ante LI &amp; Eligibility Stats'!$A$5:$A$14,0),MATCH('Program MW '!C$7,'Ex ante LI &amp; Eligibility Stats'!$A$5:$M$5,0))/1000)</f>
        <v>0</v>
      </c>
      <c r="D15" s="159">
        <f>B15*(INDEX('Ex post LI &amp; Eligibility Stats'!$A$6:$N$15,MATCH($A15,'Ex post LI &amp; Eligibility Stats'!$A$6:$A$15,0),MATCH('Program MW '!C$7,'Ex post LI &amp; Eligibility Stats'!$A$6:$N$6,0))/1000)</f>
        <v>4.27298823965182</v>
      </c>
      <c r="E15" s="33">
        <v>11367</v>
      </c>
      <c r="F15" s="159">
        <f>E15*(INDEX('Ex ante LI &amp; Eligibility Stats'!$A$5:$M$14,MATCH($A15,'Ex ante LI &amp; Eligibility Stats'!$A$5:$A$14,0),MATCH('Program MW '!F$7,'Ex ante LI &amp; Eligibility Stats'!$A$5:$M$5,0))/1000)</f>
        <v>0</v>
      </c>
      <c r="G15" s="159">
        <f>E15*(INDEX('Ex post LI &amp; Eligibility Stats'!$A$6:$N$15,MATCH($A15,'Ex post LI &amp; Eligibility Stats'!$A$6:$A$15,0),MATCH('Program MW '!F$7,'Ex post LI &amp; Eligibility Stats'!$A$6:$N$6,0))/1000)</f>
        <v>4.2103898509121214</v>
      </c>
      <c r="H15" s="33">
        <v>11367</v>
      </c>
      <c r="I15" s="159">
        <f>H15*(INDEX('Ex ante LI &amp; Eligibility Stats'!$A$5:$M$14,MATCH($A15,'Ex ante LI &amp; Eligibility Stats'!$A$5:$A$14,0),MATCH('Program MW '!I$7,'Ex ante LI &amp; Eligibility Stats'!$A$5:$M$5,0))/1000)</f>
        <v>0</v>
      </c>
      <c r="J15" s="159">
        <f>H15*(INDEX('Ex post LI &amp; Eligibility Stats'!$A$6:$N$15,MATCH($A15,'Ex post LI &amp; Eligibility Stats'!$A$6:$A$15,0),MATCH('Program MW '!I$7,'Ex post LI &amp; Eligibility Stats'!$A$6:$N$6,0))/1000)</f>
        <v>4.2103898509121214</v>
      </c>
      <c r="K15" s="33">
        <v>11451</v>
      </c>
      <c r="L15" s="159">
        <f>K15*(INDEX('Ex ante LI &amp; Eligibility Stats'!$A$5:$M$14,MATCH($A15,'Ex ante LI &amp; Eligibility Stats'!$A$5:$A$14,0),MATCH('Program MW '!L$7,'Ex ante LI &amp; Eligibility Stats'!$A$5:$M$5,0))/1000)</f>
        <v>0</v>
      </c>
      <c r="M15" s="159">
        <f>K15*(INDEX('Ex post LI &amp; Eligibility Stats'!$A$6:$N$15,MATCH($A15,'Ex post LI &amp; Eligibility Stats'!$A$6:$A$15,0),MATCH('Program MW '!L$7,'Ex post LI &amp; Eligibility Stats'!$A$6:$N$6,0))/1000)</f>
        <v>4.2415038429484211</v>
      </c>
      <c r="N15" s="33">
        <v>11417</v>
      </c>
      <c r="O15" s="159">
        <f>N15*(INDEX('Ex ante LI &amp; Eligibility Stats'!$A$5:$M$14,MATCH($A15,'Ex ante LI &amp; Eligibility Stats'!$A$5:$A$14,0),MATCH('Program MW '!O$7,'Ex ante LI &amp; Eligibility Stats'!$A$5:$M$5,0))/1000)</f>
        <v>1.6727592395882935</v>
      </c>
      <c r="P15" s="159">
        <f>N15*(INDEX('Ex post LI &amp; Eligibility Stats'!$A$6:$N$15,MATCH($A15,'Ex post LI &amp; Eligibility Stats'!$A$6:$A$15,0),MATCH('Program MW '!O$7,'Ex post LI &amp; Eligibility Stats'!$A$6:$N$6,0))/1000)</f>
        <v>4.2289100842670617</v>
      </c>
      <c r="Q15" s="33">
        <v>11413</v>
      </c>
      <c r="R15" s="159">
        <f>Q15*(INDEX('Ex ante LI &amp; Eligibility Stats'!$A$5:$M$14,MATCH($A15,'Ex ante LI &amp; Eligibility Stats'!$A$5:$A$14,0),MATCH('Program MW '!R$7,'Ex ante LI &amp; Eligibility Stats'!$A$5:$M$5,0))/1000)</f>
        <v>2.0902164755869745</v>
      </c>
      <c r="S15" s="395">
        <f>Q15*(INDEX('Ex post LI &amp; Eligibility Stats'!$A$6:$N$15,MATCH($A15,'Ex post LI &amp; Eligibility Stats'!$A$6:$A$15,0),MATCH('Program MW '!R$7,'Ex post LI &amp; Eligibility Stats'!$A$6:$N$6,0))/1000)</f>
        <v>4.2274284655986669</v>
      </c>
      <c r="T15" s="456">
        <v>157189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x14ac:dyDescent="0.2">
      <c r="A16" s="2" t="s">
        <v>70</v>
      </c>
      <c r="B16" s="420">
        <v>128.4</v>
      </c>
      <c r="C16" s="159">
        <f>B16*(INDEX('Ex ante LI &amp; Eligibility Stats'!$A$5:$M$14,MATCH($A16,'Ex ante LI &amp; Eligibility Stats'!$A$5:$A$14,0),MATCH('Program MW '!C$7,'Ex ante LI &amp; Eligibility Stats'!$A$5:$M$5,0))/1000)</f>
        <v>0</v>
      </c>
      <c r="D16" s="159">
        <f>B16*(INDEX('Ex post LI &amp; Eligibility Stats'!$A$6:$N$15,MATCH($A16,'Ex post LI &amp; Eligibility Stats'!$A$6:$A$15,0),MATCH('Program MW '!C$7,'Ex post LI &amp; Eligibility Stats'!$A$6:$N$6,0))/1000)</f>
        <v>6.8920588235294113</v>
      </c>
      <c r="E16" s="33">
        <v>128</v>
      </c>
      <c r="F16" s="159">
        <f>E16*(INDEX('Ex ante LI &amp; Eligibility Stats'!$A$5:$M$14,MATCH($A16,'Ex ante LI &amp; Eligibility Stats'!$A$5:$A$14,0),MATCH('Program MW '!F$7,'Ex ante LI &amp; Eligibility Stats'!$A$5:$M$5,0))/1000)</f>
        <v>0</v>
      </c>
      <c r="G16" s="159">
        <f>E16*(INDEX('Ex post LI &amp; Eligibility Stats'!$A$6:$N$15,MATCH($A16,'Ex post LI &amp; Eligibility Stats'!$A$6:$A$15,0),MATCH('Program MW '!F$7,'Ex post LI &amp; Eligibility Stats'!$A$6:$N$6,0))/1000)</f>
        <v>6.8705882352941172</v>
      </c>
      <c r="H16" s="33">
        <v>128</v>
      </c>
      <c r="I16" s="159">
        <f>H16*(INDEX('Ex ante LI &amp; Eligibility Stats'!$A$5:$M$14,MATCH($A16,'Ex ante LI &amp; Eligibility Stats'!$A$5:$A$14,0),MATCH('Program MW '!I$7,'Ex ante LI &amp; Eligibility Stats'!$A$5:$M$5,0))/1000)</f>
        <v>0</v>
      </c>
      <c r="J16" s="159">
        <f>H16*(INDEX('Ex post LI &amp; Eligibility Stats'!$A$6:$N$15,MATCH($A16,'Ex post LI &amp; Eligibility Stats'!$A$6:$A$15,0),MATCH('Program MW '!I$7,'Ex post LI &amp; Eligibility Stats'!$A$6:$N$6,0))/1000)</f>
        <v>6.8705882352941172</v>
      </c>
      <c r="K16" s="324">
        <v>126</v>
      </c>
      <c r="L16" s="159">
        <f>K16*(INDEX('Ex ante LI &amp; Eligibility Stats'!$A$5:$M$14,MATCH($A16,'Ex ante LI &amp; Eligibility Stats'!$A$5:$A$14,0),MATCH('Program MW '!L$7,'Ex ante LI &amp; Eligibility Stats'!$A$5:$M$5,0))/1000)</f>
        <v>0</v>
      </c>
      <c r="M16" s="159">
        <f>K16*(INDEX('Ex post LI &amp; Eligibility Stats'!$A$6:$N$15,MATCH($A16,'Ex post LI &amp; Eligibility Stats'!$A$6:$A$15,0),MATCH('Program MW '!L$7,'Ex post LI &amp; Eligibility Stats'!$A$6:$N$6,0))/1000)</f>
        <v>6.7632352941176466</v>
      </c>
      <c r="N16" s="33">
        <v>129</v>
      </c>
      <c r="O16" s="159">
        <f>N16*(INDEX('Ex ante LI &amp; Eligibility Stats'!$A$5:$M$14,MATCH($A16,'Ex ante LI &amp; Eligibility Stats'!$A$5:$A$14,0),MATCH('Program MW '!O$7,'Ex ante LI &amp; Eligibility Stats'!$A$5:$M$5,0))/1000)</f>
        <v>7.9188422672888805</v>
      </c>
      <c r="P16" s="159">
        <f>N16*(INDEX('Ex post LI &amp; Eligibility Stats'!$A$6:$N$15,MATCH($A16,'Ex post LI &amp; Eligibility Stats'!$A$6:$A$15,0),MATCH('Program MW '!O$7,'Ex post LI &amp; Eligibility Stats'!$A$6:$N$6,0))/1000)</f>
        <v>6.9242647058823525</v>
      </c>
      <c r="Q16" s="33">
        <v>129.20000000000002</v>
      </c>
      <c r="R16" s="159">
        <f>Q16*(INDEX('Ex ante LI &amp; Eligibility Stats'!$A$5:$M$14,MATCH($A16,'Ex ante LI &amp; Eligibility Stats'!$A$5:$A$14,0),MATCH('Program MW '!R$7,'Ex ante LI &amp; Eligibility Stats'!$A$5:$M$5,0))/1000)</f>
        <v>8.0127738475799575</v>
      </c>
      <c r="S16" s="395">
        <f>Q16*(INDEX('Ex post LI &amp; Eligibility Stats'!$A$6:$N$15,MATCH($A16,'Ex post LI &amp; Eligibility Stats'!$A$6:$A$15,0),MATCH('Program MW '!R$7,'Ex post LI &amp; Eligibility Stats'!$A$6:$N$6,0))/1000)</f>
        <v>6.9350000000000005</v>
      </c>
      <c r="T16" s="456">
        <v>18875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x14ac:dyDescent="0.2">
      <c r="A17" s="2" t="s">
        <v>71</v>
      </c>
      <c r="B17" s="419">
        <v>513.6</v>
      </c>
      <c r="C17" s="159">
        <f>B17*(INDEX('Ex ante LI &amp; Eligibility Stats'!$A$5:$M$14,MATCH($A17,'Ex ante LI &amp; Eligibility Stats'!$A$5:$A$14,0),MATCH('Program MW '!C$7,'Ex ante LI &amp; Eligibility Stats'!$A$5:$M$5,0))/1000)</f>
        <v>0</v>
      </c>
      <c r="D17" s="159">
        <f>B17*(INDEX('Ex post LI &amp; Eligibility Stats'!$A$6:$N$15,MATCH($A17,'Ex post LI &amp; Eligibility Stats'!$A$6:$A$15,0),MATCH('Program MW '!C$7,'Ex post LI &amp; Eligibility Stats'!$A$6:$N$6,0))/1000)</f>
        <v>11.120146788990827</v>
      </c>
      <c r="E17" s="33">
        <v>512</v>
      </c>
      <c r="F17" s="159">
        <f>E17*(INDEX('Ex ante LI &amp; Eligibility Stats'!$A$5:$M$14,MATCH($A17,'Ex ante LI &amp; Eligibility Stats'!$A$5:$A$14,0),MATCH('Program MW '!F$7,'Ex ante LI &amp; Eligibility Stats'!$A$5:$M$5,0))/1000)</f>
        <v>0</v>
      </c>
      <c r="G17" s="159">
        <f>E17*(INDEX('Ex post LI &amp; Eligibility Stats'!$A$6:$N$15,MATCH($A17,'Ex post LI &amp; Eligibility Stats'!$A$6:$A$15,0),MATCH('Program MW '!F$7,'Ex post LI &amp; Eligibility Stats'!$A$6:$N$6,0))/1000)</f>
        <v>11.085504587155963</v>
      </c>
      <c r="H17" s="33">
        <v>512</v>
      </c>
      <c r="I17" s="159">
        <f>H17*(INDEX('Ex ante LI &amp; Eligibility Stats'!$A$5:$M$14,MATCH($A17,'Ex ante LI &amp; Eligibility Stats'!$A$5:$A$14,0),MATCH('Program MW '!I$7,'Ex ante LI &amp; Eligibility Stats'!$A$5:$M$5,0))/1000)</f>
        <v>0</v>
      </c>
      <c r="J17" s="159">
        <f>H17*(INDEX('Ex post LI &amp; Eligibility Stats'!$A$6:$N$15,MATCH($A17,'Ex post LI &amp; Eligibility Stats'!$A$6:$A$15,0),MATCH('Program MW '!I$7,'Ex post LI &amp; Eligibility Stats'!$A$6:$N$6,0))/1000)</f>
        <v>11.085504587155963</v>
      </c>
      <c r="K17" s="324">
        <v>502</v>
      </c>
      <c r="L17" s="159">
        <f>K17*(INDEX('Ex ante LI &amp; Eligibility Stats'!$A$5:$M$14,MATCH($A17,'Ex ante LI &amp; Eligibility Stats'!$A$5:$A$14,0),MATCH('Program MW '!L$7,'Ex ante LI &amp; Eligibility Stats'!$A$5:$M$5,0))/1000)</f>
        <v>0</v>
      </c>
      <c r="M17" s="159">
        <f>K17*(INDEX('Ex post LI &amp; Eligibility Stats'!$A$6:$N$15,MATCH($A17,'Ex post LI &amp; Eligibility Stats'!$A$6:$A$15,0),MATCH('Program MW '!L$7,'Ex post LI &amp; Eligibility Stats'!$A$6:$N$6,0))/1000)</f>
        <v>10.868990825688073</v>
      </c>
      <c r="N17" s="33">
        <v>516</v>
      </c>
      <c r="O17" s="159">
        <f>N17*(INDEX('Ex ante LI &amp; Eligibility Stats'!$A$5:$M$14,MATCH($A17,'Ex ante LI &amp; Eligibility Stats'!$A$5:$A$14,0),MATCH('Program MW '!O$7,'Ex ante LI &amp; Eligibility Stats'!$A$5:$M$5,0))/1000)</f>
        <v>9.0450962395624295</v>
      </c>
      <c r="P17" s="159">
        <f>N17*(INDEX('Ex post LI &amp; Eligibility Stats'!$A$6:$N$15,MATCH($A17,'Ex post LI &amp; Eligibility Stats'!$A$6:$A$15,0),MATCH('Program MW '!O$7,'Ex post LI &amp; Eligibility Stats'!$A$6:$N$6,0))/1000)</f>
        <v>11.17211009174312</v>
      </c>
      <c r="Q17" s="33">
        <v>516.79999999999995</v>
      </c>
      <c r="R17" s="159">
        <f>Q17*(INDEX('Ex ante LI &amp; Eligibility Stats'!$A$5:$M$14,MATCH($A17,'Ex ante LI &amp; Eligibility Stats'!$A$5:$A$14,0),MATCH('Program MW '!R$7,'Ex ante LI &amp; Eligibility Stats'!$A$5:$M$5,0))/1000)</f>
        <v>9.1019518852583854</v>
      </c>
      <c r="S17" s="395">
        <f>Q17*(INDEX('Ex post LI &amp; Eligibility Stats'!$A$6:$N$15,MATCH($A17,'Ex post LI &amp; Eligibility Stats'!$A$6:$A$15,0),MATCH('Program MW '!R$7,'Ex post LI &amp; Eligibility Stats'!$A$6:$N$6,0))/1000)</f>
        <v>11.18943119266055</v>
      </c>
      <c r="T17" s="456">
        <v>18875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x14ac:dyDescent="0.2">
      <c r="A18" s="2" t="s">
        <v>228</v>
      </c>
      <c r="B18" s="419">
        <v>1235701</v>
      </c>
      <c r="C18" s="159">
        <f>B18*(INDEX('Ex ante LI &amp; Eligibility Stats'!$A$5:$M$14,MATCH($A18,'Ex ante LI &amp; Eligibility Stats'!$A$5:$A$14,0),MATCH('Program MW '!C$7,'Ex ante LI &amp; Eligibility Stats'!$A$5:$M$5,0))/1000)</f>
        <v>0.84449191412880387</v>
      </c>
      <c r="D18" s="395">
        <f>B18*(INDEX('Ex post LI &amp; Eligibility Stats'!$A$6:$N$15,MATCH($A18,'Ex post LI &amp; Eligibility Stats'!$A$6:$A$15,0),MATCH('Program MW '!C$7,'Ex post LI &amp; Eligibility Stats'!$A$6:$N$6,0))/1000)</f>
        <v>2.8462629646204065</v>
      </c>
      <c r="E18" s="45">
        <v>1236018</v>
      </c>
      <c r="F18" s="159">
        <f>E18*(INDEX('Ex ante LI &amp; Eligibility Stats'!$A$5:$M$14,MATCH($A18,'Ex ante LI &amp; Eligibility Stats'!$A$5:$A$14,0),MATCH('Program MW '!F$7,'Ex ante LI &amp; Eligibility Stats'!$A$5:$M$5,0))/1000)</f>
        <v>0.87700708246518644</v>
      </c>
      <c r="G18" s="395">
        <f>E18*(INDEX('Ex post LI &amp; Eligibility Stats'!$A$6:$N$15,MATCH($A18,'Ex post LI &amp; Eligibility Stats'!$A$6:$A$15,0),MATCH('Program MW '!F$7,'Ex post LI &amp; Eligibility Stats'!$A$6:$N$6,0))/1000)</f>
        <v>2.8469931294092872</v>
      </c>
      <c r="H18" s="45">
        <v>1240156</v>
      </c>
      <c r="I18" s="159">
        <f>H18*(INDEX('Ex ante LI &amp; Eligibility Stats'!$A$5:$M$14,MATCH($A18,'Ex ante LI &amp; Eligibility Stats'!$A$5:$A$14,0),MATCH('Program MW '!I$7,'Ex ante LI &amp; Eligibility Stats'!$A$5:$M$5,0))/1000)</f>
        <v>0.69503146669244242</v>
      </c>
      <c r="J18" s="395">
        <f>H18*(INDEX('Ex post LI &amp; Eligibility Stats'!$A$6:$N$15,MATCH($A18,'Ex post LI &amp; Eligibility Stats'!$A$6:$A$15,0),MATCH('Program MW '!I$7,'Ex post LI &amp; Eligibility Stats'!$A$6:$N$6,0))/1000)</f>
        <v>2.8565244287669791</v>
      </c>
      <c r="K18" s="45">
        <v>1223894</v>
      </c>
      <c r="L18" s="159">
        <f>K18*(INDEX('Ex ante LI &amp; Eligibility Stats'!$A$5:$M$14,MATCH($A18,'Ex ante LI &amp; Eligibility Stats'!$A$5:$A$14,0),MATCH('Program MW '!L$7,'Ex ante LI &amp; Eligibility Stats'!$A$5:$M$5,0))/1000)</f>
        <v>1.9418590699283327</v>
      </c>
      <c r="M18" s="395">
        <f>K18*(INDEX('Ex post LI &amp; Eligibility Stats'!$A$6:$N$15,MATCH($A18,'Ex post LI &amp; Eligibility Stats'!$A$6:$A$15,0),MATCH('Program MW '!L$7,'Ex post LI &amp; Eligibility Stats'!$A$6:$N$6,0))/1000)</f>
        <v>2.8190672054332948</v>
      </c>
      <c r="N18" s="45">
        <v>42039</v>
      </c>
      <c r="O18" s="159">
        <f>N18*(INDEX('Ex ante LI &amp; Eligibility Stats'!$A$5:$M$14,MATCH($A18,'Ex ante LI &amp; Eligibility Stats'!$A$5:$A$14,0),MATCH('Program MW '!O$7,'Ex ante LI &amp; Eligibility Stats'!$A$5:$M$5,0))/1000)</f>
        <v>2.8879847361445425</v>
      </c>
      <c r="P18" s="395">
        <f>N18*(INDEX('Ex post LI &amp; Eligibility Stats'!$A$6:$N$15,MATCH($A18,'Ex post LI &amp; Eligibility Stats'!$A$6:$A$15,0),MATCH('Program MW '!O$7,'Ex post LI &amp; Eligibility Stats'!$A$6:$N$6,0))/1000)</f>
        <v>4.8597204111428542</v>
      </c>
      <c r="Q18" s="45">
        <v>45645</v>
      </c>
      <c r="R18" s="159">
        <f>Q18*(INDEX('Ex ante LI &amp; Eligibility Stats'!$A$5:$M$14,MATCH($A18,'Ex ante LI &amp; Eligibility Stats'!$A$5:$A$14,0),MATCH('Program MW '!R$7,'Ex ante LI &amp; Eligibility Stats'!$A$5:$M$5,0))/1000)</f>
        <v>3.2107133691225735</v>
      </c>
      <c r="S18" s="395">
        <f>Q18*(INDEX('Ex post LI &amp; Eligibility Stats'!$A$6:$N$15,MATCH($A18,'Ex post LI &amp; Eligibility Stats'!$A$6:$A$15,0),MATCH('Program MW '!R$7,'Ex post LI &amp; Eligibility Stats'!$A$6:$N$6,0))/1000)</f>
        <v>5.2765750414285675</v>
      </c>
      <c r="T18" s="456">
        <v>1200000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x14ac:dyDescent="0.2">
      <c r="A19" s="2" t="s">
        <v>219</v>
      </c>
      <c r="B19" s="419">
        <v>0</v>
      </c>
      <c r="C19" s="159">
        <f>B19*(INDEX('Ex ante LI &amp; Eligibility Stats'!$A$5:$M$14,MATCH($A19,'Ex ante LI &amp; Eligibility Stats'!$A$5:$A$14,0),MATCH('Program MW '!C$7,'Ex ante LI &amp; Eligibility Stats'!$A$5:$M$5,0))/1000)</f>
        <v>0</v>
      </c>
      <c r="D19" s="395">
        <f>B19*(INDEX('Ex post LI &amp; Eligibility Stats'!$A$6:$N$15,MATCH($A19,'Ex post LI &amp; Eligibility Stats'!$A$6:$A$15,0),MATCH('Program MW '!C$7,'Ex post LI &amp; Eligibility Stats'!$A$6:$N$6,0))/1000)</f>
        <v>0</v>
      </c>
      <c r="E19" s="45">
        <v>0</v>
      </c>
      <c r="F19" s="159">
        <f>E19*(INDEX('Ex ante LI &amp; Eligibility Stats'!$A$5:$M$14,MATCH($A19,'Ex ante LI &amp; Eligibility Stats'!$A$5:$A$14,0),MATCH('Program MW '!F$7,'Ex ante LI &amp; Eligibility Stats'!$A$5:$M$5,0))/1000)</f>
        <v>0</v>
      </c>
      <c r="G19" s="395">
        <f>E19*(INDEX('Ex post LI &amp; Eligibility Stats'!$A$6:$N$15,MATCH($A19,'Ex post LI &amp; Eligibility Stats'!$A$6:$A$15,0),MATCH('Program MW '!F$7,'Ex post LI &amp; Eligibility Stats'!$A$6:$N$6,0))/1000)</f>
        <v>0</v>
      </c>
      <c r="H19" s="45">
        <v>0</v>
      </c>
      <c r="I19" s="159">
        <f>H19*(INDEX('Ex ante LI &amp; Eligibility Stats'!$A$5:$M$14,MATCH($A19,'Ex ante LI &amp; Eligibility Stats'!$A$5:$A$14,0),MATCH('Program MW '!I$7,'Ex ante LI &amp; Eligibility Stats'!$A$5:$M$5,0))/1000)</f>
        <v>0</v>
      </c>
      <c r="J19" s="395">
        <f>H19*(INDEX('Ex post LI &amp; Eligibility Stats'!$A$6:$N$15,MATCH($A19,'Ex post LI &amp; Eligibility Stats'!$A$6:$A$15,0),MATCH('Program MW '!I$7,'Ex post LI &amp; Eligibility Stats'!$A$6:$N$6,0))/1000)</f>
        <v>0</v>
      </c>
      <c r="K19" s="45">
        <v>0</v>
      </c>
      <c r="L19" s="159">
        <f>K19*(INDEX('Ex ante LI &amp; Eligibility Stats'!$A$5:$M$14,MATCH($A19,'Ex ante LI &amp; Eligibility Stats'!$A$5:$A$14,0),MATCH('Program MW '!L$7,'Ex ante LI &amp; Eligibility Stats'!$A$5:$M$5,0))/1000)</f>
        <v>0</v>
      </c>
      <c r="M19" s="395">
        <f>K19*(INDEX('Ex post LI &amp; Eligibility Stats'!$A$6:$N$15,MATCH($A19,'Ex post LI &amp; Eligibility Stats'!$A$6:$A$15,0),MATCH('Program MW '!L$7,'Ex post LI &amp; Eligibility Stats'!$A$6:$N$6,0))/1000)</f>
        <v>0</v>
      </c>
      <c r="N19" s="45">
        <v>55</v>
      </c>
      <c r="O19" s="159">
        <f>N19*(INDEX('Ex ante LI &amp; Eligibility Stats'!$A$5:$M$14,MATCH($A19,'Ex ante LI &amp; Eligibility Stats'!$A$5:$A$14,0),MATCH('Program MW '!O$7,'Ex ante LI &amp; Eligibility Stats'!$A$5:$M$5,0))/1000)</f>
        <v>1.1458333333333333E-3</v>
      </c>
      <c r="P19" s="395">
        <f>N19*(INDEX('Ex post LI &amp; Eligibility Stats'!$A$6:$N$15,MATCH($A19,'Ex post LI &amp; Eligibility Stats'!$A$6:$A$15,0),MATCH('Program MW '!O$7,'Ex post LI &amp; Eligibility Stats'!$A$6:$N$6,0))/1000)</f>
        <v>1.1458333333333333E-3</v>
      </c>
      <c r="Q19" s="45">
        <v>689</v>
      </c>
      <c r="R19" s="159">
        <f>Q19*(INDEX('Ex ante LI &amp; Eligibility Stats'!$A$5:$M$14,MATCH($A19,'Ex ante LI &amp; Eligibility Stats'!$A$5:$A$14,0),MATCH('Program MW '!R$7,'Ex ante LI &amp; Eligibility Stats'!$A$5:$M$5,0))/1000)</f>
        <v>1.4354166666666666E-2</v>
      </c>
      <c r="S19" s="395">
        <f>Q19*(INDEX('Ex post LI &amp; Eligibility Stats'!$A$6:$N$15,MATCH($A19,'Ex post LI &amp; Eligibility Stats'!$A$6:$A$15,0),MATCH('Program MW '!R$7,'Ex post LI &amp; Eligibility Stats'!$A$6:$N$6,0))/1000)</f>
        <v>1.4354166666666666E-2</v>
      </c>
      <c r="T19" s="456">
        <v>120000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x14ac:dyDescent="0.2">
      <c r="A20" s="2" t="s">
        <v>142</v>
      </c>
      <c r="B20" s="419">
        <v>9</v>
      </c>
      <c r="C20" s="159">
        <f>B20*(INDEX('Ex ante LI &amp; Eligibility Stats'!$A$5:$M$14,MATCH($A20,'Ex ante LI &amp; Eligibility Stats'!$A$5:$A$14,0),MATCH('Program MW '!C$7,'Ex ante LI &amp; Eligibility Stats'!$A$5:$M$5,0))/1000)</f>
        <v>2.5703708999999995</v>
      </c>
      <c r="D20" s="159">
        <f>B20*(INDEX('Ex post LI &amp; Eligibility Stats'!$A$6:$N$15,MATCH($A20,'Ex post LI &amp; Eligibility Stats'!$A$6:$A$15,0),MATCH('Program MW '!C$7,'Ex post LI &amp; Eligibility Stats'!$A$6:$N$6,0))/1000)</f>
        <v>7.6499999999999995</v>
      </c>
      <c r="E20" s="33">
        <v>9</v>
      </c>
      <c r="F20" s="159">
        <f>E20*(INDEX('Ex ante LI &amp; Eligibility Stats'!$A$5:$M$14,MATCH($A20,'Ex ante LI &amp; Eligibility Stats'!$A$5:$A$14,0),MATCH('Program MW '!F$7,'Ex ante LI &amp; Eligibility Stats'!$A$5:$M$5,0))/1000)</f>
        <v>1.6939307699999999</v>
      </c>
      <c r="G20" s="159">
        <f>E20*(INDEX('Ex post LI &amp; Eligibility Stats'!$A$6:$N$15,MATCH($A20,'Ex post LI &amp; Eligibility Stats'!$A$6:$A$15,0),MATCH('Program MW '!F$7,'Ex post LI &amp; Eligibility Stats'!$A$6:$N$6,0))/1000)</f>
        <v>7.6499999999999995</v>
      </c>
      <c r="H20" s="33">
        <v>9</v>
      </c>
      <c r="I20" s="159">
        <f>H20*(INDEX('Ex ante LI &amp; Eligibility Stats'!$A$5:$M$14,MATCH($A20,'Ex ante LI &amp; Eligibility Stats'!$A$5:$A$14,0),MATCH('Program MW '!I$7,'Ex ante LI &amp; Eligibility Stats'!$A$5:$M$5,0))/1000)</f>
        <v>3.6702222000000004</v>
      </c>
      <c r="J20" s="159">
        <f>H20*(INDEX('Ex post LI &amp; Eligibility Stats'!$A$6:$N$15,MATCH($A20,'Ex post LI &amp; Eligibility Stats'!$A$6:$A$15,0),MATCH('Program MW '!I$7,'Ex post LI &amp; Eligibility Stats'!$A$6:$N$6,0))/1000)</f>
        <v>7.6499999999999995</v>
      </c>
      <c r="K20" s="33">
        <v>9</v>
      </c>
      <c r="L20" s="159">
        <f>K20*(INDEX('Ex ante LI &amp; Eligibility Stats'!$A$5:$M$14,MATCH($A20,'Ex ante LI &amp; Eligibility Stats'!$A$5:$A$14,0),MATCH('Program MW '!L$7,'Ex ante LI &amp; Eligibility Stats'!$A$5:$M$5,0))/1000)</f>
        <v>6.8652246000000003</v>
      </c>
      <c r="M20" s="395">
        <f>K20*(INDEX('Ex post LI &amp; Eligibility Stats'!$A$6:$N$15,MATCH($A20,'Ex post LI &amp; Eligibility Stats'!$A$6:$A$15,0),MATCH('Program MW '!L$7,'Ex post LI &amp; Eligibility Stats'!$A$6:$N$6,0))/1000)</f>
        <v>7.6499999999999995</v>
      </c>
      <c r="N20" s="45">
        <v>9</v>
      </c>
      <c r="O20" s="159">
        <f>N20*(INDEX('Ex ante LI &amp; Eligibility Stats'!$A$5:$M$14,MATCH($A20,'Ex ante LI &amp; Eligibility Stats'!$A$5:$A$14,0),MATCH('Program MW '!O$7,'Ex ante LI &amp; Eligibility Stats'!$A$5:$M$5,0))/1000)</f>
        <v>5.0451861000000005</v>
      </c>
      <c r="P20" s="395">
        <f>N20*(INDEX('Ex post LI &amp; Eligibility Stats'!$A$6:$N$15,MATCH($A20,'Ex post LI &amp; Eligibility Stats'!$A$6:$A$15,0),MATCH('Program MW '!O$7,'Ex post LI &amp; Eligibility Stats'!$A$6:$N$6,0))/1000)</f>
        <v>7.6499999999999995</v>
      </c>
      <c r="Q20" s="45">
        <v>9</v>
      </c>
      <c r="R20" s="159">
        <f>Q20*(INDEX('Ex ante LI &amp; Eligibility Stats'!$A$5:$M$14,MATCH($A20,'Ex ante LI &amp; Eligibility Stats'!$A$5:$A$14,0),MATCH('Program MW '!R$7,'Ex ante LI &amp; Eligibility Stats'!$A$5:$M$5,0))/1000)</f>
        <v>4.7548460999999991</v>
      </c>
      <c r="S20" s="395">
        <f>Q20*(INDEX('Ex post LI &amp; Eligibility Stats'!$A$6:$N$15,MATCH($A20,'Ex post LI &amp; Eligibility Stats'!$A$6:$A$15,0),MATCH('Program MW '!R$7,'Ex post LI &amp; Eligibility Stats'!$A$6:$N$6,0))/1000)</f>
        <v>7.6499999999999995</v>
      </c>
      <c r="T20" s="456">
        <v>162482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x14ac:dyDescent="0.2">
      <c r="A21" s="457" t="s">
        <v>287</v>
      </c>
      <c r="B21" s="419">
        <v>0</v>
      </c>
      <c r="C21" s="159"/>
      <c r="D21" s="396"/>
      <c r="E21" s="45">
        <v>0</v>
      </c>
      <c r="F21" s="159"/>
      <c r="G21" s="396"/>
      <c r="H21" s="45">
        <v>0</v>
      </c>
      <c r="I21" s="159"/>
      <c r="J21" s="396"/>
      <c r="K21" s="45">
        <v>0</v>
      </c>
      <c r="L21" s="159"/>
      <c r="M21" s="396"/>
      <c r="N21" s="45">
        <v>0</v>
      </c>
      <c r="O21" s="159"/>
      <c r="P21" s="396"/>
      <c r="Q21" s="45">
        <v>0</v>
      </c>
      <c r="R21" s="159"/>
      <c r="S21" s="396"/>
      <c r="T21" s="456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ht="13.5" thickBot="1" x14ac:dyDescent="0.25">
      <c r="A22" s="34" t="s">
        <v>34</v>
      </c>
      <c r="B22" s="35">
        <f>SUM(B13:B21)</f>
        <v>1277530</v>
      </c>
      <c r="C22" s="160">
        <f t="shared" ref="C22:S22" si="1">SUM(C13:C20)</f>
        <v>8.5207438691333124</v>
      </c>
      <c r="D22" s="397">
        <f t="shared" si="1"/>
        <v>63.756486219659855</v>
      </c>
      <c r="E22" s="35">
        <f>SUM(E13:E21)</f>
        <v>1277287</v>
      </c>
      <c r="F22" s="35">
        <f t="shared" si="1"/>
        <v>7.731592907469695</v>
      </c>
      <c r="G22" s="397">
        <f t="shared" si="1"/>
        <v>63.531048320073417</v>
      </c>
      <c r="H22" s="35">
        <f>SUM(H13:H21)</f>
        <v>1281428</v>
      </c>
      <c r="I22" s="35">
        <f t="shared" si="1"/>
        <v>9.4940966270170595</v>
      </c>
      <c r="J22" s="397">
        <f t="shared" si="1"/>
        <v>63.589542649187663</v>
      </c>
      <c r="K22" s="35">
        <f>SUM(K13:K21)</f>
        <v>1265342</v>
      </c>
      <c r="L22" s="160">
        <f t="shared" si="1"/>
        <v>24.503660865600111</v>
      </c>
      <c r="M22" s="397">
        <f t="shared" si="1"/>
        <v>63.305045326505571</v>
      </c>
      <c r="N22" s="35">
        <f>SUM(N13:N21)</f>
        <v>82994</v>
      </c>
      <c r="O22" s="46">
        <f t="shared" si="1"/>
        <v>44.147551003440071</v>
      </c>
      <c r="P22" s="398">
        <f t="shared" si="1"/>
        <v>65.596764171818791</v>
      </c>
      <c r="Q22" s="35">
        <f>SUM(Q13:Q21)</f>
        <v>87256</v>
      </c>
      <c r="R22" s="46">
        <f t="shared" si="1"/>
        <v>47.316314415740941</v>
      </c>
      <c r="S22" s="398">
        <f t="shared" si="1"/>
        <v>66.064390520280398</v>
      </c>
      <c r="T22" s="37"/>
      <c r="U22" s="44">
        <f>Q19+B40+E40</f>
        <v>4768</v>
      </c>
      <c r="V22" s="44"/>
      <c r="W22" s="47"/>
      <c r="X22" s="44"/>
      <c r="Y22" s="44"/>
      <c r="Z22" s="44"/>
      <c r="AA22" s="44"/>
      <c r="AB22" s="44"/>
      <c r="AC22" s="44"/>
      <c r="AD22" s="44"/>
      <c r="AE22" s="44"/>
    </row>
    <row r="23" spans="1:31" ht="14.25" thickTop="1" thickBot="1" x14ac:dyDescent="0.25">
      <c r="A23" s="48" t="s">
        <v>23</v>
      </c>
      <c r="B23" s="51">
        <f t="shared" ref="B23:S23" si="2">+B11+B22</f>
        <v>1277537</v>
      </c>
      <c r="C23" s="49">
        <f t="shared" si="2"/>
        <v>9.1850044145878584</v>
      </c>
      <c r="D23" s="50">
        <f t="shared" si="2"/>
        <v>64.265577128750763</v>
      </c>
      <c r="E23" s="51">
        <f t="shared" si="2"/>
        <v>1277294</v>
      </c>
      <c r="F23" s="49">
        <f t="shared" si="2"/>
        <v>8.3478856983787857</v>
      </c>
      <c r="G23" s="49">
        <f t="shared" si="2"/>
        <v>64.040139229164325</v>
      </c>
      <c r="H23" s="51">
        <f t="shared" si="2"/>
        <v>1281435</v>
      </c>
      <c r="I23" s="49">
        <f t="shared" si="2"/>
        <v>10.170182717926151</v>
      </c>
      <c r="J23" s="323">
        <f t="shared" si="2"/>
        <v>64.098633558278578</v>
      </c>
      <c r="K23" s="51">
        <f t="shared" si="2"/>
        <v>1265349</v>
      </c>
      <c r="L23" s="49">
        <f t="shared" si="2"/>
        <v>25.017876156509203</v>
      </c>
      <c r="M23" s="52">
        <f t="shared" si="2"/>
        <v>63.814136235596479</v>
      </c>
      <c r="N23" s="51">
        <f t="shared" si="2"/>
        <v>83001</v>
      </c>
      <c r="O23" s="49">
        <f t="shared" si="2"/>
        <v>44.71802834889462</v>
      </c>
      <c r="P23" s="53">
        <f t="shared" si="2"/>
        <v>66.105855080909706</v>
      </c>
      <c r="Q23" s="51">
        <f t="shared" si="2"/>
        <v>87263</v>
      </c>
      <c r="R23" s="49">
        <f t="shared" si="2"/>
        <v>47.772891770286392</v>
      </c>
      <c r="S23" s="53">
        <f t="shared" si="2"/>
        <v>66.573481429371313</v>
      </c>
      <c r="T23" s="5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ht="13.5" thickTop="1" x14ac:dyDescent="0.2">
      <c r="A24" s="54"/>
      <c r="B24" s="55"/>
      <c r="C24" s="56"/>
      <c r="D24" s="57"/>
      <c r="E24" s="55"/>
      <c r="F24" s="56"/>
      <c r="G24" s="58"/>
      <c r="H24" s="55"/>
      <c r="I24" s="56"/>
      <c r="J24" s="58"/>
      <c r="K24" s="55"/>
      <c r="L24" s="56"/>
      <c r="M24" s="58"/>
      <c r="N24" s="55"/>
      <c r="O24" s="56"/>
      <c r="P24" s="59"/>
      <c r="Q24" s="55"/>
      <c r="R24" s="56"/>
      <c r="S24" s="59"/>
      <c r="T24" s="59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s="62" customFormat="1" x14ac:dyDescent="0.2">
      <c r="A25" s="54"/>
      <c r="B25" s="60"/>
      <c r="C25" s="61"/>
      <c r="D25" s="57"/>
      <c r="E25" s="60"/>
      <c r="F25" s="61"/>
      <c r="G25" s="59"/>
      <c r="H25" s="60"/>
      <c r="I25" s="61"/>
      <c r="J25" s="59"/>
      <c r="K25" s="60"/>
      <c r="L25" s="61"/>
      <c r="M25" s="59"/>
      <c r="N25" s="60"/>
      <c r="O25" s="61"/>
      <c r="P25" s="59"/>
      <c r="Q25" s="60"/>
      <c r="R25" s="61"/>
      <c r="S25" s="59"/>
      <c r="T25" s="59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62" customFormat="1" x14ac:dyDescent="0.2"/>
    <row r="27" spans="1:31" s="62" customFormat="1" hidden="1" x14ac:dyDescent="0.2">
      <c r="C27" s="62">
        <f>C5+6</f>
        <v>8</v>
      </c>
      <c r="D27" s="62">
        <f>D5+6</f>
        <v>8</v>
      </c>
      <c r="F27" s="62">
        <f>F5+6</f>
        <v>9</v>
      </c>
      <c r="G27" s="62">
        <f>G5+6</f>
        <v>9</v>
      </c>
      <c r="I27" s="62">
        <f>I5+6</f>
        <v>10</v>
      </c>
      <c r="J27" s="62">
        <f>J5+6</f>
        <v>10</v>
      </c>
      <c r="L27" s="62">
        <f>L5+6</f>
        <v>11</v>
      </c>
      <c r="M27" s="62">
        <f>M5+6</f>
        <v>11</v>
      </c>
      <c r="O27" s="62">
        <f>O5+6</f>
        <v>12</v>
      </c>
      <c r="P27" s="62">
        <f>P5+6</f>
        <v>12</v>
      </c>
      <c r="R27" s="62">
        <f>R5+6</f>
        <v>13</v>
      </c>
      <c r="S27" s="62">
        <f>S5+6</f>
        <v>13</v>
      </c>
    </row>
    <row r="28" spans="1:31" s="62" customFormat="1" x14ac:dyDescent="0.2">
      <c r="A28" s="63"/>
      <c r="B28" s="20"/>
      <c r="C28" s="20" t="s">
        <v>6</v>
      </c>
      <c r="D28" s="20"/>
      <c r="E28" s="20"/>
      <c r="F28" s="436" t="s">
        <v>45</v>
      </c>
      <c r="G28" s="20"/>
      <c r="H28" s="20"/>
      <c r="I28" s="20" t="s">
        <v>46</v>
      </c>
      <c r="J28" s="20"/>
      <c r="K28" s="20"/>
      <c r="L28" s="20" t="s">
        <v>9</v>
      </c>
      <c r="M28" s="20"/>
      <c r="N28" s="20"/>
      <c r="O28" s="20" t="s">
        <v>47</v>
      </c>
      <c r="P28" s="20"/>
      <c r="Q28" s="20"/>
      <c r="R28" s="20" t="s">
        <v>11</v>
      </c>
      <c r="S28" s="20"/>
      <c r="T28" s="64"/>
      <c r="U28" s="64"/>
    </row>
    <row r="29" spans="1:31" s="62" customFormat="1" ht="38.25" customHeight="1" x14ac:dyDescent="0.2">
      <c r="A29" s="30" t="s">
        <v>21</v>
      </c>
      <c r="B29" s="65" t="s">
        <v>15</v>
      </c>
      <c r="C29" s="66" t="s">
        <v>124</v>
      </c>
      <c r="D29" s="67" t="s">
        <v>125</v>
      </c>
      <c r="E29" s="65" t="s">
        <v>15</v>
      </c>
      <c r="F29" s="66" t="s">
        <v>124</v>
      </c>
      <c r="G29" s="67" t="s">
        <v>125</v>
      </c>
      <c r="H29" s="65" t="s">
        <v>15</v>
      </c>
      <c r="I29" s="66" t="s">
        <v>124</v>
      </c>
      <c r="J29" s="67" t="s">
        <v>125</v>
      </c>
      <c r="K29" s="65" t="s">
        <v>15</v>
      </c>
      <c r="L29" s="66" t="s">
        <v>124</v>
      </c>
      <c r="M29" s="67" t="s">
        <v>125</v>
      </c>
      <c r="N29" s="65" t="s">
        <v>15</v>
      </c>
      <c r="O29" s="66" t="s">
        <v>124</v>
      </c>
      <c r="P29" s="67" t="s">
        <v>125</v>
      </c>
      <c r="Q29" s="65" t="s">
        <v>15</v>
      </c>
      <c r="R29" s="66" t="s">
        <v>124</v>
      </c>
      <c r="S29" s="67" t="s">
        <v>125</v>
      </c>
      <c r="T29" s="27" t="s">
        <v>229</v>
      </c>
      <c r="U29" s="68"/>
      <c r="V29" s="434"/>
    </row>
    <row r="30" spans="1:31" s="62" customFormat="1" x14ac:dyDescent="0.2">
      <c r="A30" s="30" t="s">
        <v>22</v>
      </c>
      <c r="B30" s="65"/>
      <c r="C30" s="69"/>
      <c r="D30" s="43"/>
      <c r="E30" s="65"/>
      <c r="F30" s="69"/>
      <c r="G30" s="43"/>
      <c r="H30" s="65"/>
      <c r="I30" s="69"/>
      <c r="J30" s="69"/>
      <c r="K30" s="65"/>
      <c r="L30" s="69"/>
      <c r="M30" s="43"/>
      <c r="N30" s="65"/>
      <c r="O30" s="69"/>
      <c r="P30" s="43"/>
      <c r="Q30" s="65"/>
      <c r="R30" s="69"/>
      <c r="S30" s="43"/>
      <c r="T30" s="43"/>
      <c r="U30" s="68"/>
    </row>
    <row r="31" spans="1:31" s="62" customFormat="1" x14ac:dyDescent="0.2">
      <c r="A31" s="3" t="s">
        <v>66</v>
      </c>
      <c r="B31" s="33">
        <v>6</v>
      </c>
      <c r="C31" s="159">
        <f>B31*(INDEX('Ex ante LI &amp; Eligibility Stats'!$A$5:$M$14,MATCH($A31,'Ex ante LI &amp; Eligibility Stats'!$A$5:$A$14,0),MATCH('Program MW '!C$28,'Ex ante LI &amp; Eligibility Stats'!$A$5:$M$5,0))/1000)</f>
        <v>0.32788734545454545</v>
      </c>
      <c r="D31" s="159">
        <f>B31*(INDEX('Ex post LI &amp; Eligibility Stats'!$A$6:$N$15,MATCH($A31,'Ex post LI &amp; Eligibility Stats'!$A$6:$A$15,0),MATCH('Program MW '!C$28,'Ex post LI &amp; Eligibility Stats'!$A$6:$N$6,0))/1000)</f>
        <v>0.4363636363636364</v>
      </c>
      <c r="E31" s="33">
        <v>6</v>
      </c>
      <c r="F31" s="159">
        <f>E31*(INDEX('Ex ante LI &amp; Eligibility Stats'!$A$5:$M$14,MATCH($A31,'Ex ante LI &amp; Eligibility Stats'!$A$5:$A$14,0),MATCH('Program MW '!F$28,'Ex ante LI &amp; Eligibility Stats'!$A$5:$M$5,0))/1000)</f>
        <v>0.32030661818181816</v>
      </c>
      <c r="G31" s="159">
        <f>E31*(INDEX('Ex post LI &amp; Eligibility Stats'!$A$6:$N$15,MATCH($A31,'Ex post LI &amp; Eligibility Stats'!$A$6:$A$15,0),MATCH('Program MW '!F$28,'Ex post LI &amp; Eligibility Stats'!$A$6:$N$6,0))/1000)</f>
        <v>0.4363636363636364</v>
      </c>
      <c r="H31" s="33">
        <v>6</v>
      </c>
      <c r="I31" s="159">
        <f>H31*(INDEX('Ex ante LI &amp; Eligibility Stats'!$A$5:$M$14,MATCH($A31,'Ex ante LI &amp; Eligibility Stats'!$A$5:$A$14,0),MATCH('Program MW '!I$28,'Ex ante LI &amp; Eligibility Stats'!$A$5:$M$5,0))/1000)</f>
        <v>0.30514559999999991</v>
      </c>
      <c r="J31" s="159">
        <f>H31*(INDEX('Ex post LI &amp; Eligibility Stats'!$A$6:$N$15,MATCH($A31,'Ex post LI &amp; Eligibility Stats'!$A$6:$A$15,0),MATCH('Program MW '!I$28,'Ex post LI &amp; Eligibility Stats'!$A$6:$N$6,0))/1000)</f>
        <v>0.4363636363636364</v>
      </c>
      <c r="K31" s="437">
        <v>6</v>
      </c>
      <c r="L31" s="159">
        <f>K31*(INDEX('Ex ante LI &amp; Eligibility Stats'!$A$5:$M$14,MATCH($A31,'Ex ante LI &amp; Eligibility Stats'!$A$5:$A$14,0),MATCH('Program MW '!L$28,'Ex ante LI &amp; Eligibility Stats'!$A$5:$M$5,0))/1000)</f>
        <v>0.31774754999999999</v>
      </c>
      <c r="M31" s="159">
        <f>K31*(INDEX('Ex post LI &amp; Eligibility Stats'!$A$6:$N$15,MATCH($A31,'Ex post LI &amp; Eligibility Stats'!$A$6:$A$15,0),MATCH('Program MW '!L$28,'Ex post LI &amp; Eligibility Stats'!$A$6:$N$6,0))/1000)</f>
        <v>0.4363636363636364</v>
      </c>
      <c r="N31" s="33">
        <v>6</v>
      </c>
      <c r="O31" s="159">
        <f>N31*(INDEX('Ex ante LI &amp; Eligibility Stats'!$A$5:$M$14,MATCH($A31,'Ex ante LI &amp; Eligibility Stats'!$A$5:$A$14,0),MATCH('Program MW '!O$28,'Ex ante LI &amp; Eligibility Stats'!$A$5:$M$5,0))/1000)</f>
        <v>0.26673350000000001</v>
      </c>
      <c r="P31" s="159">
        <f>N31*(INDEX('Ex post LI &amp; Eligibility Stats'!$A$6:$N$15,MATCH($A31,'Ex post LI &amp; Eligibility Stats'!$A$6:$A$15,0),MATCH('Program MW '!O$28,'Ex post LI &amp; Eligibility Stats'!$A$6:$N$6,0))/1000)</f>
        <v>0.4363636363636364</v>
      </c>
      <c r="Q31" s="33">
        <v>5</v>
      </c>
      <c r="R31" s="159">
        <f>Q31*(INDEX('Ex ante LI &amp; Eligibility Stats'!$A$5:$M$14,MATCH($A31,'Ex ante LI &amp; Eligibility Stats'!$A$5:$A$14,0),MATCH('Program MW '!R$28,'Ex ante LI &amp; Eligibility Stats'!$A$5:$M$5,0))/1000)</f>
        <v>0.16530125000000001</v>
      </c>
      <c r="S31" s="463">
        <f>Q31*(INDEX('Ex post LI &amp; Eligibility Stats'!$A$6:$N$15,MATCH($A31,'Ex post LI &amp; Eligibility Stats'!$A$6:$A$15,0),MATCH('Program MW '!R$28,'Ex post LI &amp; Eligibility Stats'!$A$6:$N$6,0))/1000)</f>
        <v>0.3636363636363637</v>
      </c>
      <c r="T31" s="456">
        <v>5276</v>
      </c>
      <c r="U31" s="68"/>
    </row>
    <row r="32" spans="1:31" s="62" customFormat="1" ht="13.5" thickBot="1" x14ac:dyDescent="0.25">
      <c r="A32" s="34" t="s">
        <v>20</v>
      </c>
      <c r="B32" s="35">
        <f t="shared" ref="B32:S32" si="3">SUM(B31:B31)</f>
        <v>6</v>
      </c>
      <c r="C32" s="38">
        <f t="shared" si="3"/>
        <v>0.32788734545454545</v>
      </c>
      <c r="D32" s="37">
        <f t="shared" si="3"/>
        <v>0.4363636363636364</v>
      </c>
      <c r="E32" s="35">
        <v>7</v>
      </c>
      <c r="F32" s="38">
        <f t="shared" si="3"/>
        <v>0.32030661818181816</v>
      </c>
      <c r="G32" s="37">
        <f t="shared" si="3"/>
        <v>0.4363636363636364</v>
      </c>
      <c r="H32" s="35">
        <f t="shared" si="3"/>
        <v>6</v>
      </c>
      <c r="I32" s="38">
        <f t="shared" si="3"/>
        <v>0.30514559999999991</v>
      </c>
      <c r="J32" s="37">
        <f t="shared" si="3"/>
        <v>0.4363636363636364</v>
      </c>
      <c r="K32" s="35">
        <f t="shared" si="3"/>
        <v>6</v>
      </c>
      <c r="L32" s="38">
        <f t="shared" si="3"/>
        <v>0.31774754999999999</v>
      </c>
      <c r="M32" s="37">
        <f t="shared" si="3"/>
        <v>0.4363636363636364</v>
      </c>
      <c r="N32" s="35">
        <f t="shared" si="3"/>
        <v>6</v>
      </c>
      <c r="O32" s="38">
        <f t="shared" si="3"/>
        <v>0.26673350000000001</v>
      </c>
      <c r="P32" s="37">
        <f t="shared" si="3"/>
        <v>0.4363636363636364</v>
      </c>
      <c r="Q32" s="35">
        <f t="shared" si="3"/>
        <v>5</v>
      </c>
      <c r="R32" s="38">
        <f t="shared" si="3"/>
        <v>0.16530125000000001</v>
      </c>
      <c r="S32" s="37">
        <f t="shared" si="3"/>
        <v>0.3636363636363637</v>
      </c>
      <c r="T32" s="37"/>
      <c r="U32" s="68"/>
    </row>
    <row r="33" spans="1:26" s="62" customFormat="1" ht="13.5" thickTop="1" x14ac:dyDescent="0.2">
      <c r="A33" s="30" t="s">
        <v>126</v>
      </c>
      <c r="B33" s="41"/>
      <c r="C33" s="39"/>
      <c r="D33" s="40"/>
      <c r="E33" s="41"/>
      <c r="F33" s="39"/>
      <c r="G33" s="40"/>
      <c r="H33" s="41"/>
      <c r="I33" s="39"/>
      <c r="J33" s="40"/>
      <c r="K33" s="41"/>
      <c r="L33" s="39"/>
      <c r="M33" s="40"/>
      <c r="N33" s="41"/>
      <c r="O33" s="39"/>
      <c r="P33" s="40"/>
      <c r="Q33" s="41"/>
      <c r="R33" s="39"/>
      <c r="S33" s="494"/>
      <c r="T33" s="43"/>
      <c r="U33" s="68"/>
    </row>
    <row r="34" spans="1:26" s="62" customFormat="1" x14ac:dyDescent="0.2">
      <c r="A34" s="3" t="s">
        <v>67</v>
      </c>
      <c r="B34" s="33">
        <v>1155</v>
      </c>
      <c r="C34" s="159">
        <f>B34*(INDEX('Ex ante LI &amp; Eligibility Stats'!$A$5:$M$14,MATCH($A34,'Ex ante LI &amp; Eligibility Stats'!$A$5:$A$14,0),MATCH('Program MW '!C$28,'Ex ante LI &amp; Eligibility Stats'!$A$5:$M$5,0))/1000)</f>
        <v>16.994507529305679</v>
      </c>
      <c r="D34" s="159">
        <f>B34*(INDEX('Ex post LI &amp; Eligibility Stats'!$A$6:$N$15,MATCH($A34,'Ex post LI &amp; Eligibility Stats'!$A$6:$A$15,0),MATCH('Program MW '!C$28,'Ex post LI &amp; Eligibility Stats'!$A$6:$N$6,0))/1000)</f>
        <v>18.850766456266911</v>
      </c>
      <c r="E34" s="33">
        <v>1153</v>
      </c>
      <c r="F34" s="159">
        <f>E34*(INDEX('Ex ante LI &amp; Eligibility Stats'!$A$5:$M$14,MATCH($A34,'Ex ante LI &amp; Eligibility Stats'!$A$5:$A$14,0),MATCH('Program MW '!F$28,'Ex ante LI &amp; Eligibility Stats'!$A$5:$M$5,0))/1000)</f>
        <v>17.021409422903517</v>
      </c>
      <c r="G34" s="159">
        <f>E34*(INDEX('Ex post LI &amp; Eligibility Stats'!$A$6:$N$15,MATCH($A34,'Ex post LI &amp; Eligibility Stats'!$A$6:$A$15,0),MATCH('Program MW '!F$28,'Ex post LI &amp; Eligibility Stats'!$A$6:$N$6,0))/1000)</f>
        <v>18.818124436429219</v>
      </c>
      <c r="H34" s="33">
        <v>1150</v>
      </c>
      <c r="I34" s="159">
        <f>H34*(INDEX('Ex ante LI &amp; Eligibility Stats'!$A$5:$M$14,MATCH($A34,'Ex ante LI &amp; Eligibility Stats'!$A$5:$A$14,0),MATCH('Program MW '!I$28,'Ex ante LI &amp; Eligibility Stats'!$A$5:$M$5,0))/1000)</f>
        <v>17.705955816050498</v>
      </c>
      <c r="J34" s="159">
        <f>H34*(INDEX('Ex post LI &amp; Eligibility Stats'!$A$6:$N$15,MATCH($A34,'Ex post LI &amp; Eligibility Stats'!$A$6:$A$15,0),MATCH('Program MW '!I$28,'Ex post LI &amp; Eligibility Stats'!$A$6:$N$6,0))/1000)</f>
        <v>18.76916140667268</v>
      </c>
      <c r="K34" s="33">
        <v>1148</v>
      </c>
      <c r="L34" s="159">
        <f>K34*(INDEX('Ex ante LI &amp; Eligibility Stats'!$A$5:$M$14,MATCH($A34,'Ex ante LI &amp; Eligibility Stats'!$A$5:$A$14,0),MATCH('Program MW '!L$28,'Ex ante LI &amp; Eligibility Stats'!$A$5:$M$5,0))/1000)</f>
        <v>16.18809395852119</v>
      </c>
      <c r="M34" s="159">
        <f>K34*(INDEX('Ex post LI &amp; Eligibility Stats'!$A$6:$N$15,MATCH($A34,'Ex post LI &amp; Eligibility Stats'!$A$6:$A$15,0),MATCH('Program MW '!L$28,'Ex post LI &amp; Eligibility Stats'!$A$6:$N$6,0))/1000)</f>
        <v>18.736519386834988</v>
      </c>
      <c r="N34" s="33">
        <v>1163</v>
      </c>
      <c r="O34" s="159">
        <f>N34*(INDEX('Ex ante LI &amp; Eligibility Stats'!$A$5:$M$14,MATCH($A34,'Ex ante LI &amp; Eligibility Stats'!$A$5:$A$14,0),MATCH('Program MW '!O$28,'Ex ante LI &amp; Eligibility Stats'!$A$5:$M$5,0))/1000)</f>
        <v>6.1148358719567177</v>
      </c>
      <c r="P34" s="159">
        <f>N34*(INDEX('Ex post LI &amp; Eligibility Stats'!$A$6:$N$15,MATCH($A34,'Ex post LI &amp; Eligibility Stats'!$A$6:$A$15,0),MATCH('Program MW '!O$28,'Ex post LI &amp; Eligibility Stats'!$A$6:$N$6,0))/1000)</f>
        <v>18.981334535617677</v>
      </c>
      <c r="Q34" s="461">
        <v>1183</v>
      </c>
      <c r="R34" s="462">
        <f>Q34*(INDEX('Ex ante LI &amp; Eligibility Stats'!$A$5:$M$14,MATCH($A34,'Ex ante LI &amp; Eligibility Stats'!$A$5:$A$14,0),MATCH('Program MW '!R$28,'Ex ante LI &amp; Eligibility Stats'!$A$5:$M$5,0))/1000)</f>
        <v>5.2456406789900809</v>
      </c>
      <c r="S34" s="463">
        <f>Q34*(INDEX('Ex post LI &amp; Eligibility Stats'!$A$6:$N$15,MATCH($A34,'Ex post LI &amp; Eligibility Stats'!$A$6:$A$15,0),MATCH('Program MW '!R$28,'Ex post LI &amp; Eligibility Stats'!$A$6:$N$6,0))/1000)</f>
        <v>19.307754733994592</v>
      </c>
      <c r="T34" s="460">
        <v>138123</v>
      </c>
      <c r="U34" s="68"/>
    </row>
    <row r="35" spans="1:26" s="62" customFormat="1" x14ac:dyDescent="0.2">
      <c r="A35" s="3" t="s">
        <v>68</v>
      </c>
      <c r="B35" s="33">
        <v>27730</v>
      </c>
      <c r="C35" s="159">
        <f>B35*(INDEX('Ex ante LI &amp; Eligibility Stats'!$A$5:$M$14,MATCH($A35,'Ex ante LI &amp; Eligibility Stats'!$A$5:$A$14,0),MATCH('Program MW '!C$28,'Ex ante LI &amp; Eligibility Stats'!$A$5:$M$5,0))/1000)</f>
        <v>10.271321418649876</v>
      </c>
      <c r="D35" s="159">
        <f>B35*(INDEX('Ex post LI &amp; Eligibility Stats'!$A$6:$N$15,MATCH($A35,'Ex post LI &amp; Eligibility Stats'!$A$6:$A$15,0),MATCH('Program MW '!C$28,'Ex post LI &amp; Eligibility Stats'!$A$6:$N$6,0))/1000)</f>
        <v>12.188564521446102</v>
      </c>
      <c r="E35" s="33">
        <v>27684</v>
      </c>
      <c r="F35" s="159">
        <f>E35*(INDEX('Ex ante LI &amp; Eligibility Stats'!$A$5:$M$14,MATCH($A35,'Ex ante LI &amp; Eligibility Stats'!$A$5:$A$14,0),MATCH('Program MW '!F$28,'Ex ante LI &amp; Eligibility Stats'!$A$5:$M$5,0))/1000)</f>
        <v>7.6907121029724985</v>
      </c>
      <c r="G35" s="159">
        <f>E35*(INDEX('Ex post LI &amp; Eligibility Stats'!$A$6:$N$15,MATCH($A35,'Ex post LI &amp; Eligibility Stats'!$A$6:$A$15,0),MATCH('Program MW '!F$28,'Ex post LI &amp; Eligibility Stats'!$A$6:$N$6,0))/1000)</f>
        <v>12.168345481850482</v>
      </c>
      <c r="H35" s="33">
        <v>27480</v>
      </c>
      <c r="I35" s="159">
        <f>H35*(INDEX('Ex ante LI &amp; Eligibility Stats'!$A$5:$M$14,MATCH($A35,'Ex ante LI &amp; Eligibility Stats'!$A$5:$A$14,0),MATCH('Program MW '!I$28,'Ex ante LI &amp; Eligibility Stats'!$A$5:$M$5,0))/1000)</f>
        <v>12.723400314843968</v>
      </c>
      <c r="J35" s="159">
        <f>H35*(INDEX('Ex post LI &amp; Eligibility Stats'!$A$6:$N$15,MATCH($A35,'Ex post LI &amp; Eligibility Stats'!$A$6:$A$15,0),MATCH('Program MW '!I$28,'Ex post LI &amp; Eligibility Stats'!$A$6:$N$6,0))/1000)</f>
        <v>12.078678436687301</v>
      </c>
      <c r="K35" s="33">
        <v>27207</v>
      </c>
      <c r="L35" s="159">
        <f>K35*(INDEX('Ex ante LI &amp; Eligibility Stats'!$A$5:$M$14,MATCH($A35,'Ex ante LI &amp; Eligibility Stats'!$A$5:$A$14,0),MATCH('Program MW '!L$28,'Ex ante LI &amp; Eligibility Stats'!$A$5:$M$5,0))/1000)</f>
        <v>7.5581998333179001</v>
      </c>
      <c r="M35" s="159">
        <f>K35*(INDEX('Ex post LI &amp; Eligibility Stats'!$A$6:$N$15,MATCH($A35,'Ex post LI &amp; Eligibility Stats'!$A$6:$A$15,0),MATCH('Program MW '!L$28,'Ex post LI &amp; Eligibility Stats'!$A$6:$N$6,0))/1000)</f>
        <v>11.958682832130691</v>
      </c>
      <c r="N35" s="33">
        <v>27231</v>
      </c>
      <c r="O35" s="159">
        <f>N35*(INDEX('Ex ante LI &amp; Eligibility Stats'!$A$5:$M$14,MATCH($A35,'Ex ante LI &amp; Eligibility Stats'!$A$5:$A$14,0),MATCH('Program MW '!O$28,'Ex ante LI &amp; Eligibility Stats'!$A$5:$M$5,0))/1000)</f>
        <v>0</v>
      </c>
      <c r="P35" s="159">
        <f>N35*(INDEX('Ex post LI &amp; Eligibility Stats'!$A$6:$N$15,MATCH($A35,'Ex post LI &amp; Eligibility Stats'!$A$6:$A$15,0),MATCH('Program MW '!O$28,'Ex post LI &amp; Eligibility Stats'!$A$6:$N$6,0))/1000)</f>
        <v>11.969231896267535</v>
      </c>
      <c r="Q35" s="33">
        <v>26997</v>
      </c>
      <c r="R35" s="159">
        <f>Q35*(INDEX('Ex ante LI &amp; Eligibility Stats'!$A$5:$M$14,MATCH($A35,'Ex ante LI &amp; Eligibility Stats'!$A$5:$A$14,0),MATCH('Program MW '!R$28,'Ex ante LI &amp; Eligibility Stats'!$A$5:$M$5,0))/1000)</f>
        <v>0</v>
      </c>
      <c r="S35" s="395">
        <f>Q35*(INDEX('Ex post LI &amp; Eligibility Stats'!$A$6:$N$15,MATCH($A35,'Ex post LI &amp; Eligibility Stats'!$A$6:$A$15,0),MATCH('Program MW '!R$28,'Ex post LI &amp; Eligibility Stats'!$A$6:$N$6,0))/1000)</f>
        <v>11.866378520933299</v>
      </c>
      <c r="T35" s="456">
        <v>663393.5</v>
      </c>
      <c r="U35" s="68"/>
    </row>
    <row r="36" spans="1:26" s="62" customFormat="1" x14ac:dyDescent="0.2">
      <c r="A36" s="3" t="s">
        <v>69</v>
      </c>
      <c r="B36" s="33">
        <v>11367</v>
      </c>
      <c r="C36" s="159">
        <f>B36*(INDEX('Ex ante LI &amp; Eligibility Stats'!$A$5:$M$14,MATCH($A36,'Ex ante LI &amp; Eligibility Stats'!$A$5:$A$14,0),MATCH('Program MW '!C$28,'Ex ante LI &amp; Eligibility Stats'!$A$5:$M$5,0))/1000)</f>
        <v>4.9963005018131206</v>
      </c>
      <c r="D36" s="159">
        <f>B36*(INDEX('Ex post LI &amp; Eligibility Stats'!$A$6:$N$15,MATCH($A36,'Ex post LI &amp; Eligibility Stats'!$A$6:$A$15,0),MATCH('Program MW '!C$28,'Ex post LI &amp; Eligibility Stats'!$A$6:$N$6,0))/1000)</f>
        <v>4.2103898509121214</v>
      </c>
      <c r="E36" s="33">
        <v>11477</v>
      </c>
      <c r="F36" s="159">
        <f>E36*(INDEX('Ex ante LI &amp; Eligibility Stats'!$A$5:$M$14,MATCH($A36,'Ex ante LI &amp; Eligibility Stats'!$A$5:$A$14,0),MATCH('Program MW '!F$28,'Ex ante LI &amp; Eligibility Stats'!$A$5:$M$5,0))/1000)</f>
        <v>5.0446503791069928</v>
      </c>
      <c r="G36" s="159">
        <f>E36*(INDEX('Ex post LI &amp; Eligibility Stats'!$A$6:$N$15,MATCH($A36,'Ex post LI &amp; Eligibility Stats'!$A$6:$A$15,0),MATCH('Program MW '!F$28,'Ex post LI &amp; Eligibility Stats'!$A$6:$N$6,0))/1000)</f>
        <v>4.25113436429299</v>
      </c>
      <c r="H36" s="33">
        <v>11479</v>
      </c>
      <c r="I36" s="159">
        <f>H36*(INDEX('Ex ante LI &amp; Eligibility Stats'!$A$5:$M$14,MATCH($A36,'Ex ante LI &amp; Eligibility Stats'!$A$5:$A$14,0),MATCH('Program MW '!I$28,'Ex ante LI &amp; Eligibility Stats'!$A$5:$M$5,0))/1000)</f>
        <v>6.7273726237134177</v>
      </c>
      <c r="J36" s="159">
        <f>H36*(INDEX('Ex post LI &amp; Eligibility Stats'!$A$6:$N$15,MATCH($A36,'Ex post LI &amp; Eligibility Stats'!$A$6:$A$15,0),MATCH('Program MW '!I$28,'Ex post LI &amp; Eligibility Stats'!$A$6:$N$6,0))/1000)</f>
        <v>4.2518751736271883</v>
      </c>
      <c r="K36" s="33">
        <v>11435</v>
      </c>
      <c r="L36" s="159">
        <f>K36*(INDEX('Ex ante LI &amp; Eligibility Stats'!$A$5:$M$14,MATCH($A36,'Ex ante LI &amp; Eligibility Stats'!$A$5:$A$14,0),MATCH('Program MW '!L$28,'Ex ante LI &amp; Eligibility Stats'!$A$5:$M$5,0))/1000)</f>
        <v>3.3507930112450093</v>
      </c>
      <c r="M36" s="159">
        <f>K36*(INDEX('Ex post LI &amp; Eligibility Stats'!$A$6:$N$15,MATCH($A36,'Ex post LI &amp; Eligibility Stats'!$A$6:$A$15,0),MATCH('Program MW '!L$28,'Ex post LI &amp; Eligibility Stats'!$A$6:$N$6,0))/1000)</f>
        <v>4.2355773682748401</v>
      </c>
      <c r="N36" s="33">
        <v>11524</v>
      </c>
      <c r="O36" s="159">
        <f>N36*(INDEX('Ex ante LI &amp; Eligibility Stats'!$A$5:$M$14,MATCH($A36,'Ex ante LI &amp; Eligibility Stats'!$A$5:$A$14,0),MATCH('Program MW '!O$28,'Ex ante LI &amp; Eligibility Stats'!$A$5:$M$5,0))/1000)</f>
        <v>0</v>
      </c>
      <c r="P36" s="159">
        <f>N36*(INDEX('Ex post LI &amp; Eligibility Stats'!$A$6:$N$15,MATCH($A36,'Ex post LI &amp; Eligibility Stats'!$A$6:$A$15,0),MATCH('Program MW '!O$28,'Ex post LI &amp; Eligibility Stats'!$A$6:$N$6,0))/1000)</f>
        <v>4.2685433836466338</v>
      </c>
      <c r="Q36" s="33">
        <v>11424</v>
      </c>
      <c r="R36" s="159">
        <f>Q36*(INDEX('Ex ante LI &amp; Eligibility Stats'!$A$5:$M$14,MATCH($A36,'Ex ante LI &amp; Eligibility Stats'!$A$5:$A$14,0),MATCH('Program MW '!R$28,'Ex ante LI &amp; Eligibility Stats'!$A$5:$M$5,0))/1000)</f>
        <v>0</v>
      </c>
      <c r="S36" s="395">
        <f>Q36*(INDEX('Ex post LI &amp; Eligibility Stats'!$A$6:$N$15,MATCH($A36,'Ex post LI &amp; Eligibility Stats'!$A$6:$A$15,0),MATCH('Program MW '!R$28,'Ex post LI &amp; Eligibility Stats'!$A$6:$N$6,0))/1000)</f>
        <v>4.231502916936754</v>
      </c>
      <c r="T36" s="456">
        <v>157189</v>
      </c>
      <c r="U36" s="68"/>
    </row>
    <row r="37" spans="1:26" s="62" customFormat="1" x14ac:dyDescent="0.2">
      <c r="A37" s="3" t="s">
        <v>70</v>
      </c>
      <c r="B37" s="33">
        <v>129</v>
      </c>
      <c r="C37" s="159">
        <f>B37*(INDEX('Ex ante LI &amp; Eligibility Stats'!$A$5:$M$14,MATCH($A37,'Ex ante LI &amp; Eligibility Stats'!$A$5:$A$14,0),MATCH('Program MW '!C$28,'Ex ante LI &amp; Eligibility Stats'!$A$5:$M$5,0))/1000)</f>
        <v>7.2493668079376228</v>
      </c>
      <c r="D37" s="159">
        <f>B37*(INDEX('Ex post LI &amp; Eligibility Stats'!$A$6:$N$15,MATCH($A37,'Ex post LI &amp; Eligibility Stats'!$A$6:$A$15,0),MATCH('Program MW '!C$28,'Ex post LI &amp; Eligibility Stats'!$A$6:$N$6,0))/1000)</f>
        <v>6.9242647058823525</v>
      </c>
      <c r="E37" s="33">
        <v>129</v>
      </c>
      <c r="F37" s="159">
        <f>E37*(INDEX('Ex ante LI &amp; Eligibility Stats'!$A$5:$M$14,MATCH($A37,'Ex ante LI &amp; Eligibility Stats'!$A$5:$A$14,0),MATCH('Program MW '!F$28,'Ex ante LI &amp; Eligibility Stats'!$A$5:$M$5,0))/1000)</f>
        <v>7.3315219549571768</v>
      </c>
      <c r="G37" s="159">
        <f>E37*(INDEX('Ex post LI &amp; Eligibility Stats'!$A$6:$N$15,MATCH($A37,'Ex post LI &amp; Eligibility Stats'!$A$6:$A$15,0),MATCH('Program MW '!F$28,'Ex post LI &amp; Eligibility Stats'!$A$6:$N$6,0))/1000)</f>
        <v>6.9242647058823525</v>
      </c>
      <c r="H37" s="33">
        <v>129.4</v>
      </c>
      <c r="I37" s="159">
        <f>H37*(INDEX('Ex ante LI &amp; Eligibility Stats'!$A$5:$M$14,MATCH($A37,'Ex ante LI &amp; Eligibility Stats'!$A$5:$A$14,0),MATCH('Program MW '!I$28,'Ex ante LI &amp; Eligibility Stats'!$A$5:$M$5,0))/1000)</f>
        <v>6.5802616865494672</v>
      </c>
      <c r="J37" s="159">
        <f>H37*(INDEX('Ex post LI &amp; Eligibility Stats'!$A$6:$N$15,MATCH($A37,'Ex post LI &amp; Eligibility Stats'!$A$6:$A$15,0),MATCH('Program MW '!I$28,'Ex post LI &amp; Eligibility Stats'!$A$6:$N$6,0))/1000)</f>
        <v>6.9457352941176467</v>
      </c>
      <c r="K37" s="33">
        <v>125</v>
      </c>
      <c r="L37" s="159">
        <f>K37*(INDEX('Ex ante LI &amp; Eligibility Stats'!$A$5:$M$14,MATCH($A37,'Ex ante LI &amp; Eligibility Stats'!$A$5:$A$14,0),MATCH('Program MW '!L$28,'Ex ante LI &amp; Eligibility Stats'!$A$5:$M$5,0))/1000)</f>
        <v>5.3175132064258355</v>
      </c>
      <c r="M37" s="159">
        <f>K37*(INDEX('Ex post LI &amp; Eligibility Stats'!$A$6:$N$15,MATCH($A37,'Ex post LI &amp; Eligibility Stats'!$A$6:$A$15,0),MATCH('Program MW '!L$28,'Ex post LI &amp; Eligibility Stats'!$A$6:$N$6,0))/1000)</f>
        <v>6.7095588235294112</v>
      </c>
      <c r="N37" s="33">
        <v>125</v>
      </c>
      <c r="O37" s="159">
        <f>N37*(INDEX('Ex ante LI &amp; Eligibility Stats'!$A$5:$M$14,MATCH($A37,'Ex ante LI &amp; Eligibility Stats'!$A$5:$A$14,0),MATCH('Program MW '!O$28,'Ex ante LI &amp; Eligibility Stats'!$A$5:$M$5,0))/1000)</f>
        <v>0</v>
      </c>
      <c r="P37" s="159">
        <f>N37*(INDEX('Ex post LI &amp; Eligibility Stats'!$A$6:$N$15,MATCH($A37,'Ex post LI &amp; Eligibility Stats'!$A$6:$A$15,0),MATCH('Program MW '!O$28,'Ex post LI &amp; Eligibility Stats'!$A$6:$N$6,0))/1000)</f>
        <v>6.7095588235294112</v>
      </c>
      <c r="Q37" s="33">
        <v>125.2</v>
      </c>
      <c r="R37" s="159">
        <f>Q37*(INDEX('Ex ante LI &amp; Eligibility Stats'!$A$5:$M$14,MATCH($A37,'Ex ante LI &amp; Eligibility Stats'!$A$5:$A$14,0),MATCH('Program MW '!R$28,'Ex ante LI &amp; Eligibility Stats'!$A$5:$M$5,0))/1000)</f>
        <v>0</v>
      </c>
      <c r="S37" s="395">
        <f>Q37*(INDEX('Ex post LI &amp; Eligibility Stats'!$A$6:$N$15,MATCH($A37,'Ex post LI &amp; Eligibility Stats'!$A$6:$A$15,0),MATCH('Program MW '!R$28,'Ex post LI &amp; Eligibility Stats'!$A$6:$N$6,0))/1000)</f>
        <v>6.7202941176470583</v>
      </c>
      <c r="T37" s="456">
        <v>18875</v>
      </c>
      <c r="U37" s="68"/>
    </row>
    <row r="38" spans="1:26" s="62" customFormat="1" x14ac:dyDescent="0.2">
      <c r="A38" s="3" t="s">
        <v>71</v>
      </c>
      <c r="B38" s="33">
        <v>517</v>
      </c>
      <c r="C38" s="159">
        <f>B38*(INDEX('Ex ante LI &amp; Eligibility Stats'!$A$5:$M$14,MATCH($A38,'Ex ante LI &amp; Eligibility Stats'!$A$5:$A$14,0),MATCH('Program MW '!C$28,'Ex ante LI &amp; Eligibility Stats'!$A$5:$M$5,0))/1000)</f>
        <v>9.9812945490145903</v>
      </c>
      <c r="D38" s="159">
        <f>B38*(INDEX('Ex post LI &amp; Eligibility Stats'!$A$6:$N$15,MATCH($A38,'Ex post LI &amp; Eligibility Stats'!$A$6:$A$15,0),MATCH('Program MW '!C$28,'Ex post LI &amp; Eligibility Stats'!$A$6:$N$6,0))/1000)</f>
        <v>11.193761467889908</v>
      </c>
      <c r="E38" s="33">
        <v>518</v>
      </c>
      <c r="F38" s="159">
        <f>E38*(INDEX('Ex ante LI &amp; Eligibility Stats'!$A$5:$M$14,MATCH($A38,'Ex ante LI &amp; Eligibility Stats'!$A$5:$A$14,0),MATCH('Program MW '!F$28,'Ex ante LI &amp; Eligibility Stats'!$A$5:$M$5,0))/1000)</f>
        <v>9.9204572590119255</v>
      </c>
      <c r="G38" s="159">
        <f>E38*(INDEX('Ex post LI &amp; Eligibility Stats'!$A$6:$N$15,MATCH($A38,'Ex post LI &amp; Eligibility Stats'!$A$6:$A$15,0),MATCH('Program MW '!F$28,'Ex post LI &amp; Eligibility Stats'!$A$6:$N$6,0))/1000)</f>
        <v>11.215412844036697</v>
      </c>
      <c r="H38" s="33">
        <v>517.6</v>
      </c>
      <c r="I38" s="159">
        <f>H38*(INDEX('Ex ante LI &amp; Eligibility Stats'!$A$5:$M$14,MATCH($A38,'Ex ante LI &amp; Eligibility Stats'!$A$5:$A$14,0),MATCH('Program MW '!I$28,'Ex ante LI &amp; Eligibility Stats'!$A$5:$M$5,0))/1000)</f>
        <v>10.147673351322839</v>
      </c>
      <c r="J38" s="159">
        <f>H38*(INDEX('Ex post LI &amp; Eligibility Stats'!$A$6:$N$15,MATCH($A38,'Ex post LI &amp; Eligibility Stats'!$A$6:$A$15,0),MATCH('Program MW '!I$28,'Ex post LI &amp; Eligibility Stats'!$A$6:$N$6,0))/1000)</f>
        <v>11.206752293577981</v>
      </c>
      <c r="K38" s="33">
        <v>501</v>
      </c>
      <c r="L38" s="159">
        <f>K38*(INDEX('Ex ante LI &amp; Eligibility Stats'!$A$5:$M$14,MATCH($A38,'Ex ante LI &amp; Eligibility Stats'!$A$5:$A$14,0),MATCH('Program MW '!L$28,'Ex ante LI &amp; Eligibility Stats'!$A$5:$M$5,0))/1000)</f>
        <v>9.3114558330150921</v>
      </c>
      <c r="M38" s="159">
        <f>K38*(INDEX('Ex post LI &amp; Eligibility Stats'!$A$6:$N$15,MATCH($A38,'Ex post LI &amp; Eligibility Stats'!$A$6:$A$15,0),MATCH('Program MW '!L$28,'Ex post LI &amp; Eligibility Stats'!$A$6:$N$6,0))/1000)</f>
        <v>10.847339449541284</v>
      </c>
      <c r="N38" s="33">
        <v>501</v>
      </c>
      <c r="O38" s="159">
        <f>N38*(INDEX('Ex ante LI &amp; Eligibility Stats'!$A$5:$M$14,MATCH($A38,'Ex ante LI &amp; Eligibility Stats'!$A$5:$A$14,0),MATCH('Program MW '!O$28,'Ex ante LI &amp; Eligibility Stats'!$A$5:$M$5,0))/1000)</f>
        <v>0</v>
      </c>
      <c r="P38" s="159">
        <f>N38*(INDEX('Ex post LI &amp; Eligibility Stats'!$A$6:$N$15,MATCH($A38,'Ex post LI &amp; Eligibility Stats'!$A$6:$A$15,0),MATCH('Program MW '!O$28,'Ex post LI &amp; Eligibility Stats'!$A$6:$N$6,0))/1000)</f>
        <v>10.847339449541284</v>
      </c>
      <c r="Q38" s="33">
        <v>500.8</v>
      </c>
      <c r="R38" s="159">
        <f>Q38*(INDEX('Ex ante LI &amp; Eligibility Stats'!$A$5:$M$14,MATCH($A38,'Ex ante LI &amp; Eligibility Stats'!$A$5:$A$14,0),MATCH('Program MW '!R$28,'Ex ante LI &amp; Eligibility Stats'!$A$5:$M$5,0))/1000)</f>
        <v>0</v>
      </c>
      <c r="S38" s="395">
        <f>Q38*(INDEX('Ex post LI &amp; Eligibility Stats'!$A$6:$N$15,MATCH($A38,'Ex post LI &amp; Eligibility Stats'!$A$6:$A$15,0),MATCH('Program MW '!R$28,'Ex post LI &amp; Eligibility Stats'!$A$6:$N$6,0))/1000)</f>
        <v>10.843009174311927</v>
      </c>
      <c r="T38" s="456">
        <v>18875</v>
      </c>
      <c r="U38" s="68"/>
    </row>
    <row r="39" spans="1:26" s="62" customFormat="1" x14ac:dyDescent="0.2">
      <c r="A39" s="2" t="s">
        <v>228</v>
      </c>
      <c r="B39" s="45">
        <v>59838</v>
      </c>
      <c r="C39" s="159">
        <f>B39*(INDEX('Ex ante LI &amp; Eligibility Stats'!$A$5:$M$14,MATCH($A39,'Ex ante LI &amp; Eligibility Stats'!$A$5:$A$14,0),MATCH('Program MW '!C$28,'Ex ante LI &amp; Eligibility Stats'!$A$5:$M$5,0))/1000)</f>
        <v>6.765365656716483</v>
      </c>
      <c r="D39" s="395">
        <f>B39*(INDEX('Ex post LI &amp; Eligibility Stats'!$A$6:$N$15,MATCH($A39,'Ex post LI &amp; Eligibility Stats'!$A$6:$A$15,0),MATCH('Program MW '!C$28,'Ex post LI &amp; Eligibility Stats'!$A$6:$N$6,0))/1000)</f>
        <v>6.9172898965714236</v>
      </c>
      <c r="E39" s="45">
        <v>65312</v>
      </c>
      <c r="F39" s="159">
        <f>E39*(INDEX('Ex ante LI &amp; Eligibility Stats'!$A$5:$M$14,MATCH($A39,'Ex ante LI &amp; Eligibility Stats'!$A$5:$A$14,0),MATCH('Program MW '!F$28,'Ex ante LI &amp; Eligibility Stats'!$A$5:$M$5,0))/1000)</f>
        <v>7.0777022285461424</v>
      </c>
      <c r="G39" s="395">
        <f>E39*(INDEX('Ex post LI &amp; Eligibility Stats'!$A$6:$N$15,MATCH($A39,'Ex post LI &amp; Eligibility Stats'!$A$6:$A$15,0),MATCH('Program MW '!F$28,'Ex post LI &amp; Eligibility Stats'!$A$6:$N$6,0))/1000)</f>
        <v>7.5500858605714232</v>
      </c>
      <c r="H39" s="45">
        <v>68505</v>
      </c>
      <c r="I39" s="159">
        <f>H39*(INDEX('Ex ante LI &amp; Eligibility Stats'!$A$5:$M$14,MATCH($A39,'Ex ante LI &amp; Eligibility Stats'!$A$5:$A$14,0),MATCH('Program MW '!I$28,'Ex ante LI &amp; Eligibility Stats'!$A$5:$M$5,0))/1000)</f>
        <v>8.8962011110782626</v>
      </c>
      <c r="J39" s="395">
        <f>H39*(INDEX('Ex post LI &amp; Eligibility Stats'!$A$6:$N$15,MATCH($A39,'Ex post LI &amp; Eligibility Stats'!$A$6:$A$15,0),MATCH('Program MW '!I$28,'Ex post LI &amp; Eligibility Stats'!$A$6:$N$6,0))/1000)</f>
        <v>7.9191975728571373</v>
      </c>
      <c r="K39" s="45">
        <v>69849</v>
      </c>
      <c r="L39" s="159">
        <f>K39*(INDEX('Ex ante LI &amp; Eligibility Stats'!$A$5:$M$14,MATCH($A39,'Ex ante LI &amp; Eligibility Stats'!$A$5:$A$14,0),MATCH('Program MW '!L$28,'Ex ante LI &amp; Eligibility Stats'!$A$5:$M$5,0))/1000)</f>
        <v>6.3331753907459127</v>
      </c>
      <c r="M39" s="395">
        <f>K39*(INDEX('Ex post LI &amp; Eligibility Stats'!$A$6:$N$15,MATCH($A39,'Ex post LI &amp; Eligibility Stats'!$A$6:$A$15,0),MATCH('Program MW '!L$28,'Ex post LI &amp; Eligibility Stats'!$A$6:$N$6,0))/1000)</f>
        <v>8.0745643568571381</v>
      </c>
      <c r="N39" s="45">
        <v>71600</v>
      </c>
      <c r="O39" s="159">
        <f>N39*(INDEX('Ex ante LI &amp; Eligibility Stats'!$A$5:$M$14,MATCH($A39,'Ex ante LI &amp; Eligibility Stats'!$A$5:$A$14,0),MATCH('Program MW '!O$28,'Ex ante LI &amp; Eligibility Stats'!$A$5:$M$5,0))/1000)</f>
        <v>5.6165266752243044</v>
      </c>
      <c r="P39" s="159">
        <f>N39*(INDEX('Ex post LI &amp; Eligibility Stats'!$A$6:$N$15,MATCH($A39,'Ex post LI &amp; Eligibility Stats'!$A$6:$A$15,0),MATCH('Program MW '!O$28,'Ex post LI &amp; Eligibility Stats'!$A$6:$N$6,0))/1000)</f>
        <v>8.2769804571428516</v>
      </c>
      <c r="Q39" s="33">
        <v>71690</v>
      </c>
      <c r="R39" s="159">
        <f>Q39*(INDEX('Ex ante LI &amp; Eligibility Stats'!$A$5:$M$14,MATCH($A39,'Ex ante LI &amp; Eligibility Stats'!$A$5:$A$14,0),MATCH('Program MW '!R$28,'Ex ante LI &amp; Eligibility Stats'!$A$5:$M$5,0))/1000)</f>
        <v>3.6468014150006427</v>
      </c>
      <c r="S39" s="395">
        <f>Q39*(INDEX('Ex post LI &amp; Eligibility Stats'!$A$6:$N$15,MATCH($A39,'Ex post LI &amp; Eligibility Stats'!$A$6:$A$15,0),MATCH('Program MW '!R$28,'Ex post LI &amp; Eligibility Stats'!$A$6:$N$6,0))/1000)</f>
        <v>8.2873844828571368</v>
      </c>
      <c r="T39" s="456">
        <v>1200000</v>
      </c>
      <c r="U39" s="68"/>
    </row>
    <row r="40" spans="1:26" s="62" customFormat="1" x14ac:dyDescent="0.2">
      <c r="A40" s="2" t="s">
        <v>219</v>
      </c>
      <c r="B40" s="45">
        <v>1525</v>
      </c>
      <c r="C40" s="159">
        <f>B40*(INDEX('Ex ante LI &amp; Eligibility Stats'!$A$5:$M$14,MATCH($A40,'Ex ante LI &amp; Eligibility Stats'!$A$5:$A$14,0),MATCH('Program MW '!C$28,'Ex ante LI &amp; Eligibility Stats'!$A$5:$M$5,0))/1000)</f>
        <v>3.1770833333333331E-2</v>
      </c>
      <c r="D40" s="395">
        <f>B40*(INDEX('Ex post LI &amp; Eligibility Stats'!$A$6:$N$15,MATCH($A40,'Ex post LI &amp; Eligibility Stats'!$A$6:$A$15,0),MATCH('Program MW '!C$28,'Ex post LI &amp; Eligibility Stats'!$A$6:$N$6,0))/1000)</f>
        <v>3.1770833333333331E-2</v>
      </c>
      <c r="E40" s="45">
        <v>2554</v>
      </c>
      <c r="F40" s="159">
        <f>E40*(INDEX('Ex ante LI &amp; Eligibility Stats'!$A$5:$M$14,MATCH($A40,'Ex ante LI &amp; Eligibility Stats'!$A$5:$A$14,0),MATCH('Program MW '!F$28,'Ex ante LI &amp; Eligibility Stats'!$A$5:$M$5,0))/1000)</f>
        <v>5.320833333333333E-2</v>
      </c>
      <c r="G40" s="395">
        <f>E40*(INDEX('Ex post LI &amp; Eligibility Stats'!$A$6:$N$15,MATCH($A40,'Ex post LI &amp; Eligibility Stats'!$A$6:$A$15,0),MATCH('Program MW '!F$28,'Ex post LI &amp; Eligibility Stats'!$A$6:$N$6,0))/1000)</f>
        <v>5.320833333333333E-2</v>
      </c>
      <c r="H40" s="45">
        <v>3861</v>
      </c>
      <c r="I40" s="159">
        <f>H40*(INDEX('Ex ante LI &amp; Eligibility Stats'!$A$5:$M$14,MATCH($A40,'Ex ante LI &amp; Eligibility Stats'!$A$5:$A$14,0),MATCH('Program MW '!I$28,'Ex ante LI &amp; Eligibility Stats'!$A$5:$M$5,0))/1000)</f>
        <v>8.0437499999999995E-2</v>
      </c>
      <c r="J40" s="395">
        <f>H40*(INDEX('Ex post LI &amp; Eligibility Stats'!$A$6:$N$15,MATCH($A40,'Ex post LI &amp; Eligibility Stats'!$A$6:$A$15,0),MATCH('Program MW '!I$28,'Ex post LI &amp; Eligibility Stats'!$A$6:$N$6,0))/1000)</f>
        <v>8.0437499999999995E-2</v>
      </c>
      <c r="K40" s="45">
        <v>5354</v>
      </c>
      <c r="L40" s="159">
        <f>K40*(INDEX('Ex ante LI &amp; Eligibility Stats'!$A$5:$M$14,MATCH($A40,'Ex ante LI &amp; Eligibility Stats'!$A$5:$A$14,0),MATCH('Program MW '!L$28,'Ex ante LI &amp; Eligibility Stats'!$A$5:$M$5,0))/1000)</f>
        <v>0.11154166666666666</v>
      </c>
      <c r="M40" s="395">
        <f>K40*(INDEX('Ex post LI &amp; Eligibility Stats'!$A$6:$N$15,MATCH($A40,'Ex post LI &amp; Eligibility Stats'!$A$6:$A$15,0),MATCH('Program MW '!L$28,'Ex post LI &amp; Eligibility Stats'!$A$6:$N$6,0))/1000)</f>
        <v>0.11154166666666666</v>
      </c>
      <c r="N40" s="45">
        <v>6116</v>
      </c>
      <c r="O40" s="159">
        <f>N40*(INDEX('Ex ante LI &amp; Eligibility Stats'!$A$5:$M$14,MATCH($A40,'Ex ante LI &amp; Eligibility Stats'!$A$5:$A$14,0),MATCH('Program MW '!O$28,'Ex ante LI &amp; Eligibility Stats'!$A$5:$M$5,0))/1000)</f>
        <v>0.12741666666666665</v>
      </c>
      <c r="P40" s="159">
        <f>N40*(INDEX('Ex post LI &amp; Eligibility Stats'!$A$6:$N$15,MATCH($A40,'Ex post LI &amp; Eligibility Stats'!$A$6:$A$15,0),MATCH('Program MW '!O$28,'Ex post LI &amp; Eligibility Stats'!$A$6:$N$6,0))/1000)</f>
        <v>0.12741666666666665</v>
      </c>
      <c r="Q40" s="33">
        <v>6479</v>
      </c>
      <c r="R40" s="159">
        <f>Q40*(INDEX('Ex ante LI &amp; Eligibility Stats'!$A$5:$M$14,MATCH($A40,'Ex ante LI &amp; Eligibility Stats'!$A$5:$A$14,0),MATCH('Program MW '!R$28,'Ex ante LI &amp; Eligibility Stats'!$A$5:$M$5,0))/1000)</f>
        <v>0.13497916666666665</v>
      </c>
      <c r="S40" s="395">
        <f>Q40*(INDEX('Ex post LI &amp; Eligibility Stats'!$A$6:$N$15,MATCH($A40,'Ex post LI &amp; Eligibility Stats'!$A$6:$A$15,0),MATCH('Program MW '!R$28,'Ex post LI &amp; Eligibility Stats'!$A$6:$N$6,0))/1000)</f>
        <v>0.13497916666666665</v>
      </c>
      <c r="T40" s="456">
        <v>120000</v>
      </c>
      <c r="U40" s="68"/>
    </row>
    <row r="41" spans="1:26" s="62" customFormat="1" x14ac:dyDescent="0.2">
      <c r="A41" s="2" t="s">
        <v>142</v>
      </c>
      <c r="B41" s="33">
        <v>9</v>
      </c>
      <c r="C41" s="159">
        <f>B41*(INDEX('Ex ante LI &amp; Eligibility Stats'!$A$5:$M$14,MATCH($A41,'Ex ante LI &amp; Eligibility Stats'!$A$5:$A$14,0),MATCH('Program MW '!C$28,'Ex ante LI &amp; Eligibility Stats'!$A$5:$M$5,0))/1000)</f>
        <v>5.573560500000001</v>
      </c>
      <c r="D41" s="159">
        <f>B41*(INDEX('Ex post LI &amp; Eligibility Stats'!$A$6:$N$15,MATCH($A41,'Ex post LI &amp; Eligibility Stats'!$A$6:$A$15,0),MATCH('Program MW '!C$28,'Ex post LI &amp; Eligibility Stats'!$A$6:$N$6,0))/1000)</f>
        <v>7.6499999999999995</v>
      </c>
      <c r="E41" s="33">
        <v>9</v>
      </c>
      <c r="F41" s="159">
        <f>E41*(INDEX('Ex ante LI &amp; Eligibility Stats'!$A$5:$M$14,MATCH($A41,'Ex ante LI &amp; Eligibility Stats'!$A$5:$A$14,0),MATCH('Program MW '!F$28,'Ex ante LI &amp; Eligibility Stats'!$A$5:$M$5,0))/1000)</f>
        <v>6.9024677999999984</v>
      </c>
      <c r="G41" s="159">
        <f>E41*(INDEX('Ex post LI &amp; Eligibility Stats'!$A$6:$N$15,MATCH($A41,'Ex post LI &amp; Eligibility Stats'!$A$6:$A$15,0),MATCH('Program MW '!F$28,'Ex post LI &amp; Eligibility Stats'!$A$6:$N$6,0))/1000)</f>
        <v>7.6499999999999995</v>
      </c>
      <c r="H41" s="33">
        <v>9</v>
      </c>
      <c r="I41" s="159">
        <f>H41*(INDEX('Ex ante LI &amp; Eligibility Stats'!$A$5:$M$14,MATCH($A41,'Ex ante LI &amp; Eligibility Stats'!$A$5:$A$14,0),MATCH('Program MW '!I$28,'Ex ante LI &amp; Eligibility Stats'!$A$5:$M$5,0))/1000)</f>
        <v>8.3035005000000002</v>
      </c>
      <c r="J41" s="159">
        <f>H41*(INDEX('Ex post LI &amp; Eligibility Stats'!$A$6:$N$15,MATCH($A41,'Ex post LI &amp; Eligibility Stats'!$A$6:$A$15,0),MATCH('Program MW '!I$28,'Ex post LI &amp; Eligibility Stats'!$A$6:$N$6,0))/1000)</f>
        <v>7.6499999999999995</v>
      </c>
      <c r="K41" s="33">
        <v>9</v>
      </c>
      <c r="L41" s="159">
        <f>K41*(INDEX('Ex ante LI &amp; Eligibility Stats'!$A$5:$M$14,MATCH($A41,'Ex ante LI &amp; Eligibility Stats'!$A$5:$A$14,0),MATCH('Program MW '!L$28,'Ex ante LI &amp; Eligibility Stats'!$A$5:$M$5,0))/1000)</f>
        <v>7.461309299999999</v>
      </c>
      <c r="M41" s="159">
        <f>K41*(INDEX('Ex post LI &amp; Eligibility Stats'!$A$6:$N$15,MATCH($A41,'Ex post LI &amp; Eligibility Stats'!$A$6:$A$15,0),MATCH('Program MW '!L$28,'Ex post LI &amp; Eligibility Stats'!$A$6:$N$6,0))/1000)</f>
        <v>7.6499999999999995</v>
      </c>
      <c r="N41" s="33">
        <v>9</v>
      </c>
      <c r="O41" s="159">
        <f>N41*(INDEX('Ex ante LI &amp; Eligibility Stats'!$A$5:$M$14,MATCH($A41,'Ex ante LI &amp; Eligibility Stats'!$A$5:$A$14,0),MATCH('Program MW '!O$28,'Ex ante LI &amp; Eligibility Stats'!$A$5:$M$5,0))/1000)</f>
        <v>4.4455500000000008</v>
      </c>
      <c r="P41" s="159">
        <f>N41*(INDEX('Ex post LI &amp; Eligibility Stats'!$A$6:$N$15,MATCH($A41,'Ex post LI &amp; Eligibility Stats'!$A$6:$A$15,0),MATCH('Program MW '!O$28,'Ex post LI &amp; Eligibility Stats'!$A$6:$N$6,0))/1000)</f>
        <v>7.6499999999999995</v>
      </c>
      <c r="Q41" s="33">
        <v>9</v>
      </c>
      <c r="R41" s="159">
        <f>Q41*(INDEX('Ex ante LI &amp; Eligibility Stats'!$A$5:$M$14,MATCH($A41,'Ex ante LI &amp; Eligibility Stats'!$A$5:$A$14,0),MATCH('Program MW '!R$28,'Ex ante LI &amp; Eligibility Stats'!$A$5:$M$5,0))/1000)</f>
        <v>1.60388043</v>
      </c>
      <c r="S41" s="395">
        <f>Q41*(INDEX('Ex post LI &amp; Eligibility Stats'!$A$6:$N$15,MATCH($A41,'Ex post LI &amp; Eligibility Stats'!$A$6:$A$15,0),MATCH('Program MW '!R$28,'Ex post LI &amp; Eligibility Stats'!$A$6:$N$6,0))/1000)</f>
        <v>7.6499999999999995</v>
      </c>
      <c r="T41" s="456">
        <v>162482</v>
      </c>
      <c r="U41" s="68"/>
    </row>
    <row r="42" spans="1:26" s="62" customFormat="1" x14ac:dyDescent="0.2">
      <c r="A42" s="457" t="s">
        <v>287</v>
      </c>
      <c r="B42" s="33">
        <v>140</v>
      </c>
      <c r="C42" s="159">
        <f>B42*(INDEX('Ex ante LI &amp; Eligibility Stats'!$A$5:$M$15,MATCH($A42,'Ex ante LI &amp; Eligibility Stats'!$A$5:$A$54,0),MATCH('Program MW '!C$28,'Ex ante LI &amp; Eligibility Stats'!$A$5:$M$5,0))/1000)</f>
        <v>1.3999999999999999E-4</v>
      </c>
      <c r="D42" s="159">
        <f>B42*(INDEX('Ex post LI &amp; Eligibility Stats'!$A$6:$N$16,MATCH($A42,'Ex post LI &amp; Eligibility Stats'!$A$6:$A$16,0),MATCH('Program MW '!C$28,'Ex post LI &amp; Eligibility Stats'!$A$6:$N$6,0))/1000)</f>
        <v>0</v>
      </c>
      <c r="E42" s="33">
        <v>982</v>
      </c>
      <c r="F42" s="159">
        <f>E42*(INDEX('Ex ante LI &amp; Eligibility Stats'!$A$5:$M$15,MATCH($A42,'Ex ante LI &amp; Eligibility Stats'!$A$5:$A$54,0),MATCH('Program MW '!F$28,'Ex ante LI &amp; Eligibility Stats'!$A$5:$M$5,0))/1000)</f>
        <v>9.820000000000001E-2</v>
      </c>
      <c r="G42" s="159">
        <f>E42*(INDEX('Ex post LI &amp; Eligibility Stats'!$A$6:$N$16,MATCH($A42,'Ex post LI &amp; Eligibility Stats'!$A$6:$A$16,0),MATCH('Program MW '!F$28,'Ex post LI &amp; Eligibility Stats'!$A$6:$N$6,0))/1000)</f>
        <v>0</v>
      </c>
      <c r="H42" s="33">
        <v>1198</v>
      </c>
      <c r="I42" s="159">
        <f>H42*(INDEX('Ex ante LI &amp; Eligibility Stats'!$A$5:$M$15,MATCH($A42,'Ex ante LI &amp; Eligibility Stats'!$A$5:$A$54,0),MATCH('Program MW '!I$28,'Ex ante LI &amp; Eligibility Stats'!$A$5:$M$5,0))/1000)</f>
        <v>7.0999999999999994E-2</v>
      </c>
      <c r="J42" s="159">
        <f>H42*(INDEX('Ex post LI &amp; Eligibility Stats'!$A$6:$N$16,MATCH($A42,'Ex post LI &amp; Eligibility Stats'!$A$6:$A$16,0),MATCH('Program MW '!I$28,'Ex post LI &amp; Eligibility Stats'!$A$6:$N$6,0))/1000)</f>
        <v>0</v>
      </c>
      <c r="K42" s="33">
        <v>1309</v>
      </c>
      <c r="L42" s="159">
        <f>K42*(INDEX('Ex ante LI &amp; Eligibility Stats'!$A$5:$M$15,MATCH($A42,'Ex ante LI &amp; Eligibility Stats'!$A$5:$A$15,0),MATCH('Program MW '!L$28,'Ex ante LI &amp; Eligibility Stats'!$A$5:$M$5,0))/1000)</f>
        <v>7.7578464106844741E-2</v>
      </c>
      <c r="M42" s="159">
        <f>K42*(INDEX('Ex post LI &amp; Eligibility Stats'!$A$6:$N$16,MATCH($A42,'Ex post LI &amp; Eligibility Stats'!$A$6:$A$16,0),MATCH('Program MW '!L$28,'Ex post LI &amp; Eligibility Stats'!$A$6:$N$6,0))/1000)</f>
        <v>0</v>
      </c>
      <c r="N42" s="33">
        <v>1619</v>
      </c>
      <c r="O42" s="159">
        <f>N42*(INDEX('Ex ante LI &amp; Eligibility Stats'!$A$5:$M$15,MATCH($A42,'Ex ante LI &amp; Eligibility Stats'!$A$5:$A$15,0),MATCH('Program MW '!O$28,'Ex ante LI &amp; Eligibility Stats'!$A$5:$M$5,0))/1000)</f>
        <v>9.5950751252086811E-2</v>
      </c>
      <c r="P42" s="159"/>
      <c r="Q42" s="464">
        <v>1758</v>
      </c>
      <c r="R42" s="465">
        <f>Q42*(INDEX('Ex ante LI &amp; Eligibility Stats'!$A$5:$M$15,MATCH($A42,'Ex ante LI &amp; Eligibility Stats'!$A$5:$A$15,0),MATCH('Program MW '!R$28,'Ex ante LI &amp; Eligibility Stats'!$A$5:$M$5,0))/1000)</f>
        <v>0.10418864774624373</v>
      </c>
      <c r="S42" s="396"/>
      <c r="T42" s="456"/>
      <c r="U42" s="68"/>
    </row>
    <row r="43" spans="1:26" s="62" customFormat="1" ht="13.5" thickBot="1" x14ac:dyDescent="0.25">
      <c r="A43" s="34" t="s">
        <v>34</v>
      </c>
      <c r="B43" s="70">
        <f>SUM(B34:B42)</f>
        <v>102410</v>
      </c>
      <c r="C43" s="38">
        <f t="shared" ref="C43:S43" si="4">SUM(C34:C41)</f>
        <v>61.863487796770706</v>
      </c>
      <c r="D43" s="37">
        <f t="shared" si="4"/>
        <v>67.966807732302158</v>
      </c>
      <c r="E43" s="70">
        <f>SUM(E34:E42)</f>
        <v>109818</v>
      </c>
      <c r="F43" s="38">
        <f t="shared" si="4"/>
        <v>61.042129480831584</v>
      </c>
      <c r="G43" s="37">
        <f t="shared" si="4"/>
        <v>68.630576026396497</v>
      </c>
      <c r="H43" s="70">
        <f>SUM(H34:H42)</f>
        <v>114329</v>
      </c>
      <c r="I43" s="38">
        <f t="shared" si="4"/>
        <v>71.164802903558453</v>
      </c>
      <c r="J43" s="37">
        <f t="shared" si="4"/>
        <v>68.90183767753993</v>
      </c>
      <c r="K43" s="70">
        <f>SUM(K34:K42)</f>
        <v>116937</v>
      </c>
      <c r="L43" s="38">
        <f t="shared" si="4"/>
        <v>55.632082199937607</v>
      </c>
      <c r="M43" s="37">
        <f t="shared" si="4"/>
        <v>68.323783883835034</v>
      </c>
      <c r="N43" s="70">
        <f t="shared" si="4"/>
        <v>118269</v>
      </c>
      <c r="O43" s="38">
        <f t="shared" si="4"/>
        <v>16.304329213847687</v>
      </c>
      <c r="P43" s="37">
        <f t="shared" si="4"/>
        <v>68.830405212412074</v>
      </c>
      <c r="Q43" s="70">
        <f>SUM(Q34:Q42)</f>
        <v>120166</v>
      </c>
      <c r="R43" s="38">
        <f t="shared" si="4"/>
        <v>10.631301690657391</v>
      </c>
      <c r="S43" s="37">
        <f t="shared" si="4"/>
        <v>69.041303113347439</v>
      </c>
      <c r="T43" s="53"/>
      <c r="U43" s="68"/>
    </row>
    <row r="44" spans="1:26" ht="14.25" thickTop="1" thickBot="1" x14ac:dyDescent="0.25">
      <c r="A44" s="48" t="s">
        <v>23</v>
      </c>
      <c r="B44" s="51">
        <f t="shared" ref="B44:S44" si="5">+B32+B43</f>
        <v>102416</v>
      </c>
      <c r="C44" s="71">
        <f t="shared" si="5"/>
        <v>62.191375142225255</v>
      </c>
      <c r="D44" s="52">
        <f t="shared" si="5"/>
        <v>68.403171368665795</v>
      </c>
      <c r="E44" s="51">
        <f t="shared" si="5"/>
        <v>109825</v>
      </c>
      <c r="F44" s="71">
        <f t="shared" si="5"/>
        <v>61.362436099013401</v>
      </c>
      <c r="G44" s="52">
        <f t="shared" si="5"/>
        <v>69.066939662760134</v>
      </c>
      <c r="H44" s="51">
        <f t="shared" si="5"/>
        <v>114335</v>
      </c>
      <c r="I44" s="71">
        <f t="shared" si="5"/>
        <v>71.469948503558456</v>
      </c>
      <c r="J44" s="52">
        <f t="shared" si="5"/>
        <v>69.338201313903568</v>
      </c>
      <c r="K44" s="51">
        <f t="shared" si="5"/>
        <v>116943</v>
      </c>
      <c r="L44" s="71">
        <f t="shared" si="5"/>
        <v>55.949829749937606</v>
      </c>
      <c r="M44" s="52">
        <f t="shared" si="5"/>
        <v>68.760147520198672</v>
      </c>
      <c r="N44" s="51">
        <f t="shared" si="5"/>
        <v>118275</v>
      </c>
      <c r="O44" s="71">
        <f t="shared" si="5"/>
        <v>16.571062713847688</v>
      </c>
      <c r="P44" s="52">
        <f t="shared" si="5"/>
        <v>69.266768848775712</v>
      </c>
      <c r="Q44" s="72">
        <f t="shared" si="5"/>
        <v>120171</v>
      </c>
      <c r="R44" s="71">
        <f t="shared" si="5"/>
        <v>10.796602940657392</v>
      </c>
      <c r="S44" s="52">
        <f t="shared" si="5"/>
        <v>69.404939476983799</v>
      </c>
      <c r="T44" s="59"/>
      <c r="U44" s="73"/>
    </row>
    <row r="45" spans="1:26" ht="13.5" thickTop="1" x14ac:dyDescent="0.2">
      <c r="A45" s="54"/>
      <c r="B45" s="74"/>
      <c r="C45" s="74"/>
      <c r="D45" s="44"/>
      <c r="E45" s="74"/>
      <c r="F45" s="74"/>
      <c r="G45" s="74"/>
      <c r="H45" s="44"/>
      <c r="I45" s="74"/>
      <c r="J45" s="74"/>
      <c r="K45" s="74"/>
      <c r="L45" s="74"/>
      <c r="M45" s="44"/>
      <c r="N45" s="74"/>
      <c r="O45" s="74"/>
      <c r="P45" s="74"/>
      <c r="Q45" s="44"/>
      <c r="R45" s="74"/>
      <c r="S45" s="74"/>
      <c r="T45" s="74"/>
      <c r="U45" s="44"/>
      <c r="V45" s="74"/>
      <c r="W45" s="74"/>
      <c r="X45" s="47"/>
      <c r="Y45" s="75"/>
      <c r="Z45" s="75"/>
    </row>
    <row r="46" spans="1:26" ht="15" x14ac:dyDescent="0.25">
      <c r="A46" s="54"/>
      <c r="B46" s="44"/>
      <c r="C46" s="44"/>
      <c r="D46" s="44"/>
      <c r="E46" s="74"/>
      <c r="F46" s="44"/>
      <c r="G46" s="74"/>
      <c r="H46" s="74"/>
      <c r="I46" s="44"/>
      <c r="J46" s="44"/>
      <c r="K46" s="74"/>
      <c r="L46" s="417"/>
      <c r="M46" s="44"/>
      <c r="N46" s="44"/>
      <c r="O46" s="44"/>
      <c r="P46" s="155"/>
      <c r="Q46" s="44"/>
      <c r="R46" s="44"/>
      <c r="S46" s="44"/>
      <c r="T46" s="74"/>
      <c r="U46" s="44"/>
      <c r="V46" s="44"/>
      <c r="W46" s="74"/>
      <c r="X46" s="47"/>
      <c r="Y46" s="47"/>
      <c r="Z46" s="75"/>
    </row>
    <row r="47" spans="1:26" ht="15" x14ac:dyDescent="0.25">
      <c r="A47" s="326" t="s">
        <v>25</v>
      </c>
      <c r="B47" s="76"/>
      <c r="C47" s="76"/>
      <c r="D47" s="76"/>
      <c r="E47" s="76"/>
      <c r="F47" s="154"/>
      <c r="G47" s="76"/>
      <c r="H47" s="154"/>
      <c r="I47" s="76"/>
      <c r="J47" s="76"/>
      <c r="K47" s="76"/>
      <c r="L47" s="76"/>
      <c r="M47" s="76"/>
      <c r="N47" s="76"/>
      <c r="O47" s="76"/>
      <c r="P47" s="15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x14ac:dyDescent="0.2">
      <c r="A48" s="474" t="s">
        <v>156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</row>
    <row r="49" spans="1:26" x14ac:dyDescent="0.2">
      <c r="A49" s="471" t="s">
        <v>161</v>
      </c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x14ac:dyDescent="0.2">
      <c r="A50" s="473"/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ht="27.75" customHeight="1" x14ac:dyDescent="0.2">
      <c r="A51" s="472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x14ac:dyDescent="0.2">
      <c r="A52" s="469" t="s">
        <v>281</v>
      </c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25.5" customHeight="1" x14ac:dyDescent="0.2">
      <c r="A53" s="470"/>
      <c r="B53" s="470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8"/>
      <c r="U54" s="78"/>
      <c r="V54" s="78"/>
      <c r="W54" s="78"/>
      <c r="X54" s="78"/>
      <c r="Y54" s="78"/>
      <c r="Z54" s="78"/>
    </row>
    <row r="55" spans="1:26" ht="6" customHeight="1" x14ac:dyDescent="0.2">
      <c r="A55" s="467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</row>
    <row r="56" spans="1:26" ht="87.75" customHeight="1" x14ac:dyDescent="0.2">
      <c r="A56" s="468"/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</row>
    <row r="58" spans="1:26" x14ac:dyDescent="0.2">
      <c r="A58" s="80"/>
    </row>
    <row r="59" spans="1:26" x14ac:dyDescent="0.2">
      <c r="A59" s="78"/>
    </row>
  </sheetData>
  <mergeCells count="4">
    <mergeCell ref="A55:N56"/>
    <mergeCell ref="A52:N53"/>
    <mergeCell ref="A49:N51"/>
    <mergeCell ref="A48:Z48"/>
  </mergeCells>
  <phoneticPr fontId="0" type="noConversion"/>
  <printOptions horizontalCentered="1"/>
  <pageMargins left="0" right="0" top="0.8" bottom="0.17" header="0.3" footer="0.15"/>
  <pageSetup scale="51" orientation="landscape" cellComments="atEnd" r:id="rId1"/>
  <headerFooter alignWithMargins="0">
    <oddHeader>&amp;C&amp;"Arial,Bold"San Diego Gas and Electric
Interruptible and Price Responsive Programs
 Subscription Statistics - Enrolled MW
DECEMBER 2014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6"/>
  <sheetViews>
    <sheetView showGridLines="0" view="pageBreakPreview" topLeftCell="A2" zoomScale="75" zoomScaleNormal="100" zoomScaleSheetLayoutView="75" workbookViewId="0">
      <pane xSplit="1" ySplit="2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B10" sqref="B10"/>
    </sheetView>
  </sheetViews>
  <sheetFormatPr defaultColWidth="9.140625" defaultRowHeight="12.75" x14ac:dyDescent="0.2"/>
  <cols>
    <col min="1" max="1" width="39.42578125" style="193" customWidth="1"/>
    <col min="2" max="2" width="11" style="193" customWidth="1"/>
    <col min="3" max="3" width="9.7109375" style="193" customWidth="1"/>
    <col min="4" max="4" width="11" style="193" customWidth="1"/>
    <col min="5" max="5" width="11.7109375" style="193" customWidth="1"/>
    <col min="6" max="8" width="11" style="193" customWidth="1"/>
    <col min="9" max="9" width="3.85546875" style="193" customWidth="1"/>
    <col min="10" max="10" width="10.28515625" style="193" bestFit="1" customWidth="1"/>
    <col min="11" max="11" width="2.85546875" style="193" bestFit="1" customWidth="1"/>
    <col min="12" max="12" width="11" style="193" customWidth="1"/>
    <col min="13" max="13" width="3.42578125" style="193" bestFit="1" customWidth="1"/>
    <col min="14" max="16" width="11" style="193" customWidth="1"/>
    <col min="17" max="17" width="15.7109375" style="193" bestFit="1" customWidth="1"/>
    <col min="18" max="18" width="9.7109375" style="193" bestFit="1" customWidth="1"/>
    <col min="19" max="19" width="9.140625" style="193"/>
    <col min="20" max="20" width="22.28515625" style="193" customWidth="1"/>
    <col min="21" max="16384" width="9.140625" style="193"/>
  </cols>
  <sheetData>
    <row r="2" spans="1:18" ht="13.5" thickBot="1" x14ac:dyDescent="0.25">
      <c r="A2" s="284"/>
    </row>
    <row r="3" spans="1:18" ht="31.7" customHeight="1" x14ac:dyDescent="0.2">
      <c r="A3" s="285" t="s">
        <v>17</v>
      </c>
      <c r="B3" s="286" t="s">
        <v>0</v>
      </c>
      <c r="C3" s="286" t="s">
        <v>1</v>
      </c>
      <c r="D3" s="286" t="s">
        <v>2</v>
      </c>
      <c r="E3" s="286" t="s">
        <v>3</v>
      </c>
      <c r="F3" s="286" t="s">
        <v>4</v>
      </c>
      <c r="G3" s="286" t="s">
        <v>5</v>
      </c>
      <c r="H3" s="286" t="s">
        <v>6</v>
      </c>
      <c r="I3" s="286"/>
      <c r="J3" s="286" t="s">
        <v>7</v>
      </c>
      <c r="K3" s="286"/>
      <c r="L3" s="286" t="s">
        <v>8</v>
      </c>
      <c r="M3" s="286"/>
      <c r="N3" s="286" t="s">
        <v>9</v>
      </c>
      <c r="O3" s="286" t="s">
        <v>10</v>
      </c>
      <c r="P3" s="286" t="s">
        <v>11</v>
      </c>
      <c r="Q3" s="287" t="s">
        <v>16</v>
      </c>
    </row>
    <row r="4" spans="1:18" ht="16.5" x14ac:dyDescent="0.25">
      <c r="A4" s="288" t="s">
        <v>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0"/>
    </row>
    <row r="5" spans="1:18" ht="6" customHeight="1" x14ac:dyDescent="0.2">
      <c r="A5" s="291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90"/>
    </row>
    <row r="6" spans="1:18" x14ac:dyDescent="0.2">
      <c r="A6" s="291" t="s">
        <v>78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90"/>
    </row>
    <row r="7" spans="1:18" x14ac:dyDescent="0.2">
      <c r="A7" s="292" t="s">
        <v>79</v>
      </c>
      <c r="B7" s="293">
        <v>0</v>
      </c>
      <c r="C7" s="293">
        <v>0</v>
      </c>
      <c r="D7" s="293">
        <v>0</v>
      </c>
      <c r="E7" s="293">
        <v>0</v>
      </c>
      <c r="F7" s="293">
        <v>0</v>
      </c>
      <c r="G7" s="293">
        <v>0</v>
      </c>
      <c r="H7" s="293">
        <v>0</v>
      </c>
      <c r="I7" s="293"/>
      <c r="J7" s="293">
        <v>0</v>
      </c>
      <c r="K7" s="293"/>
      <c r="L7" s="293">
        <v>0</v>
      </c>
      <c r="M7" s="293"/>
      <c r="N7" s="293">
        <v>0</v>
      </c>
      <c r="O7" s="293">
        <v>0</v>
      </c>
      <c r="P7" s="293">
        <v>0</v>
      </c>
      <c r="Q7" s="296">
        <f t="shared" ref="Q7:Q12" si="0">SUM(B7:P7)</f>
        <v>0</v>
      </c>
    </row>
    <row r="8" spans="1:18" ht="14.25" customHeight="1" x14ac:dyDescent="0.2">
      <c r="A8" s="292" t="s">
        <v>67</v>
      </c>
      <c r="B8" s="293">
        <v>9.6489999999999991</v>
      </c>
      <c r="C8" s="293">
        <v>10.776</v>
      </c>
      <c r="D8" s="293">
        <v>11.037000000000001</v>
      </c>
      <c r="E8" s="293">
        <v>13.5</v>
      </c>
      <c r="F8" s="293">
        <v>13.776</v>
      </c>
      <c r="G8" s="293">
        <v>9.6440000000000001</v>
      </c>
      <c r="H8" s="293">
        <v>12.529</v>
      </c>
      <c r="I8" s="293"/>
      <c r="J8" s="293">
        <v>13.885999999999999</v>
      </c>
      <c r="K8" s="293"/>
      <c r="L8" s="293">
        <v>5.1879999999999997</v>
      </c>
      <c r="M8" s="293"/>
      <c r="N8" s="293">
        <v>19.3</v>
      </c>
      <c r="O8" s="293">
        <v>13.597</v>
      </c>
      <c r="P8" s="293">
        <v>11.987</v>
      </c>
      <c r="Q8" s="296">
        <f t="shared" si="0"/>
        <v>144.869</v>
      </c>
    </row>
    <row r="9" spans="1:18" x14ac:dyDescent="0.2">
      <c r="A9" s="292" t="s">
        <v>28</v>
      </c>
      <c r="B9" s="293">
        <v>0</v>
      </c>
      <c r="C9" s="293">
        <v>0</v>
      </c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3"/>
      <c r="J9" s="293">
        <v>0</v>
      </c>
      <c r="K9" s="293"/>
      <c r="L9" s="293">
        <v>0</v>
      </c>
      <c r="M9" s="293"/>
      <c r="N9" s="293">
        <v>0</v>
      </c>
      <c r="O9" s="293">
        <v>0</v>
      </c>
      <c r="P9" s="293">
        <v>0</v>
      </c>
      <c r="Q9" s="296">
        <f t="shared" si="0"/>
        <v>0</v>
      </c>
    </row>
    <row r="10" spans="1:18" x14ac:dyDescent="0.2">
      <c r="A10" s="292" t="s">
        <v>80</v>
      </c>
      <c r="B10" s="293">
        <v>0.56899999999999995</v>
      </c>
      <c r="C10" s="293">
        <v>0.56699999999999995</v>
      </c>
      <c r="D10" s="293">
        <v>0.56799999999999995</v>
      </c>
      <c r="E10" s="293">
        <v>4.7</v>
      </c>
      <c r="F10" s="293">
        <v>4.7430000000000003</v>
      </c>
      <c r="G10" s="293">
        <v>2.8759999999999999</v>
      </c>
      <c r="H10" s="293">
        <v>2.5649999999999999</v>
      </c>
      <c r="I10" s="293"/>
      <c r="J10" s="293">
        <v>6.1059999999999999</v>
      </c>
      <c r="K10" s="293"/>
      <c r="L10" s="293">
        <v>4.6589999999999998</v>
      </c>
      <c r="M10" s="293"/>
      <c r="N10" s="293">
        <v>3.6</v>
      </c>
      <c r="O10" s="293">
        <v>-0.57999999999999996</v>
      </c>
      <c r="P10" s="293">
        <v>-11.67</v>
      </c>
      <c r="Q10" s="296">
        <f t="shared" si="0"/>
        <v>18.703000000000003</v>
      </c>
    </row>
    <row r="11" spans="1:18" x14ac:dyDescent="0.2">
      <c r="A11" s="292" t="s">
        <v>14</v>
      </c>
      <c r="B11" s="293">
        <v>0</v>
      </c>
      <c r="C11" s="293">
        <v>0</v>
      </c>
      <c r="D11" s="293">
        <v>0</v>
      </c>
      <c r="E11" s="293">
        <v>0</v>
      </c>
      <c r="F11" s="293">
        <v>0</v>
      </c>
      <c r="G11" s="293">
        <v>0</v>
      </c>
      <c r="H11" s="293">
        <v>0</v>
      </c>
      <c r="I11" s="293"/>
      <c r="J11" s="293">
        <v>0</v>
      </c>
      <c r="K11" s="293"/>
      <c r="L11" s="293">
        <v>0</v>
      </c>
      <c r="M11" s="293"/>
      <c r="N11" s="293">
        <v>0</v>
      </c>
      <c r="O11" s="293">
        <v>0</v>
      </c>
      <c r="P11" s="293">
        <v>0</v>
      </c>
      <c r="Q11" s="296">
        <f t="shared" si="0"/>
        <v>0</v>
      </c>
      <c r="R11" s="297"/>
    </row>
    <row r="12" spans="1:18" x14ac:dyDescent="0.2">
      <c r="A12" s="255" t="s">
        <v>81</v>
      </c>
      <c r="B12" s="298">
        <f t="shared" ref="B12:H12" si="1">SUM(B7:B11)</f>
        <v>10.218</v>
      </c>
      <c r="C12" s="298">
        <f t="shared" si="1"/>
        <v>11.343</v>
      </c>
      <c r="D12" s="298">
        <f t="shared" si="1"/>
        <v>11.605</v>
      </c>
      <c r="E12" s="298">
        <f t="shared" si="1"/>
        <v>18.2</v>
      </c>
      <c r="F12" s="298">
        <f t="shared" si="1"/>
        <v>18.518999999999998</v>
      </c>
      <c r="G12" s="298">
        <f t="shared" si="1"/>
        <v>12.52</v>
      </c>
      <c r="H12" s="298">
        <f t="shared" si="1"/>
        <v>15.093999999999999</v>
      </c>
      <c r="I12" s="298"/>
      <c r="J12" s="298">
        <f>SUM(J7:J11)</f>
        <v>19.991999999999997</v>
      </c>
      <c r="K12" s="298"/>
      <c r="L12" s="298">
        <f>SUM(L7:L11)</f>
        <v>9.8469999999999995</v>
      </c>
      <c r="M12" s="298"/>
      <c r="N12" s="298">
        <f>SUM(N7:N11)</f>
        <v>22.900000000000002</v>
      </c>
      <c r="O12" s="298">
        <f>SUM(O7:O11)</f>
        <v>13.016999999999999</v>
      </c>
      <c r="P12" s="298">
        <f>SUM(P7:P11)</f>
        <v>0.31700000000000017</v>
      </c>
      <c r="Q12" s="299">
        <f t="shared" si="0"/>
        <v>163.57199999999997</v>
      </c>
    </row>
    <row r="13" spans="1:18" x14ac:dyDescent="0.2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6"/>
    </row>
    <row r="14" spans="1:18" x14ac:dyDescent="0.2">
      <c r="A14" s="291" t="s">
        <v>82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6"/>
    </row>
    <row r="15" spans="1:18" x14ac:dyDescent="0.2">
      <c r="A15" s="292" t="s">
        <v>83</v>
      </c>
      <c r="B15" s="293">
        <v>0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/>
      <c r="J15" s="293">
        <v>0</v>
      </c>
      <c r="K15" s="293"/>
      <c r="L15" s="293">
        <v>0</v>
      </c>
      <c r="M15" s="293"/>
      <c r="N15" s="293">
        <v>0</v>
      </c>
      <c r="O15" s="293">
        <v>0</v>
      </c>
      <c r="P15" s="293">
        <v>0</v>
      </c>
      <c r="Q15" s="296">
        <f>SUM(B15:P15)</f>
        <v>0</v>
      </c>
    </row>
    <row r="16" spans="1:18" x14ac:dyDescent="0.2">
      <c r="A16" s="255" t="s">
        <v>84</v>
      </c>
      <c r="B16" s="298">
        <f t="shared" ref="B16:H16" si="2">SUM(B15:B15)</f>
        <v>0</v>
      </c>
      <c r="C16" s="298">
        <f t="shared" si="2"/>
        <v>0</v>
      </c>
      <c r="D16" s="298">
        <f t="shared" si="2"/>
        <v>0</v>
      </c>
      <c r="E16" s="298">
        <f t="shared" si="2"/>
        <v>0</v>
      </c>
      <c r="F16" s="298">
        <f t="shared" si="2"/>
        <v>0</v>
      </c>
      <c r="G16" s="298">
        <f t="shared" si="2"/>
        <v>0</v>
      </c>
      <c r="H16" s="298">
        <f t="shared" si="2"/>
        <v>0</v>
      </c>
      <c r="I16" s="298"/>
      <c r="J16" s="298">
        <f>SUM(J15:J15)</f>
        <v>0</v>
      </c>
      <c r="K16" s="298"/>
      <c r="L16" s="298">
        <f>SUM(L15:L15)</f>
        <v>0</v>
      </c>
      <c r="M16" s="298"/>
      <c r="N16" s="298">
        <f>SUM(N15:N15)</f>
        <v>0</v>
      </c>
      <c r="O16" s="298">
        <f>SUM(O15:O15)</f>
        <v>0</v>
      </c>
      <c r="P16" s="298">
        <f>SUM(P15:P15)</f>
        <v>0</v>
      </c>
      <c r="Q16" s="299">
        <f>SUM(B16:P16)</f>
        <v>0</v>
      </c>
    </row>
    <row r="17" spans="1:22" x14ac:dyDescent="0.2">
      <c r="A17" s="270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300"/>
    </row>
    <row r="18" spans="1:22" x14ac:dyDescent="0.2">
      <c r="A18" s="291" t="s">
        <v>85</v>
      </c>
      <c r="B18" s="293" t="s">
        <v>13</v>
      </c>
      <c r="C18" s="293" t="s">
        <v>13</v>
      </c>
      <c r="D18" s="293" t="s">
        <v>13</v>
      </c>
      <c r="E18" s="293"/>
      <c r="F18" s="293" t="s">
        <v>13</v>
      </c>
      <c r="G18" s="289"/>
      <c r="H18" s="293" t="s">
        <v>13</v>
      </c>
      <c r="I18" s="293"/>
      <c r="J18" s="293" t="s">
        <v>13</v>
      </c>
      <c r="K18" s="293"/>
      <c r="L18" s="293" t="s">
        <v>13</v>
      </c>
      <c r="M18" s="293"/>
      <c r="N18" s="293" t="s">
        <v>13</v>
      </c>
      <c r="O18" s="293" t="s">
        <v>13</v>
      </c>
      <c r="P18" s="293" t="s">
        <v>13</v>
      </c>
      <c r="Q18" s="296" t="s">
        <v>13</v>
      </c>
    </row>
    <row r="19" spans="1:22" x14ac:dyDescent="0.2">
      <c r="A19" s="292" t="s">
        <v>86</v>
      </c>
      <c r="B19" s="294">
        <v>0</v>
      </c>
      <c r="C19" s="293">
        <v>0</v>
      </c>
      <c r="D19" s="293">
        <v>0</v>
      </c>
      <c r="E19" s="293">
        <v>0</v>
      </c>
      <c r="F19" s="293">
        <v>0</v>
      </c>
      <c r="G19" s="293">
        <v>0</v>
      </c>
      <c r="H19" s="294">
        <v>0</v>
      </c>
      <c r="I19" s="294"/>
      <c r="J19" s="295">
        <v>0</v>
      </c>
      <c r="K19" s="295"/>
      <c r="L19" s="301">
        <v>0</v>
      </c>
      <c r="M19" s="301"/>
      <c r="N19" s="295">
        <v>0</v>
      </c>
      <c r="O19" s="301">
        <v>0</v>
      </c>
      <c r="P19" s="295">
        <v>0</v>
      </c>
      <c r="Q19" s="296">
        <f>SUM(B19:P19)</f>
        <v>0</v>
      </c>
    </row>
    <row r="20" spans="1:22" x14ac:dyDescent="0.2">
      <c r="A20" s="267" t="s">
        <v>87</v>
      </c>
      <c r="B20" s="298">
        <f t="shared" ref="B20:H20" si="3">SUM(B19:B19)</f>
        <v>0</v>
      </c>
      <c r="C20" s="298">
        <f t="shared" si="3"/>
        <v>0</v>
      </c>
      <c r="D20" s="298">
        <f t="shared" si="3"/>
        <v>0</v>
      </c>
      <c r="E20" s="298">
        <f t="shared" si="3"/>
        <v>0</v>
      </c>
      <c r="F20" s="298">
        <f t="shared" si="3"/>
        <v>0</v>
      </c>
      <c r="G20" s="298">
        <f t="shared" si="3"/>
        <v>0</v>
      </c>
      <c r="H20" s="298">
        <f t="shared" si="3"/>
        <v>0</v>
      </c>
      <c r="I20" s="298"/>
      <c r="J20" s="298">
        <f>SUM(J19:J19)</f>
        <v>0</v>
      </c>
      <c r="K20" s="298"/>
      <c r="L20" s="298">
        <f>SUM(L19:L19)</f>
        <v>0</v>
      </c>
      <c r="M20" s="298"/>
      <c r="N20" s="298">
        <f>SUM(N19:N19)</f>
        <v>0</v>
      </c>
      <c r="O20" s="298">
        <f>SUM(O19:O19)</f>
        <v>0</v>
      </c>
      <c r="P20" s="298">
        <f>SUM(P19:P19)</f>
        <v>0</v>
      </c>
      <c r="Q20" s="299">
        <f>SUM(B20:P20)</f>
        <v>0</v>
      </c>
    </row>
    <row r="21" spans="1:22" x14ac:dyDescent="0.2">
      <c r="A21" s="302"/>
      <c r="B21" s="294"/>
      <c r="C21" s="294"/>
      <c r="D21" s="294"/>
      <c r="E21" s="294"/>
      <c r="F21" s="294"/>
      <c r="G21" s="303"/>
      <c r="H21" s="294"/>
      <c r="I21" s="294"/>
      <c r="J21" s="303"/>
      <c r="K21" s="294"/>
      <c r="L21" s="294"/>
      <c r="M21" s="294"/>
      <c r="N21" s="294"/>
      <c r="O21" s="303"/>
      <c r="P21" s="294"/>
      <c r="Q21" s="300"/>
    </row>
    <row r="22" spans="1:22" x14ac:dyDescent="0.2">
      <c r="A22" s="304" t="s">
        <v>88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300"/>
    </row>
    <row r="23" spans="1:22" x14ac:dyDescent="0.2">
      <c r="A23" s="292" t="s">
        <v>89</v>
      </c>
      <c r="B23" s="301">
        <v>0</v>
      </c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/>
      <c r="J23" s="301">
        <v>0</v>
      </c>
      <c r="K23" s="301"/>
      <c r="L23" s="301">
        <v>0</v>
      </c>
      <c r="M23" s="301"/>
      <c r="N23" s="301">
        <v>0</v>
      </c>
      <c r="O23" s="301">
        <v>0</v>
      </c>
      <c r="P23" s="301">
        <v>0</v>
      </c>
      <c r="Q23" s="300">
        <f>SUM(B23:P23)</f>
        <v>0</v>
      </c>
    </row>
    <row r="24" spans="1:22" x14ac:dyDescent="0.2">
      <c r="A24" s="292" t="s">
        <v>12</v>
      </c>
      <c r="B24" s="301">
        <v>0</v>
      </c>
      <c r="C24" s="301">
        <v>0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/>
      <c r="J24" s="301">
        <v>0</v>
      </c>
      <c r="K24" s="301"/>
      <c r="L24" s="301">
        <v>0</v>
      </c>
      <c r="M24" s="301"/>
      <c r="N24" s="301">
        <v>0</v>
      </c>
      <c r="O24" s="301">
        <v>0</v>
      </c>
      <c r="P24" s="301">
        <v>0</v>
      </c>
      <c r="Q24" s="300">
        <f>SUM(B24:P24)</f>
        <v>0</v>
      </c>
    </row>
    <row r="25" spans="1:22" x14ac:dyDescent="0.2">
      <c r="A25" s="292" t="s">
        <v>28</v>
      </c>
      <c r="B25" s="301">
        <v>0</v>
      </c>
      <c r="C25" s="301">
        <v>0</v>
      </c>
      <c r="D25" s="301">
        <v>0</v>
      </c>
      <c r="E25" s="301">
        <v>0</v>
      </c>
      <c r="F25" s="301">
        <v>0</v>
      </c>
      <c r="G25" s="301">
        <v>0</v>
      </c>
      <c r="H25" s="301">
        <v>0</v>
      </c>
      <c r="I25" s="301"/>
      <c r="J25" s="301">
        <v>0</v>
      </c>
      <c r="K25" s="301"/>
      <c r="L25" s="301">
        <v>0</v>
      </c>
      <c r="M25" s="301"/>
      <c r="N25" s="301">
        <v>0</v>
      </c>
      <c r="O25" s="301">
        <v>0</v>
      </c>
      <c r="P25" s="301">
        <v>0</v>
      </c>
      <c r="Q25" s="300">
        <f>SUM(B25:P25)</f>
        <v>0</v>
      </c>
    </row>
    <row r="26" spans="1:22" x14ac:dyDescent="0.2">
      <c r="A26" s="292" t="s">
        <v>80</v>
      </c>
      <c r="B26" s="301">
        <v>0</v>
      </c>
      <c r="C26" s="301">
        <v>0</v>
      </c>
      <c r="D26" s="301">
        <v>0</v>
      </c>
      <c r="E26" s="301">
        <v>0</v>
      </c>
      <c r="F26" s="301">
        <v>0</v>
      </c>
      <c r="G26" s="301">
        <v>0</v>
      </c>
      <c r="H26" s="301">
        <v>0</v>
      </c>
      <c r="I26" s="301"/>
      <c r="J26" s="301">
        <v>0</v>
      </c>
      <c r="K26" s="301"/>
      <c r="L26" s="301">
        <v>0</v>
      </c>
      <c r="M26" s="301"/>
      <c r="N26" s="301">
        <v>0</v>
      </c>
      <c r="O26" s="301">
        <v>0</v>
      </c>
      <c r="P26" s="305">
        <v>0</v>
      </c>
      <c r="Q26" s="300">
        <f>SUM(B26:P26)</f>
        <v>0</v>
      </c>
    </row>
    <row r="27" spans="1:22" x14ac:dyDescent="0.2">
      <c r="A27" s="306" t="s">
        <v>90</v>
      </c>
      <c r="B27" s="298">
        <f t="shared" ref="B27:H27" si="4">SUM(B23:B26)</f>
        <v>0</v>
      </c>
      <c r="C27" s="298">
        <f t="shared" si="4"/>
        <v>0</v>
      </c>
      <c r="D27" s="298">
        <f t="shared" si="4"/>
        <v>0</v>
      </c>
      <c r="E27" s="298">
        <f t="shared" si="4"/>
        <v>0</v>
      </c>
      <c r="F27" s="298">
        <f t="shared" si="4"/>
        <v>0</v>
      </c>
      <c r="G27" s="298">
        <f t="shared" si="4"/>
        <v>0</v>
      </c>
      <c r="H27" s="298">
        <f t="shared" si="4"/>
        <v>0</v>
      </c>
      <c r="I27" s="298"/>
      <c r="J27" s="298">
        <f>SUM(J22:J26)</f>
        <v>0</v>
      </c>
      <c r="K27" s="298"/>
      <c r="L27" s="298">
        <f>SUM(L23:L26)</f>
        <v>0</v>
      </c>
      <c r="M27" s="298"/>
      <c r="N27" s="298">
        <f>SUM(N23:N26)</f>
        <v>0</v>
      </c>
      <c r="O27" s="298">
        <f>SUM(O23:O26)</f>
        <v>0</v>
      </c>
      <c r="P27" s="298">
        <f>SUM(P23:P26)</f>
        <v>0</v>
      </c>
      <c r="Q27" s="299">
        <f>SUM(B27:P27)</f>
        <v>0</v>
      </c>
      <c r="R27" s="297"/>
    </row>
    <row r="28" spans="1:22" ht="10.15" customHeight="1" x14ac:dyDescent="0.2">
      <c r="A28" s="307"/>
      <c r="B28" s="303"/>
      <c r="C28" s="303"/>
      <c r="D28" s="303"/>
      <c r="E28" s="303"/>
      <c r="F28" s="303"/>
      <c r="G28" s="303"/>
      <c r="H28" s="303"/>
      <c r="I28" s="303"/>
      <c r="J28" s="303"/>
      <c r="K28" s="298"/>
      <c r="L28" s="303"/>
      <c r="M28" s="298"/>
      <c r="N28" s="303"/>
      <c r="O28" s="303"/>
      <c r="P28" s="303"/>
      <c r="Q28" s="308"/>
    </row>
    <row r="29" spans="1:22" ht="15" customHeight="1" x14ac:dyDescent="0.2">
      <c r="A29" s="309" t="s">
        <v>91</v>
      </c>
      <c r="B29" s="310">
        <v>0</v>
      </c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1"/>
      <c r="J29" s="310">
        <v>0</v>
      </c>
      <c r="K29" s="312"/>
      <c r="L29" s="298">
        <v>0</v>
      </c>
      <c r="M29" s="312"/>
      <c r="N29" s="298">
        <v>0</v>
      </c>
      <c r="O29" s="313">
        <v>0</v>
      </c>
      <c r="P29" s="314">
        <v>0</v>
      </c>
      <c r="Q29" s="315">
        <f>SUM(B29:P29)</f>
        <v>0</v>
      </c>
      <c r="R29" s="301"/>
      <c r="S29" s="301"/>
      <c r="T29" s="301"/>
      <c r="U29" s="301"/>
      <c r="V29" s="316"/>
    </row>
    <row r="30" spans="1:22" ht="28.15" customHeight="1" thickBot="1" x14ac:dyDescent="0.25">
      <c r="A30" s="278" t="s">
        <v>92</v>
      </c>
      <c r="B30" s="317">
        <f t="shared" ref="B30:H30" si="5">B12+B16+B20+B27+B29</f>
        <v>10.218</v>
      </c>
      <c r="C30" s="317">
        <f t="shared" si="5"/>
        <v>11.343</v>
      </c>
      <c r="D30" s="317">
        <f t="shared" si="5"/>
        <v>11.605</v>
      </c>
      <c r="E30" s="317">
        <f t="shared" si="5"/>
        <v>18.2</v>
      </c>
      <c r="F30" s="317">
        <f t="shared" si="5"/>
        <v>18.518999999999998</v>
      </c>
      <c r="G30" s="317">
        <f t="shared" si="5"/>
        <v>12.52</v>
      </c>
      <c r="H30" s="317">
        <f t="shared" si="5"/>
        <v>15.093999999999999</v>
      </c>
      <c r="I30" s="317"/>
      <c r="J30" s="317">
        <f>J12+J16+J20+J27+J29</f>
        <v>19.991999999999997</v>
      </c>
      <c r="K30" s="317"/>
      <c r="L30" s="317">
        <f>L12+L16+L20+L27+L29</f>
        <v>9.8469999999999995</v>
      </c>
      <c r="M30" s="317"/>
      <c r="N30" s="317">
        <f>N12+N16+N20+N27+N29</f>
        <v>22.900000000000002</v>
      </c>
      <c r="O30" s="317">
        <f>O12+O16+O20+O27+O29</f>
        <v>13.016999999999999</v>
      </c>
      <c r="P30" s="317">
        <f>P12+P16+P20+P27+P29</f>
        <v>0.31700000000000017</v>
      </c>
      <c r="Q30" s="318">
        <f>SUM(B30:P30)</f>
        <v>163.57199999999997</v>
      </c>
      <c r="R30" s="297"/>
    </row>
    <row r="31" spans="1:22" ht="11.45" customHeight="1" x14ac:dyDescent="0.2">
      <c r="A31" s="319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</row>
    <row r="32" spans="1:22" ht="11.45" customHeight="1" x14ac:dyDescent="0.2">
      <c r="A32" s="321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</row>
    <row r="33" spans="1:17" ht="11.45" customHeight="1" x14ac:dyDescent="0.2">
      <c r="A33" s="492" t="s">
        <v>93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</row>
    <row r="34" spans="1:17" x14ac:dyDescent="0.2">
      <c r="A34" s="253"/>
    </row>
    <row r="36" spans="1:17" x14ac:dyDescent="0.2">
      <c r="H36" s="297"/>
    </row>
  </sheetData>
  <mergeCells count="1">
    <mergeCell ref="A33:Q33"/>
  </mergeCells>
  <printOptions horizontalCentered="1" verticalCentered="1"/>
  <pageMargins left="0.25" right="0.25" top="0.75" bottom="0.5" header="0.3" footer="0.5"/>
  <pageSetup scale="69" orientation="landscape" r:id="rId1"/>
  <headerFooter alignWithMargins="0">
    <oddHeader xml:space="preserve">&amp;C&amp;"Arial,Bold"SDGE GRC Programs
2014 
$000
&amp;"Arial,Regular"
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9"/>
  <sheetViews>
    <sheetView view="pageBreakPreview" zoomScaleNormal="100" zoomScaleSheetLayoutView="100" workbookViewId="0">
      <selection activeCell="A6" sqref="A6:A15"/>
    </sheetView>
  </sheetViews>
  <sheetFormatPr defaultColWidth="9.140625" defaultRowHeight="12.75" x14ac:dyDescent="0.2"/>
  <cols>
    <col min="1" max="1" width="40.42578125" style="4" customWidth="1"/>
    <col min="2" max="2" width="11.140625" style="4" customWidth="1"/>
    <col min="3" max="3" width="10" style="4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04" customWidth="1"/>
    <col min="15" max="15" width="66.85546875" style="4" customWidth="1"/>
    <col min="16" max="16" width="15" style="4" bestFit="1" customWidth="1"/>
    <col min="17" max="17" width="11.140625" style="4" customWidth="1"/>
    <col min="18" max="18" width="9.85546875" style="4" bestFit="1" customWidth="1"/>
    <col min="19" max="19" width="10.85546875" style="4" customWidth="1"/>
    <col min="20" max="20" width="12.140625" style="4" bestFit="1" customWidth="1"/>
    <col min="21" max="21" width="12.140625" style="4" customWidth="1"/>
    <col min="22" max="22" width="9.5703125" style="4" bestFit="1" customWidth="1"/>
    <col min="23" max="23" width="11.140625" style="4" customWidth="1"/>
    <col min="24" max="24" width="11.7109375" style="4" bestFit="1" customWidth="1"/>
    <col min="25" max="25" width="11.7109375" style="4" customWidth="1"/>
    <col min="26" max="16384" width="9.140625" style="4"/>
  </cols>
  <sheetData>
    <row r="1" spans="1:16" x14ac:dyDescent="0.2">
      <c r="A1" s="19"/>
    </row>
    <row r="4" spans="1:16" x14ac:dyDescent="0.2">
      <c r="A4" s="6"/>
      <c r="B4" s="475" t="s">
        <v>127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6" t="s">
        <v>229</v>
      </c>
      <c r="O4" s="6"/>
    </row>
    <row r="5" spans="1:16" ht="38.25" customHeight="1" x14ac:dyDescent="0.2">
      <c r="A5" s="83" t="s">
        <v>44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45</v>
      </c>
      <c r="J5" s="20" t="s">
        <v>46</v>
      </c>
      <c r="K5" s="20" t="s">
        <v>9</v>
      </c>
      <c r="L5" s="20" t="s">
        <v>47</v>
      </c>
      <c r="M5" s="20" t="s">
        <v>11</v>
      </c>
      <c r="N5" s="477"/>
      <c r="O5" s="82" t="s">
        <v>128</v>
      </c>
    </row>
    <row r="6" spans="1:16" ht="42.75" customHeight="1" x14ac:dyDescent="0.2">
      <c r="A6" s="495" t="s">
        <v>66</v>
      </c>
      <c r="B6" s="400">
        <v>94.894363636363636</v>
      </c>
      <c r="C6" s="400">
        <v>88.041827272727275</v>
      </c>
      <c r="D6" s="400">
        <v>96.583727272727273</v>
      </c>
      <c r="E6" s="400">
        <v>73.459327272727279</v>
      </c>
      <c r="F6" s="400">
        <v>81.496763636363625</v>
      </c>
      <c r="G6" s="400">
        <v>65.225336363636359</v>
      </c>
      <c r="H6" s="400">
        <v>54.647890909090904</v>
      </c>
      <c r="I6" s="400">
        <v>53.384436363636361</v>
      </c>
      <c r="J6" s="400">
        <v>50.857599999999991</v>
      </c>
      <c r="K6" s="400">
        <v>52.957925000000003</v>
      </c>
      <c r="L6" s="400">
        <v>44.45558333333333</v>
      </c>
      <c r="M6" s="400">
        <v>33.060249999999996</v>
      </c>
      <c r="N6" s="405">
        <v>5276</v>
      </c>
      <c r="O6" s="495" t="s">
        <v>72</v>
      </c>
    </row>
    <row r="7" spans="1:16" ht="41.25" customHeight="1" x14ac:dyDescent="0.2">
      <c r="A7" s="495" t="s">
        <v>67</v>
      </c>
      <c r="B7" s="399">
        <v>4.5184788097385029</v>
      </c>
      <c r="C7" s="399">
        <v>4.5508422001803428</v>
      </c>
      <c r="D7" s="399">
        <v>4.5108557258791704</v>
      </c>
      <c r="E7" s="399">
        <v>13.805256988277726</v>
      </c>
      <c r="F7" s="399">
        <v>13.18034265103697</v>
      </c>
      <c r="G7" s="408">
        <v>13.168196573489629</v>
      </c>
      <c r="H7" s="399">
        <v>14.71385933273219</v>
      </c>
      <c r="I7" s="399">
        <v>14.762714156898106</v>
      </c>
      <c r="J7" s="399">
        <v>15.39648331830478</v>
      </c>
      <c r="K7" s="399">
        <v>14.101127141568981</v>
      </c>
      <c r="L7" s="399">
        <v>5.2578124436429219</v>
      </c>
      <c r="M7" s="399">
        <v>4.4341848512173128</v>
      </c>
      <c r="N7" s="405">
        <v>138123</v>
      </c>
      <c r="O7" s="495" t="s">
        <v>73</v>
      </c>
    </row>
    <row r="8" spans="1:16" ht="41.25" customHeight="1" x14ac:dyDescent="0.2">
      <c r="A8" s="495" t="s">
        <v>68</v>
      </c>
      <c r="B8" s="399">
        <v>0</v>
      </c>
      <c r="C8" s="399">
        <v>0</v>
      </c>
      <c r="D8" s="399">
        <v>0</v>
      </c>
      <c r="E8" s="399">
        <v>0</v>
      </c>
      <c r="F8" s="399">
        <v>9.2601166774701371E-2</v>
      </c>
      <c r="G8" s="399">
        <v>0.18520233354940274</v>
      </c>
      <c r="H8" s="399">
        <v>0.37040466709880548</v>
      </c>
      <c r="I8" s="399">
        <v>0.27780350032410411</v>
      </c>
      <c r="J8" s="399">
        <v>0.4630058338735068</v>
      </c>
      <c r="K8" s="399">
        <v>0.27780350032410411</v>
      </c>
      <c r="L8" s="399">
        <v>0</v>
      </c>
      <c r="M8" s="399">
        <v>0</v>
      </c>
      <c r="N8" s="405">
        <v>663393.5</v>
      </c>
      <c r="O8" s="495" t="s">
        <v>75</v>
      </c>
      <c r="P8" s="1"/>
    </row>
    <row r="9" spans="1:16" ht="41.25" customHeight="1" x14ac:dyDescent="0.2">
      <c r="A9" s="495" t="s">
        <v>69</v>
      </c>
      <c r="B9" s="399">
        <v>0</v>
      </c>
      <c r="C9" s="399">
        <v>0</v>
      </c>
      <c r="D9" s="399">
        <v>0</v>
      </c>
      <c r="E9" s="399">
        <v>0</v>
      </c>
      <c r="F9" s="399">
        <v>0.14651477967840007</v>
      </c>
      <c r="G9" s="399">
        <v>0.18314347459800007</v>
      </c>
      <c r="H9" s="399">
        <v>0.43954433903520018</v>
      </c>
      <c r="I9" s="399">
        <v>0.43954433903520018</v>
      </c>
      <c r="J9" s="399">
        <v>0.58605911871360028</v>
      </c>
      <c r="K9" s="399">
        <v>0.29302955935680014</v>
      </c>
      <c r="L9" s="399">
        <v>0</v>
      </c>
      <c r="M9" s="399">
        <v>0</v>
      </c>
      <c r="N9" s="405">
        <v>157189</v>
      </c>
      <c r="O9" s="495" t="s">
        <v>76</v>
      </c>
      <c r="P9" s="1"/>
    </row>
    <row r="10" spans="1:16" ht="58.5" customHeight="1" x14ac:dyDescent="0.2">
      <c r="A10" s="495" t="s">
        <v>70</v>
      </c>
      <c r="B10" s="401">
        <v>0</v>
      </c>
      <c r="C10" s="401">
        <v>0</v>
      </c>
      <c r="D10" s="401">
        <v>0</v>
      </c>
      <c r="E10" s="401">
        <v>0</v>
      </c>
      <c r="F10" s="399">
        <v>61.386374165030084</v>
      </c>
      <c r="G10" s="399">
        <v>62.01837343328139</v>
      </c>
      <c r="H10" s="399">
        <v>56.196641921997077</v>
      </c>
      <c r="I10" s="399">
        <v>56.833503526799817</v>
      </c>
      <c r="J10" s="399">
        <v>50.852099586935601</v>
      </c>
      <c r="K10" s="399">
        <v>42.540105651406684</v>
      </c>
      <c r="L10" s="401">
        <v>0</v>
      </c>
      <c r="M10" s="401">
        <v>0</v>
      </c>
      <c r="N10" s="405">
        <v>18875</v>
      </c>
      <c r="O10" s="495" t="s">
        <v>230</v>
      </c>
    </row>
    <row r="11" spans="1:16" ht="41.25" customHeight="1" x14ac:dyDescent="0.2">
      <c r="A11" s="495" t="s">
        <v>71</v>
      </c>
      <c r="B11" s="402">
        <v>0</v>
      </c>
      <c r="C11" s="402">
        <v>0</v>
      </c>
      <c r="D11" s="402">
        <v>0</v>
      </c>
      <c r="E11" s="402">
        <v>0</v>
      </c>
      <c r="F11" s="402">
        <v>17.529256278221762</v>
      </c>
      <c r="G11" s="402">
        <v>17.61213600088697</v>
      </c>
      <c r="H11" s="402">
        <v>19.306179011633638</v>
      </c>
      <c r="I11" s="402">
        <v>19.151461889984411</v>
      </c>
      <c r="J11" s="402">
        <v>19.605242177980752</v>
      </c>
      <c r="K11" s="402">
        <v>18.585740185658867</v>
      </c>
      <c r="L11" s="402">
        <v>0</v>
      </c>
      <c r="M11" s="402">
        <v>0</v>
      </c>
      <c r="N11" s="405">
        <v>18875</v>
      </c>
      <c r="O11" s="495" t="s">
        <v>230</v>
      </c>
    </row>
    <row r="12" spans="1:16" ht="41.25" customHeight="1" x14ac:dyDescent="0.2">
      <c r="A12" s="495" t="s">
        <v>228</v>
      </c>
      <c r="B12" s="428">
        <v>6.8341120880277984E-4</v>
      </c>
      <c r="C12" s="428">
        <v>7.0954232257555022E-4</v>
      </c>
      <c r="D12" s="428">
        <v>5.6043874052332323E-4</v>
      </c>
      <c r="E12" s="428">
        <v>1.5866235719174478E-3</v>
      </c>
      <c r="F12" s="428">
        <v>6.8697750568389893E-2</v>
      </c>
      <c r="G12" s="428">
        <v>7.0340965475354872E-2</v>
      </c>
      <c r="H12" s="428">
        <v>0.11306135995047432</v>
      </c>
      <c r="I12" s="428">
        <v>0.10836756229400635</v>
      </c>
      <c r="J12" s="428">
        <v>0.12986207008361816</v>
      </c>
      <c r="K12" s="428">
        <v>9.0669521263667521E-2</v>
      </c>
      <c r="L12" s="428">
        <v>7.844310998916626E-2</v>
      </c>
      <c r="M12" s="428">
        <v>5.0869039126804898E-2</v>
      </c>
      <c r="N12" s="405">
        <v>1215616</v>
      </c>
      <c r="O12" s="495" t="s">
        <v>231</v>
      </c>
      <c r="P12" s="1"/>
    </row>
    <row r="13" spans="1:16" ht="41.25" customHeight="1" x14ac:dyDescent="0.2">
      <c r="A13" s="495" t="s">
        <v>219</v>
      </c>
      <c r="B13" s="399">
        <v>2.0833333333333332E-2</v>
      </c>
      <c r="C13" s="399">
        <v>2.0833333333333332E-2</v>
      </c>
      <c r="D13" s="399">
        <v>2.0833333333333332E-2</v>
      </c>
      <c r="E13" s="399">
        <v>2.0833333333333332E-2</v>
      </c>
      <c r="F13" s="399">
        <v>2.0833333333333332E-2</v>
      </c>
      <c r="G13" s="399">
        <v>2.0833333333333332E-2</v>
      </c>
      <c r="H13" s="399">
        <v>2.0833333333333332E-2</v>
      </c>
      <c r="I13" s="399">
        <v>2.0833333333333332E-2</v>
      </c>
      <c r="J13" s="399">
        <v>2.0833333333333332E-2</v>
      </c>
      <c r="K13" s="399">
        <v>2.0833333333333332E-2</v>
      </c>
      <c r="L13" s="399">
        <v>2.0833333333333332E-2</v>
      </c>
      <c r="M13" s="399">
        <v>2.0833333333333332E-2</v>
      </c>
      <c r="N13" s="405">
        <v>1215616</v>
      </c>
      <c r="O13" s="495"/>
      <c r="P13" s="1"/>
    </row>
    <row r="14" spans="1:16" ht="41.25" customHeight="1" x14ac:dyDescent="0.2">
      <c r="A14" s="495" t="s">
        <v>142</v>
      </c>
      <c r="B14" s="399">
        <v>285.59676666666661</v>
      </c>
      <c r="C14" s="399">
        <v>188.21453</v>
      </c>
      <c r="D14" s="399">
        <v>407.8024666666667</v>
      </c>
      <c r="E14" s="399">
        <v>762.80273333333332</v>
      </c>
      <c r="F14" s="399">
        <v>560.57623333333345</v>
      </c>
      <c r="G14" s="399">
        <v>528.31623333333323</v>
      </c>
      <c r="H14" s="399">
        <v>619.28450000000009</v>
      </c>
      <c r="I14" s="399">
        <v>766.94086666666647</v>
      </c>
      <c r="J14" s="399">
        <v>922.61116666666669</v>
      </c>
      <c r="K14" s="399">
        <v>829.03436666666653</v>
      </c>
      <c r="L14" s="399">
        <v>493.95000000000005</v>
      </c>
      <c r="M14" s="399">
        <v>178.20893666666669</v>
      </c>
      <c r="N14" s="405">
        <v>5</v>
      </c>
      <c r="O14" s="496" t="s">
        <v>254</v>
      </c>
      <c r="P14" s="1"/>
    </row>
    <row r="15" spans="1:16" x14ac:dyDescent="0.2">
      <c r="A15" s="496" t="s">
        <v>287</v>
      </c>
      <c r="B15" s="399">
        <v>0</v>
      </c>
      <c r="C15" s="399">
        <v>0</v>
      </c>
      <c r="D15" s="399">
        <v>0</v>
      </c>
      <c r="E15" s="399">
        <v>0</v>
      </c>
      <c r="F15" s="399">
        <v>0</v>
      </c>
      <c r="G15" s="399">
        <v>0</v>
      </c>
      <c r="H15" s="399">
        <v>1E-3</v>
      </c>
      <c r="I15" s="399">
        <v>0.1</v>
      </c>
      <c r="J15" s="399">
        <v>5.9265442404006677E-2</v>
      </c>
      <c r="K15" s="399">
        <v>5.9265442404006677E-2</v>
      </c>
      <c r="L15" s="399">
        <v>5.9265442404006677E-2</v>
      </c>
      <c r="M15" s="399">
        <v>5.9265442404006677E-2</v>
      </c>
      <c r="N15" s="497"/>
      <c r="O15" s="431"/>
    </row>
    <row r="16" spans="1:16" x14ac:dyDescent="0.2">
      <c r="A16" s="478" t="s">
        <v>252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</row>
    <row r="17" spans="1:26" x14ac:dyDescent="0.2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</row>
    <row r="18" spans="1:26" ht="15" x14ac:dyDescent="0.25">
      <c r="A18" s="326" t="s">
        <v>25</v>
      </c>
      <c r="B18" s="76"/>
      <c r="C18" s="76"/>
      <c r="D18" s="76"/>
      <c r="E18" s="76"/>
      <c r="F18" s="154"/>
      <c r="G18" s="76"/>
      <c r="H18" s="154"/>
      <c r="I18" s="76"/>
      <c r="J18" s="76"/>
      <c r="K18" s="76"/>
      <c r="L18" s="76"/>
      <c r="M18" s="76"/>
      <c r="N18" s="407"/>
      <c r="O18" s="76"/>
      <c r="P18" s="15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x14ac:dyDescent="0.2">
      <c r="A19" s="474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</row>
    <row r="20" spans="1:26" x14ac:dyDescent="0.2">
      <c r="A20" s="458" t="s">
        <v>288</v>
      </c>
    </row>
    <row r="27" spans="1:26" x14ac:dyDescent="0.2">
      <c r="D27"/>
      <c r="E27"/>
      <c r="F27"/>
      <c r="G27"/>
      <c r="H27"/>
      <c r="I27"/>
      <c r="J27"/>
      <c r="K27"/>
      <c r="L27"/>
      <c r="M27"/>
      <c r="N27" s="406"/>
      <c r="O27"/>
      <c r="P27"/>
    </row>
    <row r="28" spans="1:26" x14ac:dyDescent="0.2">
      <c r="D28"/>
      <c r="E28"/>
      <c r="F28"/>
      <c r="G28"/>
      <c r="H28"/>
      <c r="I28"/>
      <c r="J28"/>
      <c r="K28"/>
      <c r="L28"/>
      <c r="M28"/>
      <c r="N28" s="406"/>
      <c r="O28"/>
      <c r="P28"/>
    </row>
    <row r="29" spans="1:26" x14ac:dyDescent="0.2">
      <c r="D29"/>
      <c r="E29"/>
      <c r="F29"/>
      <c r="G29"/>
      <c r="H29"/>
      <c r="I29"/>
      <c r="J29"/>
      <c r="K29"/>
      <c r="L29"/>
      <c r="M29"/>
      <c r="N29" s="406"/>
      <c r="O29"/>
      <c r="P29"/>
    </row>
  </sheetData>
  <mergeCells count="4">
    <mergeCell ref="B4:M4"/>
    <mergeCell ref="N4:N5"/>
    <mergeCell ref="A16:O17"/>
    <mergeCell ref="A19:Z19"/>
  </mergeCells>
  <phoneticPr fontId="30" type="noConversion"/>
  <pageMargins left="0.75" right="0.75" top="1" bottom="1" header="0.5" footer="0.5"/>
  <pageSetup scale="49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view="pageBreakPreview" zoomScaleNormal="100" zoomScaleSheetLayoutView="100" workbookViewId="0">
      <selection activeCell="O12" sqref="O12"/>
    </sheetView>
  </sheetViews>
  <sheetFormatPr defaultColWidth="9.140625" defaultRowHeight="39.950000000000003" customHeight="1" x14ac:dyDescent="0.2"/>
  <cols>
    <col min="1" max="1" width="33" style="4" customWidth="1"/>
    <col min="2" max="13" width="10.7109375" style="4" customWidth="1"/>
    <col min="14" max="14" width="14.140625" style="404" bestFit="1" customWidth="1"/>
    <col min="15" max="15" width="42.7109375" style="4" bestFit="1" customWidth="1"/>
    <col min="16" max="16" width="15" style="4" bestFit="1" customWidth="1"/>
    <col min="17" max="17" width="10.5703125" style="4" customWidth="1"/>
    <col min="18" max="18" width="9.85546875" style="4" bestFit="1" customWidth="1"/>
    <col min="19" max="19" width="11.140625" style="4" customWidth="1"/>
    <col min="20" max="20" width="9.85546875" style="4" bestFit="1" customWidth="1"/>
    <col min="21" max="21" width="10.85546875" style="4" customWidth="1"/>
    <col min="22" max="22" width="12.140625" style="4" bestFit="1" customWidth="1"/>
    <col min="23" max="23" width="12.140625" style="4" customWidth="1"/>
    <col min="24" max="24" width="9.5703125" style="4" bestFit="1" customWidth="1"/>
    <col min="25" max="25" width="11.140625" style="4" customWidth="1"/>
    <col min="26" max="26" width="11.7109375" style="4" bestFit="1" customWidth="1"/>
    <col min="27" max="27" width="11.7109375" style="4" customWidth="1"/>
    <col min="28" max="16384" width="9.140625" style="4"/>
  </cols>
  <sheetData>
    <row r="1" spans="1:16" ht="39.950000000000003" customHeight="1" x14ac:dyDescent="0.2">
      <c r="A1" s="19"/>
    </row>
    <row r="2" spans="1:16" ht="39.950000000000003" customHeight="1" x14ac:dyDescent="0.2">
      <c r="A2" s="19"/>
    </row>
    <row r="5" spans="1:16" ht="39.950000000000003" customHeight="1" x14ac:dyDescent="0.2">
      <c r="A5" s="6"/>
      <c r="B5" s="475" t="s">
        <v>129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80" t="s">
        <v>253</v>
      </c>
      <c r="O5" s="6"/>
    </row>
    <row r="6" spans="1:16" ht="39.950000000000003" customHeight="1" x14ac:dyDescent="0.2">
      <c r="A6" s="83" t="s">
        <v>44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45</v>
      </c>
      <c r="J6" s="20" t="s">
        <v>46</v>
      </c>
      <c r="K6" s="20" t="s">
        <v>9</v>
      </c>
      <c r="L6" s="20" t="s">
        <v>47</v>
      </c>
      <c r="M6" s="20" t="s">
        <v>11</v>
      </c>
      <c r="N6" s="477"/>
      <c r="O6" s="82" t="s">
        <v>128</v>
      </c>
    </row>
    <row r="7" spans="1:16" ht="39.950000000000003" customHeight="1" x14ac:dyDescent="0.2">
      <c r="A7" s="495" t="s">
        <v>66</v>
      </c>
      <c r="B7" s="399">
        <v>72.727272727272734</v>
      </c>
      <c r="C7" s="399">
        <v>72.727272727272734</v>
      </c>
      <c r="D7" s="399">
        <v>72.727272727272734</v>
      </c>
      <c r="E7" s="399">
        <v>72.727272727272734</v>
      </c>
      <c r="F7" s="399">
        <v>72.727272727272734</v>
      </c>
      <c r="G7" s="399">
        <v>72.727272727272734</v>
      </c>
      <c r="H7" s="399">
        <v>72.727272727272734</v>
      </c>
      <c r="I7" s="399">
        <v>72.727272727272734</v>
      </c>
      <c r="J7" s="399">
        <v>72.727272727272734</v>
      </c>
      <c r="K7" s="399">
        <v>72.727272727272734</v>
      </c>
      <c r="L7" s="399">
        <v>72.727272727272734</v>
      </c>
      <c r="M7" s="399">
        <v>72.727272727272734</v>
      </c>
      <c r="N7" s="405">
        <v>5276</v>
      </c>
      <c r="O7" s="495" t="s">
        <v>72</v>
      </c>
    </row>
    <row r="8" spans="1:16" ht="39.950000000000003" customHeight="1" x14ac:dyDescent="0.2">
      <c r="A8" s="495" t="s">
        <v>67</v>
      </c>
      <c r="B8" s="399">
        <v>16.32100991884581</v>
      </c>
      <c r="C8" s="399">
        <v>16.32100991884581</v>
      </c>
      <c r="D8" s="399">
        <v>16.32100991884581</v>
      </c>
      <c r="E8" s="399">
        <v>16.32100991884581</v>
      </c>
      <c r="F8" s="399">
        <v>16.32100991884581</v>
      </c>
      <c r="G8" s="399">
        <v>16.32100991884581</v>
      </c>
      <c r="H8" s="399">
        <v>16.32100991884581</v>
      </c>
      <c r="I8" s="399">
        <v>16.32100991884581</v>
      </c>
      <c r="J8" s="399">
        <v>16.32100991884581</v>
      </c>
      <c r="K8" s="399">
        <v>16.32100991884581</v>
      </c>
      <c r="L8" s="399">
        <v>16.32100991884581</v>
      </c>
      <c r="M8" s="399">
        <v>16.32100991884581</v>
      </c>
      <c r="N8" s="405">
        <v>138123</v>
      </c>
      <c r="O8" s="495" t="s">
        <v>73</v>
      </c>
    </row>
    <row r="9" spans="1:16" ht="39.950000000000003" customHeight="1" x14ac:dyDescent="0.2">
      <c r="A9" s="495" t="s">
        <v>68</v>
      </c>
      <c r="B9" s="399">
        <v>0.43954433903520018</v>
      </c>
      <c r="C9" s="399">
        <v>0.43954433903520018</v>
      </c>
      <c r="D9" s="399">
        <v>0.43954433903520018</v>
      </c>
      <c r="E9" s="399">
        <v>0.43954433903520018</v>
      </c>
      <c r="F9" s="399">
        <v>0.43954433903520018</v>
      </c>
      <c r="G9" s="399">
        <v>0.43954433903520018</v>
      </c>
      <c r="H9" s="399">
        <v>0.43954433903520018</v>
      </c>
      <c r="I9" s="399">
        <v>0.43954433903520018</v>
      </c>
      <c r="J9" s="399">
        <v>0.43954433903520018</v>
      </c>
      <c r="K9" s="399">
        <v>0.43954433903520018</v>
      </c>
      <c r="L9" s="399">
        <v>0.43954433903520018</v>
      </c>
      <c r="M9" s="399">
        <v>0.43954433903520018</v>
      </c>
      <c r="N9" s="405">
        <v>663393.5</v>
      </c>
      <c r="O9" s="495" t="s">
        <v>75</v>
      </c>
    </row>
    <row r="10" spans="1:16" ht="39.950000000000003" customHeight="1" x14ac:dyDescent="0.2">
      <c r="A10" s="495" t="s">
        <v>69</v>
      </c>
      <c r="B10" s="399">
        <v>0.37040466709880548</v>
      </c>
      <c r="C10" s="399">
        <v>0.37040466709880548</v>
      </c>
      <c r="D10" s="399">
        <v>0.37040466709880548</v>
      </c>
      <c r="E10" s="399">
        <v>0.37040466709880548</v>
      </c>
      <c r="F10" s="399">
        <v>0.37040466709880548</v>
      </c>
      <c r="G10" s="399">
        <v>0.37040466709880548</v>
      </c>
      <c r="H10" s="399">
        <v>0.37040466709880548</v>
      </c>
      <c r="I10" s="399">
        <v>0.37040466709880548</v>
      </c>
      <c r="J10" s="399">
        <v>0.37040466709880548</v>
      </c>
      <c r="K10" s="399">
        <v>0.37040466709880548</v>
      </c>
      <c r="L10" s="399">
        <v>0.37040466709880548</v>
      </c>
      <c r="M10" s="399">
        <v>0.37040466709880548</v>
      </c>
      <c r="N10" s="405">
        <v>157189</v>
      </c>
      <c r="O10" s="495" t="s">
        <v>76</v>
      </c>
    </row>
    <row r="11" spans="1:16" ht="39.950000000000003" customHeight="1" x14ac:dyDescent="0.2">
      <c r="A11" s="495" t="s">
        <v>70</v>
      </c>
      <c r="B11" s="401">
        <v>53.67647058823529</v>
      </c>
      <c r="C11" s="401">
        <v>53.67647058823529</v>
      </c>
      <c r="D11" s="401">
        <v>53.67647058823529</v>
      </c>
      <c r="E11" s="401">
        <v>53.67647058823529</v>
      </c>
      <c r="F11" s="401">
        <v>53.67647058823529</v>
      </c>
      <c r="G11" s="401">
        <v>53.67647058823529</v>
      </c>
      <c r="H11" s="401">
        <v>53.67647058823529</v>
      </c>
      <c r="I11" s="401">
        <v>53.67647058823529</v>
      </c>
      <c r="J11" s="401">
        <v>53.67647058823529</v>
      </c>
      <c r="K11" s="401">
        <v>53.67647058823529</v>
      </c>
      <c r="L11" s="401">
        <v>53.67647058823529</v>
      </c>
      <c r="M11" s="401">
        <v>53.67647058823529</v>
      </c>
      <c r="N11" s="405">
        <v>18875</v>
      </c>
      <c r="O11" s="495" t="s">
        <v>230</v>
      </c>
    </row>
    <row r="12" spans="1:16" ht="39.950000000000003" customHeight="1" x14ac:dyDescent="0.2">
      <c r="A12" s="495" t="s">
        <v>71</v>
      </c>
      <c r="B12" s="401">
        <v>21.651376146788991</v>
      </c>
      <c r="C12" s="401">
        <v>21.651376146788991</v>
      </c>
      <c r="D12" s="401">
        <v>21.651376146788991</v>
      </c>
      <c r="E12" s="401">
        <v>21.651376146788991</v>
      </c>
      <c r="F12" s="401">
        <v>21.651376146788991</v>
      </c>
      <c r="G12" s="401">
        <v>21.651376146788991</v>
      </c>
      <c r="H12" s="401">
        <v>21.651376146788991</v>
      </c>
      <c r="I12" s="401">
        <v>21.651376146788991</v>
      </c>
      <c r="J12" s="401">
        <v>21.651376146788991</v>
      </c>
      <c r="K12" s="401">
        <v>21.651376146788991</v>
      </c>
      <c r="L12" s="401">
        <v>21.651376146788991</v>
      </c>
      <c r="M12" s="401">
        <v>21.651376146788991</v>
      </c>
      <c r="N12" s="405">
        <v>18875</v>
      </c>
      <c r="O12" s="495" t="s">
        <v>230</v>
      </c>
    </row>
    <row r="13" spans="1:16" ht="39.950000000000003" customHeight="1" x14ac:dyDescent="0.2">
      <c r="A13" s="495" t="s">
        <v>228</v>
      </c>
      <c r="B13" s="399">
        <v>2.3033589554596187E-3</v>
      </c>
      <c r="C13" s="399">
        <v>2.3033589554596187E-3</v>
      </c>
      <c r="D13" s="399">
        <v>2.3033589554596187E-3</v>
      </c>
      <c r="E13" s="399">
        <v>2.3033589554596187E-3</v>
      </c>
      <c r="F13" s="399">
        <v>0.11560028571428564</v>
      </c>
      <c r="G13" s="399">
        <v>0.11560028571428564</v>
      </c>
      <c r="H13" s="403">
        <v>0.11560028571428564</v>
      </c>
      <c r="I13" s="403">
        <v>0.11560028571428564</v>
      </c>
      <c r="J13" s="403">
        <v>0.11560028571428564</v>
      </c>
      <c r="K13" s="403">
        <v>0.11560028571428564</v>
      </c>
      <c r="L13" s="403">
        <v>0.11560028571428564</v>
      </c>
      <c r="M13" s="403">
        <v>0.11560028571428564</v>
      </c>
      <c r="N13" s="405">
        <v>1215616</v>
      </c>
      <c r="O13" s="495" t="s">
        <v>231</v>
      </c>
      <c r="P13" s="1"/>
    </row>
    <row r="14" spans="1:16" ht="39.950000000000003" customHeight="1" x14ac:dyDescent="0.2">
      <c r="A14" s="495" t="s">
        <v>244</v>
      </c>
      <c r="B14" s="399">
        <v>2.0833333333333332E-2</v>
      </c>
      <c r="C14" s="399">
        <v>2.0833333333333332E-2</v>
      </c>
      <c r="D14" s="399">
        <v>2.0833333333333332E-2</v>
      </c>
      <c r="E14" s="399">
        <v>2.0833333333333332E-2</v>
      </c>
      <c r="F14" s="399">
        <v>2.0833333333333332E-2</v>
      </c>
      <c r="G14" s="399">
        <v>2.0833333333333332E-2</v>
      </c>
      <c r="H14" s="399">
        <v>2.0833333333333332E-2</v>
      </c>
      <c r="I14" s="399">
        <v>2.0833333333333332E-2</v>
      </c>
      <c r="J14" s="399">
        <v>2.0833333333333332E-2</v>
      </c>
      <c r="K14" s="399">
        <v>2.0833333333333332E-2</v>
      </c>
      <c r="L14" s="399">
        <v>2.0833333333333332E-2</v>
      </c>
      <c r="M14" s="399">
        <v>2.0833333333333332E-2</v>
      </c>
      <c r="N14" s="405">
        <v>1215616</v>
      </c>
      <c r="O14" s="495"/>
      <c r="P14" s="1"/>
    </row>
    <row r="15" spans="1:16" ht="39.950000000000003" customHeight="1" x14ac:dyDescent="0.2">
      <c r="A15" s="495" t="s">
        <v>142</v>
      </c>
      <c r="B15" s="399">
        <v>850</v>
      </c>
      <c r="C15" s="399">
        <v>850</v>
      </c>
      <c r="D15" s="399">
        <v>850</v>
      </c>
      <c r="E15" s="399">
        <v>850</v>
      </c>
      <c r="F15" s="399">
        <v>850</v>
      </c>
      <c r="G15" s="399">
        <v>850</v>
      </c>
      <c r="H15" s="399">
        <v>850</v>
      </c>
      <c r="I15" s="399">
        <v>850</v>
      </c>
      <c r="J15" s="399">
        <v>850</v>
      </c>
      <c r="K15" s="399">
        <v>850</v>
      </c>
      <c r="L15" s="399">
        <v>850</v>
      </c>
      <c r="M15" s="399">
        <v>850</v>
      </c>
      <c r="N15" s="405">
        <v>6</v>
      </c>
      <c r="O15" s="498" t="s">
        <v>254</v>
      </c>
      <c r="P15" s="1"/>
    </row>
    <row r="16" spans="1:16" customFormat="1" ht="39.950000000000003" customHeight="1" x14ac:dyDescent="0.2">
      <c r="A16" s="496" t="s">
        <v>287</v>
      </c>
      <c r="B16" s="499">
        <v>0</v>
      </c>
      <c r="C16" s="499">
        <v>0</v>
      </c>
      <c r="D16" s="499">
        <v>0</v>
      </c>
      <c r="E16" s="499">
        <v>0</v>
      </c>
      <c r="F16" s="499">
        <v>0</v>
      </c>
      <c r="G16" s="499">
        <v>0</v>
      </c>
      <c r="H16" s="499">
        <v>0</v>
      </c>
      <c r="I16" s="499">
        <v>0</v>
      </c>
      <c r="J16" s="499">
        <v>0</v>
      </c>
      <c r="K16" s="499">
        <v>0</v>
      </c>
      <c r="L16" s="499">
        <v>0</v>
      </c>
      <c r="M16" s="499">
        <v>0</v>
      </c>
      <c r="N16" s="500"/>
      <c r="O16" s="495"/>
    </row>
    <row r="17" spans="1:26" customFormat="1" ht="39.950000000000003" customHeight="1" x14ac:dyDescent="0.2">
      <c r="N17" s="406"/>
    </row>
    <row r="18" spans="1:26" customFormat="1" ht="39.950000000000003" customHeight="1" x14ac:dyDescent="0.2">
      <c r="N18" s="406"/>
    </row>
    <row r="20" spans="1:26" ht="39.950000000000003" customHeight="1" x14ac:dyDescent="0.2">
      <c r="A20" s="478" t="s">
        <v>152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</row>
    <row r="21" spans="1:26" ht="39.950000000000003" customHeight="1" x14ac:dyDescent="0.2">
      <c r="A21" s="479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</row>
    <row r="22" spans="1:26" ht="39.950000000000003" customHeight="1" x14ac:dyDescent="0.25">
      <c r="A22" s="326" t="s">
        <v>25</v>
      </c>
      <c r="B22" s="76"/>
      <c r="C22" s="76"/>
      <c r="D22" s="76"/>
      <c r="E22" s="76"/>
      <c r="F22" s="154"/>
      <c r="G22" s="76"/>
      <c r="H22" s="154"/>
      <c r="I22" s="76"/>
      <c r="J22" s="76"/>
      <c r="K22" s="76"/>
      <c r="L22" s="76"/>
      <c r="M22" s="76"/>
      <c r="N22" s="407"/>
      <c r="O22" s="76"/>
      <c r="P22" s="15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39.950000000000003" customHeight="1" x14ac:dyDescent="0.2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</row>
  </sheetData>
  <mergeCells count="4">
    <mergeCell ref="B5:M5"/>
    <mergeCell ref="N5:N6"/>
    <mergeCell ref="A20:O21"/>
    <mergeCell ref="A23:Z23"/>
  </mergeCells>
  <phoneticPr fontId="0" type="noConversion"/>
  <printOptions horizontalCentered="1"/>
  <pageMargins left="0.1" right="0.1" top="0.75" bottom="0.75" header="0.3" footer="0.28000000000000003"/>
  <pageSetup scale="56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8"/>
  <sheetViews>
    <sheetView zoomScale="75" zoomScaleNormal="75" zoomScaleSheetLayoutView="70" workbookViewId="0">
      <selection activeCell="E8" sqref="E8"/>
    </sheetView>
  </sheetViews>
  <sheetFormatPr defaultColWidth="9.140625" defaultRowHeight="12.75" x14ac:dyDescent="0.2"/>
  <cols>
    <col min="1" max="1" width="45.7109375" style="85" customWidth="1"/>
    <col min="2" max="3" width="10.85546875" style="85" customWidth="1"/>
    <col min="4" max="4" width="10.7109375" style="85" customWidth="1"/>
    <col min="5" max="5" width="12.7109375" style="85" customWidth="1"/>
    <col min="6" max="8" width="10.5703125" style="85" customWidth="1"/>
    <col min="9" max="9" width="12.7109375" style="85" customWidth="1"/>
    <col min="10" max="12" width="10.7109375" style="85" customWidth="1"/>
    <col min="13" max="13" width="12.7109375" style="85" customWidth="1"/>
    <col min="14" max="16" width="10.7109375" style="85" customWidth="1"/>
    <col min="17" max="17" width="12.7109375" style="85" customWidth="1"/>
    <col min="18" max="20" width="10.7109375" style="85" customWidth="1"/>
    <col min="21" max="21" width="12.7109375" style="85" customWidth="1"/>
    <col min="22" max="24" width="10.7109375" style="85" customWidth="1"/>
    <col min="25" max="25" width="12.7109375" style="85" customWidth="1"/>
    <col min="26" max="16384" width="9.140625" style="85"/>
  </cols>
  <sheetData>
    <row r="1" spans="1:25" x14ac:dyDescent="0.2">
      <c r="A1" s="84" t="s">
        <v>130</v>
      </c>
    </row>
    <row r="3" spans="1:25" ht="21.75" customHeight="1" x14ac:dyDescent="0.2">
      <c r="A3" s="86">
        <v>2014</v>
      </c>
      <c r="B3" s="481" t="s">
        <v>0</v>
      </c>
      <c r="C3" s="481"/>
      <c r="D3" s="481"/>
      <c r="E3" s="481"/>
      <c r="F3" s="481" t="s">
        <v>1</v>
      </c>
      <c r="G3" s="481"/>
      <c r="H3" s="481"/>
      <c r="I3" s="481"/>
      <c r="J3" s="481" t="s">
        <v>2</v>
      </c>
      <c r="K3" s="481"/>
      <c r="L3" s="481"/>
      <c r="M3" s="481"/>
      <c r="N3" s="481" t="s">
        <v>3</v>
      </c>
      <c r="O3" s="481"/>
      <c r="P3" s="481"/>
      <c r="Q3" s="481"/>
      <c r="R3" s="481" t="s">
        <v>4</v>
      </c>
      <c r="S3" s="481"/>
      <c r="T3" s="481"/>
      <c r="U3" s="481"/>
      <c r="V3" s="481" t="s">
        <v>5</v>
      </c>
      <c r="W3" s="481"/>
      <c r="X3" s="481"/>
      <c r="Y3" s="481"/>
    </row>
    <row r="4" spans="1:25" ht="79.5" customHeight="1" x14ac:dyDescent="0.2">
      <c r="A4" s="87" t="s">
        <v>43</v>
      </c>
      <c r="B4" s="88" t="s">
        <v>131</v>
      </c>
      <c r="C4" s="88" t="s">
        <v>132</v>
      </c>
      <c r="D4" s="88" t="s">
        <v>133</v>
      </c>
      <c r="E4" s="88" t="s">
        <v>134</v>
      </c>
      <c r="F4" s="88" t="s">
        <v>131</v>
      </c>
      <c r="G4" s="88" t="s">
        <v>132</v>
      </c>
      <c r="H4" s="88" t="s">
        <v>133</v>
      </c>
      <c r="I4" s="88" t="s">
        <v>134</v>
      </c>
      <c r="J4" s="88" t="s">
        <v>131</v>
      </c>
      <c r="K4" s="88" t="s">
        <v>132</v>
      </c>
      <c r="L4" s="88" t="s">
        <v>133</v>
      </c>
      <c r="M4" s="88" t="s">
        <v>134</v>
      </c>
      <c r="N4" s="88" t="s">
        <v>131</v>
      </c>
      <c r="O4" s="88" t="s">
        <v>132</v>
      </c>
      <c r="P4" s="88" t="s">
        <v>133</v>
      </c>
      <c r="Q4" s="88" t="s">
        <v>134</v>
      </c>
      <c r="R4" s="88" t="s">
        <v>131</v>
      </c>
      <c r="S4" s="88" t="s">
        <v>132</v>
      </c>
      <c r="T4" s="88" t="s">
        <v>133</v>
      </c>
      <c r="U4" s="88" t="s">
        <v>134</v>
      </c>
      <c r="V4" s="88" t="s">
        <v>131</v>
      </c>
      <c r="W4" s="88" t="s">
        <v>132</v>
      </c>
      <c r="X4" s="88" t="s">
        <v>133</v>
      </c>
      <c r="Y4" s="88" t="s">
        <v>134</v>
      </c>
    </row>
    <row r="5" spans="1:25" x14ac:dyDescent="0.2">
      <c r="A5" s="89" t="s">
        <v>67</v>
      </c>
      <c r="B5" s="90"/>
      <c r="C5" s="91">
        <v>0</v>
      </c>
      <c r="D5" s="91"/>
      <c r="E5" s="92">
        <f>SUM(B5:D5)</f>
        <v>0</v>
      </c>
      <c r="F5" s="89"/>
      <c r="G5" s="93">
        <v>0</v>
      </c>
      <c r="H5" s="93">
        <v>0</v>
      </c>
      <c r="I5" s="94">
        <f>SUM(G5:H5)</f>
        <v>0</v>
      </c>
      <c r="J5" s="89"/>
      <c r="K5" s="93">
        <v>0</v>
      </c>
      <c r="L5" s="93">
        <v>0</v>
      </c>
      <c r="M5" s="94">
        <f>SUM(K5:L5)</f>
        <v>0</v>
      </c>
      <c r="N5" s="89"/>
      <c r="O5" s="93">
        <v>0</v>
      </c>
      <c r="P5" s="93">
        <v>0</v>
      </c>
      <c r="Q5" s="94">
        <f>SUM(O5:P5)</f>
        <v>0</v>
      </c>
      <c r="R5" s="89"/>
      <c r="S5" s="93">
        <v>0</v>
      </c>
      <c r="T5" s="93">
        <v>0</v>
      </c>
      <c r="U5" s="94">
        <f>SUM(S5:T5)</f>
        <v>0</v>
      </c>
      <c r="V5" s="89"/>
      <c r="W5" s="93">
        <v>0</v>
      </c>
      <c r="X5" s="93">
        <v>0</v>
      </c>
      <c r="Y5" s="94">
        <f>SUM(W5:X5)</f>
        <v>0</v>
      </c>
    </row>
    <row r="6" spans="1:25" x14ac:dyDescent="0.2">
      <c r="A6" s="89" t="s">
        <v>68</v>
      </c>
      <c r="B6" s="90"/>
      <c r="C6" s="91"/>
      <c r="D6" s="91"/>
      <c r="E6" s="92" t="s">
        <v>13</v>
      </c>
      <c r="F6" s="89"/>
      <c r="G6" s="93"/>
      <c r="H6" s="93"/>
      <c r="I6" s="92" t="s">
        <v>13</v>
      </c>
      <c r="J6" s="89"/>
      <c r="K6" s="93"/>
      <c r="L6" s="93"/>
      <c r="M6" s="92" t="s">
        <v>13</v>
      </c>
      <c r="N6" s="89"/>
      <c r="O6" s="93"/>
      <c r="P6" s="93"/>
      <c r="Q6" s="92" t="s">
        <v>13</v>
      </c>
      <c r="R6" s="89"/>
      <c r="S6" s="93"/>
      <c r="T6" s="93"/>
      <c r="U6" s="92" t="s">
        <v>13</v>
      </c>
      <c r="V6" s="89"/>
      <c r="W6" s="93"/>
      <c r="X6" s="93"/>
      <c r="Y6" s="92" t="s">
        <v>13</v>
      </c>
    </row>
    <row r="7" spans="1:25" x14ac:dyDescent="0.2">
      <c r="A7" s="89" t="s">
        <v>69</v>
      </c>
      <c r="B7" s="90"/>
      <c r="C7" s="91"/>
      <c r="D7" s="91"/>
      <c r="E7" s="92" t="s">
        <v>13</v>
      </c>
      <c r="F7" s="89"/>
      <c r="G7" s="93"/>
      <c r="H7" s="93"/>
      <c r="I7" s="92" t="s">
        <v>13</v>
      </c>
      <c r="J7" s="89"/>
      <c r="K7" s="93"/>
      <c r="L7" s="93"/>
      <c r="M7" s="92" t="s">
        <v>13</v>
      </c>
      <c r="N7" s="89"/>
      <c r="O7" s="93"/>
      <c r="P7" s="93"/>
      <c r="Q7" s="92" t="s">
        <v>13</v>
      </c>
      <c r="R7" s="89"/>
      <c r="S7" s="93"/>
      <c r="T7" s="93"/>
      <c r="U7" s="92" t="s">
        <v>13</v>
      </c>
      <c r="V7" s="89"/>
      <c r="W7" s="93"/>
      <c r="X7" s="93"/>
      <c r="Y7" s="92" t="s">
        <v>13</v>
      </c>
    </row>
    <row r="8" spans="1:25" x14ac:dyDescent="0.2">
      <c r="A8" s="89" t="s">
        <v>135</v>
      </c>
      <c r="B8" s="96"/>
      <c r="C8" s="96" t="s">
        <v>136</v>
      </c>
      <c r="D8" s="91">
        <v>0</v>
      </c>
      <c r="E8" s="92">
        <f>SUM(B8:D8)</f>
        <v>0</v>
      </c>
      <c r="F8" s="89"/>
      <c r="G8" s="93">
        <v>0</v>
      </c>
      <c r="H8" s="97"/>
      <c r="I8" s="94">
        <f>SUM(G8:H8)</f>
        <v>0</v>
      </c>
      <c r="J8" s="95"/>
      <c r="K8" s="93">
        <v>0</v>
      </c>
      <c r="L8" s="97">
        <v>0</v>
      </c>
      <c r="M8" s="94">
        <f>SUM(K8:L8)</f>
        <v>0</v>
      </c>
      <c r="N8" s="95"/>
      <c r="O8" s="93">
        <v>0</v>
      </c>
      <c r="P8" s="97">
        <v>0</v>
      </c>
      <c r="Q8" s="94">
        <f>SUM(O8:P8)</f>
        <v>0</v>
      </c>
      <c r="R8" s="95"/>
      <c r="S8" s="93">
        <v>0</v>
      </c>
      <c r="T8" s="97">
        <v>0</v>
      </c>
      <c r="U8" s="94">
        <f>SUM(S8:T8)</f>
        <v>0</v>
      </c>
      <c r="V8" s="95"/>
      <c r="W8" s="93">
        <v>0</v>
      </c>
      <c r="X8" s="97">
        <v>0</v>
      </c>
      <c r="Y8" s="94">
        <f>SUM(W8:X8)</f>
        <v>0</v>
      </c>
    </row>
    <row r="9" spans="1:25" x14ac:dyDescent="0.2">
      <c r="A9" s="89" t="s">
        <v>65</v>
      </c>
      <c r="B9" s="90"/>
      <c r="C9" s="91">
        <v>0</v>
      </c>
      <c r="D9" s="91"/>
      <c r="E9" s="92">
        <f>SUM(B9:D9)</f>
        <v>0</v>
      </c>
      <c r="F9" s="89"/>
      <c r="G9" s="91">
        <v>0</v>
      </c>
      <c r="H9" s="93"/>
      <c r="I9" s="92"/>
      <c r="J9" s="89"/>
      <c r="K9" s="91">
        <v>0</v>
      </c>
      <c r="L9" s="93"/>
      <c r="M9" s="94">
        <f>SUM(K9:L9)</f>
        <v>0</v>
      </c>
      <c r="N9" s="89"/>
      <c r="O9" s="91">
        <v>0</v>
      </c>
      <c r="P9" s="93"/>
      <c r="Q9" s="94">
        <f>SUM(O9:P9)</f>
        <v>0</v>
      </c>
      <c r="R9" s="89"/>
      <c r="S9" s="91">
        <v>0</v>
      </c>
      <c r="T9" s="93"/>
      <c r="U9" s="94">
        <f>SUM(S9:T9)</f>
        <v>0</v>
      </c>
      <c r="V9" s="89"/>
      <c r="W9" s="91">
        <v>0</v>
      </c>
      <c r="X9" s="93"/>
      <c r="Y9" s="94">
        <f>SUM(W9:X9)</f>
        <v>0</v>
      </c>
    </row>
    <row r="10" spans="1:25" x14ac:dyDescent="0.2">
      <c r="A10" s="89" t="s">
        <v>32</v>
      </c>
      <c r="B10" s="96"/>
      <c r="C10" s="91" t="s">
        <v>13</v>
      </c>
      <c r="D10" s="91" t="s">
        <v>13</v>
      </c>
      <c r="E10" s="92" t="s">
        <v>137</v>
      </c>
      <c r="F10" s="96"/>
      <c r="G10" s="91">
        <v>0</v>
      </c>
      <c r="H10" s="91">
        <v>0</v>
      </c>
      <c r="I10" s="92">
        <f>SUM(F10:H10)</f>
        <v>0</v>
      </c>
      <c r="J10" s="95"/>
      <c r="K10" s="91">
        <v>0</v>
      </c>
      <c r="L10" s="91">
        <v>0</v>
      </c>
      <c r="M10" s="94">
        <f>SUM(K10:L10)</f>
        <v>0</v>
      </c>
      <c r="N10" s="95"/>
      <c r="O10" s="91">
        <v>0</v>
      </c>
      <c r="P10" s="91">
        <v>0</v>
      </c>
      <c r="Q10" s="94">
        <f>SUM(O10:P10)</f>
        <v>0</v>
      </c>
      <c r="R10" s="95"/>
      <c r="S10" s="91">
        <v>0</v>
      </c>
      <c r="T10" s="91">
        <v>0</v>
      </c>
      <c r="U10" s="94">
        <f>SUM(S10:T10)</f>
        <v>0</v>
      </c>
      <c r="V10" s="95"/>
      <c r="W10" s="91">
        <v>0</v>
      </c>
      <c r="X10" s="91">
        <v>0</v>
      </c>
      <c r="Y10" s="94">
        <f>SUM(W10:X10)</f>
        <v>0</v>
      </c>
    </row>
    <row r="11" spans="1:25" s="84" customFormat="1" x14ac:dyDescent="0.2">
      <c r="A11" s="98" t="s">
        <v>58</v>
      </c>
      <c r="B11" s="99"/>
      <c r="C11" s="100">
        <f>SUM(C5:C10)</f>
        <v>0</v>
      </c>
      <c r="D11" s="100">
        <f>SUM(D5:D10)</f>
        <v>0</v>
      </c>
      <c r="E11" s="100">
        <f>SUM(E5:E10)</f>
        <v>0</v>
      </c>
      <c r="F11" s="98"/>
      <c r="G11" s="94">
        <f>SUM(G5:G10)</f>
        <v>0</v>
      </c>
      <c r="H11" s="94">
        <f t="shared" ref="H11:M11" si="0">SUM(H5:H10)</f>
        <v>0</v>
      </c>
      <c r="I11" s="94">
        <f t="shared" si="0"/>
        <v>0</v>
      </c>
      <c r="J11" s="94">
        <f t="shared" si="0"/>
        <v>0</v>
      </c>
      <c r="K11" s="94">
        <f t="shared" si="0"/>
        <v>0</v>
      </c>
      <c r="L11" s="94">
        <f t="shared" si="0"/>
        <v>0</v>
      </c>
      <c r="M11" s="94">
        <f t="shared" si="0"/>
        <v>0</v>
      </c>
      <c r="N11" s="94">
        <f t="shared" ref="N11:U11" si="1">SUM(N5:N10)</f>
        <v>0</v>
      </c>
      <c r="O11" s="94">
        <f t="shared" si="1"/>
        <v>0</v>
      </c>
      <c r="P11" s="94">
        <f t="shared" si="1"/>
        <v>0</v>
      </c>
      <c r="Q11" s="94">
        <f t="shared" si="1"/>
        <v>0</v>
      </c>
      <c r="R11" s="94">
        <f t="shared" si="1"/>
        <v>0</v>
      </c>
      <c r="S11" s="94">
        <f t="shared" si="1"/>
        <v>0</v>
      </c>
      <c r="T11" s="94">
        <f t="shared" si="1"/>
        <v>0</v>
      </c>
      <c r="U11" s="94">
        <f t="shared" si="1"/>
        <v>0</v>
      </c>
      <c r="V11" s="94">
        <f>SUM(V5:V10)</f>
        <v>0</v>
      </c>
      <c r="W11" s="94">
        <f>SUM(W5:W10)</f>
        <v>0</v>
      </c>
      <c r="X11" s="94">
        <f>SUM(X5:X10)</f>
        <v>0</v>
      </c>
      <c r="Y11" s="94">
        <f>SUM(Y5:Y10)</f>
        <v>0</v>
      </c>
    </row>
    <row r="12" spans="1:25" ht="3.95" customHeight="1" x14ac:dyDescent="0.2">
      <c r="A12" s="98"/>
      <c r="B12" s="98"/>
      <c r="C12" s="102"/>
      <c r="D12" s="102"/>
      <c r="E12" s="103"/>
      <c r="F12" s="98"/>
      <c r="G12" s="95"/>
      <c r="H12" s="95"/>
      <c r="I12" s="94"/>
      <c r="J12" s="101"/>
      <c r="K12" s="95"/>
      <c r="L12" s="104"/>
      <c r="M12" s="94"/>
      <c r="N12" s="101"/>
      <c r="O12" s="95"/>
      <c r="P12" s="104"/>
      <c r="Q12" s="94"/>
      <c r="R12" s="101"/>
      <c r="S12" s="95"/>
      <c r="T12" s="104"/>
      <c r="U12" s="94"/>
      <c r="V12" s="101"/>
      <c r="W12" s="95"/>
      <c r="X12" s="104"/>
      <c r="Y12" s="94"/>
    </row>
    <row r="13" spans="1:25" x14ac:dyDescent="0.2">
      <c r="A13" s="105" t="s">
        <v>22</v>
      </c>
      <c r="B13" s="105"/>
      <c r="C13" s="88"/>
      <c r="D13" s="88"/>
      <c r="E13" s="87"/>
      <c r="F13" s="105"/>
      <c r="G13" s="106"/>
      <c r="H13" s="107"/>
      <c r="I13" s="107"/>
      <c r="J13" s="108"/>
      <c r="K13" s="106"/>
      <c r="L13" s="107"/>
      <c r="M13" s="94">
        <f>SUM(K13:L13)</f>
        <v>0</v>
      </c>
      <c r="N13" s="108"/>
      <c r="O13" s="106"/>
      <c r="P13" s="107"/>
      <c r="Q13" s="94">
        <f>SUM(O13:P13)</f>
        <v>0</v>
      </c>
      <c r="R13" s="108"/>
      <c r="S13" s="106"/>
      <c r="T13" s="107"/>
      <c r="U13" s="94">
        <f>SUM(S13:T13)</f>
        <v>0</v>
      </c>
      <c r="V13" s="108"/>
      <c r="W13" s="106"/>
      <c r="X13" s="107"/>
      <c r="Y13" s="94">
        <f>SUM(W13:X13)</f>
        <v>0</v>
      </c>
    </row>
    <row r="14" spans="1:25" x14ac:dyDescent="0.2">
      <c r="A14" s="89" t="s">
        <v>12</v>
      </c>
      <c r="B14" s="96"/>
      <c r="C14" s="96"/>
      <c r="D14" s="91">
        <v>0</v>
      </c>
      <c r="E14" s="92">
        <f>SUM(B14:D14)</f>
        <v>0</v>
      </c>
      <c r="F14" s="89"/>
      <c r="G14" s="93"/>
      <c r="H14" s="91">
        <v>0</v>
      </c>
      <c r="I14" s="92">
        <f>SUM(F14:H14)</f>
        <v>0</v>
      </c>
      <c r="J14" s="95"/>
      <c r="K14" s="91" t="s">
        <v>13</v>
      </c>
      <c r="L14" s="91">
        <v>0</v>
      </c>
      <c r="M14" s="94">
        <f>SUM(K14:L14)</f>
        <v>0</v>
      </c>
      <c r="N14" s="95"/>
      <c r="O14" s="91" t="s">
        <v>13</v>
      </c>
      <c r="P14" s="91">
        <v>0</v>
      </c>
      <c r="Q14" s="94">
        <f>SUM(O14:P14)</f>
        <v>0</v>
      </c>
      <c r="R14" s="95"/>
      <c r="S14" s="91" t="s">
        <v>13</v>
      </c>
      <c r="T14" s="91">
        <v>0</v>
      </c>
      <c r="U14" s="94">
        <f>SUM(S14:T14)</f>
        <v>0</v>
      </c>
      <c r="V14" s="95"/>
      <c r="W14" s="91" t="s">
        <v>13</v>
      </c>
      <c r="X14" s="91">
        <v>0</v>
      </c>
      <c r="Y14" s="94">
        <f>SUM(W14:X14)</f>
        <v>0</v>
      </c>
    </row>
    <row r="15" spans="1:25" x14ac:dyDescent="0.2">
      <c r="A15" s="89" t="s">
        <v>14</v>
      </c>
      <c r="B15" s="96"/>
      <c r="C15" s="96"/>
      <c r="D15" s="91">
        <v>0</v>
      </c>
      <c r="E15" s="92">
        <f>SUM(B15:D15)</f>
        <v>0</v>
      </c>
      <c r="F15" s="89"/>
      <c r="G15" s="93"/>
      <c r="H15" s="93"/>
      <c r="I15" s="95"/>
      <c r="J15" s="95"/>
      <c r="K15" s="93"/>
      <c r="L15" s="93"/>
      <c r="M15" s="94">
        <f>SUM(K15:L15)</f>
        <v>0</v>
      </c>
      <c r="N15" s="95"/>
      <c r="O15" s="93"/>
      <c r="P15" s="93"/>
      <c r="Q15" s="94">
        <f>SUM(O15:P15)</f>
        <v>0</v>
      </c>
      <c r="R15" s="95"/>
      <c r="S15" s="93"/>
      <c r="T15" s="93"/>
      <c r="U15" s="94">
        <f>SUM(S15:T15)</f>
        <v>0</v>
      </c>
      <c r="V15" s="95"/>
      <c r="W15" s="93"/>
      <c r="X15" s="93"/>
      <c r="Y15" s="94">
        <f>SUM(W15:X15)</f>
        <v>0</v>
      </c>
    </row>
    <row r="16" spans="1:25" x14ac:dyDescent="0.2">
      <c r="A16" s="89" t="s">
        <v>28</v>
      </c>
      <c r="B16" s="96"/>
      <c r="C16" s="96"/>
      <c r="D16" s="91">
        <v>0.03</v>
      </c>
      <c r="E16" s="92">
        <f>SUM(B16:D16)</f>
        <v>0.03</v>
      </c>
      <c r="F16" s="89"/>
      <c r="G16" s="93"/>
      <c r="H16" s="93"/>
      <c r="I16" s="95"/>
      <c r="J16" s="95"/>
      <c r="K16" s="93"/>
      <c r="L16" s="93"/>
      <c r="M16" s="94">
        <f>SUM(K16:L16)</f>
        <v>0</v>
      </c>
      <c r="N16" s="95"/>
      <c r="O16" s="93"/>
      <c r="P16" s="93"/>
      <c r="Q16" s="94">
        <f>SUM(O16:P16)</f>
        <v>0</v>
      </c>
      <c r="R16" s="95"/>
      <c r="S16" s="93"/>
      <c r="T16" s="93"/>
      <c r="U16" s="94">
        <f>SUM(S16:T16)</f>
        <v>0</v>
      </c>
      <c r="V16" s="95"/>
      <c r="W16" s="93"/>
      <c r="X16" s="93"/>
      <c r="Y16" s="94">
        <f>SUM(W16:X16)</f>
        <v>0</v>
      </c>
    </row>
    <row r="17" spans="1:25" x14ac:dyDescent="0.2">
      <c r="A17" s="89"/>
      <c r="B17" s="90"/>
      <c r="C17" s="91"/>
      <c r="D17" s="91"/>
      <c r="E17" s="109"/>
      <c r="F17" s="89"/>
      <c r="G17" s="93"/>
      <c r="H17" s="93"/>
      <c r="I17" s="95"/>
      <c r="J17" s="95"/>
      <c r="K17" s="93"/>
      <c r="L17" s="93"/>
      <c r="M17" s="94" t="s">
        <v>13</v>
      </c>
      <c r="N17" s="95"/>
      <c r="O17" s="93"/>
      <c r="P17" s="93"/>
      <c r="Q17" s="94" t="s">
        <v>13</v>
      </c>
      <c r="R17" s="95"/>
      <c r="S17" s="93"/>
      <c r="T17" s="93"/>
      <c r="U17" s="94" t="s">
        <v>13</v>
      </c>
      <c r="V17" s="95"/>
      <c r="W17" s="93"/>
      <c r="X17" s="93"/>
      <c r="Y17" s="94" t="s">
        <v>13</v>
      </c>
    </row>
    <row r="18" spans="1:25" s="84" customFormat="1" x14ac:dyDescent="0.2">
      <c r="A18" s="98" t="s">
        <v>58</v>
      </c>
      <c r="B18" s="99"/>
      <c r="C18" s="100"/>
      <c r="D18" s="100">
        <f>SUM(D14:D17)</f>
        <v>0.03</v>
      </c>
      <c r="E18" s="100">
        <f>SUM(E14:E17)</f>
        <v>0.03</v>
      </c>
      <c r="F18" s="98"/>
      <c r="G18" s="110">
        <f>SUM(G13:G17)</f>
        <v>0</v>
      </c>
      <c r="H18" s="110">
        <f>SUM(H13:H17)</f>
        <v>0</v>
      </c>
      <c r="I18" s="94">
        <f>SUM(I13:I17)</f>
        <v>0</v>
      </c>
      <c r="J18" s="101"/>
      <c r="K18" s="110">
        <f>SUM(K13:K17)</f>
        <v>0</v>
      </c>
      <c r="L18" s="110">
        <f>SUM(L13:L17)</f>
        <v>0</v>
      </c>
      <c r="M18" s="94">
        <f>SUM(M13:M17)</f>
        <v>0</v>
      </c>
      <c r="N18" s="101"/>
      <c r="O18" s="110">
        <f>SUM(O13:O17)</f>
        <v>0</v>
      </c>
      <c r="P18" s="110">
        <f>SUM(P13:P17)</f>
        <v>0</v>
      </c>
      <c r="Q18" s="94">
        <f>SUM(Q13:Q17)</f>
        <v>0</v>
      </c>
      <c r="R18" s="101"/>
      <c r="S18" s="110">
        <f>SUM(S13:S17)</f>
        <v>0</v>
      </c>
      <c r="T18" s="110">
        <f>SUM(T13:T17)</f>
        <v>0</v>
      </c>
      <c r="U18" s="94">
        <f>SUM(U13:U17)</f>
        <v>0</v>
      </c>
      <c r="V18" s="101"/>
      <c r="W18" s="110">
        <f>SUM(W13:W17)</f>
        <v>0</v>
      </c>
      <c r="X18" s="110">
        <f>SUM(X13:X17)</f>
        <v>0</v>
      </c>
      <c r="Y18" s="94">
        <f>SUM(Y13:Y17)</f>
        <v>0</v>
      </c>
    </row>
    <row r="19" spans="1:25" ht="3.95" customHeight="1" x14ac:dyDescent="0.2">
      <c r="A19" s="98"/>
      <c r="B19" s="98"/>
      <c r="C19" s="102"/>
      <c r="D19" s="102"/>
      <c r="E19" s="103"/>
      <c r="F19" s="98"/>
      <c r="G19" s="95"/>
      <c r="H19" s="104"/>
      <c r="I19" s="94"/>
      <c r="J19" s="101"/>
      <c r="K19" s="95"/>
      <c r="L19" s="104"/>
      <c r="M19" s="94">
        <f>SUM(M13:M17)</f>
        <v>0</v>
      </c>
      <c r="N19" s="101"/>
      <c r="O19" s="95"/>
      <c r="P19" s="104"/>
      <c r="Q19" s="94">
        <f>SUM(Q13:Q17)</f>
        <v>0</v>
      </c>
      <c r="R19" s="101"/>
      <c r="S19" s="95"/>
      <c r="T19" s="104"/>
      <c r="U19" s="94">
        <f>SUM(U13:U17)</f>
        <v>0</v>
      </c>
      <c r="V19" s="101"/>
      <c r="W19" s="95"/>
      <c r="X19" s="104"/>
      <c r="Y19" s="94">
        <f>SUM(Y13:Y17)</f>
        <v>0</v>
      </c>
    </row>
    <row r="20" spans="1:25" s="84" customFormat="1" ht="17.25" customHeight="1" x14ac:dyDescent="0.2">
      <c r="A20" s="98" t="s">
        <v>134</v>
      </c>
      <c r="B20" s="98"/>
      <c r="C20" s="100">
        <f>C11+C18</f>
        <v>0</v>
      </c>
      <c r="D20" s="100">
        <f>D11+D18</f>
        <v>0.03</v>
      </c>
      <c r="E20" s="100">
        <f>E11+E18</f>
        <v>0.03</v>
      </c>
      <c r="F20" s="98"/>
      <c r="G20" s="94">
        <f>G11+G18</f>
        <v>0</v>
      </c>
      <c r="H20" s="110">
        <f>H11+H18</f>
        <v>0</v>
      </c>
      <c r="I20" s="94">
        <f>I11+I18</f>
        <v>0</v>
      </c>
      <c r="J20" s="101"/>
      <c r="K20" s="94">
        <f>K11+K18</f>
        <v>0</v>
      </c>
      <c r="L20" s="110">
        <f>L11+L18</f>
        <v>0</v>
      </c>
      <c r="M20" s="94">
        <f>M11+M18</f>
        <v>0</v>
      </c>
      <c r="N20" s="101"/>
      <c r="O20" s="94">
        <f>O11+O18</f>
        <v>0</v>
      </c>
      <c r="P20" s="110">
        <f>P11+P18</f>
        <v>0</v>
      </c>
      <c r="Q20" s="94">
        <f>Q11+Q18</f>
        <v>0</v>
      </c>
      <c r="R20" s="101"/>
      <c r="S20" s="94">
        <f>S11+S18</f>
        <v>0</v>
      </c>
      <c r="T20" s="110">
        <f>T11+T18</f>
        <v>0</v>
      </c>
      <c r="U20" s="94">
        <f>U11+U18</f>
        <v>0</v>
      </c>
      <c r="V20" s="101"/>
      <c r="W20" s="94">
        <f>W11+W18</f>
        <v>0</v>
      </c>
      <c r="X20" s="110">
        <f>X11+X18</f>
        <v>0</v>
      </c>
      <c r="Y20" s="94">
        <f>Y11+Y18</f>
        <v>0</v>
      </c>
    </row>
    <row r="21" spans="1:25" ht="17.25" customHeight="1" x14ac:dyDescent="0.2">
      <c r="A21" s="111"/>
      <c r="B21" s="112"/>
      <c r="C21" s="113"/>
      <c r="D21" s="113"/>
      <c r="E21" s="114"/>
      <c r="F21" s="112"/>
      <c r="G21" s="115"/>
      <c r="H21" s="116"/>
      <c r="I21" s="117"/>
      <c r="J21" s="117"/>
      <c r="K21" s="115"/>
      <c r="L21" s="116"/>
      <c r="M21" s="117"/>
      <c r="N21" s="117"/>
      <c r="O21" s="115"/>
      <c r="P21" s="116"/>
      <c r="Q21" s="117"/>
      <c r="R21" s="117"/>
      <c r="S21" s="115"/>
      <c r="T21" s="116"/>
      <c r="U21" s="117"/>
      <c r="V21" s="117"/>
      <c r="W21" s="115"/>
      <c r="X21" s="116"/>
      <c r="Y21" s="117"/>
    </row>
    <row r="22" spans="1:25" x14ac:dyDescent="0.2">
      <c r="A22" s="87" t="s">
        <v>64</v>
      </c>
      <c r="B22" s="118"/>
      <c r="C22" s="119"/>
      <c r="D22" s="119"/>
      <c r="E22" s="120"/>
      <c r="F22" s="121"/>
      <c r="G22" s="122"/>
      <c r="H22" s="122"/>
      <c r="I22" s="123"/>
      <c r="J22" s="123"/>
      <c r="K22" s="122"/>
      <c r="L22" s="122"/>
      <c r="M22" s="123"/>
      <c r="N22" s="123"/>
      <c r="O22" s="122"/>
      <c r="P22" s="122"/>
      <c r="Q22" s="123"/>
      <c r="R22" s="123"/>
      <c r="S22" s="122"/>
      <c r="T22" s="122"/>
      <c r="U22" s="123"/>
      <c r="V22" s="123"/>
      <c r="W22" s="122"/>
      <c r="X22" s="122"/>
      <c r="Y22" s="124"/>
    </row>
    <row r="23" spans="1:25" x14ac:dyDescent="0.2">
      <c r="A23" s="125" t="s">
        <v>138</v>
      </c>
      <c r="B23" s="90">
        <v>0</v>
      </c>
      <c r="C23" s="96"/>
      <c r="D23" s="96"/>
      <c r="E23" s="109"/>
      <c r="F23" s="90">
        <v>0</v>
      </c>
      <c r="G23" s="93"/>
      <c r="H23" s="93"/>
      <c r="I23" s="95"/>
      <c r="J23" s="90">
        <v>0</v>
      </c>
      <c r="K23" s="93"/>
      <c r="L23" s="93"/>
      <c r="M23" s="95"/>
      <c r="N23" s="90">
        <v>0</v>
      </c>
      <c r="O23" s="93"/>
      <c r="P23" s="93"/>
      <c r="Q23" s="95"/>
      <c r="R23" s="90">
        <v>0</v>
      </c>
      <c r="S23" s="93"/>
      <c r="T23" s="93"/>
      <c r="U23" s="95"/>
      <c r="V23" s="95"/>
      <c r="W23" s="93"/>
      <c r="X23" s="93"/>
      <c r="Y23" s="95"/>
    </row>
    <row r="24" spans="1:25" x14ac:dyDescent="0.2">
      <c r="A24" s="89"/>
      <c r="B24" s="89"/>
      <c r="C24" s="126"/>
      <c r="D24" s="126"/>
      <c r="E24" s="127"/>
      <c r="F24" s="89"/>
      <c r="G24" s="93"/>
      <c r="H24" s="93"/>
      <c r="I24" s="95"/>
      <c r="J24" s="95"/>
      <c r="K24" s="93"/>
      <c r="L24" s="93"/>
      <c r="M24" s="95"/>
      <c r="N24" s="95"/>
      <c r="O24" s="93"/>
      <c r="P24" s="93"/>
      <c r="Q24" s="95"/>
      <c r="R24" s="95"/>
      <c r="S24" s="93"/>
      <c r="T24" s="93"/>
      <c r="U24" s="95"/>
      <c r="V24" s="95"/>
      <c r="W24" s="93"/>
      <c r="X24" s="93"/>
      <c r="Y24" s="95"/>
    </row>
    <row r="25" spans="1:25" s="84" customFormat="1" x14ac:dyDescent="0.2">
      <c r="A25" s="128" t="s">
        <v>58</v>
      </c>
      <c r="B25" s="100">
        <f>SUM(B23:B24)</f>
        <v>0</v>
      </c>
      <c r="C25" s="100"/>
      <c r="D25" s="100"/>
      <c r="E25" s="100"/>
      <c r="F25" s="129">
        <f>SUM(F23:F24)</f>
        <v>0</v>
      </c>
      <c r="G25" s="130"/>
      <c r="H25" s="130"/>
      <c r="I25" s="94"/>
      <c r="J25" s="94">
        <f>SUM(J23:J24)</f>
        <v>0</v>
      </c>
      <c r="K25" s="130"/>
      <c r="L25" s="130"/>
      <c r="M25" s="94"/>
      <c r="N25" s="94">
        <f>SUM(N23:N24)</f>
        <v>0</v>
      </c>
      <c r="O25" s="130"/>
      <c r="P25" s="130"/>
      <c r="Q25" s="94"/>
      <c r="R25" s="94">
        <f>SUM(R23:R24)</f>
        <v>0</v>
      </c>
      <c r="S25" s="130"/>
      <c r="T25" s="130"/>
      <c r="U25" s="94"/>
      <c r="V25" s="94">
        <f>SUM(V23:V24)</f>
        <v>0</v>
      </c>
      <c r="W25" s="130"/>
      <c r="X25" s="130"/>
      <c r="Y25" s="94"/>
    </row>
    <row r="26" spans="1:25" ht="3.95" customHeight="1" x14ac:dyDescent="0.2">
      <c r="A26" s="98"/>
      <c r="B26" s="102"/>
      <c r="C26" s="102"/>
      <c r="D26" s="102"/>
      <c r="E26" s="103"/>
      <c r="F26" s="98"/>
      <c r="G26" s="95"/>
      <c r="H26" s="104"/>
      <c r="I26" s="94"/>
      <c r="J26" s="101"/>
      <c r="K26" s="95"/>
      <c r="L26" s="104"/>
      <c r="M26" s="94"/>
      <c r="N26" s="101"/>
      <c r="O26" s="95"/>
      <c r="P26" s="104"/>
      <c r="Q26" s="94"/>
      <c r="R26" s="101"/>
      <c r="S26" s="95"/>
      <c r="T26" s="104"/>
      <c r="U26" s="94"/>
      <c r="V26" s="101"/>
      <c r="W26" s="95"/>
      <c r="X26" s="104"/>
      <c r="Y26" s="94"/>
    </row>
    <row r="27" spans="1:25" s="84" customFormat="1" x14ac:dyDescent="0.2">
      <c r="A27" s="98" t="s">
        <v>139</v>
      </c>
      <c r="B27" s="131">
        <f>B25</f>
        <v>0</v>
      </c>
      <c r="C27" s="131" t="s">
        <v>140</v>
      </c>
      <c r="D27" s="131" t="s">
        <v>140</v>
      </c>
      <c r="E27" s="132" t="s">
        <v>140</v>
      </c>
      <c r="F27" s="129">
        <f>F25</f>
        <v>0</v>
      </c>
      <c r="G27" s="131" t="s">
        <v>140</v>
      </c>
      <c r="H27" s="131" t="s">
        <v>140</v>
      </c>
      <c r="I27" s="132" t="s">
        <v>140</v>
      </c>
      <c r="J27" s="101">
        <f>J25</f>
        <v>0</v>
      </c>
      <c r="K27" s="131" t="s">
        <v>140</v>
      </c>
      <c r="L27" s="131" t="s">
        <v>140</v>
      </c>
      <c r="M27" s="132" t="s">
        <v>140</v>
      </c>
      <c r="N27" s="101">
        <f>N25</f>
        <v>0</v>
      </c>
      <c r="O27" s="131" t="s">
        <v>140</v>
      </c>
      <c r="P27" s="131" t="s">
        <v>140</v>
      </c>
      <c r="Q27" s="132" t="s">
        <v>140</v>
      </c>
      <c r="R27" s="101">
        <f>R25</f>
        <v>0</v>
      </c>
      <c r="S27" s="131" t="s">
        <v>140</v>
      </c>
      <c r="T27" s="131" t="s">
        <v>140</v>
      </c>
      <c r="U27" s="132" t="s">
        <v>140</v>
      </c>
      <c r="V27" s="101">
        <f>V25</f>
        <v>0</v>
      </c>
      <c r="W27" s="131" t="s">
        <v>140</v>
      </c>
      <c r="X27" s="131" t="s">
        <v>140</v>
      </c>
      <c r="Y27" s="132" t="s">
        <v>140</v>
      </c>
    </row>
    <row r="28" spans="1:25" x14ac:dyDescent="0.2">
      <c r="A28" s="133"/>
      <c r="B28" s="133"/>
      <c r="C28" s="134"/>
      <c r="D28" s="134"/>
      <c r="E28" s="135"/>
      <c r="F28" s="133"/>
      <c r="G28" s="134"/>
      <c r="H28" s="135"/>
      <c r="I28" s="133"/>
      <c r="J28" s="133"/>
      <c r="K28" s="134"/>
      <c r="L28" s="135"/>
      <c r="M28" s="133"/>
      <c r="N28" s="133"/>
      <c r="O28" s="134"/>
      <c r="P28" s="135"/>
      <c r="Q28" s="133"/>
      <c r="R28" s="133"/>
      <c r="S28" s="134"/>
      <c r="T28" s="135"/>
      <c r="U28" s="133"/>
      <c r="V28" s="133"/>
      <c r="W28" s="134"/>
      <c r="X28" s="135"/>
      <c r="Y28" s="133"/>
    </row>
    <row r="30" spans="1:25" x14ac:dyDescent="0.2">
      <c r="A30" s="136"/>
      <c r="B30" s="481" t="s">
        <v>6</v>
      </c>
      <c r="C30" s="481"/>
      <c r="D30" s="481"/>
      <c r="E30" s="481"/>
      <c r="F30" s="481" t="s">
        <v>7</v>
      </c>
      <c r="G30" s="481"/>
      <c r="H30" s="481"/>
      <c r="I30" s="481" t="s">
        <v>6</v>
      </c>
      <c r="J30" s="481" t="s">
        <v>8</v>
      </c>
      <c r="K30" s="481"/>
      <c r="L30" s="481"/>
      <c r="M30" s="481" t="s">
        <v>6</v>
      </c>
      <c r="N30" s="481" t="s">
        <v>9</v>
      </c>
      <c r="O30" s="481"/>
      <c r="P30" s="481"/>
      <c r="Q30" s="481" t="s">
        <v>6</v>
      </c>
      <c r="R30" s="481" t="s">
        <v>10</v>
      </c>
      <c r="S30" s="481"/>
      <c r="T30" s="481"/>
      <c r="U30" s="481" t="s">
        <v>6</v>
      </c>
      <c r="V30" s="481" t="s">
        <v>11</v>
      </c>
      <c r="W30" s="481"/>
      <c r="X30" s="481"/>
      <c r="Y30" s="481" t="s">
        <v>6</v>
      </c>
    </row>
    <row r="31" spans="1:25" ht="38.25" x14ac:dyDescent="0.2">
      <c r="A31" s="87" t="s">
        <v>43</v>
      </c>
      <c r="B31" s="88" t="s">
        <v>131</v>
      </c>
      <c r="C31" s="88" t="s">
        <v>132</v>
      </c>
      <c r="D31" s="88" t="s">
        <v>133</v>
      </c>
      <c r="E31" s="88" t="s">
        <v>134</v>
      </c>
      <c r="F31" s="88" t="s">
        <v>131</v>
      </c>
      <c r="G31" s="88" t="s">
        <v>132</v>
      </c>
      <c r="H31" s="88" t="s">
        <v>133</v>
      </c>
      <c r="I31" s="88" t="s">
        <v>134</v>
      </c>
      <c r="J31" s="88" t="s">
        <v>131</v>
      </c>
      <c r="K31" s="88" t="s">
        <v>132</v>
      </c>
      <c r="L31" s="88" t="s">
        <v>133</v>
      </c>
      <c r="M31" s="88" t="s">
        <v>134</v>
      </c>
      <c r="N31" s="88" t="s">
        <v>131</v>
      </c>
      <c r="O31" s="88" t="s">
        <v>132</v>
      </c>
      <c r="P31" s="88" t="s">
        <v>133</v>
      </c>
      <c r="Q31" s="88" t="s">
        <v>134</v>
      </c>
      <c r="R31" s="88" t="s">
        <v>131</v>
      </c>
      <c r="S31" s="88" t="s">
        <v>132</v>
      </c>
      <c r="T31" s="88" t="s">
        <v>133</v>
      </c>
      <c r="U31" s="88" t="s">
        <v>134</v>
      </c>
      <c r="V31" s="88" t="s">
        <v>131</v>
      </c>
      <c r="W31" s="88" t="s">
        <v>132</v>
      </c>
      <c r="X31" s="88" t="s">
        <v>133</v>
      </c>
      <c r="Y31" s="88" t="s">
        <v>134</v>
      </c>
    </row>
    <row r="32" spans="1:25" x14ac:dyDescent="0.2">
      <c r="A32" s="89" t="s">
        <v>141</v>
      </c>
      <c r="B32" s="137"/>
      <c r="C32" s="137"/>
      <c r="D32" s="93"/>
      <c r="E32" s="138">
        <f>SUM(B32:D32)</f>
        <v>0</v>
      </c>
      <c r="F32" s="95"/>
      <c r="G32" s="93"/>
      <c r="H32" s="97"/>
      <c r="I32" s="94">
        <f t="shared" ref="I32:I37" si="2">SUM(G32:H32)</f>
        <v>0</v>
      </c>
      <c r="J32" s="95"/>
      <c r="K32" s="93"/>
      <c r="L32" s="97"/>
      <c r="M32" s="94">
        <f t="shared" ref="M32:M37" si="3">SUM(K32:L32)</f>
        <v>0</v>
      </c>
      <c r="N32" s="95"/>
      <c r="O32" s="93"/>
      <c r="P32" s="97"/>
      <c r="Q32" s="94">
        <f t="shared" ref="Q32:Q37" si="4">SUM(O32:P32)</f>
        <v>0</v>
      </c>
      <c r="R32" s="95"/>
      <c r="S32" s="93"/>
      <c r="T32" s="97"/>
      <c r="U32" s="94">
        <f t="shared" ref="U32:U37" si="5">SUM(S32:T32)</f>
        <v>0</v>
      </c>
      <c r="V32" s="95"/>
      <c r="W32" s="93"/>
      <c r="X32" s="97"/>
      <c r="Y32" s="94">
        <f t="shared" ref="Y32:Y37" si="6">SUM(W32:X32)</f>
        <v>0</v>
      </c>
    </row>
    <row r="33" spans="1:25" x14ac:dyDescent="0.2">
      <c r="A33" s="89" t="s">
        <v>135</v>
      </c>
      <c r="B33" s="137"/>
      <c r="C33" s="137"/>
      <c r="D33" s="93"/>
      <c r="E33" s="138">
        <f>SUM(B33:D33)</f>
        <v>0</v>
      </c>
      <c r="F33" s="95"/>
      <c r="G33" s="93"/>
      <c r="H33" s="97"/>
      <c r="I33" s="94">
        <f t="shared" si="2"/>
        <v>0</v>
      </c>
      <c r="J33" s="95"/>
      <c r="K33" s="93"/>
      <c r="L33" s="97"/>
      <c r="M33" s="94">
        <f t="shared" si="3"/>
        <v>0</v>
      </c>
      <c r="N33" s="95"/>
      <c r="O33" s="93"/>
      <c r="P33" s="97"/>
      <c r="Q33" s="94">
        <f t="shared" si="4"/>
        <v>0</v>
      </c>
      <c r="R33" s="95"/>
      <c r="S33" s="93"/>
      <c r="T33" s="97"/>
      <c r="U33" s="94">
        <f t="shared" si="5"/>
        <v>0</v>
      </c>
      <c r="V33" s="95"/>
      <c r="W33" s="93"/>
      <c r="X33" s="97"/>
      <c r="Y33" s="94">
        <f t="shared" si="6"/>
        <v>0</v>
      </c>
    </row>
    <row r="34" spans="1:25" x14ac:dyDescent="0.2">
      <c r="A34" s="89" t="s">
        <v>142</v>
      </c>
      <c r="B34" s="137"/>
      <c r="C34" s="93"/>
      <c r="D34" s="93"/>
      <c r="E34" s="138">
        <f>SUM(B34:D34)</f>
        <v>0</v>
      </c>
      <c r="F34" s="95"/>
      <c r="G34" s="93"/>
      <c r="H34" s="97"/>
      <c r="I34" s="94">
        <f t="shared" si="2"/>
        <v>0</v>
      </c>
      <c r="J34" s="95"/>
      <c r="K34" s="93"/>
      <c r="L34" s="97"/>
      <c r="M34" s="94">
        <f t="shared" si="3"/>
        <v>0</v>
      </c>
      <c r="N34" s="95"/>
      <c r="O34" s="93"/>
      <c r="P34" s="97"/>
      <c r="Q34" s="94">
        <f t="shared" si="4"/>
        <v>0</v>
      </c>
      <c r="R34" s="95"/>
      <c r="S34" s="93"/>
      <c r="T34" s="97"/>
      <c r="U34" s="94">
        <f t="shared" si="5"/>
        <v>0</v>
      </c>
      <c r="V34" s="95"/>
      <c r="W34" s="93"/>
      <c r="X34" s="97"/>
      <c r="Y34" s="94">
        <f t="shared" si="6"/>
        <v>0</v>
      </c>
    </row>
    <row r="35" spans="1:25" x14ac:dyDescent="0.2">
      <c r="A35" s="89" t="s">
        <v>143</v>
      </c>
      <c r="B35" s="137"/>
      <c r="C35" s="93"/>
      <c r="D35" s="93"/>
      <c r="E35" s="138">
        <f>SUM(B35:D35)</f>
        <v>0</v>
      </c>
      <c r="F35" s="95"/>
      <c r="G35" s="139"/>
      <c r="H35" s="139"/>
      <c r="I35" s="94">
        <f t="shared" si="2"/>
        <v>0</v>
      </c>
      <c r="J35" s="95"/>
      <c r="K35" s="139"/>
      <c r="L35" s="139"/>
      <c r="M35" s="94">
        <f t="shared" si="3"/>
        <v>0</v>
      </c>
      <c r="N35" s="95"/>
      <c r="O35" s="139"/>
      <c r="P35" s="139"/>
      <c r="Q35" s="94">
        <f t="shared" si="4"/>
        <v>0</v>
      </c>
      <c r="R35" s="95"/>
      <c r="S35" s="139"/>
      <c r="T35" s="139"/>
      <c r="U35" s="94">
        <f t="shared" si="5"/>
        <v>0</v>
      </c>
      <c r="V35" s="95"/>
      <c r="W35" s="139"/>
      <c r="X35" s="139"/>
      <c r="Y35" s="94">
        <f t="shared" si="6"/>
        <v>0</v>
      </c>
    </row>
    <row r="36" spans="1:25" x14ac:dyDescent="0.2">
      <c r="A36" s="89" t="s">
        <v>144</v>
      </c>
      <c r="B36" s="137"/>
      <c r="C36" s="93"/>
      <c r="D36" s="93"/>
      <c r="E36" s="138">
        <f>SUM(B36:D36)</f>
        <v>0</v>
      </c>
      <c r="F36" s="95"/>
      <c r="G36" s="139"/>
      <c r="H36" s="139"/>
      <c r="I36" s="94">
        <f t="shared" si="2"/>
        <v>0</v>
      </c>
      <c r="J36" s="95"/>
      <c r="K36" s="139"/>
      <c r="L36" s="139"/>
      <c r="M36" s="94">
        <f t="shared" si="3"/>
        <v>0</v>
      </c>
      <c r="N36" s="95"/>
      <c r="O36" s="139"/>
      <c r="P36" s="139"/>
      <c r="Q36" s="94">
        <f t="shared" si="4"/>
        <v>0</v>
      </c>
      <c r="R36" s="95"/>
      <c r="S36" s="139"/>
      <c r="T36" s="139"/>
      <c r="U36" s="94">
        <f t="shared" si="5"/>
        <v>0</v>
      </c>
      <c r="V36" s="95"/>
      <c r="W36" s="139"/>
      <c r="X36" s="139"/>
      <c r="Y36" s="94">
        <f t="shared" si="6"/>
        <v>0</v>
      </c>
    </row>
    <row r="37" spans="1:25" x14ac:dyDescent="0.2">
      <c r="A37" s="89"/>
      <c r="B37" s="95"/>
      <c r="C37" s="93"/>
      <c r="D37" s="93"/>
      <c r="E37" s="130"/>
      <c r="F37" s="95"/>
      <c r="G37" s="93"/>
      <c r="H37" s="93"/>
      <c r="I37" s="94">
        <f t="shared" si="2"/>
        <v>0</v>
      </c>
      <c r="J37" s="95"/>
      <c r="K37" s="93"/>
      <c r="L37" s="93"/>
      <c r="M37" s="94">
        <f t="shared" si="3"/>
        <v>0</v>
      </c>
      <c r="N37" s="95"/>
      <c r="O37" s="93"/>
      <c r="P37" s="93"/>
      <c r="Q37" s="94">
        <f t="shared" si="4"/>
        <v>0</v>
      </c>
      <c r="R37" s="95"/>
      <c r="S37" s="93"/>
      <c r="T37" s="93"/>
      <c r="U37" s="94">
        <f t="shared" si="5"/>
        <v>0</v>
      </c>
      <c r="V37" s="95"/>
      <c r="W37" s="93"/>
      <c r="X37" s="93"/>
      <c r="Y37" s="94">
        <f t="shared" si="6"/>
        <v>0</v>
      </c>
    </row>
    <row r="38" spans="1:25" s="84" customFormat="1" x14ac:dyDescent="0.2">
      <c r="A38" s="98" t="s">
        <v>58</v>
      </c>
      <c r="B38" s="140"/>
      <c r="C38" s="101">
        <f>SUM(C32:C37)</f>
        <v>0</v>
      </c>
      <c r="D38" s="101">
        <f>SUM(D32:D37)</f>
        <v>0</v>
      </c>
      <c r="E38" s="101">
        <f>SUM(E32:E37)</f>
        <v>0</v>
      </c>
      <c r="F38" s="101"/>
      <c r="G38" s="94">
        <f>SUM(G32:G37)</f>
        <v>0</v>
      </c>
      <c r="H38" s="94">
        <f>SUM(H32:H37)</f>
        <v>0</v>
      </c>
      <c r="I38" s="94">
        <f>SUM(I32:I37)</f>
        <v>0</v>
      </c>
      <c r="J38" s="101"/>
      <c r="K38" s="94">
        <f>SUM(K32:K37)</f>
        <v>0</v>
      </c>
      <c r="L38" s="94">
        <f>SUM(L32:L37)</f>
        <v>0</v>
      </c>
      <c r="M38" s="94">
        <f>SUM(M32:M37)</f>
        <v>0</v>
      </c>
      <c r="N38" s="101"/>
      <c r="O38" s="94">
        <f>SUM(O32:O37)</f>
        <v>0</v>
      </c>
      <c r="P38" s="94">
        <f>SUM(P32:P37)</f>
        <v>0</v>
      </c>
      <c r="Q38" s="94">
        <f>SUM(Q32:Q37)</f>
        <v>0</v>
      </c>
      <c r="R38" s="101"/>
      <c r="S38" s="94">
        <f>SUM(S32:S37)</f>
        <v>0</v>
      </c>
      <c r="T38" s="94">
        <f>SUM(T32:T37)</f>
        <v>0</v>
      </c>
      <c r="U38" s="94">
        <f>SUM(U32:U37)</f>
        <v>0</v>
      </c>
      <c r="V38" s="101"/>
      <c r="W38" s="94">
        <f>SUM(W32:W37)</f>
        <v>0</v>
      </c>
      <c r="X38" s="94">
        <f>SUM(X32:X37)</f>
        <v>0</v>
      </c>
      <c r="Y38" s="94">
        <f>SUM(Y32:Y37)</f>
        <v>0</v>
      </c>
    </row>
    <row r="39" spans="1:25" ht="3.95" customHeight="1" x14ac:dyDescent="0.2">
      <c r="A39" s="98"/>
      <c r="B39" s="101"/>
      <c r="C39" s="95"/>
      <c r="D39" s="95"/>
      <c r="E39" s="110"/>
      <c r="F39" s="101"/>
      <c r="G39" s="95"/>
      <c r="H39" s="104"/>
      <c r="I39" s="94"/>
      <c r="J39" s="101"/>
      <c r="K39" s="95"/>
      <c r="L39" s="104"/>
      <c r="M39" s="94"/>
      <c r="N39" s="101"/>
      <c r="O39" s="95"/>
      <c r="P39" s="104"/>
      <c r="Q39" s="94"/>
      <c r="R39" s="101"/>
      <c r="S39" s="95"/>
      <c r="T39" s="104"/>
      <c r="U39" s="94"/>
      <c r="V39" s="101"/>
      <c r="W39" s="95"/>
      <c r="X39" s="104"/>
      <c r="Y39" s="94"/>
    </row>
    <row r="40" spans="1:25" x14ac:dyDescent="0.2">
      <c r="A40" s="105" t="s">
        <v>22</v>
      </c>
      <c r="B40" s="108"/>
      <c r="C40" s="106"/>
      <c r="D40" s="106"/>
      <c r="E40" s="107"/>
      <c r="F40" s="108"/>
      <c r="G40" s="106"/>
      <c r="H40" s="107"/>
      <c r="I40" s="94">
        <f>SUM(G40:H40)</f>
        <v>0</v>
      </c>
      <c r="J40" s="108"/>
      <c r="K40" s="106"/>
      <c r="L40" s="107"/>
      <c r="M40" s="94">
        <f>SUM(K40:L40)</f>
        <v>0</v>
      </c>
      <c r="N40" s="108"/>
      <c r="O40" s="106"/>
      <c r="P40" s="107"/>
      <c r="Q40" s="94">
        <f>SUM(O40:P40)</f>
        <v>0</v>
      </c>
      <c r="R40" s="108"/>
      <c r="S40" s="106"/>
      <c r="T40" s="107"/>
      <c r="U40" s="94">
        <f>SUM(S40:T40)</f>
        <v>0</v>
      </c>
      <c r="V40" s="108"/>
      <c r="W40" s="106"/>
      <c r="X40" s="107"/>
      <c r="Y40" s="94">
        <f>SUM(W40:X40)</f>
        <v>0</v>
      </c>
    </row>
    <row r="41" spans="1:25" x14ac:dyDescent="0.2">
      <c r="A41" s="89" t="s">
        <v>12</v>
      </c>
      <c r="B41" s="137"/>
      <c r="C41" s="137"/>
      <c r="D41" s="93"/>
      <c r="E41" s="138">
        <f>SUM(B41:D41)</f>
        <v>0</v>
      </c>
      <c r="F41" s="95"/>
      <c r="G41" s="93"/>
      <c r="H41" s="93"/>
      <c r="I41" s="94">
        <f>SUM(G41:H41)</f>
        <v>0</v>
      </c>
      <c r="J41" s="95"/>
      <c r="K41" s="93"/>
      <c r="L41" s="93"/>
      <c r="M41" s="94">
        <f>SUM(K41:L41)</f>
        <v>0</v>
      </c>
      <c r="N41" s="95"/>
      <c r="O41" s="93"/>
      <c r="P41" s="93"/>
      <c r="Q41" s="94">
        <f>SUM(O41:P41)</f>
        <v>0</v>
      </c>
      <c r="R41" s="95"/>
      <c r="S41" s="93"/>
      <c r="T41" s="93"/>
      <c r="U41" s="94">
        <f>SUM(S41:T41)</f>
        <v>0</v>
      </c>
      <c r="V41" s="95"/>
      <c r="W41" s="93"/>
      <c r="X41" s="93"/>
      <c r="Y41" s="94">
        <f>SUM(W41:X41)</f>
        <v>0</v>
      </c>
    </row>
    <row r="42" spans="1:25" x14ac:dyDescent="0.2">
      <c r="A42" s="89" t="s">
        <v>14</v>
      </c>
      <c r="B42" s="137"/>
      <c r="C42" s="137"/>
      <c r="D42" s="93"/>
      <c r="E42" s="138">
        <f>SUM(B42:D42)</f>
        <v>0</v>
      </c>
      <c r="F42" s="95"/>
      <c r="G42" s="93"/>
      <c r="H42" s="93"/>
      <c r="I42" s="94">
        <f>SUM(G42:H42)</f>
        <v>0</v>
      </c>
      <c r="J42" s="95"/>
      <c r="K42" s="93"/>
      <c r="L42" s="93"/>
      <c r="M42" s="94">
        <f>SUM(K42:L42)</f>
        <v>0</v>
      </c>
      <c r="N42" s="95"/>
      <c r="O42" s="93"/>
      <c r="P42" s="93"/>
      <c r="Q42" s="94">
        <f>SUM(O42:P42)</f>
        <v>0</v>
      </c>
      <c r="R42" s="95"/>
      <c r="S42" s="93"/>
      <c r="T42" s="93"/>
      <c r="U42" s="94">
        <f>SUM(S42:T42)</f>
        <v>0</v>
      </c>
      <c r="V42" s="95"/>
      <c r="W42" s="93"/>
      <c r="X42" s="93"/>
      <c r="Y42" s="94">
        <f>SUM(W42:X42)</f>
        <v>0</v>
      </c>
    </row>
    <row r="43" spans="1:25" x14ac:dyDescent="0.2">
      <c r="A43" s="89" t="s">
        <v>28</v>
      </c>
      <c r="B43" s="137"/>
      <c r="C43" s="137"/>
      <c r="D43" s="93"/>
      <c r="E43" s="138">
        <f>SUM(B43:D43)</f>
        <v>0</v>
      </c>
      <c r="F43" s="95"/>
      <c r="G43" s="93"/>
      <c r="H43" s="93"/>
      <c r="I43" s="94">
        <f>SUM(G43:H43)</f>
        <v>0</v>
      </c>
      <c r="J43" s="95"/>
      <c r="K43" s="93"/>
      <c r="L43" s="93"/>
      <c r="M43" s="94">
        <f>SUM(K43:L43)</f>
        <v>0</v>
      </c>
      <c r="N43" s="95"/>
      <c r="O43" s="93"/>
      <c r="P43" s="93"/>
      <c r="Q43" s="94">
        <f>SUM(O43:P43)</f>
        <v>0</v>
      </c>
      <c r="R43" s="95"/>
      <c r="S43" s="93"/>
      <c r="T43" s="93"/>
      <c r="U43" s="94">
        <f>SUM(S43:T43)</f>
        <v>0</v>
      </c>
      <c r="V43" s="95"/>
      <c r="W43" s="93"/>
      <c r="X43" s="93"/>
      <c r="Y43" s="94">
        <f>SUM(W43:X43)</f>
        <v>0</v>
      </c>
    </row>
    <row r="44" spans="1:25" x14ac:dyDescent="0.2">
      <c r="A44" s="89"/>
      <c r="B44" s="95"/>
      <c r="C44" s="93"/>
      <c r="D44" s="93"/>
      <c r="E44" s="130"/>
      <c r="F44" s="95"/>
      <c r="G44" s="93"/>
      <c r="H44" s="93"/>
      <c r="I44" s="94">
        <f>SUM(G44:H44)</f>
        <v>0</v>
      </c>
      <c r="J44" s="95"/>
      <c r="K44" s="93"/>
      <c r="L44" s="93"/>
      <c r="M44" s="94">
        <f>SUM(K44:L44)</f>
        <v>0</v>
      </c>
      <c r="N44" s="95"/>
      <c r="O44" s="93"/>
      <c r="P44" s="93"/>
      <c r="Q44" s="94">
        <f>SUM(O44:P44)</f>
        <v>0</v>
      </c>
      <c r="R44" s="95"/>
      <c r="S44" s="93"/>
      <c r="T44" s="93"/>
      <c r="U44" s="94">
        <f>SUM(S44:T44)</f>
        <v>0</v>
      </c>
      <c r="V44" s="95"/>
      <c r="W44" s="93"/>
      <c r="X44" s="93"/>
      <c r="Y44" s="94">
        <f>SUM(W44:X44)</f>
        <v>0</v>
      </c>
    </row>
    <row r="45" spans="1:25" s="84" customFormat="1" x14ac:dyDescent="0.2">
      <c r="A45" s="98" t="s">
        <v>58</v>
      </c>
      <c r="B45" s="140"/>
      <c r="C45" s="101">
        <f>SUM(C40:C44)</f>
        <v>0</v>
      </c>
      <c r="D45" s="101">
        <f>SUM(D41:D44)</f>
        <v>0</v>
      </c>
      <c r="E45" s="101">
        <f>SUM(E41:E44)</f>
        <v>0</v>
      </c>
      <c r="F45" s="101"/>
      <c r="G45" s="110">
        <f>SUM(G40:G44)</f>
        <v>0</v>
      </c>
      <c r="H45" s="110">
        <f>SUM(H40:H44)</f>
        <v>0</v>
      </c>
      <c r="I45" s="94">
        <f>SUM(I40:I44)</f>
        <v>0</v>
      </c>
      <c r="J45" s="101"/>
      <c r="K45" s="110">
        <f>SUM(K40:K44)</f>
        <v>0</v>
      </c>
      <c r="L45" s="110">
        <f>SUM(L40:L44)</f>
        <v>0</v>
      </c>
      <c r="M45" s="94">
        <f>SUM(M40:M44)</f>
        <v>0</v>
      </c>
      <c r="N45" s="101"/>
      <c r="O45" s="110">
        <f>SUM(O40:O44)</f>
        <v>0</v>
      </c>
      <c r="P45" s="110">
        <f>SUM(P40:P44)</f>
        <v>0</v>
      </c>
      <c r="Q45" s="94">
        <f>SUM(Q40:Q44)</f>
        <v>0</v>
      </c>
      <c r="R45" s="101"/>
      <c r="S45" s="110">
        <f>SUM(S40:S44)</f>
        <v>0</v>
      </c>
      <c r="T45" s="110">
        <f>SUM(T40:T44)</f>
        <v>0</v>
      </c>
      <c r="U45" s="94">
        <f>SUM(U40:U44)</f>
        <v>0</v>
      </c>
      <c r="V45" s="101"/>
      <c r="W45" s="110">
        <f>SUM(W40:W44)</f>
        <v>0</v>
      </c>
      <c r="X45" s="110">
        <f>SUM(X40:X44)</f>
        <v>0</v>
      </c>
      <c r="Y45" s="94">
        <f>SUM(Y40:Y44)</f>
        <v>0</v>
      </c>
    </row>
    <row r="46" spans="1:25" ht="3.95" customHeight="1" x14ac:dyDescent="0.2">
      <c r="A46" s="98"/>
      <c r="B46" s="101"/>
      <c r="C46" s="95"/>
      <c r="D46" s="95"/>
      <c r="E46" s="110"/>
      <c r="F46" s="101"/>
      <c r="G46" s="95"/>
      <c r="H46" s="104"/>
      <c r="I46" s="94">
        <f>SUM(I40:I44)</f>
        <v>0</v>
      </c>
      <c r="J46" s="101"/>
      <c r="K46" s="95"/>
      <c r="L46" s="104"/>
      <c r="M46" s="94">
        <f>SUM(M40:M44)</f>
        <v>0</v>
      </c>
      <c r="N46" s="101"/>
      <c r="O46" s="95"/>
      <c r="P46" s="104"/>
      <c r="Q46" s="94">
        <f>SUM(Q40:Q44)</f>
        <v>0</v>
      </c>
      <c r="R46" s="101"/>
      <c r="S46" s="95"/>
      <c r="T46" s="104"/>
      <c r="U46" s="94">
        <f>SUM(U40:U44)</f>
        <v>0</v>
      </c>
      <c r="V46" s="101"/>
      <c r="W46" s="95"/>
      <c r="X46" s="104"/>
      <c r="Y46" s="94">
        <f>SUM(Y40:Y44)</f>
        <v>0</v>
      </c>
    </row>
    <row r="47" spans="1:25" ht="17.25" customHeight="1" x14ac:dyDescent="0.2">
      <c r="A47" s="98" t="s">
        <v>134</v>
      </c>
      <c r="B47" s="101"/>
      <c r="C47" s="101">
        <f>C38+C45</f>
        <v>0</v>
      </c>
      <c r="D47" s="101">
        <f>D38+D45</f>
        <v>0</v>
      </c>
      <c r="E47" s="101">
        <f>E38+E45</f>
        <v>0</v>
      </c>
      <c r="F47" s="101"/>
      <c r="G47" s="94">
        <f>G38+G45</f>
        <v>0</v>
      </c>
      <c r="H47" s="110">
        <f>H38+H45</f>
        <v>0</v>
      </c>
      <c r="I47" s="94">
        <f>I38+I45</f>
        <v>0</v>
      </c>
      <c r="J47" s="101"/>
      <c r="K47" s="94">
        <f>K38+K45</f>
        <v>0</v>
      </c>
      <c r="L47" s="110">
        <f>L38+L45</f>
        <v>0</v>
      </c>
      <c r="M47" s="94">
        <f>M38+M45</f>
        <v>0</v>
      </c>
      <c r="N47" s="101"/>
      <c r="O47" s="94">
        <f>O38+O45</f>
        <v>0</v>
      </c>
      <c r="P47" s="110">
        <f>P38+P45</f>
        <v>0</v>
      </c>
      <c r="Q47" s="94">
        <f>Q38+Q45</f>
        <v>0</v>
      </c>
      <c r="R47" s="101"/>
      <c r="S47" s="94">
        <f>S38+S45</f>
        <v>0</v>
      </c>
      <c r="T47" s="110">
        <f>T38+T45</f>
        <v>0</v>
      </c>
      <c r="U47" s="94">
        <f>U38+U45</f>
        <v>0</v>
      </c>
      <c r="V47" s="101"/>
      <c r="W47" s="94">
        <f>W38+W45</f>
        <v>0</v>
      </c>
      <c r="X47" s="110">
        <f>X38+X45</f>
        <v>0</v>
      </c>
      <c r="Y47" s="94">
        <f>Y38+Y45</f>
        <v>0</v>
      </c>
    </row>
    <row r="48" spans="1:25" ht="17.25" customHeight="1" x14ac:dyDescent="0.2">
      <c r="A48" s="111"/>
      <c r="B48" s="117"/>
      <c r="C48" s="115"/>
      <c r="D48" s="115"/>
      <c r="E48" s="141"/>
      <c r="F48" s="117"/>
      <c r="G48" s="115"/>
      <c r="H48" s="116"/>
      <c r="I48" s="117"/>
      <c r="J48" s="117"/>
      <c r="K48" s="115"/>
      <c r="L48" s="116"/>
      <c r="M48" s="117"/>
      <c r="N48" s="117"/>
      <c r="O48" s="115"/>
      <c r="P48" s="116"/>
      <c r="Q48" s="117"/>
      <c r="R48" s="117"/>
      <c r="S48" s="115"/>
      <c r="T48" s="116"/>
      <c r="U48" s="117"/>
      <c r="V48" s="117"/>
      <c r="W48" s="115"/>
      <c r="X48" s="116"/>
      <c r="Y48" s="117"/>
    </row>
    <row r="49" spans="1:25" x14ac:dyDescent="0.2">
      <c r="A49" s="87" t="s">
        <v>64</v>
      </c>
      <c r="B49" s="142"/>
      <c r="C49" s="122"/>
      <c r="D49" s="122"/>
      <c r="E49" s="143"/>
      <c r="F49" s="123"/>
      <c r="G49" s="122"/>
      <c r="H49" s="122"/>
      <c r="I49" s="123"/>
      <c r="J49" s="123"/>
      <c r="K49" s="122"/>
      <c r="L49" s="122"/>
      <c r="M49" s="123"/>
      <c r="N49" s="123"/>
      <c r="O49" s="122"/>
      <c r="P49" s="122"/>
      <c r="Q49" s="123"/>
      <c r="R49" s="123"/>
      <c r="S49" s="122"/>
      <c r="T49" s="122"/>
      <c r="U49" s="123"/>
      <c r="V49" s="123"/>
      <c r="W49" s="122"/>
      <c r="X49" s="122"/>
      <c r="Y49" s="124"/>
    </row>
    <row r="50" spans="1:25" x14ac:dyDescent="0.2">
      <c r="A50" s="125" t="s">
        <v>138</v>
      </c>
      <c r="B50" s="95"/>
      <c r="C50" s="137"/>
      <c r="D50" s="137"/>
      <c r="E50" s="130"/>
      <c r="F50" s="95"/>
      <c r="G50" s="137"/>
      <c r="H50" s="137"/>
      <c r="I50" s="130"/>
      <c r="J50" s="95"/>
      <c r="K50" s="137"/>
      <c r="L50" s="137"/>
      <c r="M50" s="130"/>
      <c r="N50" s="95"/>
      <c r="O50" s="137"/>
      <c r="P50" s="137"/>
      <c r="Q50" s="130"/>
      <c r="R50" s="95"/>
      <c r="S50" s="137"/>
      <c r="T50" s="137"/>
      <c r="U50" s="130"/>
      <c r="V50" s="95"/>
      <c r="W50" s="137"/>
      <c r="X50" s="137"/>
      <c r="Y50" s="130"/>
    </row>
    <row r="51" spans="1:25" x14ac:dyDescent="0.2">
      <c r="A51" s="89"/>
      <c r="B51" s="95"/>
      <c r="C51" s="93"/>
      <c r="D51" s="93"/>
      <c r="E51" s="130"/>
      <c r="F51" s="95"/>
      <c r="G51" s="93"/>
      <c r="H51" s="93"/>
      <c r="I51" s="130"/>
      <c r="J51" s="95"/>
      <c r="K51" s="93"/>
      <c r="L51" s="93"/>
      <c r="M51" s="130"/>
      <c r="N51" s="95"/>
      <c r="O51" s="93"/>
      <c r="P51" s="93"/>
      <c r="Q51" s="130"/>
      <c r="R51" s="95"/>
      <c r="S51" s="93"/>
      <c r="T51" s="93"/>
      <c r="U51" s="130"/>
      <c r="V51" s="95"/>
      <c r="W51" s="93"/>
      <c r="X51" s="93"/>
      <c r="Y51" s="130"/>
    </row>
    <row r="52" spans="1:25" s="84" customFormat="1" x14ac:dyDescent="0.2">
      <c r="A52" s="128" t="s">
        <v>58</v>
      </c>
      <c r="B52" s="101">
        <f>SUM(B50:B51)</f>
        <v>0</v>
      </c>
      <c r="C52" s="101"/>
      <c r="D52" s="101"/>
      <c r="E52" s="101"/>
      <c r="F52" s="101">
        <f>SUM(F50:F51)</f>
        <v>0</v>
      </c>
      <c r="G52" s="101"/>
      <c r="H52" s="101"/>
      <c r="I52" s="101"/>
      <c r="J52" s="101">
        <f>SUM(J50:J51)</f>
        <v>0</v>
      </c>
      <c r="K52" s="101"/>
      <c r="L52" s="101"/>
      <c r="M52" s="101"/>
      <c r="N52" s="101">
        <f>SUM(N50:N51)</f>
        <v>0</v>
      </c>
      <c r="O52" s="101"/>
      <c r="P52" s="101"/>
      <c r="Q52" s="101"/>
      <c r="R52" s="101">
        <f>SUM(R50:R51)</f>
        <v>0</v>
      </c>
      <c r="S52" s="101"/>
      <c r="T52" s="101"/>
      <c r="U52" s="101"/>
      <c r="V52" s="101">
        <f>SUM(V50:V51)</f>
        <v>0</v>
      </c>
      <c r="W52" s="101"/>
      <c r="X52" s="101"/>
      <c r="Y52" s="94"/>
    </row>
    <row r="53" spans="1:25" ht="3.95" customHeight="1" x14ac:dyDescent="0.2">
      <c r="A53" s="98"/>
      <c r="B53" s="95"/>
      <c r="C53" s="95"/>
      <c r="D53" s="95"/>
      <c r="E53" s="110"/>
      <c r="F53" s="95"/>
      <c r="G53" s="95"/>
      <c r="H53" s="95"/>
      <c r="I53" s="110"/>
      <c r="J53" s="95"/>
      <c r="K53" s="95"/>
      <c r="L53" s="95"/>
      <c r="M53" s="110"/>
      <c r="N53" s="95"/>
      <c r="O53" s="95"/>
      <c r="P53" s="95"/>
      <c r="Q53" s="110"/>
      <c r="R53" s="95"/>
      <c r="S53" s="95"/>
      <c r="T53" s="95"/>
      <c r="U53" s="110"/>
      <c r="V53" s="95"/>
      <c r="W53" s="95"/>
      <c r="X53" s="95"/>
      <c r="Y53" s="110"/>
    </row>
    <row r="54" spans="1:25" s="145" customFormat="1" x14ac:dyDescent="0.2">
      <c r="A54" s="98" t="s">
        <v>139</v>
      </c>
      <c r="B54" s="144">
        <f>B52</f>
        <v>0</v>
      </c>
      <c r="C54" s="144" t="s">
        <v>140</v>
      </c>
      <c r="D54" s="144" t="s">
        <v>140</v>
      </c>
      <c r="E54" s="144" t="s">
        <v>140</v>
      </c>
      <c r="F54" s="144">
        <f>F52</f>
        <v>0</v>
      </c>
      <c r="G54" s="144" t="s">
        <v>140</v>
      </c>
      <c r="H54" s="144" t="s">
        <v>140</v>
      </c>
      <c r="I54" s="144" t="s">
        <v>140</v>
      </c>
      <c r="J54" s="144">
        <f>J52</f>
        <v>0</v>
      </c>
      <c r="K54" s="144" t="s">
        <v>140</v>
      </c>
      <c r="L54" s="144" t="s">
        <v>140</v>
      </c>
      <c r="M54" s="144" t="s">
        <v>140</v>
      </c>
      <c r="N54" s="144">
        <f>N52</f>
        <v>0</v>
      </c>
      <c r="O54" s="144" t="s">
        <v>140</v>
      </c>
      <c r="P54" s="144" t="s">
        <v>140</v>
      </c>
      <c r="Q54" s="144" t="s">
        <v>140</v>
      </c>
      <c r="R54" s="144">
        <f>R52</f>
        <v>0</v>
      </c>
      <c r="S54" s="144" t="s">
        <v>140</v>
      </c>
      <c r="T54" s="144" t="s">
        <v>140</v>
      </c>
      <c r="U54" s="144" t="s">
        <v>140</v>
      </c>
      <c r="V54" s="144">
        <f>V52</f>
        <v>0</v>
      </c>
      <c r="W54" s="144" t="s">
        <v>140</v>
      </c>
      <c r="X54" s="144" t="s">
        <v>140</v>
      </c>
      <c r="Y54" s="144" t="s">
        <v>140</v>
      </c>
    </row>
    <row r="55" spans="1:25" s="151" customFormat="1" x14ac:dyDescent="0.2">
      <c r="A55" s="133"/>
      <c r="B55" s="146"/>
      <c r="C55" s="146"/>
      <c r="D55" s="146"/>
      <c r="E55" s="147"/>
      <c r="F55" s="148"/>
      <c r="G55" s="149"/>
      <c r="H55" s="150"/>
      <c r="I55" s="148"/>
      <c r="J55" s="148"/>
      <c r="K55" s="149"/>
      <c r="L55" s="150"/>
      <c r="M55" s="148"/>
      <c r="N55" s="148"/>
      <c r="O55" s="149"/>
      <c r="P55" s="150"/>
      <c r="Q55" s="148"/>
      <c r="R55" s="148"/>
      <c r="S55" s="149"/>
      <c r="T55" s="150"/>
      <c r="U55" s="148"/>
      <c r="V55" s="148"/>
      <c r="W55" s="149"/>
      <c r="X55" s="150"/>
      <c r="Y55" s="148"/>
    </row>
    <row r="56" spans="1:25" x14ac:dyDescent="0.2">
      <c r="A56" s="133" t="s">
        <v>25</v>
      </c>
      <c r="B56" s="133"/>
      <c r="C56" s="135"/>
      <c r="D56" s="135"/>
      <c r="E56" s="135"/>
      <c r="F56" s="133"/>
      <c r="G56" s="135"/>
      <c r="H56" s="135"/>
      <c r="I56" s="133"/>
      <c r="J56" s="133"/>
      <c r="K56" s="135"/>
      <c r="L56" s="135"/>
      <c r="M56" s="133"/>
      <c r="N56" s="133"/>
      <c r="O56" s="135"/>
      <c r="P56" s="135"/>
      <c r="Q56" s="133"/>
      <c r="R56" s="133"/>
      <c r="S56" s="135"/>
      <c r="T56" s="135"/>
      <c r="U56" s="133"/>
      <c r="V56" s="133"/>
      <c r="W56" s="135"/>
      <c r="X56" s="135"/>
      <c r="Y56" s="133"/>
    </row>
    <row r="57" spans="1:25" x14ac:dyDescent="0.2">
      <c r="A57" s="133"/>
      <c r="B57" s="133"/>
      <c r="C57" s="135"/>
      <c r="D57" s="135"/>
      <c r="E57" s="135"/>
      <c r="F57" s="133"/>
      <c r="G57" s="135"/>
      <c r="H57" s="135"/>
      <c r="I57" s="133"/>
      <c r="J57" s="133"/>
      <c r="K57" s="135"/>
      <c r="L57" s="135"/>
      <c r="M57" s="133"/>
      <c r="N57" s="133"/>
      <c r="O57" s="135"/>
      <c r="P57" s="135"/>
      <c r="Q57" s="133"/>
      <c r="R57" s="133"/>
      <c r="S57" s="135"/>
      <c r="T57" s="135"/>
      <c r="U57" s="133"/>
      <c r="V57" s="133"/>
      <c r="W57" s="135"/>
      <c r="X57" s="135"/>
      <c r="Y57" s="133"/>
    </row>
    <row r="58" spans="1:25" x14ac:dyDescent="0.2">
      <c r="A58" s="133"/>
      <c r="B58" s="133"/>
      <c r="C58" s="135"/>
      <c r="D58" s="135"/>
      <c r="E58" s="135"/>
      <c r="F58" s="133"/>
      <c r="G58" s="135"/>
      <c r="H58" s="135"/>
      <c r="I58" s="133"/>
      <c r="J58" s="133"/>
      <c r="K58" s="135"/>
      <c r="L58" s="135"/>
      <c r="M58" s="133"/>
      <c r="N58" s="133"/>
      <c r="O58" s="135"/>
      <c r="P58" s="135"/>
      <c r="Q58" s="133"/>
      <c r="R58" s="133"/>
      <c r="S58" s="135"/>
      <c r="T58" s="135"/>
      <c r="U58" s="133"/>
      <c r="V58" s="133"/>
      <c r="W58" s="135"/>
      <c r="X58" s="135"/>
      <c r="Y58" s="133"/>
    </row>
    <row r="60" spans="1:25" x14ac:dyDescent="0.2">
      <c r="A60" s="133" t="s">
        <v>131</v>
      </c>
      <c r="B60" s="133" t="s">
        <v>145</v>
      </c>
      <c r="D60" s="135"/>
      <c r="G60" s="135"/>
      <c r="I60" s="133"/>
      <c r="K60" s="135"/>
      <c r="M60" s="133"/>
      <c r="N60" s="152"/>
      <c r="O60" s="135"/>
      <c r="P60" s="135"/>
      <c r="Q60" s="152"/>
      <c r="R60" s="152"/>
      <c r="S60" s="135"/>
      <c r="T60" s="135"/>
      <c r="U60" s="152"/>
      <c r="V60" s="152"/>
      <c r="W60" s="135"/>
      <c r="X60" s="135"/>
      <c r="Y60" s="152"/>
    </row>
    <row r="61" spans="1:25" x14ac:dyDescent="0.2">
      <c r="A61" s="133" t="s">
        <v>146</v>
      </c>
      <c r="B61" s="133" t="s">
        <v>147</v>
      </c>
      <c r="D61" s="135"/>
      <c r="G61" s="135"/>
      <c r="I61" s="133"/>
      <c r="K61" s="135"/>
      <c r="M61" s="133"/>
      <c r="N61" s="152"/>
      <c r="O61" s="135"/>
      <c r="P61" s="135"/>
      <c r="Q61" s="152"/>
      <c r="R61" s="152"/>
      <c r="S61" s="135"/>
      <c r="T61" s="135"/>
      <c r="U61" s="152"/>
      <c r="V61" s="152"/>
      <c r="W61" s="135"/>
      <c r="X61" s="135"/>
      <c r="Y61" s="152"/>
    </row>
    <row r="62" spans="1:25" x14ac:dyDescent="0.2">
      <c r="A62" s="133" t="s">
        <v>133</v>
      </c>
      <c r="B62" s="133" t="s">
        <v>148</v>
      </c>
      <c r="D62" s="135"/>
      <c r="G62" s="135"/>
      <c r="I62" s="133"/>
      <c r="K62" s="135"/>
      <c r="M62" s="133"/>
    </row>
    <row r="63" spans="1:25" x14ac:dyDescent="0.2">
      <c r="A63" s="133" t="s">
        <v>134</v>
      </c>
      <c r="B63" s="133" t="s">
        <v>149</v>
      </c>
      <c r="D63" s="135"/>
      <c r="F63" s="153"/>
      <c r="I63" s="153"/>
      <c r="J63" s="153"/>
      <c r="M63" s="153"/>
      <c r="N63" s="153"/>
      <c r="Q63" s="153"/>
      <c r="R63" s="153"/>
      <c r="U63" s="153"/>
      <c r="V63" s="153"/>
      <c r="Y63" s="153"/>
    </row>
    <row r="64" spans="1:25" x14ac:dyDescent="0.2">
      <c r="A64" s="133" t="s">
        <v>150</v>
      </c>
      <c r="B64" s="133" t="s">
        <v>151</v>
      </c>
      <c r="D64" s="135"/>
      <c r="G64" s="135"/>
      <c r="I64" s="133"/>
      <c r="K64" s="135"/>
      <c r="M64" s="133"/>
      <c r="N64" s="152"/>
      <c r="O64" s="135"/>
      <c r="P64" s="135"/>
      <c r="Q64" s="152"/>
      <c r="R64" s="152"/>
      <c r="S64" s="135"/>
      <c r="T64" s="135"/>
      <c r="U64" s="152"/>
      <c r="V64" s="152"/>
      <c r="W64" s="135"/>
      <c r="X64" s="135"/>
      <c r="Y64" s="152"/>
    </row>
    <row r="65" spans="1:25" x14ac:dyDescent="0.2">
      <c r="A65" s="153"/>
      <c r="B65" s="153"/>
      <c r="F65" s="153"/>
      <c r="I65" s="153"/>
      <c r="J65" s="153"/>
      <c r="M65" s="153"/>
      <c r="N65" s="153"/>
      <c r="Q65" s="153"/>
      <c r="R65" s="153"/>
      <c r="U65" s="153"/>
      <c r="V65" s="153"/>
      <c r="Y65" s="153"/>
    </row>
    <row r="66" spans="1:25" x14ac:dyDescent="0.2">
      <c r="A66" s="153"/>
      <c r="B66" s="153"/>
      <c r="F66" s="153"/>
      <c r="I66" s="153"/>
      <c r="J66" s="153"/>
      <c r="M66" s="153"/>
      <c r="N66" s="153"/>
      <c r="Q66" s="153"/>
      <c r="R66" s="153"/>
      <c r="U66" s="153"/>
      <c r="V66" s="153"/>
      <c r="Y66" s="153"/>
    </row>
    <row r="67" spans="1:25" x14ac:dyDescent="0.2">
      <c r="A67" s="153"/>
      <c r="B67" s="153"/>
      <c r="F67" s="153"/>
      <c r="I67" s="153"/>
      <c r="J67" s="153"/>
      <c r="M67" s="153"/>
      <c r="N67" s="153"/>
      <c r="Q67" s="153"/>
      <c r="R67" s="153"/>
      <c r="U67" s="153"/>
      <c r="V67" s="153"/>
      <c r="Y67" s="153"/>
    </row>
    <row r="68" spans="1:25" x14ac:dyDescent="0.2">
      <c r="A68" s="153"/>
      <c r="B68" s="153"/>
      <c r="F68" s="153"/>
      <c r="I68" s="153"/>
      <c r="J68" s="153"/>
      <c r="M68" s="153"/>
      <c r="N68" s="153"/>
      <c r="Q68" s="153"/>
      <c r="R68" s="153"/>
      <c r="U68" s="153"/>
      <c r="V68" s="153"/>
      <c r="Y68" s="153"/>
    </row>
  </sheetData>
  <mergeCells count="12">
    <mergeCell ref="B3:E3"/>
    <mergeCell ref="F3:I3"/>
    <mergeCell ref="B30:E30"/>
    <mergeCell ref="F30:I30"/>
    <mergeCell ref="V3:Y3"/>
    <mergeCell ref="R30:U30"/>
    <mergeCell ref="V30:Y30"/>
    <mergeCell ref="N30:Q30"/>
    <mergeCell ref="J30:M30"/>
    <mergeCell ref="J3:M3"/>
    <mergeCell ref="N3:Q3"/>
    <mergeCell ref="R3:U3"/>
  </mergeCells>
  <phoneticPr fontId="0" type="noConversion"/>
  <printOptions horizontalCentered="1" verticalCentered="1"/>
  <pageMargins left="0" right="0" top="1" bottom="1" header="0.5" footer="0.5"/>
  <pageSetup scale="44" orientation="landscape" cellComments="asDisplayed" r:id="rId1"/>
  <headerFooter alignWithMargins="0">
    <oddHeader xml:space="preserve">&amp;C&amp;"Arial,Bold"San Diego Gas and Electric
Program Subscription Statistics
DECEMBER 2014
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view="pageBreakPreview" zoomScale="80" zoomScaleNormal="85" zoomScaleSheetLayoutView="80" workbookViewId="0">
      <pane xSplit="1" topLeftCell="B1" activePane="topRight" state="frozen"/>
      <selection activeCell="I16" sqref="I16"/>
      <selection pane="topRight" activeCell="S57" sqref="S57"/>
    </sheetView>
  </sheetViews>
  <sheetFormatPr defaultColWidth="9.140625" defaultRowHeight="12.75" x14ac:dyDescent="0.2"/>
  <cols>
    <col min="1" max="1" width="60" style="193" customWidth="1"/>
    <col min="2" max="2" width="16.140625" style="193" customWidth="1"/>
    <col min="3" max="3" width="13" style="193" customWidth="1"/>
    <col min="4" max="4" width="11.42578125" style="193" customWidth="1"/>
    <col min="5" max="5" width="11.85546875" style="193" customWidth="1"/>
    <col min="6" max="6" width="12" style="193" customWidth="1"/>
    <col min="7" max="7" width="10.7109375" style="193" customWidth="1"/>
    <col min="8" max="10" width="11.7109375" style="193" bestFit="1" customWidth="1"/>
    <col min="11" max="11" width="12" style="193" customWidth="1"/>
    <col min="12" max="12" width="10.7109375" style="193" customWidth="1"/>
    <col min="13" max="13" width="11.85546875" style="193" customWidth="1"/>
    <col min="14" max="14" width="11.7109375" style="193" customWidth="1"/>
    <col min="15" max="15" width="14.28515625" style="193" bestFit="1" customWidth="1"/>
    <col min="16" max="16" width="16" style="193" customWidth="1"/>
    <col min="17" max="17" width="13.140625" style="162" bestFit="1" customWidth="1"/>
    <col min="18" max="18" width="14.7109375" style="162" customWidth="1"/>
    <col min="19" max="19" width="13.42578125" style="193" bestFit="1" customWidth="1"/>
    <col min="20" max="20" width="9.140625" style="193"/>
    <col min="21" max="21" width="12.5703125" style="193" customWidth="1"/>
    <col min="22" max="16384" width="9.140625" style="193"/>
  </cols>
  <sheetData>
    <row r="1" spans="1:19" s="162" customFormat="1" x14ac:dyDescent="0.2">
      <c r="A1" s="161" t="s">
        <v>62</v>
      </c>
    </row>
    <row r="2" spans="1:19" s="162" customFormat="1" ht="13.5" thickBot="1" x14ac:dyDescent="0.25"/>
    <row r="3" spans="1:19" s="162" customFormat="1" x14ac:dyDescent="0.2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66"/>
      <c r="P3" s="166"/>
      <c r="Q3" s="167"/>
      <c r="R3" s="167"/>
      <c r="S3" s="167"/>
    </row>
    <row r="4" spans="1:19" s="162" customFormat="1" ht="7.5" customHeight="1" x14ac:dyDescent="0.2">
      <c r="A4" s="168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71"/>
      <c r="P4" s="171"/>
      <c r="Q4" s="172"/>
      <c r="R4" s="172"/>
      <c r="S4" s="172"/>
    </row>
    <row r="5" spans="1:19" s="162" customFormat="1" ht="57.75" customHeight="1" x14ac:dyDescent="0.2">
      <c r="A5" s="173" t="s">
        <v>18</v>
      </c>
      <c r="B5" s="175" t="s">
        <v>245</v>
      </c>
      <c r="C5" s="174" t="s">
        <v>0</v>
      </c>
      <c r="D5" s="174" t="s">
        <v>1</v>
      </c>
      <c r="E5" s="174" t="s">
        <v>2</v>
      </c>
      <c r="F5" s="174" t="s">
        <v>3</v>
      </c>
      <c r="G5" s="174" t="s">
        <v>4</v>
      </c>
      <c r="H5" s="174" t="s">
        <v>5</v>
      </c>
      <c r="I5" s="174" t="s">
        <v>6</v>
      </c>
      <c r="J5" s="174" t="s">
        <v>7</v>
      </c>
      <c r="K5" s="174" t="s">
        <v>8</v>
      </c>
      <c r="L5" s="174" t="s">
        <v>9</v>
      </c>
      <c r="M5" s="174" t="s">
        <v>10</v>
      </c>
      <c r="N5" s="174" t="s">
        <v>11</v>
      </c>
      <c r="O5" s="175" t="s">
        <v>259</v>
      </c>
      <c r="P5" s="175" t="s">
        <v>165</v>
      </c>
      <c r="Q5" s="175" t="s">
        <v>49</v>
      </c>
      <c r="R5" s="175" t="s">
        <v>60</v>
      </c>
      <c r="S5" s="175" t="s">
        <v>48</v>
      </c>
    </row>
    <row r="6" spans="1:19" s="162" customFormat="1" x14ac:dyDescent="0.2">
      <c r="A6" s="176" t="s">
        <v>166</v>
      </c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9"/>
      <c r="P6" s="179" t="s">
        <v>13</v>
      </c>
      <c r="Q6" s="180"/>
      <c r="R6" s="180"/>
      <c r="S6" s="180"/>
    </row>
    <row r="7" spans="1:19" s="162" customFormat="1" x14ac:dyDescent="0.2">
      <c r="A7" s="181" t="s">
        <v>119</v>
      </c>
      <c r="B7" s="182">
        <v>710437</v>
      </c>
      <c r="C7" s="178">
        <v>4211</v>
      </c>
      <c r="D7" s="178">
        <v>5309</v>
      </c>
      <c r="E7" s="178">
        <v>5849</v>
      </c>
      <c r="F7" s="178">
        <v>8180</v>
      </c>
      <c r="G7" s="178">
        <v>9427</v>
      </c>
      <c r="H7" s="178">
        <v>4068</v>
      </c>
      <c r="I7" s="178">
        <v>10895</v>
      </c>
      <c r="J7" s="178">
        <v>6052</v>
      </c>
      <c r="K7" s="178">
        <v>50956</v>
      </c>
      <c r="L7" s="178">
        <v>44346</v>
      </c>
      <c r="M7" s="178">
        <v>24927</v>
      </c>
      <c r="N7" s="178">
        <v>7035</v>
      </c>
      <c r="O7" s="184">
        <f>SUM(C7:N7)</f>
        <v>181255</v>
      </c>
      <c r="P7" s="184">
        <f>+B7+O7</f>
        <v>891692</v>
      </c>
      <c r="Q7" s="185">
        <v>2214267</v>
      </c>
      <c r="R7" s="185">
        <v>-1800000</v>
      </c>
      <c r="S7" s="186">
        <f>+P7/Q7</f>
        <v>0.4027030163932353</v>
      </c>
    </row>
    <row r="8" spans="1:19" s="162" customFormat="1" x14ac:dyDescent="0.2">
      <c r="A8" s="181" t="s">
        <v>186</v>
      </c>
      <c r="B8" s="182">
        <v>54684</v>
      </c>
      <c r="C8" s="178">
        <v>662</v>
      </c>
      <c r="D8" s="178">
        <v>430</v>
      </c>
      <c r="E8" s="178">
        <v>1158</v>
      </c>
      <c r="F8" s="178">
        <v>3285</v>
      </c>
      <c r="G8" s="178">
        <v>3348</v>
      </c>
      <c r="H8" s="178">
        <v>2033</v>
      </c>
      <c r="I8" s="178">
        <v>2231</v>
      </c>
      <c r="J8" s="178">
        <v>39243</v>
      </c>
      <c r="K8" s="178">
        <v>3281</v>
      </c>
      <c r="L8" s="178">
        <v>2954</v>
      </c>
      <c r="M8" s="178">
        <v>10139</v>
      </c>
      <c r="N8" s="178">
        <v>827</v>
      </c>
      <c r="O8" s="184">
        <f>SUM(C8:N8)</f>
        <v>69591</v>
      </c>
      <c r="P8" s="184">
        <f>+B8+O8</f>
        <v>124275</v>
      </c>
      <c r="Q8" s="185">
        <v>1800000</v>
      </c>
      <c r="R8" s="185">
        <v>1800000</v>
      </c>
      <c r="S8" s="186">
        <f>P8/Q8</f>
        <v>6.9041666666666668E-2</v>
      </c>
    </row>
    <row r="9" spans="1:19" s="162" customFormat="1" x14ac:dyDescent="0.2">
      <c r="A9" s="188" t="s">
        <v>29</v>
      </c>
      <c r="B9" s="189">
        <f>SUM(B7:B8)</f>
        <v>765121</v>
      </c>
      <c r="C9" s="190">
        <f>SUM(C7:C8)</f>
        <v>4873</v>
      </c>
      <c r="D9" s="190">
        <f>SUM(D7:D8)</f>
        <v>5739</v>
      </c>
      <c r="E9" s="190">
        <f t="shared" ref="E9:R9" si="0">SUM(E7:E8)</f>
        <v>7007</v>
      </c>
      <c r="F9" s="190">
        <f t="shared" si="0"/>
        <v>11465</v>
      </c>
      <c r="G9" s="190">
        <f t="shared" si="0"/>
        <v>12775</v>
      </c>
      <c r="H9" s="190">
        <f t="shared" si="0"/>
        <v>6101</v>
      </c>
      <c r="I9" s="190">
        <f t="shared" si="0"/>
        <v>13126</v>
      </c>
      <c r="J9" s="190">
        <f t="shared" si="0"/>
        <v>45295</v>
      </c>
      <c r="K9" s="190">
        <f t="shared" si="0"/>
        <v>54237</v>
      </c>
      <c r="L9" s="190">
        <f t="shared" si="0"/>
        <v>47300</v>
      </c>
      <c r="M9" s="190">
        <f t="shared" si="0"/>
        <v>35066</v>
      </c>
      <c r="N9" s="190">
        <f t="shared" si="0"/>
        <v>7862</v>
      </c>
      <c r="O9" s="191">
        <f t="shared" si="0"/>
        <v>250846</v>
      </c>
      <c r="P9" s="191">
        <f t="shared" si="0"/>
        <v>1015967</v>
      </c>
      <c r="Q9" s="191">
        <f t="shared" si="0"/>
        <v>4014267</v>
      </c>
      <c r="R9" s="191">
        <f t="shared" si="0"/>
        <v>0</v>
      </c>
      <c r="S9" s="192">
        <f>P9/Q9</f>
        <v>0.25308904464999465</v>
      </c>
    </row>
    <row r="10" spans="1:19" s="162" customFormat="1" x14ac:dyDescent="0.2">
      <c r="A10" s="181"/>
      <c r="B10" s="182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84"/>
      <c r="P10" s="184"/>
      <c r="Q10" s="185"/>
      <c r="R10" s="185"/>
      <c r="S10" s="186"/>
    </row>
    <row r="11" spans="1:19" s="162" customFormat="1" x14ac:dyDescent="0.2">
      <c r="A11" s="176" t="s">
        <v>35</v>
      </c>
      <c r="B11" s="182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84"/>
      <c r="P11" s="184"/>
      <c r="Q11" s="185"/>
      <c r="R11" s="185"/>
      <c r="S11" s="186"/>
    </row>
    <row r="12" spans="1:19" s="162" customFormat="1" x14ac:dyDescent="0.2">
      <c r="A12" s="194" t="s">
        <v>120</v>
      </c>
      <c r="B12" s="182">
        <v>3228085</v>
      </c>
      <c r="C12" s="178">
        <v>206235</v>
      </c>
      <c r="D12" s="178">
        <v>41192</v>
      </c>
      <c r="E12" s="178">
        <v>41375</v>
      </c>
      <c r="F12" s="178">
        <v>30934</v>
      </c>
      <c r="G12" s="178">
        <v>75818</v>
      </c>
      <c r="H12" s="178">
        <v>86139</v>
      </c>
      <c r="I12" s="178">
        <v>15844</v>
      </c>
      <c r="J12" s="178">
        <v>14550</v>
      </c>
      <c r="K12" s="178">
        <v>131442</v>
      </c>
      <c r="L12" s="178">
        <v>-37940</v>
      </c>
      <c r="M12" s="178">
        <v>666045</v>
      </c>
      <c r="N12" s="178">
        <v>491385</v>
      </c>
      <c r="O12" s="184">
        <f>SUM(C12:N12)</f>
        <v>1763019</v>
      </c>
      <c r="P12" s="184">
        <f>B12+O12</f>
        <v>4991104</v>
      </c>
      <c r="Q12" s="184">
        <v>5389000</v>
      </c>
      <c r="R12" s="184">
        <v>-6400000</v>
      </c>
      <c r="S12" s="186">
        <f>+P12/Q12</f>
        <v>0.92616515123399512</v>
      </c>
    </row>
    <row r="13" spans="1:19" s="162" customFormat="1" x14ac:dyDescent="0.2">
      <c r="A13" s="194" t="s">
        <v>167</v>
      </c>
      <c r="B13" s="182">
        <v>1623598</v>
      </c>
      <c r="C13" s="178">
        <v>7638</v>
      </c>
      <c r="D13" s="178">
        <v>8900</v>
      </c>
      <c r="E13" s="178">
        <v>14246</v>
      </c>
      <c r="F13" s="178">
        <v>14043</v>
      </c>
      <c r="G13" s="178">
        <v>13612</v>
      </c>
      <c r="H13" s="178">
        <v>11614</v>
      </c>
      <c r="I13" s="178">
        <v>12117</v>
      </c>
      <c r="J13" s="178">
        <v>11399</v>
      </c>
      <c r="K13" s="178">
        <v>6513</v>
      </c>
      <c r="L13" s="178">
        <v>11388</v>
      </c>
      <c r="M13" s="178">
        <v>9012</v>
      </c>
      <c r="N13" s="178">
        <v>5425</v>
      </c>
      <c r="O13" s="184">
        <f>SUM(C13:N13)</f>
        <v>125907</v>
      </c>
      <c r="P13" s="184">
        <f>B13+O13</f>
        <v>1749505</v>
      </c>
      <c r="Q13" s="185">
        <f>485000+6400000</f>
        <v>6885000</v>
      </c>
      <c r="R13" s="185">
        <v>6400000</v>
      </c>
      <c r="S13" s="186">
        <f>+P13/Q13</f>
        <v>0.25410384894698618</v>
      </c>
    </row>
    <row r="14" spans="1:19" s="162" customFormat="1" x14ac:dyDescent="0.2">
      <c r="A14" s="195" t="s">
        <v>30</v>
      </c>
      <c r="B14" s="189">
        <f>SUM(B12:B13)</f>
        <v>4851683</v>
      </c>
      <c r="C14" s="190">
        <f>SUM(C12:C13)</f>
        <v>213873</v>
      </c>
      <c r="D14" s="190">
        <f>SUM(D12:D13)</f>
        <v>50092</v>
      </c>
      <c r="E14" s="190">
        <f t="shared" ref="E14:R14" si="1">SUM(E12:E13)</f>
        <v>55621</v>
      </c>
      <c r="F14" s="190">
        <f t="shared" si="1"/>
        <v>44977</v>
      </c>
      <c r="G14" s="190">
        <f t="shared" si="1"/>
        <v>89430</v>
      </c>
      <c r="H14" s="190">
        <f t="shared" si="1"/>
        <v>97753</v>
      </c>
      <c r="I14" s="190">
        <f t="shared" si="1"/>
        <v>27961</v>
      </c>
      <c r="J14" s="190">
        <f t="shared" si="1"/>
        <v>25949</v>
      </c>
      <c r="K14" s="190">
        <f t="shared" si="1"/>
        <v>137955</v>
      </c>
      <c r="L14" s="190">
        <f t="shared" si="1"/>
        <v>-26552</v>
      </c>
      <c r="M14" s="190">
        <f t="shared" si="1"/>
        <v>675057</v>
      </c>
      <c r="N14" s="190">
        <f t="shared" si="1"/>
        <v>496810</v>
      </c>
      <c r="O14" s="191">
        <f t="shared" si="1"/>
        <v>1888926</v>
      </c>
      <c r="P14" s="191">
        <f t="shared" si="1"/>
        <v>6740609</v>
      </c>
      <c r="Q14" s="191">
        <f t="shared" si="1"/>
        <v>12274000</v>
      </c>
      <c r="R14" s="191">
        <f t="shared" si="1"/>
        <v>0</v>
      </c>
      <c r="S14" s="198">
        <f>P14/Q14</f>
        <v>0.54917785562978649</v>
      </c>
    </row>
    <row r="15" spans="1:19" s="162" customFormat="1" x14ac:dyDescent="0.2">
      <c r="A15" s="335"/>
      <c r="B15" s="182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84"/>
      <c r="P15" s="184"/>
      <c r="Q15" s="185"/>
      <c r="R15" s="185"/>
      <c r="S15" s="186"/>
    </row>
    <row r="16" spans="1:19" s="162" customFormat="1" x14ac:dyDescent="0.2">
      <c r="A16" s="176" t="s">
        <v>168</v>
      </c>
      <c r="B16" s="182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84"/>
      <c r="P16" s="184"/>
      <c r="Q16" s="185"/>
      <c r="R16" s="185"/>
      <c r="S16" s="186"/>
    </row>
    <row r="17" spans="1:19" s="162" customFormat="1" x14ac:dyDescent="0.2">
      <c r="A17" s="194" t="s">
        <v>123</v>
      </c>
      <c r="B17" s="182">
        <v>1095981</v>
      </c>
      <c r="C17" s="178">
        <v>51063</v>
      </c>
      <c r="D17" s="178">
        <v>45541</v>
      </c>
      <c r="E17" s="178">
        <v>21024</v>
      </c>
      <c r="F17" s="178">
        <v>31745</v>
      </c>
      <c r="G17" s="178">
        <v>71895</v>
      </c>
      <c r="H17" s="178">
        <v>9806</v>
      </c>
      <c r="I17" s="178">
        <v>30890</v>
      </c>
      <c r="J17" s="178">
        <v>23782</v>
      </c>
      <c r="K17" s="178">
        <v>17628</v>
      </c>
      <c r="L17" s="178">
        <v>27529</v>
      </c>
      <c r="M17" s="178">
        <v>25902</v>
      </c>
      <c r="N17" s="178">
        <v>456968</v>
      </c>
      <c r="O17" s="184">
        <f>SUM(C17:N17)</f>
        <v>813773</v>
      </c>
      <c r="P17" s="184">
        <f>B17+O17</f>
        <v>1909754</v>
      </c>
      <c r="Q17" s="184">
        <v>2111000</v>
      </c>
      <c r="R17" s="184"/>
      <c r="S17" s="186">
        <f>P17/Q17</f>
        <v>0.90466792989104694</v>
      </c>
    </row>
    <row r="18" spans="1:19" s="162" customFormat="1" x14ac:dyDescent="0.2">
      <c r="A18" s="194" t="s">
        <v>169</v>
      </c>
      <c r="B18" s="182">
        <v>288785</v>
      </c>
      <c r="C18" s="178">
        <v>1595</v>
      </c>
      <c r="D18" s="178">
        <v>8889</v>
      </c>
      <c r="E18" s="178">
        <v>9917</v>
      </c>
      <c r="F18" s="178">
        <v>1380720</v>
      </c>
      <c r="G18" s="178">
        <v>76074</v>
      </c>
      <c r="H18" s="178">
        <v>-4569</v>
      </c>
      <c r="I18" s="178">
        <v>47748</v>
      </c>
      <c r="J18" s="178">
        <v>13267</v>
      </c>
      <c r="K18" s="178">
        <v>16738</v>
      </c>
      <c r="L18" s="178">
        <v>15428</v>
      </c>
      <c r="M18" s="178">
        <v>511975</v>
      </c>
      <c r="N18" s="178">
        <v>897190</v>
      </c>
      <c r="O18" s="184">
        <f>SUM(C18:N18)</f>
        <v>2974972</v>
      </c>
      <c r="P18" s="184">
        <f>B18+O18</f>
        <v>3263757</v>
      </c>
      <c r="Q18" s="184">
        <v>9464167</v>
      </c>
      <c r="R18" s="184"/>
      <c r="S18" s="186">
        <f>P18/Q18</f>
        <v>0.344854121868306</v>
      </c>
    </row>
    <row r="19" spans="1:19" s="162" customFormat="1" x14ac:dyDescent="0.2">
      <c r="A19" s="194" t="s">
        <v>122</v>
      </c>
      <c r="B19" s="182">
        <v>1224763</v>
      </c>
      <c r="C19" s="178">
        <v>27769</v>
      </c>
      <c r="D19" s="178">
        <v>24248</v>
      </c>
      <c r="E19" s="178">
        <v>19659</v>
      </c>
      <c r="F19" s="178">
        <v>60864</v>
      </c>
      <c r="G19" s="178">
        <v>34156</v>
      </c>
      <c r="H19" s="178">
        <v>90524</v>
      </c>
      <c r="I19" s="178">
        <v>28001</v>
      </c>
      <c r="J19" s="178">
        <v>48434</v>
      </c>
      <c r="K19" s="178">
        <v>314683</v>
      </c>
      <c r="L19" s="178">
        <v>28252</v>
      </c>
      <c r="M19" s="178">
        <v>90120</v>
      </c>
      <c r="N19" s="178">
        <v>90598</v>
      </c>
      <c r="O19" s="184">
        <f>SUM(C19:N19)</f>
        <v>857308</v>
      </c>
      <c r="P19" s="184">
        <f>B19+O19</f>
        <v>2082071</v>
      </c>
      <c r="Q19" s="184">
        <v>8973000</v>
      </c>
      <c r="R19" s="184"/>
      <c r="S19" s="186">
        <f>P19/Q19</f>
        <v>0.23203733422489692</v>
      </c>
    </row>
    <row r="20" spans="1:19" s="162" customFormat="1" x14ac:dyDescent="0.2">
      <c r="A20" s="195" t="s">
        <v>36</v>
      </c>
      <c r="B20" s="189">
        <f t="shared" ref="B20:R20" si="2">SUM(B17:B19)</f>
        <v>2609529</v>
      </c>
      <c r="C20" s="190">
        <f t="shared" si="2"/>
        <v>80427</v>
      </c>
      <c r="D20" s="190">
        <f t="shared" si="2"/>
        <v>78678</v>
      </c>
      <c r="E20" s="190">
        <f t="shared" si="2"/>
        <v>50600</v>
      </c>
      <c r="F20" s="190">
        <f t="shared" si="2"/>
        <v>1473329</v>
      </c>
      <c r="G20" s="190">
        <f t="shared" si="2"/>
        <v>182125</v>
      </c>
      <c r="H20" s="190">
        <f t="shared" si="2"/>
        <v>95761</v>
      </c>
      <c r="I20" s="190">
        <f t="shared" si="2"/>
        <v>106639</v>
      </c>
      <c r="J20" s="190">
        <f t="shared" si="2"/>
        <v>85483</v>
      </c>
      <c r="K20" s="190">
        <f t="shared" si="2"/>
        <v>349049</v>
      </c>
      <c r="L20" s="190">
        <f t="shared" si="2"/>
        <v>71209</v>
      </c>
      <c r="M20" s="190">
        <f t="shared" si="2"/>
        <v>627997</v>
      </c>
      <c r="N20" s="190">
        <f t="shared" si="2"/>
        <v>1444756</v>
      </c>
      <c r="O20" s="191">
        <f t="shared" si="2"/>
        <v>4646053</v>
      </c>
      <c r="P20" s="191">
        <f t="shared" si="2"/>
        <v>7255582</v>
      </c>
      <c r="Q20" s="191">
        <f t="shared" si="2"/>
        <v>20548167</v>
      </c>
      <c r="R20" s="191">
        <f t="shared" si="2"/>
        <v>0</v>
      </c>
      <c r="S20" s="198">
        <f>P20/Q20</f>
        <v>0.35310117929253737</v>
      </c>
    </row>
    <row r="21" spans="1:19" s="162" customFormat="1" x14ac:dyDescent="0.2">
      <c r="A21" s="181"/>
      <c r="B21" s="182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84"/>
      <c r="P21" s="184"/>
      <c r="Q21" s="184"/>
      <c r="R21" s="184"/>
      <c r="S21" s="186"/>
    </row>
    <row r="22" spans="1:19" s="162" customFormat="1" x14ac:dyDescent="0.2">
      <c r="A22" s="176" t="s">
        <v>170</v>
      </c>
      <c r="B22" s="182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84"/>
      <c r="P22" s="184"/>
      <c r="Q22" s="184"/>
      <c r="R22" s="184"/>
      <c r="S22" s="186"/>
    </row>
    <row r="23" spans="1:19" s="162" customFormat="1" x14ac:dyDescent="0.2">
      <c r="A23" s="194" t="s">
        <v>171</v>
      </c>
      <c r="B23" s="182">
        <v>10484</v>
      </c>
      <c r="C23" s="178">
        <v>2034</v>
      </c>
      <c r="D23" s="178">
        <v>1819</v>
      </c>
      <c r="E23" s="178">
        <v>2435</v>
      </c>
      <c r="F23" s="178">
        <v>1305</v>
      </c>
      <c r="G23" s="178">
        <v>2625</v>
      </c>
      <c r="H23" s="178">
        <v>2456</v>
      </c>
      <c r="I23" s="178">
        <v>3573</v>
      </c>
      <c r="J23" s="178">
        <v>12487</v>
      </c>
      <c r="K23" s="178">
        <v>7701</v>
      </c>
      <c r="L23" s="178">
        <v>7500</v>
      </c>
      <c r="M23" s="178">
        <v>6115</v>
      </c>
      <c r="N23" s="178">
        <v>18777</v>
      </c>
      <c r="O23" s="184">
        <f>SUM(C23:N23)</f>
        <v>68827</v>
      </c>
      <c r="P23" s="184">
        <f>B23+O23</f>
        <v>79311</v>
      </c>
      <c r="Q23" s="184">
        <v>433000</v>
      </c>
      <c r="R23" s="184"/>
      <c r="S23" s="186">
        <f>P23/Q23</f>
        <v>0.18316628175519631</v>
      </c>
    </row>
    <row r="24" spans="1:19" s="162" customFormat="1" x14ac:dyDescent="0.2">
      <c r="A24" s="194" t="s">
        <v>172</v>
      </c>
      <c r="B24" s="182">
        <v>124043</v>
      </c>
      <c r="C24" s="178">
        <v>2514</v>
      </c>
      <c r="D24" s="178">
        <v>-29546</v>
      </c>
      <c r="E24" s="178">
        <v>3461</v>
      </c>
      <c r="F24" s="178">
        <v>3929</v>
      </c>
      <c r="G24" s="178">
        <v>3780</v>
      </c>
      <c r="H24" s="178">
        <v>21788</v>
      </c>
      <c r="I24" s="178">
        <v>-14940</v>
      </c>
      <c r="J24" s="178">
        <v>4016</v>
      </c>
      <c r="K24" s="178">
        <v>3730</v>
      </c>
      <c r="L24" s="178">
        <v>4562</v>
      </c>
      <c r="M24" s="178">
        <v>4063</v>
      </c>
      <c r="N24" s="178">
        <v>3518</v>
      </c>
      <c r="O24" s="184">
        <f>SUM(C24:N24)</f>
        <v>10875</v>
      </c>
      <c r="P24" s="184">
        <f>B24+O24</f>
        <v>134918</v>
      </c>
      <c r="Q24" s="184">
        <v>1126000</v>
      </c>
      <c r="R24" s="184"/>
      <c r="S24" s="186">
        <f>P24/Q24</f>
        <v>0.11982060390763766</v>
      </c>
    </row>
    <row r="25" spans="1:19" s="162" customFormat="1" x14ac:dyDescent="0.2">
      <c r="A25" s="195" t="s">
        <v>37</v>
      </c>
      <c r="B25" s="189">
        <f>SUM(B23:B24)</f>
        <v>134527</v>
      </c>
      <c r="C25" s="190">
        <f>SUM(C23:C24)</f>
        <v>4548</v>
      </c>
      <c r="D25" s="190">
        <f>SUM(D23:D24)</f>
        <v>-27727</v>
      </c>
      <c r="E25" s="190">
        <f>SUM(E23:E24)</f>
        <v>5896</v>
      </c>
      <c r="F25" s="190">
        <f t="shared" ref="F25:R25" si="3">SUM(F23:F24)</f>
        <v>5234</v>
      </c>
      <c r="G25" s="190">
        <f t="shared" si="3"/>
        <v>6405</v>
      </c>
      <c r="H25" s="190">
        <f t="shared" si="3"/>
        <v>24244</v>
      </c>
      <c r="I25" s="190">
        <f t="shared" si="3"/>
        <v>-11367</v>
      </c>
      <c r="J25" s="190">
        <f t="shared" si="3"/>
        <v>16503</v>
      </c>
      <c r="K25" s="190">
        <f t="shared" si="3"/>
        <v>11431</v>
      </c>
      <c r="L25" s="190">
        <f t="shared" si="3"/>
        <v>12062</v>
      </c>
      <c r="M25" s="190">
        <f t="shared" si="3"/>
        <v>10178</v>
      </c>
      <c r="N25" s="190">
        <f t="shared" si="3"/>
        <v>22295</v>
      </c>
      <c r="O25" s="191">
        <f t="shared" si="3"/>
        <v>79702</v>
      </c>
      <c r="P25" s="191">
        <f t="shared" si="3"/>
        <v>214229</v>
      </c>
      <c r="Q25" s="191">
        <f t="shared" si="3"/>
        <v>1559000</v>
      </c>
      <c r="R25" s="191">
        <f t="shared" si="3"/>
        <v>0</v>
      </c>
      <c r="S25" s="198">
        <f>P25/Q25</f>
        <v>0.13741436818473379</v>
      </c>
    </row>
    <row r="26" spans="1:19" s="162" customFormat="1" x14ac:dyDescent="0.2">
      <c r="A26" s="181"/>
      <c r="B26" s="182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84"/>
      <c r="P26" s="184"/>
      <c r="Q26" s="184"/>
      <c r="R26" s="184"/>
      <c r="S26" s="186"/>
    </row>
    <row r="27" spans="1:19" s="162" customFormat="1" x14ac:dyDescent="0.2">
      <c r="A27" s="176" t="s">
        <v>173</v>
      </c>
      <c r="B27" s="182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84"/>
      <c r="P27" s="184"/>
      <c r="Q27" s="184"/>
      <c r="R27" s="184"/>
      <c r="S27" s="186"/>
    </row>
    <row r="28" spans="1:19" s="162" customFormat="1" x14ac:dyDescent="0.2">
      <c r="A28" s="194" t="s">
        <v>174</v>
      </c>
      <c r="B28" s="182">
        <v>2579066</v>
      </c>
      <c r="C28" s="178">
        <v>75997</v>
      </c>
      <c r="D28" s="178">
        <v>159886</v>
      </c>
      <c r="E28" s="178">
        <v>174204</v>
      </c>
      <c r="F28" s="178">
        <v>151669</v>
      </c>
      <c r="G28" s="178">
        <v>64870</v>
      </c>
      <c r="H28" s="178">
        <v>86216</v>
      </c>
      <c r="I28" s="178">
        <v>265706</v>
      </c>
      <c r="J28" s="178">
        <v>45892</v>
      </c>
      <c r="K28" s="178">
        <v>56830</v>
      </c>
      <c r="L28" s="178">
        <v>25407</v>
      </c>
      <c r="M28" s="178">
        <v>-672502</v>
      </c>
      <c r="N28" s="178">
        <v>191705</v>
      </c>
      <c r="O28" s="184">
        <f>SUM(C28:N28)</f>
        <v>625880</v>
      </c>
      <c r="P28" s="184">
        <f>B28+O28</f>
        <v>3204946</v>
      </c>
      <c r="Q28" s="184">
        <v>5115000</v>
      </c>
      <c r="R28" s="184"/>
      <c r="S28" s="200">
        <f>P28/Q28</f>
        <v>0.62657790811339198</v>
      </c>
    </row>
    <row r="29" spans="1:19" s="162" customFormat="1" x14ac:dyDescent="0.2">
      <c r="A29" s="194" t="s">
        <v>163</v>
      </c>
      <c r="B29" s="182">
        <v>0</v>
      </c>
      <c r="C29" s="178">
        <v>10516</v>
      </c>
      <c r="D29" s="178">
        <v>-10516</v>
      </c>
      <c r="E29" s="178"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5209</v>
      </c>
      <c r="K29" s="178">
        <v>-5209</v>
      </c>
      <c r="L29" s="178">
        <v>0</v>
      </c>
      <c r="M29" s="178">
        <v>0</v>
      </c>
      <c r="N29" s="178">
        <v>0</v>
      </c>
      <c r="O29" s="184">
        <f>SUM(C29:N29)</f>
        <v>0</v>
      </c>
      <c r="P29" s="184">
        <f>B29+O29</f>
        <v>0</v>
      </c>
      <c r="Q29" s="184">
        <v>600000</v>
      </c>
      <c r="R29" s="184"/>
      <c r="S29" s="186">
        <f>P29/Q29</f>
        <v>0</v>
      </c>
    </row>
    <row r="30" spans="1:19" s="162" customFormat="1" x14ac:dyDescent="0.2">
      <c r="A30" s="195" t="s">
        <v>38</v>
      </c>
      <c r="B30" s="189">
        <f>SUM(B28:B29)</f>
        <v>2579066</v>
      </c>
      <c r="C30" s="190">
        <f>SUM(C28:C29)</f>
        <v>86513</v>
      </c>
      <c r="D30" s="190">
        <f>SUM(D28:D29)</f>
        <v>149370</v>
      </c>
      <c r="E30" s="190">
        <f t="shared" ref="E30:R30" si="4">SUM(E28:E29)</f>
        <v>174204</v>
      </c>
      <c r="F30" s="190">
        <f t="shared" si="4"/>
        <v>151669</v>
      </c>
      <c r="G30" s="190">
        <f t="shared" si="4"/>
        <v>64870</v>
      </c>
      <c r="H30" s="190">
        <f t="shared" si="4"/>
        <v>86216</v>
      </c>
      <c r="I30" s="190">
        <f t="shared" si="4"/>
        <v>265706</v>
      </c>
      <c r="J30" s="190">
        <f t="shared" si="4"/>
        <v>51101</v>
      </c>
      <c r="K30" s="190">
        <f t="shared" si="4"/>
        <v>51621</v>
      </c>
      <c r="L30" s="190">
        <f t="shared" si="4"/>
        <v>25407</v>
      </c>
      <c r="M30" s="190">
        <f t="shared" si="4"/>
        <v>-672502</v>
      </c>
      <c r="N30" s="190">
        <f t="shared" si="4"/>
        <v>191705</v>
      </c>
      <c r="O30" s="191">
        <f t="shared" si="4"/>
        <v>625880</v>
      </c>
      <c r="P30" s="191">
        <f t="shared" si="4"/>
        <v>3204946</v>
      </c>
      <c r="Q30" s="191">
        <f t="shared" si="4"/>
        <v>5715000</v>
      </c>
      <c r="R30" s="191">
        <f t="shared" si="4"/>
        <v>0</v>
      </c>
      <c r="S30" s="198">
        <f>P30/Q30</f>
        <v>0.56079545056867897</v>
      </c>
    </row>
    <row r="31" spans="1:19" s="162" customFormat="1" x14ac:dyDescent="0.2">
      <c r="A31" s="335"/>
      <c r="B31" s="182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84"/>
      <c r="P31" s="184"/>
      <c r="Q31" s="184"/>
      <c r="R31" s="184"/>
      <c r="S31" s="186"/>
    </row>
    <row r="32" spans="1:19" s="162" customFormat="1" x14ac:dyDescent="0.2">
      <c r="A32" s="176" t="s">
        <v>175</v>
      </c>
      <c r="B32" s="182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84"/>
      <c r="P32" s="184"/>
      <c r="Q32" s="184"/>
      <c r="R32" s="184"/>
      <c r="S32" s="186"/>
    </row>
    <row r="33" spans="1:19" s="162" customFormat="1" ht="14.25" x14ac:dyDescent="0.2">
      <c r="A33" s="194" t="s">
        <v>250</v>
      </c>
      <c r="B33" s="182">
        <v>960020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84">
        <f>SUM(C33:N33)</f>
        <v>0</v>
      </c>
      <c r="P33" s="184">
        <f>B33+O33</f>
        <v>960020</v>
      </c>
      <c r="Q33" s="199">
        <v>1000000</v>
      </c>
      <c r="R33" s="199"/>
      <c r="S33" s="199">
        <f>P33/Q33</f>
        <v>0.96001999999999998</v>
      </c>
    </row>
    <row r="34" spans="1:19" s="162" customFormat="1" x14ac:dyDescent="0.2">
      <c r="A34" s="181" t="s">
        <v>100</v>
      </c>
      <c r="B34" s="182">
        <v>138099</v>
      </c>
      <c r="C34" s="201">
        <v>0</v>
      </c>
      <c r="D34" s="201">
        <v>0</v>
      </c>
      <c r="E34" s="201">
        <v>10184</v>
      </c>
      <c r="F34" s="201">
        <v>58543</v>
      </c>
      <c r="G34" s="201">
        <v>77388</v>
      </c>
      <c r="H34" s="201">
        <v>13858</v>
      </c>
      <c r="I34" s="201">
        <v>35585</v>
      </c>
      <c r="J34" s="201">
        <v>18841</v>
      </c>
      <c r="K34" s="201">
        <v>7458</v>
      </c>
      <c r="L34" s="201">
        <v>64711</v>
      </c>
      <c r="M34" s="201">
        <v>120215</v>
      </c>
      <c r="N34" s="201">
        <v>112348</v>
      </c>
      <c r="O34" s="184">
        <f>SUM(C34:N34)</f>
        <v>519131</v>
      </c>
      <c r="P34" s="184">
        <f>B34+O34</f>
        <v>657230</v>
      </c>
      <c r="Q34" s="184">
        <v>1100000</v>
      </c>
      <c r="R34" s="184"/>
      <c r="S34" s="200">
        <f>P34/Q34</f>
        <v>0.59748181818181822</v>
      </c>
    </row>
    <row r="35" spans="1:19" s="162" customFormat="1" x14ac:dyDescent="0.2">
      <c r="A35" s="181" t="s">
        <v>164</v>
      </c>
      <c r="B35" s="182">
        <v>749990</v>
      </c>
      <c r="C35" s="178">
        <v>1349</v>
      </c>
      <c r="D35" s="178">
        <v>11148</v>
      </c>
      <c r="E35" s="178">
        <v>3153</v>
      </c>
      <c r="F35" s="178">
        <v>25746</v>
      </c>
      <c r="G35" s="178">
        <v>5555</v>
      </c>
      <c r="H35" s="178">
        <v>11235</v>
      </c>
      <c r="I35" s="178">
        <v>135813</v>
      </c>
      <c r="J35" s="178">
        <v>105389</v>
      </c>
      <c r="K35" s="178">
        <v>69770</v>
      </c>
      <c r="L35" s="178">
        <v>85144</v>
      </c>
      <c r="M35" s="178">
        <v>77402</v>
      </c>
      <c r="N35" s="178">
        <v>152990</v>
      </c>
      <c r="O35" s="184">
        <f>SUM(C35:N35)</f>
        <v>684694</v>
      </c>
      <c r="P35" s="184">
        <f>B35+O35</f>
        <v>1434684</v>
      </c>
      <c r="Q35" s="184">
        <v>4650000</v>
      </c>
      <c r="R35" s="184"/>
      <c r="S35" s="186">
        <f>P35/Q35</f>
        <v>0.30853419354838707</v>
      </c>
    </row>
    <row r="36" spans="1:19" s="162" customFormat="1" x14ac:dyDescent="0.2">
      <c r="A36" s="195" t="s">
        <v>39</v>
      </c>
      <c r="B36" s="189">
        <f t="shared" ref="B36:R36" si="5">SUM(B33:B35)</f>
        <v>1848109</v>
      </c>
      <c r="C36" s="190">
        <f t="shared" si="5"/>
        <v>1349</v>
      </c>
      <c r="D36" s="190">
        <f t="shared" si="5"/>
        <v>11148</v>
      </c>
      <c r="E36" s="190">
        <f t="shared" si="5"/>
        <v>13337</v>
      </c>
      <c r="F36" s="190">
        <f t="shared" si="5"/>
        <v>84289</v>
      </c>
      <c r="G36" s="190">
        <f t="shared" si="5"/>
        <v>82943</v>
      </c>
      <c r="H36" s="190">
        <f t="shared" si="5"/>
        <v>25093</v>
      </c>
      <c r="I36" s="190">
        <f t="shared" si="5"/>
        <v>171398</v>
      </c>
      <c r="J36" s="190">
        <f t="shared" si="5"/>
        <v>124230</v>
      </c>
      <c r="K36" s="190">
        <f t="shared" si="5"/>
        <v>77228</v>
      </c>
      <c r="L36" s="190">
        <f t="shared" si="5"/>
        <v>149855</v>
      </c>
      <c r="M36" s="190">
        <f t="shared" si="5"/>
        <v>197617</v>
      </c>
      <c r="N36" s="190">
        <f t="shared" si="5"/>
        <v>265338</v>
      </c>
      <c r="O36" s="191">
        <f t="shared" si="5"/>
        <v>1203825</v>
      </c>
      <c r="P36" s="191">
        <f t="shared" si="5"/>
        <v>3051934</v>
      </c>
      <c r="Q36" s="191">
        <f t="shared" si="5"/>
        <v>6750000</v>
      </c>
      <c r="R36" s="191">
        <f t="shared" si="5"/>
        <v>0</v>
      </c>
      <c r="S36" s="198">
        <f>P36/Q36</f>
        <v>0.45213837037037036</v>
      </c>
    </row>
    <row r="37" spans="1:19" s="162" customFormat="1" x14ac:dyDescent="0.2">
      <c r="A37" s="335"/>
      <c r="B37" s="182"/>
      <c r="C37" s="178"/>
      <c r="D37" s="178" t="s">
        <v>194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84"/>
      <c r="P37" s="184"/>
      <c r="Q37" s="184"/>
      <c r="R37" s="184"/>
      <c r="S37" s="186"/>
    </row>
    <row r="38" spans="1:19" s="162" customFormat="1" x14ac:dyDescent="0.2">
      <c r="A38" s="176" t="s">
        <v>176</v>
      </c>
      <c r="B38" s="182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84"/>
      <c r="P38" s="184"/>
      <c r="Q38" s="184"/>
      <c r="R38" s="184"/>
      <c r="S38" s="186"/>
    </row>
    <row r="39" spans="1:19" s="162" customFormat="1" x14ac:dyDescent="0.2">
      <c r="A39" s="181" t="s">
        <v>177</v>
      </c>
      <c r="B39" s="182">
        <v>1471044</v>
      </c>
      <c r="C39" s="178">
        <v>58316</v>
      </c>
      <c r="D39" s="178">
        <v>76393</v>
      </c>
      <c r="E39" s="178">
        <v>91383</v>
      </c>
      <c r="F39" s="178">
        <v>71096</v>
      </c>
      <c r="G39" s="178">
        <v>82734</v>
      </c>
      <c r="H39" s="178">
        <v>78561</v>
      </c>
      <c r="I39" s="178">
        <v>48797</v>
      </c>
      <c r="J39" s="178">
        <v>75197</v>
      </c>
      <c r="K39" s="178">
        <v>55482</v>
      </c>
      <c r="L39" s="178">
        <v>64109</v>
      </c>
      <c r="M39" s="178">
        <v>53030</v>
      </c>
      <c r="N39" s="178">
        <v>39860</v>
      </c>
      <c r="O39" s="184">
        <f>SUM(C39:N39)</f>
        <v>794958</v>
      </c>
      <c r="P39" s="184">
        <f>B39+O39</f>
        <v>2266002</v>
      </c>
      <c r="Q39" s="184">
        <v>2231000</v>
      </c>
      <c r="R39" s="184"/>
      <c r="S39" s="186">
        <f>P39/Q39</f>
        <v>1.0156889287315105</v>
      </c>
    </row>
    <row r="40" spans="1:19" s="162" customFormat="1" x14ac:dyDescent="0.2">
      <c r="A40" s="181" t="s">
        <v>178</v>
      </c>
      <c r="B40" s="182">
        <v>1447146</v>
      </c>
      <c r="C40" s="178">
        <v>16500</v>
      </c>
      <c r="D40" s="178">
        <v>32526</v>
      </c>
      <c r="E40" s="178">
        <v>58538</v>
      </c>
      <c r="F40" s="178">
        <v>66926</v>
      </c>
      <c r="G40" s="178">
        <v>133130</v>
      </c>
      <c r="H40" s="178">
        <v>110756</v>
      </c>
      <c r="I40" s="178">
        <v>27887</v>
      </c>
      <c r="J40" s="178">
        <v>99822</v>
      </c>
      <c r="K40" s="178">
        <v>85533</v>
      </c>
      <c r="L40" s="178">
        <v>274875</v>
      </c>
      <c r="M40" s="178">
        <v>33295</v>
      </c>
      <c r="N40" s="178">
        <v>29307</v>
      </c>
      <c r="O40" s="184">
        <f>SUM(C40:N40)</f>
        <v>969095</v>
      </c>
      <c r="P40" s="184">
        <f>B40+O40</f>
        <v>2416241</v>
      </c>
      <c r="Q40" s="184">
        <v>5410000</v>
      </c>
      <c r="R40" s="184"/>
      <c r="S40" s="186">
        <f>P40/Q40</f>
        <v>0.44662495378927913</v>
      </c>
    </row>
    <row r="41" spans="1:19" s="162" customFormat="1" x14ac:dyDescent="0.2">
      <c r="A41" s="195" t="s">
        <v>40</v>
      </c>
      <c r="B41" s="189">
        <f>SUM(B39:B40)</f>
        <v>2918190</v>
      </c>
      <c r="C41" s="190">
        <f>SUM(C39:C40)</f>
        <v>74816</v>
      </c>
      <c r="D41" s="190">
        <f>SUM(D39:D40)</f>
        <v>108919</v>
      </c>
      <c r="E41" s="190">
        <f t="shared" ref="E41:R41" si="6">SUM(E39:E40)</f>
        <v>149921</v>
      </c>
      <c r="F41" s="190">
        <f t="shared" si="6"/>
        <v>138022</v>
      </c>
      <c r="G41" s="190">
        <f t="shared" si="6"/>
        <v>215864</v>
      </c>
      <c r="H41" s="190">
        <f t="shared" si="6"/>
        <v>189317</v>
      </c>
      <c r="I41" s="190">
        <f t="shared" si="6"/>
        <v>76684</v>
      </c>
      <c r="J41" s="190">
        <f t="shared" si="6"/>
        <v>175019</v>
      </c>
      <c r="K41" s="190">
        <f t="shared" si="6"/>
        <v>141015</v>
      </c>
      <c r="L41" s="190">
        <f t="shared" si="6"/>
        <v>338984</v>
      </c>
      <c r="M41" s="190">
        <f t="shared" si="6"/>
        <v>86325</v>
      </c>
      <c r="N41" s="190">
        <f t="shared" si="6"/>
        <v>69167</v>
      </c>
      <c r="O41" s="191">
        <f t="shared" si="6"/>
        <v>1764053</v>
      </c>
      <c r="P41" s="191">
        <f t="shared" si="6"/>
        <v>4682243</v>
      </c>
      <c r="Q41" s="191">
        <f t="shared" si="6"/>
        <v>7641000</v>
      </c>
      <c r="R41" s="191">
        <f t="shared" si="6"/>
        <v>0</v>
      </c>
      <c r="S41" s="198">
        <f>P41/Q41</f>
        <v>0.61277882476115697</v>
      </c>
    </row>
    <row r="42" spans="1:19" s="162" customFormat="1" x14ac:dyDescent="0.2">
      <c r="A42" s="181"/>
      <c r="B42" s="182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84"/>
      <c r="P42" s="184"/>
      <c r="Q42" s="184"/>
      <c r="R42" s="184"/>
      <c r="S42" s="186"/>
    </row>
    <row r="43" spans="1:19" s="162" customFormat="1" x14ac:dyDescent="0.2">
      <c r="A43" s="176" t="s">
        <v>179</v>
      </c>
      <c r="B43" s="182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84"/>
      <c r="P43" s="184"/>
      <c r="Q43" s="184"/>
      <c r="R43" s="184"/>
      <c r="S43" s="186"/>
    </row>
    <row r="44" spans="1:19" s="162" customFormat="1" x14ac:dyDescent="0.2">
      <c r="A44" s="194" t="s">
        <v>121</v>
      </c>
      <c r="B44" s="182">
        <v>1637120</v>
      </c>
      <c r="C44" s="178">
        <v>0</v>
      </c>
      <c r="D44" s="178">
        <v>-50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84">
        <f>SUM(C44:N44)</f>
        <v>-50</v>
      </c>
      <c r="P44" s="184">
        <f>B44+O44</f>
        <v>1637070</v>
      </c>
      <c r="Q44" s="184">
        <v>3321000</v>
      </c>
      <c r="R44" s="184"/>
      <c r="S44" s="186">
        <f>P44/Q44</f>
        <v>0.49294489611562781</v>
      </c>
    </row>
    <row r="45" spans="1:19" s="162" customFormat="1" x14ac:dyDescent="0.2">
      <c r="A45" s="194" t="s">
        <v>180</v>
      </c>
      <c r="B45" s="182">
        <v>1160537</v>
      </c>
      <c r="C45" s="178">
        <v>0</v>
      </c>
      <c r="D45" s="178">
        <v>797</v>
      </c>
      <c r="E45" s="178">
        <v>1977</v>
      </c>
      <c r="F45" s="178">
        <v>3709</v>
      </c>
      <c r="G45" s="178">
        <v>10780</v>
      </c>
      <c r="H45" s="178">
        <v>2715</v>
      </c>
      <c r="I45" s="178">
        <v>-14</v>
      </c>
      <c r="J45" s="178">
        <v>0</v>
      </c>
      <c r="K45" s="178">
        <v>0</v>
      </c>
      <c r="L45" s="178">
        <v>0</v>
      </c>
      <c r="M45" s="178">
        <v>0</v>
      </c>
      <c r="N45" s="178">
        <v>3000</v>
      </c>
      <c r="O45" s="184">
        <f>SUM(C45:N45)</f>
        <v>22964</v>
      </c>
      <c r="P45" s="184">
        <f>B45+O45</f>
        <v>1183501</v>
      </c>
      <c r="Q45" s="184">
        <v>984359</v>
      </c>
      <c r="R45" s="184"/>
      <c r="S45" s="186">
        <f>P45/Q45</f>
        <v>1.2023062724067135</v>
      </c>
    </row>
    <row r="46" spans="1:19" s="162" customFormat="1" x14ac:dyDescent="0.2">
      <c r="A46" s="195" t="s">
        <v>41</v>
      </c>
      <c r="B46" s="189">
        <f>SUM(B44:B45)</f>
        <v>2797657</v>
      </c>
      <c r="C46" s="190">
        <f>SUM(C44:C45)</f>
        <v>0</v>
      </c>
      <c r="D46" s="190">
        <f>SUM(D44:D45)</f>
        <v>747</v>
      </c>
      <c r="E46" s="190">
        <f t="shared" ref="E46:R46" si="7">SUM(E44:E45)</f>
        <v>1977</v>
      </c>
      <c r="F46" s="190">
        <f t="shared" si="7"/>
        <v>3709</v>
      </c>
      <c r="G46" s="190">
        <f t="shared" si="7"/>
        <v>10780</v>
      </c>
      <c r="H46" s="190">
        <f t="shared" si="7"/>
        <v>2715</v>
      </c>
      <c r="I46" s="190">
        <f t="shared" si="7"/>
        <v>-14</v>
      </c>
      <c r="J46" s="190">
        <f t="shared" si="7"/>
        <v>0</v>
      </c>
      <c r="K46" s="190">
        <f t="shared" si="7"/>
        <v>0</v>
      </c>
      <c r="L46" s="190">
        <f t="shared" si="7"/>
        <v>0</v>
      </c>
      <c r="M46" s="190">
        <f t="shared" si="7"/>
        <v>0</v>
      </c>
      <c r="N46" s="190">
        <f t="shared" si="7"/>
        <v>3000</v>
      </c>
      <c r="O46" s="191">
        <f t="shared" si="7"/>
        <v>22914</v>
      </c>
      <c r="P46" s="191">
        <f t="shared" si="7"/>
        <v>2820571</v>
      </c>
      <c r="Q46" s="191">
        <f t="shared" si="7"/>
        <v>4305359</v>
      </c>
      <c r="R46" s="191">
        <f t="shared" si="7"/>
        <v>0</v>
      </c>
      <c r="S46" s="198">
        <f>P46/Q46</f>
        <v>0.65513026904376614</v>
      </c>
    </row>
    <row r="47" spans="1:19" s="162" customFormat="1" x14ac:dyDescent="0.2">
      <c r="A47" s="181"/>
      <c r="B47" s="182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84"/>
      <c r="P47" s="184"/>
      <c r="Q47" s="184"/>
      <c r="R47" s="184"/>
      <c r="S47" s="186"/>
    </row>
    <row r="48" spans="1:19" s="162" customFormat="1" x14ac:dyDescent="0.2">
      <c r="A48" s="176" t="s">
        <v>181</v>
      </c>
      <c r="B48" s="182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84"/>
      <c r="P48" s="184"/>
      <c r="Q48" s="184"/>
      <c r="R48" s="184"/>
      <c r="S48" s="186"/>
    </row>
    <row r="49" spans="1:26" s="162" customFormat="1" x14ac:dyDescent="0.2">
      <c r="A49" s="181" t="s">
        <v>104</v>
      </c>
      <c r="B49" s="182">
        <v>231177</v>
      </c>
      <c r="C49" s="178">
        <v>5451</v>
      </c>
      <c r="D49" s="178">
        <v>8380</v>
      </c>
      <c r="E49" s="178">
        <v>7955</v>
      </c>
      <c r="F49" s="178">
        <v>12404</v>
      </c>
      <c r="G49" s="178">
        <v>9752</v>
      </c>
      <c r="H49" s="178">
        <v>11253</v>
      </c>
      <c r="I49" s="178">
        <v>9295</v>
      </c>
      <c r="J49" s="178">
        <v>11707</v>
      </c>
      <c r="K49" s="178">
        <v>9354</v>
      </c>
      <c r="L49" s="178">
        <v>10956</v>
      </c>
      <c r="M49" s="178">
        <v>8375</v>
      </c>
      <c r="N49" s="178">
        <v>5883</v>
      </c>
      <c r="O49" s="184">
        <f>SUM(C49:N49)</f>
        <v>110765</v>
      </c>
      <c r="P49" s="197">
        <f>B49+O49</f>
        <v>341942</v>
      </c>
      <c r="Q49" s="196">
        <v>3000000</v>
      </c>
      <c r="R49" s="196"/>
      <c r="S49" s="186">
        <f>P49/Q49</f>
        <v>0.11398066666666666</v>
      </c>
    </row>
    <row r="50" spans="1:26" s="162" customFormat="1" x14ac:dyDescent="0.2">
      <c r="A50" s="188" t="s">
        <v>42</v>
      </c>
      <c r="B50" s="189">
        <f>SUM(B49)</f>
        <v>231177</v>
      </c>
      <c r="C50" s="190">
        <f>SUM(C49)</f>
        <v>5451</v>
      </c>
      <c r="D50" s="190">
        <f>SUM(D49)</f>
        <v>8380</v>
      </c>
      <c r="E50" s="190">
        <f t="shared" ref="E50:M50" si="8">SUM(E49)</f>
        <v>7955</v>
      </c>
      <c r="F50" s="190">
        <f t="shared" si="8"/>
        <v>12404</v>
      </c>
      <c r="G50" s="190">
        <f t="shared" si="8"/>
        <v>9752</v>
      </c>
      <c r="H50" s="190">
        <f t="shared" si="8"/>
        <v>11253</v>
      </c>
      <c r="I50" s="190">
        <f t="shared" si="8"/>
        <v>9295</v>
      </c>
      <c r="J50" s="190">
        <f t="shared" si="8"/>
        <v>11707</v>
      </c>
      <c r="K50" s="190">
        <f t="shared" si="8"/>
        <v>9354</v>
      </c>
      <c r="L50" s="190">
        <f t="shared" si="8"/>
        <v>10956</v>
      </c>
      <c r="M50" s="190">
        <f t="shared" si="8"/>
        <v>8375</v>
      </c>
      <c r="N50" s="190">
        <f>SUM(N49)</f>
        <v>5883</v>
      </c>
      <c r="O50" s="191">
        <f>SUM(O49)</f>
        <v>110765</v>
      </c>
      <c r="P50" s="191">
        <f>SUM(P49)</f>
        <v>341942</v>
      </c>
      <c r="Q50" s="191">
        <f>SUM(Q49)</f>
        <v>3000000</v>
      </c>
      <c r="R50" s="191">
        <f>SUM(R49)</f>
        <v>0</v>
      </c>
      <c r="S50" s="192">
        <f>+P50/Q50</f>
        <v>0.11398066666666666</v>
      </c>
    </row>
    <row r="51" spans="1:26" s="162" customFormat="1" x14ac:dyDescent="0.2">
      <c r="A51" s="335"/>
      <c r="B51" s="182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84"/>
      <c r="P51" s="184"/>
      <c r="Q51" s="184"/>
      <c r="R51" s="184"/>
      <c r="S51" s="186"/>
    </row>
    <row r="52" spans="1:26" s="162" customFormat="1" x14ac:dyDescent="0.2">
      <c r="A52" s="202"/>
      <c r="B52" s="203"/>
      <c r="C52" s="178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78"/>
      <c r="O52" s="184"/>
      <c r="P52" s="184"/>
      <c r="Q52" s="184"/>
      <c r="R52" s="184"/>
      <c r="S52" s="200"/>
    </row>
    <row r="53" spans="1:26" ht="15" customHeight="1" thickBot="1" x14ac:dyDescent="0.25">
      <c r="A53" s="204" t="s">
        <v>27</v>
      </c>
      <c r="B53" s="205">
        <f>B9+B14+B20+B25+B30+B36+B41+B46+B50</f>
        <v>18735059</v>
      </c>
      <c r="C53" s="206">
        <f>C9+C14+C20+C25+C30+C36+C41+C46+C50</f>
        <v>471850</v>
      </c>
      <c r="D53" s="206">
        <f>D9+D14+D20+D25+D30+D36+D41+D46+D50</f>
        <v>385346</v>
      </c>
      <c r="E53" s="206">
        <f t="shared" ref="E53:M53" si="9">E9+E14+E20+E25+E30+E36+E41+E46+E50</f>
        <v>466518</v>
      </c>
      <c r="F53" s="206">
        <f t="shared" si="9"/>
        <v>1925098</v>
      </c>
      <c r="G53" s="206">
        <f t="shared" si="9"/>
        <v>674944</v>
      </c>
      <c r="H53" s="206">
        <f t="shared" si="9"/>
        <v>538453</v>
      </c>
      <c r="I53" s="206">
        <f t="shared" si="9"/>
        <v>659428</v>
      </c>
      <c r="J53" s="206">
        <f t="shared" si="9"/>
        <v>535287</v>
      </c>
      <c r="K53" s="206">
        <f t="shared" si="9"/>
        <v>831890</v>
      </c>
      <c r="L53" s="206">
        <f t="shared" si="9"/>
        <v>629221</v>
      </c>
      <c r="M53" s="206">
        <f t="shared" si="9"/>
        <v>968113</v>
      </c>
      <c r="N53" s="206">
        <f>N9+N14+N20+N25+N30+N36+N41+N46+N50</f>
        <v>2506816</v>
      </c>
      <c r="O53" s="207">
        <f>O9+O14+O20+O25+O30+O36+O41+O46+O50</f>
        <v>10592964</v>
      </c>
      <c r="P53" s="207">
        <f>P9+P14+P20+P25+P30+P36+P41+P46+P50</f>
        <v>29328023</v>
      </c>
      <c r="Q53" s="207">
        <f>Q9+Q14+Q20+Q25+Q30+Q36+Q41+Q46+Q50</f>
        <v>65806793</v>
      </c>
      <c r="R53" s="207">
        <f>R9+R14+R20+R25+R30+R36+R41+R46+R50</f>
        <v>0</v>
      </c>
      <c r="S53" s="208">
        <f>P53/Q53</f>
        <v>0.44566862572986954</v>
      </c>
    </row>
    <row r="54" spans="1:26" ht="15" customHeight="1" thickTop="1" x14ac:dyDescent="0.2">
      <c r="A54" s="209"/>
      <c r="B54" s="210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336"/>
    </row>
    <row r="55" spans="1:26" ht="32.25" customHeight="1" x14ac:dyDescent="0.2">
      <c r="A55" s="209"/>
      <c r="B55" s="337"/>
      <c r="C55" s="33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87"/>
    </row>
    <row r="56" spans="1:26" ht="15" customHeight="1" x14ac:dyDescent="0.2">
      <c r="A56" s="209"/>
      <c r="B56" s="210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87"/>
    </row>
    <row r="57" spans="1:26" ht="15" customHeight="1" x14ac:dyDescent="0.2">
      <c r="A57" s="209"/>
      <c r="B57" s="210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87"/>
    </row>
    <row r="58" spans="1:26" ht="10.5" customHeight="1" thickBot="1" x14ac:dyDescent="0.2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339"/>
    </row>
    <row r="59" spans="1:26" x14ac:dyDescent="0.2">
      <c r="A59" s="193" t="s">
        <v>61</v>
      </c>
    </row>
    <row r="60" spans="1:26" s="162" customFormat="1" x14ac:dyDescent="0.2">
      <c r="O60" s="215"/>
      <c r="P60" s="215"/>
    </row>
    <row r="61" spans="1:26" s="162" customFormat="1" ht="15" x14ac:dyDescent="0.25">
      <c r="A61" s="333" t="s">
        <v>25</v>
      </c>
      <c r="B61" s="330"/>
      <c r="C61" s="330"/>
      <c r="D61" s="330"/>
      <c r="E61" s="330"/>
      <c r="F61" s="332"/>
      <c r="G61" s="330"/>
      <c r="H61" s="332"/>
      <c r="I61" s="330"/>
      <c r="J61" s="330"/>
      <c r="K61" s="330"/>
      <c r="L61" s="330"/>
      <c r="M61" s="330"/>
      <c r="N61" s="330"/>
      <c r="O61" s="330"/>
      <c r="P61" s="331"/>
      <c r="Q61" s="330"/>
      <c r="R61" s="330"/>
      <c r="S61" s="330"/>
      <c r="T61" s="330"/>
      <c r="U61" s="330"/>
      <c r="V61" s="330"/>
      <c r="W61" s="330"/>
      <c r="X61" s="330"/>
      <c r="Y61" s="330"/>
      <c r="Z61" s="330"/>
    </row>
    <row r="62" spans="1:26" s="162" customFormat="1" x14ac:dyDescent="0.2">
      <c r="A62" s="482" t="s">
        <v>182</v>
      </c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</row>
    <row r="63" spans="1:26" s="162" customFormat="1" x14ac:dyDescent="0.2">
      <c r="A63" s="216" t="s">
        <v>237</v>
      </c>
      <c r="B63" s="216"/>
      <c r="O63" s="162" t="s">
        <v>13</v>
      </c>
    </row>
    <row r="64" spans="1:26" s="162" customFormat="1" ht="14.25" x14ac:dyDescent="0.2">
      <c r="A64" s="217" t="s">
        <v>248</v>
      </c>
      <c r="B64" s="217"/>
      <c r="E64" s="218"/>
    </row>
    <row r="65" spans="1:18" x14ac:dyDescent="0.2">
      <c r="A65" s="217"/>
      <c r="B65" s="217"/>
      <c r="C65" s="162"/>
      <c r="D65" s="162"/>
      <c r="E65" s="162"/>
      <c r="F65" s="162"/>
      <c r="G65" s="162"/>
      <c r="H65" s="162"/>
      <c r="I65" s="162"/>
      <c r="J65" s="162"/>
      <c r="K65" s="162"/>
      <c r="N65" s="219"/>
    </row>
    <row r="66" spans="1:18" x14ac:dyDescent="0.2">
      <c r="A66" s="217"/>
      <c r="B66" s="217"/>
      <c r="C66" s="162"/>
      <c r="D66" s="162"/>
      <c r="E66" s="220"/>
      <c r="F66" s="221"/>
      <c r="G66" s="219"/>
    </row>
    <row r="67" spans="1:18" x14ac:dyDescent="0.2">
      <c r="E67" s="220"/>
      <c r="F67" s="221"/>
      <c r="G67" s="219"/>
    </row>
    <row r="68" spans="1:18" x14ac:dyDescent="0.2">
      <c r="E68" s="220"/>
      <c r="F68" s="221"/>
      <c r="G68" s="219"/>
    </row>
    <row r="69" spans="1:18" x14ac:dyDescent="0.2">
      <c r="E69" s="220"/>
      <c r="F69" s="221"/>
      <c r="G69" s="219"/>
    </row>
    <row r="70" spans="1:18" x14ac:dyDescent="0.2">
      <c r="E70" s="222"/>
      <c r="F70" s="223"/>
    </row>
    <row r="71" spans="1:18" x14ac:dyDescent="0.2">
      <c r="E71" s="224"/>
      <c r="F71" s="221"/>
      <c r="G71" s="219"/>
    </row>
    <row r="72" spans="1:18" x14ac:dyDescent="0.2">
      <c r="E72" s="224"/>
      <c r="F72" s="221"/>
      <c r="G72" s="219"/>
      <c r="Q72" s="193"/>
      <c r="R72" s="193"/>
    </row>
    <row r="73" spans="1:18" x14ac:dyDescent="0.2">
      <c r="E73" s="224"/>
      <c r="F73" s="221"/>
      <c r="G73" s="219"/>
      <c r="Q73" s="193"/>
      <c r="R73" s="193"/>
    </row>
    <row r="74" spans="1:18" x14ac:dyDescent="0.2">
      <c r="E74" s="224"/>
      <c r="F74" s="221"/>
      <c r="G74" s="219"/>
      <c r="Q74" s="193"/>
      <c r="R74" s="193"/>
    </row>
    <row r="75" spans="1:18" x14ac:dyDescent="0.2">
      <c r="E75" s="224"/>
      <c r="F75" s="221"/>
      <c r="G75" s="219"/>
      <c r="Q75" s="193"/>
      <c r="R75" s="193"/>
    </row>
    <row r="76" spans="1:18" x14ac:dyDescent="0.2">
      <c r="E76" s="222"/>
      <c r="F76" s="225"/>
      <c r="G76" s="219"/>
      <c r="Q76" s="193"/>
      <c r="R76" s="193"/>
    </row>
  </sheetData>
  <mergeCells count="1">
    <mergeCell ref="A62:Z62"/>
  </mergeCells>
  <printOptions horizontalCentered="1"/>
  <pageMargins left="0.5" right="0.5" top="0.56999999999999995" bottom="0.51" header="0.26" footer="0.25"/>
  <pageSetup scale="36" orientation="landscape" r:id="rId1"/>
  <headerFooter alignWithMargins="0">
    <oddHeader xml:space="preserve">&amp;C&amp;"Arial,Bold"SDGE Demand Response Programs and Activities
Incremental Cost 
2014 Funding
&amp;"Arial,Regular"
</oddHeader>
    <oddFooter>&amp;L&amp;F&amp;R&amp;D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5"/>
  <sheetViews>
    <sheetView zoomScaleNormal="100" workbookViewId="0">
      <selection activeCell="A29" sqref="A29"/>
    </sheetView>
  </sheetViews>
  <sheetFormatPr defaultRowHeight="12.75" x14ac:dyDescent="0.2"/>
  <cols>
    <col min="1" max="1" width="70" style="362" customWidth="1"/>
    <col min="2" max="10" width="12.7109375" style="362" customWidth="1"/>
    <col min="11" max="11" width="13" style="362" customWidth="1"/>
    <col min="12" max="12" width="12.7109375" style="342" customWidth="1"/>
    <col min="13" max="13" width="12.7109375" style="362" customWidth="1"/>
    <col min="14" max="14" width="11" style="343" customWidth="1"/>
    <col min="15" max="15" width="13.28515625" style="343" hidden="1" customWidth="1"/>
    <col min="16" max="17" width="11.7109375" style="343" customWidth="1"/>
    <col min="18" max="256" width="9.140625" style="343"/>
    <col min="257" max="257" width="70" style="343" customWidth="1"/>
    <col min="258" max="269" width="12.7109375" style="343" customWidth="1"/>
    <col min="270" max="270" width="11" style="343" customWidth="1"/>
    <col min="271" max="271" width="0" style="343" hidden="1" customWidth="1"/>
    <col min="272" max="273" width="11.7109375" style="343" customWidth="1"/>
    <col min="274" max="512" width="9.140625" style="343"/>
    <col min="513" max="513" width="70" style="343" customWidth="1"/>
    <col min="514" max="525" width="12.7109375" style="343" customWidth="1"/>
    <col min="526" max="526" width="11" style="343" customWidth="1"/>
    <col min="527" max="527" width="0" style="343" hidden="1" customWidth="1"/>
    <col min="528" max="529" width="11.7109375" style="343" customWidth="1"/>
    <col min="530" max="768" width="9.140625" style="343"/>
    <col min="769" max="769" width="70" style="343" customWidth="1"/>
    <col min="770" max="781" width="12.7109375" style="343" customWidth="1"/>
    <col min="782" max="782" width="11" style="343" customWidth="1"/>
    <col min="783" max="783" width="0" style="343" hidden="1" customWidth="1"/>
    <col min="784" max="785" width="11.7109375" style="343" customWidth="1"/>
    <col min="786" max="1024" width="9.140625" style="343"/>
    <col min="1025" max="1025" width="70" style="343" customWidth="1"/>
    <col min="1026" max="1037" width="12.7109375" style="343" customWidth="1"/>
    <col min="1038" max="1038" width="11" style="343" customWidth="1"/>
    <col min="1039" max="1039" width="0" style="343" hidden="1" customWidth="1"/>
    <col min="1040" max="1041" width="11.7109375" style="343" customWidth="1"/>
    <col min="1042" max="1280" width="9.140625" style="343"/>
    <col min="1281" max="1281" width="70" style="343" customWidth="1"/>
    <col min="1282" max="1293" width="12.7109375" style="343" customWidth="1"/>
    <col min="1294" max="1294" width="11" style="343" customWidth="1"/>
    <col min="1295" max="1295" width="0" style="343" hidden="1" customWidth="1"/>
    <col min="1296" max="1297" width="11.7109375" style="343" customWidth="1"/>
    <col min="1298" max="1536" width="9.140625" style="343"/>
    <col min="1537" max="1537" width="70" style="343" customWidth="1"/>
    <col min="1538" max="1549" width="12.7109375" style="343" customWidth="1"/>
    <col min="1550" max="1550" width="11" style="343" customWidth="1"/>
    <col min="1551" max="1551" width="0" style="343" hidden="1" customWidth="1"/>
    <col min="1552" max="1553" width="11.7109375" style="343" customWidth="1"/>
    <col min="1554" max="1792" width="9.140625" style="343"/>
    <col min="1793" max="1793" width="70" style="343" customWidth="1"/>
    <col min="1794" max="1805" width="12.7109375" style="343" customWidth="1"/>
    <col min="1806" max="1806" width="11" style="343" customWidth="1"/>
    <col min="1807" max="1807" width="0" style="343" hidden="1" customWidth="1"/>
    <col min="1808" max="1809" width="11.7109375" style="343" customWidth="1"/>
    <col min="1810" max="2048" width="9.140625" style="343"/>
    <col min="2049" max="2049" width="70" style="343" customWidth="1"/>
    <col min="2050" max="2061" width="12.7109375" style="343" customWidth="1"/>
    <col min="2062" max="2062" width="11" style="343" customWidth="1"/>
    <col min="2063" max="2063" width="0" style="343" hidden="1" customWidth="1"/>
    <col min="2064" max="2065" width="11.7109375" style="343" customWidth="1"/>
    <col min="2066" max="2304" width="9.140625" style="343"/>
    <col min="2305" max="2305" width="70" style="343" customWidth="1"/>
    <col min="2306" max="2317" width="12.7109375" style="343" customWidth="1"/>
    <col min="2318" max="2318" width="11" style="343" customWidth="1"/>
    <col min="2319" max="2319" width="0" style="343" hidden="1" customWidth="1"/>
    <col min="2320" max="2321" width="11.7109375" style="343" customWidth="1"/>
    <col min="2322" max="2560" width="9.140625" style="343"/>
    <col min="2561" max="2561" width="70" style="343" customWidth="1"/>
    <col min="2562" max="2573" width="12.7109375" style="343" customWidth="1"/>
    <col min="2574" max="2574" width="11" style="343" customWidth="1"/>
    <col min="2575" max="2575" width="0" style="343" hidden="1" customWidth="1"/>
    <col min="2576" max="2577" width="11.7109375" style="343" customWidth="1"/>
    <col min="2578" max="2816" width="9.140625" style="343"/>
    <col min="2817" max="2817" width="70" style="343" customWidth="1"/>
    <col min="2818" max="2829" width="12.7109375" style="343" customWidth="1"/>
    <col min="2830" max="2830" width="11" style="343" customWidth="1"/>
    <col min="2831" max="2831" width="0" style="343" hidden="1" customWidth="1"/>
    <col min="2832" max="2833" width="11.7109375" style="343" customWidth="1"/>
    <col min="2834" max="3072" width="9.140625" style="343"/>
    <col min="3073" max="3073" width="70" style="343" customWidth="1"/>
    <col min="3074" max="3085" width="12.7109375" style="343" customWidth="1"/>
    <col min="3086" max="3086" width="11" style="343" customWidth="1"/>
    <col min="3087" max="3087" width="0" style="343" hidden="1" customWidth="1"/>
    <col min="3088" max="3089" width="11.7109375" style="343" customWidth="1"/>
    <col min="3090" max="3328" width="9.140625" style="343"/>
    <col min="3329" max="3329" width="70" style="343" customWidth="1"/>
    <col min="3330" max="3341" width="12.7109375" style="343" customWidth="1"/>
    <col min="3342" max="3342" width="11" style="343" customWidth="1"/>
    <col min="3343" max="3343" width="0" style="343" hidden="1" customWidth="1"/>
    <col min="3344" max="3345" width="11.7109375" style="343" customWidth="1"/>
    <col min="3346" max="3584" width="9.140625" style="343"/>
    <col min="3585" max="3585" width="70" style="343" customWidth="1"/>
    <col min="3586" max="3597" width="12.7109375" style="343" customWidth="1"/>
    <col min="3598" max="3598" width="11" style="343" customWidth="1"/>
    <col min="3599" max="3599" width="0" style="343" hidden="1" customWidth="1"/>
    <col min="3600" max="3601" width="11.7109375" style="343" customWidth="1"/>
    <col min="3602" max="3840" width="9.140625" style="343"/>
    <col min="3841" max="3841" width="70" style="343" customWidth="1"/>
    <col min="3842" max="3853" width="12.7109375" style="343" customWidth="1"/>
    <col min="3854" max="3854" width="11" style="343" customWidth="1"/>
    <col min="3855" max="3855" width="0" style="343" hidden="1" customWidth="1"/>
    <col min="3856" max="3857" width="11.7109375" style="343" customWidth="1"/>
    <col min="3858" max="4096" width="9.140625" style="343"/>
    <col min="4097" max="4097" width="70" style="343" customWidth="1"/>
    <col min="4098" max="4109" width="12.7109375" style="343" customWidth="1"/>
    <col min="4110" max="4110" width="11" style="343" customWidth="1"/>
    <col min="4111" max="4111" width="0" style="343" hidden="1" customWidth="1"/>
    <col min="4112" max="4113" width="11.7109375" style="343" customWidth="1"/>
    <col min="4114" max="4352" width="9.140625" style="343"/>
    <col min="4353" max="4353" width="70" style="343" customWidth="1"/>
    <col min="4354" max="4365" width="12.7109375" style="343" customWidth="1"/>
    <col min="4366" max="4366" width="11" style="343" customWidth="1"/>
    <col min="4367" max="4367" width="0" style="343" hidden="1" customWidth="1"/>
    <col min="4368" max="4369" width="11.7109375" style="343" customWidth="1"/>
    <col min="4370" max="4608" width="9.140625" style="343"/>
    <col min="4609" max="4609" width="70" style="343" customWidth="1"/>
    <col min="4610" max="4621" width="12.7109375" style="343" customWidth="1"/>
    <col min="4622" max="4622" width="11" style="343" customWidth="1"/>
    <col min="4623" max="4623" width="0" style="343" hidden="1" customWidth="1"/>
    <col min="4624" max="4625" width="11.7109375" style="343" customWidth="1"/>
    <col min="4626" max="4864" width="9.140625" style="343"/>
    <col min="4865" max="4865" width="70" style="343" customWidth="1"/>
    <col min="4866" max="4877" width="12.7109375" style="343" customWidth="1"/>
    <col min="4878" max="4878" width="11" style="343" customWidth="1"/>
    <col min="4879" max="4879" width="0" style="343" hidden="1" customWidth="1"/>
    <col min="4880" max="4881" width="11.7109375" style="343" customWidth="1"/>
    <col min="4882" max="5120" width="9.140625" style="343"/>
    <col min="5121" max="5121" width="70" style="343" customWidth="1"/>
    <col min="5122" max="5133" width="12.7109375" style="343" customWidth="1"/>
    <col min="5134" max="5134" width="11" style="343" customWidth="1"/>
    <col min="5135" max="5135" width="0" style="343" hidden="1" customWidth="1"/>
    <col min="5136" max="5137" width="11.7109375" style="343" customWidth="1"/>
    <col min="5138" max="5376" width="9.140625" style="343"/>
    <col min="5377" max="5377" width="70" style="343" customWidth="1"/>
    <col min="5378" max="5389" width="12.7109375" style="343" customWidth="1"/>
    <col min="5390" max="5390" width="11" style="343" customWidth="1"/>
    <col min="5391" max="5391" width="0" style="343" hidden="1" customWidth="1"/>
    <col min="5392" max="5393" width="11.7109375" style="343" customWidth="1"/>
    <col min="5394" max="5632" width="9.140625" style="343"/>
    <col min="5633" max="5633" width="70" style="343" customWidth="1"/>
    <col min="5634" max="5645" width="12.7109375" style="343" customWidth="1"/>
    <col min="5646" max="5646" width="11" style="343" customWidth="1"/>
    <col min="5647" max="5647" width="0" style="343" hidden="1" customWidth="1"/>
    <col min="5648" max="5649" width="11.7109375" style="343" customWidth="1"/>
    <col min="5650" max="5888" width="9.140625" style="343"/>
    <col min="5889" max="5889" width="70" style="343" customWidth="1"/>
    <col min="5890" max="5901" width="12.7109375" style="343" customWidth="1"/>
    <col min="5902" max="5902" width="11" style="343" customWidth="1"/>
    <col min="5903" max="5903" width="0" style="343" hidden="1" customWidth="1"/>
    <col min="5904" max="5905" width="11.7109375" style="343" customWidth="1"/>
    <col min="5906" max="6144" width="9.140625" style="343"/>
    <col min="6145" max="6145" width="70" style="343" customWidth="1"/>
    <col min="6146" max="6157" width="12.7109375" style="343" customWidth="1"/>
    <col min="6158" max="6158" width="11" style="343" customWidth="1"/>
    <col min="6159" max="6159" width="0" style="343" hidden="1" customWidth="1"/>
    <col min="6160" max="6161" width="11.7109375" style="343" customWidth="1"/>
    <col min="6162" max="6400" width="9.140625" style="343"/>
    <col min="6401" max="6401" width="70" style="343" customWidth="1"/>
    <col min="6402" max="6413" width="12.7109375" style="343" customWidth="1"/>
    <col min="6414" max="6414" width="11" style="343" customWidth="1"/>
    <col min="6415" max="6415" width="0" style="343" hidden="1" customWidth="1"/>
    <col min="6416" max="6417" width="11.7109375" style="343" customWidth="1"/>
    <col min="6418" max="6656" width="9.140625" style="343"/>
    <col min="6657" max="6657" width="70" style="343" customWidth="1"/>
    <col min="6658" max="6669" width="12.7109375" style="343" customWidth="1"/>
    <col min="6670" max="6670" width="11" style="343" customWidth="1"/>
    <col min="6671" max="6671" width="0" style="343" hidden="1" customWidth="1"/>
    <col min="6672" max="6673" width="11.7109375" style="343" customWidth="1"/>
    <col min="6674" max="6912" width="9.140625" style="343"/>
    <col min="6913" max="6913" width="70" style="343" customWidth="1"/>
    <col min="6914" max="6925" width="12.7109375" style="343" customWidth="1"/>
    <col min="6926" max="6926" width="11" style="343" customWidth="1"/>
    <col min="6927" max="6927" width="0" style="343" hidden="1" customWidth="1"/>
    <col min="6928" max="6929" width="11.7109375" style="343" customWidth="1"/>
    <col min="6930" max="7168" width="9.140625" style="343"/>
    <col min="7169" max="7169" width="70" style="343" customWidth="1"/>
    <col min="7170" max="7181" width="12.7109375" style="343" customWidth="1"/>
    <col min="7182" max="7182" width="11" style="343" customWidth="1"/>
    <col min="7183" max="7183" width="0" style="343" hidden="1" customWidth="1"/>
    <col min="7184" max="7185" width="11.7109375" style="343" customWidth="1"/>
    <col min="7186" max="7424" width="9.140625" style="343"/>
    <col min="7425" max="7425" width="70" style="343" customWidth="1"/>
    <col min="7426" max="7437" width="12.7109375" style="343" customWidth="1"/>
    <col min="7438" max="7438" width="11" style="343" customWidth="1"/>
    <col min="7439" max="7439" width="0" style="343" hidden="1" customWidth="1"/>
    <col min="7440" max="7441" width="11.7109375" style="343" customWidth="1"/>
    <col min="7442" max="7680" width="9.140625" style="343"/>
    <col min="7681" max="7681" width="70" style="343" customWidth="1"/>
    <col min="7682" max="7693" width="12.7109375" style="343" customWidth="1"/>
    <col min="7694" max="7694" width="11" style="343" customWidth="1"/>
    <col min="7695" max="7695" width="0" style="343" hidden="1" customWidth="1"/>
    <col min="7696" max="7697" width="11.7109375" style="343" customWidth="1"/>
    <col min="7698" max="7936" width="9.140625" style="343"/>
    <col min="7937" max="7937" width="70" style="343" customWidth="1"/>
    <col min="7938" max="7949" width="12.7109375" style="343" customWidth="1"/>
    <col min="7950" max="7950" width="11" style="343" customWidth="1"/>
    <col min="7951" max="7951" width="0" style="343" hidden="1" customWidth="1"/>
    <col min="7952" max="7953" width="11.7109375" style="343" customWidth="1"/>
    <col min="7954" max="8192" width="9.140625" style="343"/>
    <col min="8193" max="8193" width="70" style="343" customWidth="1"/>
    <col min="8194" max="8205" width="12.7109375" style="343" customWidth="1"/>
    <col min="8206" max="8206" width="11" style="343" customWidth="1"/>
    <col min="8207" max="8207" width="0" style="343" hidden="1" customWidth="1"/>
    <col min="8208" max="8209" width="11.7109375" style="343" customWidth="1"/>
    <col min="8210" max="8448" width="9.140625" style="343"/>
    <col min="8449" max="8449" width="70" style="343" customWidth="1"/>
    <col min="8450" max="8461" width="12.7109375" style="343" customWidth="1"/>
    <col min="8462" max="8462" width="11" style="343" customWidth="1"/>
    <col min="8463" max="8463" width="0" style="343" hidden="1" customWidth="1"/>
    <col min="8464" max="8465" width="11.7109375" style="343" customWidth="1"/>
    <col min="8466" max="8704" width="9.140625" style="343"/>
    <col min="8705" max="8705" width="70" style="343" customWidth="1"/>
    <col min="8706" max="8717" width="12.7109375" style="343" customWidth="1"/>
    <col min="8718" max="8718" width="11" style="343" customWidth="1"/>
    <col min="8719" max="8719" width="0" style="343" hidden="1" customWidth="1"/>
    <col min="8720" max="8721" width="11.7109375" style="343" customWidth="1"/>
    <col min="8722" max="8960" width="9.140625" style="343"/>
    <col min="8961" max="8961" width="70" style="343" customWidth="1"/>
    <col min="8962" max="8973" width="12.7109375" style="343" customWidth="1"/>
    <col min="8974" max="8974" width="11" style="343" customWidth="1"/>
    <col min="8975" max="8975" width="0" style="343" hidden="1" customWidth="1"/>
    <col min="8976" max="8977" width="11.7109375" style="343" customWidth="1"/>
    <col min="8978" max="9216" width="9.140625" style="343"/>
    <col min="9217" max="9217" width="70" style="343" customWidth="1"/>
    <col min="9218" max="9229" width="12.7109375" style="343" customWidth="1"/>
    <col min="9230" max="9230" width="11" style="343" customWidth="1"/>
    <col min="9231" max="9231" width="0" style="343" hidden="1" customWidth="1"/>
    <col min="9232" max="9233" width="11.7109375" style="343" customWidth="1"/>
    <col min="9234" max="9472" width="9.140625" style="343"/>
    <col min="9473" max="9473" width="70" style="343" customWidth="1"/>
    <col min="9474" max="9485" width="12.7109375" style="343" customWidth="1"/>
    <col min="9486" max="9486" width="11" style="343" customWidth="1"/>
    <col min="9487" max="9487" width="0" style="343" hidden="1" customWidth="1"/>
    <col min="9488" max="9489" width="11.7109375" style="343" customWidth="1"/>
    <col min="9490" max="9728" width="9.140625" style="343"/>
    <col min="9729" max="9729" width="70" style="343" customWidth="1"/>
    <col min="9730" max="9741" width="12.7109375" style="343" customWidth="1"/>
    <col min="9742" max="9742" width="11" style="343" customWidth="1"/>
    <col min="9743" max="9743" width="0" style="343" hidden="1" customWidth="1"/>
    <col min="9744" max="9745" width="11.7109375" style="343" customWidth="1"/>
    <col min="9746" max="9984" width="9.140625" style="343"/>
    <col min="9985" max="9985" width="70" style="343" customWidth="1"/>
    <col min="9986" max="9997" width="12.7109375" style="343" customWidth="1"/>
    <col min="9998" max="9998" width="11" style="343" customWidth="1"/>
    <col min="9999" max="9999" width="0" style="343" hidden="1" customWidth="1"/>
    <col min="10000" max="10001" width="11.7109375" style="343" customWidth="1"/>
    <col min="10002" max="10240" width="9.140625" style="343"/>
    <col min="10241" max="10241" width="70" style="343" customWidth="1"/>
    <col min="10242" max="10253" width="12.7109375" style="343" customWidth="1"/>
    <col min="10254" max="10254" width="11" style="343" customWidth="1"/>
    <col min="10255" max="10255" width="0" style="343" hidden="1" customWidth="1"/>
    <col min="10256" max="10257" width="11.7109375" style="343" customWidth="1"/>
    <col min="10258" max="10496" width="9.140625" style="343"/>
    <col min="10497" max="10497" width="70" style="343" customWidth="1"/>
    <col min="10498" max="10509" width="12.7109375" style="343" customWidth="1"/>
    <col min="10510" max="10510" width="11" style="343" customWidth="1"/>
    <col min="10511" max="10511" width="0" style="343" hidden="1" customWidth="1"/>
    <col min="10512" max="10513" width="11.7109375" style="343" customWidth="1"/>
    <col min="10514" max="10752" width="9.140625" style="343"/>
    <col min="10753" max="10753" width="70" style="343" customWidth="1"/>
    <col min="10754" max="10765" width="12.7109375" style="343" customWidth="1"/>
    <col min="10766" max="10766" width="11" style="343" customWidth="1"/>
    <col min="10767" max="10767" width="0" style="343" hidden="1" customWidth="1"/>
    <col min="10768" max="10769" width="11.7109375" style="343" customWidth="1"/>
    <col min="10770" max="11008" width="9.140625" style="343"/>
    <col min="11009" max="11009" width="70" style="343" customWidth="1"/>
    <col min="11010" max="11021" width="12.7109375" style="343" customWidth="1"/>
    <col min="11022" max="11022" width="11" style="343" customWidth="1"/>
    <col min="11023" max="11023" width="0" style="343" hidden="1" customWidth="1"/>
    <col min="11024" max="11025" width="11.7109375" style="343" customWidth="1"/>
    <col min="11026" max="11264" width="9.140625" style="343"/>
    <col min="11265" max="11265" width="70" style="343" customWidth="1"/>
    <col min="11266" max="11277" width="12.7109375" style="343" customWidth="1"/>
    <col min="11278" max="11278" width="11" style="343" customWidth="1"/>
    <col min="11279" max="11279" width="0" style="343" hidden="1" customWidth="1"/>
    <col min="11280" max="11281" width="11.7109375" style="343" customWidth="1"/>
    <col min="11282" max="11520" width="9.140625" style="343"/>
    <col min="11521" max="11521" width="70" style="343" customWidth="1"/>
    <col min="11522" max="11533" width="12.7109375" style="343" customWidth="1"/>
    <col min="11534" max="11534" width="11" style="343" customWidth="1"/>
    <col min="11535" max="11535" width="0" style="343" hidden="1" customWidth="1"/>
    <col min="11536" max="11537" width="11.7109375" style="343" customWidth="1"/>
    <col min="11538" max="11776" width="9.140625" style="343"/>
    <col min="11777" max="11777" width="70" style="343" customWidth="1"/>
    <col min="11778" max="11789" width="12.7109375" style="343" customWidth="1"/>
    <col min="11790" max="11790" width="11" style="343" customWidth="1"/>
    <col min="11791" max="11791" width="0" style="343" hidden="1" customWidth="1"/>
    <col min="11792" max="11793" width="11.7109375" style="343" customWidth="1"/>
    <col min="11794" max="12032" width="9.140625" style="343"/>
    <col min="12033" max="12033" width="70" style="343" customWidth="1"/>
    <col min="12034" max="12045" width="12.7109375" style="343" customWidth="1"/>
    <col min="12046" max="12046" width="11" style="343" customWidth="1"/>
    <col min="12047" max="12047" width="0" style="343" hidden="1" customWidth="1"/>
    <col min="12048" max="12049" width="11.7109375" style="343" customWidth="1"/>
    <col min="12050" max="12288" width="9.140625" style="343"/>
    <col min="12289" max="12289" width="70" style="343" customWidth="1"/>
    <col min="12290" max="12301" width="12.7109375" style="343" customWidth="1"/>
    <col min="12302" max="12302" width="11" style="343" customWidth="1"/>
    <col min="12303" max="12303" width="0" style="343" hidden="1" customWidth="1"/>
    <col min="12304" max="12305" width="11.7109375" style="343" customWidth="1"/>
    <col min="12306" max="12544" width="9.140625" style="343"/>
    <col min="12545" max="12545" width="70" style="343" customWidth="1"/>
    <col min="12546" max="12557" width="12.7109375" style="343" customWidth="1"/>
    <col min="12558" max="12558" width="11" style="343" customWidth="1"/>
    <col min="12559" max="12559" width="0" style="343" hidden="1" customWidth="1"/>
    <col min="12560" max="12561" width="11.7109375" style="343" customWidth="1"/>
    <col min="12562" max="12800" width="9.140625" style="343"/>
    <col min="12801" max="12801" width="70" style="343" customWidth="1"/>
    <col min="12802" max="12813" width="12.7109375" style="343" customWidth="1"/>
    <col min="12814" max="12814" width="11" style="343" customWidth="1"/>
    <col min="12815" max="12815" width="0" style="343" hidden="1" customWidth="1"/>
    <col min="12816" max="12817" width="11.7109375" style="343" customWidth="1"/>
    <col min="12818" max="13056" width="9.140625" style="343"/>
    <col min="13057" max="13057" width="70" style="343" customWidth="1"/>
    <col min="13058" max="13069" width="12.7109375" style="343" customWidth="1"/>
    <col min="13070" max="13070" width="11" style="343" customWidth="1"/>
    <col min="13071" max="13071" width="0" style="343" hidden="1" customWidth="1"/>
    <col min="13072" max="13073" width="11.7109375" style="343" customWidth="1"/>
    <col min="13074" max="13312" width="9.140625" style="343"/>
    <col min="13313" max="13313" width="70" style="343" customWidth="1"/>
    <col min="13314" max="13325" width="12.7109375" style="343" customWidth="1"/>
    <col min="13326" max="13326" width="11" style="343" customWidth="1"/>
    <col min="13327" max="13327" width="0" style="343" hidden="1" customWidth="1"/>
    <col min="13328" max="13329" width="11.7109375" style="343" customWidth="1"/>
    <col min="13330" max="13568" width="9.140625" style="343"/>
    <col min="13569" max="13569" width="70" style="343" customWidth="1"/>
    <col min="13570" max="13581" width="12.7109375" style="343" customWidth="1"/>
    <col min="13582" max="13582" width="11" style="343" customWidth="1"/>
    <col min="13583" max="13583" width="0" style="343" hidden="1" customWidth="1"/>
    <col min="13584" max="13585" width="11.7109375" style="343" customWidth="1"/>
    <col min="13586" max="13824" width="9.140625" style="343"/>
    <col min="13825" max="13825" width="70" style="343" customWidth="1"/>
    <col min="13826" max="13837" width="12.7109375" style="343" customWidth="1"/>
    <col min="13838" max="13838" width="11" style="343" customWidth="1"/>
    <col min="13839" max="13839" width="0" style="343" hidden="1" customWidth="1"/>
    <col min="13840" max="13841" width="11.7109375" style="343" customWidth="1"/>
    <col min="13842" max="14080" width="9.140625" style="343"/>
    <col min="14081" max="14081" width="70" style="343" customWidth="1"/>
    <col min="14082" max="14093" width="12.7109375" style="343" customWidth="1"/>
    <col min="14094" max="14094" width="11" style="343" customWidth="1"/>
    <col min="14095" max="14095" width="0" style="343" hidden="1" customWidth="1"/>
    <col min="14096" max="14097" width="11.7109375" style="343" customWidth="1"/>
    <col min="14098" max="14336" width="9.140625" style="343"/>
    <col min="14337" max="14337" width="70" style="343" customWidth="1"/>
    <col min="14338" max="14349" width="12.7109375" style="343" customWidth="1"/>
    <col min="14350" max="14350" width="11" style="343" customWidth="1"/>
    <col min="14351" max="14351" width="0" style="343" hidden="1" customWidth="1"/>
    <col min="14352" max="14353" width="11.7109375" style="343" customWidth="1"/>
    <col min="14354" max="14592" width="9.140625" style="343"/>
    <col min="14593" max="14593" width="70" style="343" customWidth="1"/>
    <col min="14594" max="14605" width="12.7109375" style="343" customWidth="1"/>
    <col min="14606" max="14606" width="11" style="343" customWidth="1"/>
    <col min="14607" max="14607" width="0" style="343" hidden="1" customWidth="1"/>
    <col min="14608" max="14609" width="11.7109375" style="343" customWidth="1"/>
    <col min="14610" max="14848" width="9.140625" style="343"/>
    <col min="14849" max="14849" width="70" style="343" customWidth="1"/>
    <col min="14850" max="14861" width="12.7109375" style="343" customWidth="1"/>
    <col min="14862" max="14862" width="11" style="343" customWidth="1"/>
    <col min="14863" max="14863" width="0" style="343" hidden="1" customWidth="1"/>
    <col min="14864" max="14865" width="11.7109375" style="343" customWidth="1"/>
    <col min="14866" max="15104" width="9.140625" style="343"/>
    <col min="15105" max="15105" width="70" style="343" customWidth="1"/>
    <col min="15106" max="15117" width="12.7109375" style="343" customWidth="1"/>
    <col min="15118" max="15118" width="11" style="343" customWidth="1"/>
    <col min="15119" max="15119" width="0" style="343" hidden="1" customWidth="1"/>
    <col min="15120" max="15121" width="11.7109375" style="343" customWidth="1"/>
    <col min="15122" max="15360" width="9.140625" style="343"/>
    <col min="15361" max="15361" width="70" style="343" customWidth="1"/>
    <col min="15362" max="15373" width="12.7109375" style="343" customWidth="1"/>
    <col min="15374" max="15374" width="11" style="343" customWidth="1"/>
    <col min="15375" max="15375" width="0" style="343" hidden="1" customWidth="1"/>
    <col min="15376" max="15377" width="11.7109375" style="343" customWidth="1"/>
    <col min="15378" max="15616" width="9.140625" style="343"/>
    <col min="15617" max="15617" width="70" style="343" customWidth="1"/>
    <col min="15618" max="15629" width="12.7109375" style="343" customWidth="1"/>
    <col min="15630" max="15630" width="11" style="343" customWidth="1"/>
    <col min="15631" max="15631" width="0" style="343" hidden="1" customWidth="1"/>
    <col min="15632" max="15633" width="11.7109375" style="343" customWidth="1"/>
    <col min="15634" max="15872" width="9.140625" style="343"/>
    <col min="15873" max="15873" width="70" style="343" customWidth="1"/>
    <col min="15874" max="15885" width="12.7109375" style="343" customWidth="1"/>
    <col min="15886" max="15886" width="11" style="343" customWidth="1"/>
    <col min="15887" max="15887" width="0" style="343" hidden="1" customWidth="1"/>
    <col min="15888" max="15889" width="11.7109375" style="343" customWidth="1"/>
    <col min="15890" max="16128" width="9.140625" style="343"/>
    <col min="16129" max="16129" width="70" style="343" customWidth="1"/>
    <col min="16130" max="16141" width="12.7109375" style="343" customWidth="1"/>
    <col min="16142" max="16142" width="11" style="343" customWidth="1"/>
    <col min="16143" max="16143" width="0" style="343" hidden="1" customWidth="1"/>
    <col min="16144" max="16145" width="11.7109375" style="343" customWidth="1"/>
    <col min="16146" max="16384" width="9.140625" style="343"/>
  </cols>
  <sheetData>
    <row r="1" spans="1:17" ht="13.5" customHeight="1" x14ac:dyDescent="0.2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M1" s="342"/>
    </row>
    <row r="2" spans="1:17" s="349" customFormat="1" ht="18" customHeight="1" x14ac:dyDescent="0.25">
      <c r="A2" s="344" t="s">
        <v>217</v>
      </c>
      <c r="B2" s="345" t="s">
        <v>195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  <c r="N2" s="485" t="s">
        <v>259</v>
      </c>
      <c r="O2" s="348"/>
      <c r="P2" s="487" t="s">
        <v>196</v>
      </c>
      <c r="Q2" s="485" t="s">
        <v>197</v>
      </c>
    </row>
    <row r="3" spans="1:17" s="349" customFormat="1" ht="27.75" customHeight="1" x14ac:dyDescent="0.2">
      <c r="A3" s="350"/>
      <c r="B3" s="351" t="s">
        <v>0</v>
      </c>
      <c r="C3" s="352" t="s">
        <v>1</v>
      </c>
      <c r="D3" s="352" t="s">
        <v>2</v>
      </c>
      <c r="E3" s="352" t="s">
        <v>3</v>
      </c>
      <c r="F3" s="352" t="s">
        <v>4</v>
      </c>
      <c r="G3" s="352" t="s">
        <v>5</v>
      </c>
      <c r="H3" s="352" t="s">
        <v>6</v>
      </c>
      <c r="I3" s="352" t="s">
        <v>7</v>
      </c>
      <c r="J3" s="352" t="s">
        <v>8</v>
      </c>
      <c r="K3" s="352" t="s">
        <v>9</v>
      </c>
      <c r="L3" s="352" t="s">
        <v>10</v>
      </c>
      <c r="M3" s="353" t="s">
        <v>11</v>
      </c>
      <c r="N3" s="486"/>
      <c r="O3" s="354" t="s">
        <v>198</v>
      </c>
      <c r="P3" s="488"/>
      <c r="Q3" s="486"/>
    </row>
    <row r="4" spans="1:17" s="342" customFormat="1" ht="15.75" x14ac:dyDescent="0.25">
      <c r="A4" s="355" t="s">
        <v>199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7"/>
      <c r="O4" s="357"/>
      <c r="P4" s="357"/>
      <c r="Q4" s="357"/>
    </row>
    <row r="5" spans="1:17" s="349" customFormat="1" ht="15" x14ac:dyDescent="0.2">
      <c r="A5" s="358" t="s">
        <v>246</v>
      </c>
      <c r="B5" s="359">
        <v>0</v>
      </c>
      <c r="C5" s="359">
        <v>0</v>
      </c>
      <c r="D5" s="359">
        <v>0</v>
      </c>
      <c r="E5" s="359">
        <v>0</v>
      </c>
      <c r="F5" s="359">
        <v>0</v>
      </c>
      <c r="G5" s="359">
        <v>0</v>
      </c>
      <c r="H5" s="359">
        <v>0</v>
      </c>
      <c r="I5" s="359">
        <v>0</v>
      </c>
      <c r="J5" s="359">
        <v>0</v>
      </c>
      <c r="K5" s="359">
        <v>0</v>
      </c>
      <c r="L5" s="359">
        <v>0</v>
      </c>
      <c r="M5" s="359">
        <v>0</v>
      </c>
      <c r="N5" s="359">
        <f>SUM(B5:M5)</f>
        <v>0</v>
      </c>
      <c r="O5" s="359" t="e">
        <f>#REF!+N5</f>
        <v>#REF!</v>
      </c>
      <c r="P5" s="359">
        <f>N5+848094+94603</f>
        <v>942697</v>
      </c>
      <c r="Q5" s="359"/>
    </row>
    <row r="6" spans="1:17" s="349" customFormat="1" ht="15" x14ac:dyDescent="0.2">
      <c r="A6" s="358" t="s">
        <v>292</v>
      </c>
      <c r="B6" s="359">
        <v>0</v>
      </c>
      <c r="C6" s="359">
        <v>0</v>
      </c>
      <c r="D6" s="359">
        <v>1439988</v>
      </c>
      <c r="E6" s="359">
        <v>0</v>
      </c>
      <c r="F6" s="359">
        <v>0</v>
      </c>
      <c r="G6" s="359">
        <v>0</v>
      </c>
      <c r="H6" s="359">
        <v>1431000</v>
      </c>
      <c r="I6" s="359">
        <v>0</v>
      </c>
      <c r="J6" s="359">
        <v>0</v>
      </c>
      <c r="K6" s="359">
        <v>0</v>
      </c>
      <c r="L6" s="359">
        <v>9000</v>
      </c>
      <c r="M6" s="359">
        <f>1440000-1440000</f>
        <v>0</v>
      </c>
      <c r="N6" s="359">
        <f>SUM(B6:M6)</f>
        <v>2879988</v>
      </c>
      <c r="O6" s="359"/>
      <c r="P6" s="359">
        <f>N6</f>
        <v>2879988</v>
      </c>
      <c r="Q6" s="359"/>
    </row>
    <row r="7" spans="1:17" s="349" customFormat="1" ht="15.75" x14ac:dyDescent="0.25">
      <c r="A7" s="360" t="s">
        <v>200</v>
      </c>
      <c r="B7" s="361">
        <f t="shared" ref="B7:D7" si="0">SUM(B5:B6)</f>
        <v>0</v>
      </c>
      <c r="C7" s="361">
        <f t="shared" si="0"/>
        <v>0</v>
      </c>
      <c r="D7" s="361">
        <f t="shared" si="0"/>
        <v>1439988</v>
      </c>
      <c r="E7" s="361">
        <f>SUM(E5:E6)</f>
        <v>0</v>
      </c>
      <c r="F7" s="361">
        <f t="shared" ref="F7:P7" si="1">SUM(F5:F6)</f>
        <v>0</v>
      </c>
      <c r="G7" s="361">
        <f t="shared" si="1"/>
        <v>0</v>
      </c>
      <c r="H7" s="361">
        <f t="shared" si="1"/>
        <v>1431000</v>
      </c>
      <c r="I7" s="361">
        <f t="shared" si="1"/>
        <v>0</v>
      </c>
      <c r="J7" s="361">
        <f t="shared" si="1"/>
        <v>0</v>
      </c>
      <c r="K7" s="361">
        <f t="shared" si="1"/>
        <v>0</v>
      </c>
      <c r="L7" s="361">
        <f t="shared" si="1"/>
        <v>9000</v>
      </c>
      <c r="M7" s="361">
        <f t="shared" si="1"/>
        <v>0</v>
      </c>
      <c r="N7" s="361">
        <f t="shared" si="1"/>
        <v>2879988</v>
      </c>
      <c r="O7" s="361" t="e">
        <f t="shared" si="1"/>
        <v>#REF!</v>
      </c>
      <c r="P7" s="361">
        <f t="shared" si="1"/>
        <v>3822685</v>
      </c>
      <c r="Q7" s="361"/>
    </row>
    <row r="8" spans="1:17" s="349" customFormat="1" x14ac:dyDescent="0.2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42"/>
      <c r="M8" s="362"/>
      <c r="N8" s="359"/>
      <c r="O8" s="359"/>
      <c r="P8" s="359"/>
      <c r="Q8" s="359"/>
    </row>
    <row r="9" spans="1:17" s="349" customFormat="1" ht="15.75" x14ac:dyDescent="0.25">
      <c r="A9" s="363" t="s">
        <v>201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42"/>
      <c r="M9" s="362"/>
      <c r="N9" s="359"/>
      <c r="O9" s="359"/>
      <c r="P9" s="359"/>
      <c r="Q9" s="359"/>
    </row>
    <row r="10" spans="1:17" s="349" customFormat="1" x14ac:dyDescent="0.2">
      <c r="A10" s="364" t="s">
        <v>202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366"/>
      <c r="P10" s="366"/>
      <c r="Q10" s="359"/>
    </row>
    <row r="11" spans="1:17" s="349" customFormat="1" x14ac:dyDescent="0.2">
      <c r="A11" s="367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59"/>
      <c r="O11" s="359"/>
      <c r="P11" s="359"/>
      <c r="Q11" s="359"/>
    </row>
    <row r="12" spans="1:17" s="349" customFormat="1" ht="15" x14ac:dyDescent="0.2">
      <c r="A12" s="368" t="s">
        <v>218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70"/>
      <c r="M12" s="369"/>
      <c r="N12" s="371"/>
      <c r="O12" s="371"/>
      <c r="P12" s="371"/>
      <c r="Q12" s="371"/>
    </row>
    <row r="13" spans="1:17" s="349" customFormat="1" x14ac:dyDescent="0.2">
      <c r="A13" s="372" t="s">
        <v>203</v>
      </c>
      <c r="B13" s="359">
        <v>0</v>
      </c>
      <c r="C13" s="359">
        <v>0</v>
      </c>
      <c r="D13" s="359">
        <v>0</v>
      </c>
      <c r="E13" s="359">
        <v>0</v>
      </c>
      <c r="F13" s="359">
        <v>0</v>
      </c>
      <c r="G13" s="359">
        <v>0</v>
      </c>
      <c r="H13" s="359">
        <v>0</v>
      </c>
      <c r="I13" s="359">
        <v>0</v>
      </c>
      <c r="J13" s="359">
        <v>0</v>
      </c>
      <c r="K13" s="359">
        <v>0</v>
      </c>
      <c r="L13" s="359">
        <v>0</v>
      </c>
      <c r="M13" s="359">
        <v>0</v>
      </c>
      <c r="N13" s="359">
        <f t="shared" ref="N13:N30" si="2">SUM(B13:M13)</f>
        <v>0</v>
      </c>
      <c r="O13" s="359"/>
      <c r="P13" s="359">
        <f>N13+437+82</f>
        <v>519</v>
      </c>
      <c r="Q13" s="359"/>
    </row>
    <row r="14" spans="1:17" s="349" customFormat="1" x14ac:dyDescent="0.2">
      <c r="A14" s="372" t="s">
        <v>232</v>
      </c>
      <c r="B14" s="359">
        <v>183</v>
      </c>
      <c r="C14" s="359">
        <v>568</v>
      </c>
      <c r="D14" s="359">
        <v>498</v>
      </c>
      <c r="E14" s="359">
        <v>767</v>
      </c>
      <c r="F14" s="359">
        <v>627.29999999999995</v>
      </c>
      <c r="G14" s="359">
        <v>477</v>
      </c>
      <c r="H14" s="359">
        <v>557</v>
      </c>
      <c r="I14" s="359">
        <v>648</v>
      </c>
      <c r="J14" s="359">
        <v>769</v>
      </c>
      <c r="K14" s="359">
        <v>681</v>
      </c>
      <c r="L14" s="359">
        <v>842</v>
      </c>
      <c r="M14" s="359">
        <v>783</v>
      </c>
      <c r="N14" s="359">
        <f t="shared" si="2"/>
        <v>7400.3</v>
      </c>
      <c r="O14" s="359"/>
      <c r="P14" s="359">
        <f>N14+1803+5932</f>
        <v>15135.3</v>
      </c>
      <c r="Q14" s="359"/>
    </row>
    <row r="15" spans="1:17" s="349" customFormat="1" x14ac:dyDescent="0.2">
      <c r="A15" s="372" t="s">
        <v>219</v>
      </c>
      <c r="B15" s="359">
        <v>458</v>
      </c>
      <c r="C15" s="359">
        <v>8808</v>
      </c>
      <c r="D15" s="359">
        <v>14355</v>
      </c>
      <c r="E15" s="359">
        <v>9098</v>
      </c>
      <c r="F15" s="359">
        <v>3033.36</v>
      </c>
      <c r="G15" s="359">
        <v>8647</v>
      </c>
      <c r="H15" s="359">
        <v>24041</v>
      </c>
      <c r="I15" s="359">
        <v>22901</v>
      </c>
      <c r="J15" s="359">
        <v>43578</v>
      </c>
      <c r="K15" s="359">
        <v>53106</v>
      </c>
      <c r="L15" s="359">
        <v>28929</v>
      </c>
      <c r="M15" s="359">
        <f>144949+1</f>
        <v>144950</v>
      </c>
      <c r="N15" s="359">
        <f t="shared" si="2"/>
        <v>361904.36</v>
      </c>
      <c r="O15" s="359"/>
      <c r="P15" s="359">
        <f>N15+14705</f>
        <v>376609.36</v>
      </c>
      <c r="Q15" s="359"/>
    </row>
    <row r="16" spans="1:17" s="349" customFormat="1" x14ac:dyDescent="0.2">
      <c r="A16" s="372" t="s">
        <v>67</v>
      </c>
      <c r="B16" s="359">
        <v>0</v>
      </c>
      <c r="C16" s="359">
        <v>0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>
        <f t="shared" si="2"/>
        <v>0</v>
      </c>
      <c r="O16" s="359"/>
      <c r="P16" s="359">
        <f>N16+408</f>
        <v>408</v>
      </c>
      <c r="Q16" s="359"/>
    </row>
    <row r="17" spans="1:122 16371:16371" s="349" customFormat="1" x14ac:dyDescent="0.2">
      <c r="A17" s="372" t="s">
        <v>255</v>
      </c>
      <c r="B17" s="359">
        <v>178</v>
      </c>
      <c r="C17" s="359">
        <v>221</v>
      </c>
      <c r="D17" s="359">
        <v>235</v>
      </c>
      <c r="E17" s="359">
        <v>496</v>
      </c>
      <c r="F17" s="359">
        <v>158.30000000000001</v>
      </c>
      <c r="G17" s="359">
        <v>784</v>
      </c>
      <c r="H17" s="359">
        <v>14</v>
      </c>
      <c r="I17" s="359">
        <v>179</v>
      </c>
      <c r="J17" s="359">
        <v>-100</v>
      </c>
      <c r="K17" s="359">
        <v>544</v>
      </c>
      <c r="L17" s="359">
        <v>97</v>
      </c>
      <c r="M17" s="359">
        <v>216</v>
      </c>
      <c r="N17" s="359">
        <f t="shared" si="2"/>
        <v>3022.3</v>
      </c>
      <c r="O17" s="359"/>
      <c r="P17" s="359">
        <f>N17+7383</f>
        <v>10405.299999999999</v>
      </c>
      <c r="Q17" s="359"/>
    </row>
    <row r="18" spans="1:122 16371:16371" s="349" customFormat="1" x14ac:dyDescent="0.2">
      <c r="A18" s="372" t="s">
        <v>256</v>
      </c>
      <c r="B18" s="359">
        <v>36</v>
      </c>
      <c r="C18" s="359">
        <v>66</v>
      </c>
      <c r="D18" s="359">
        <v>77</v>
      </c>
      <c r="E18" s="359">
        <v>66</v>
      </c>
      <c r="F18" s="359">
        <v>70.69</v>
      </c>
      <c r="G18" s="359">
        <v>72</v>
      </c>
      <c r="H18" s="359">
        <v>51</v>
      </c>
      <c r="I18" s="359">
        <v>82</v>
      </c>
      <c r="J18" s="359">
        <v>-18</v>
      </c>
      <c r="K18" s="359">
        <v>-119</v>
      </c>
      <c r="L18" s="359">
        <v>0</v>
      </c>
      <c r="M18" s="359">
        <v>0</v>
      </c>
      <c r="N18" s="359">
        <f t="shared" si="2"/>
        <v>383.69000000000005</v>
      </c>
      <c r="O18" s="359"/>
      <c r="P18" s="359">
        <f>N18+1180</f>
        <v>1563.69</v>
      </c>
      <c r="Q18" s="359"/>
    </row>
    <row r="19" spans="1:122 16371:16371" s="349" customFormat="1" x14ac:dyDescent="0.2">
      <c r="A19" s="372" t="s">
        <v>257</v>
      </c>
      <c r="B19" s="359">
        <v>36</v>
      </c>
      <c r="C19" s="359">
        <v>66</v>
      </c>
      <c r="D19" s="359">
        <v>77</v>
      </c>
      <c r="E19" s="359">
        <v>66</v>
      </c>
      <c r="F19" s="359">
        <v>70.69</v>
      </c>
      <c r="G19" s="359">
        <v>72</v>
      </c>
      <c r="H19" s="359">
        <v>51</v>
      </c>
      <c r="I19" s="359">
        <v>82</v>
      </c>
      <c r="J19" s="359">
        <v>60</v>
      </c>
      <c r="K19" s="359">
        <v>84</v>
      </c>
      <c r="L19" s="359">
        <v>69</v>
      </c>
      <c r="M19" s="359">
        <v>72</v>
      </c>
      <c r="N19" s="359">
        <f t="shared" si="2"/>
        <v>805.69</v>
      </c>
      <c r="O19" s="359"/>
      <c r="P19" s="359">
        <f>N19+982</f>
        <v>1787.69</v>
      </c>
      <c r="Q19" s="359"/>
    </row>
    <row r="20" spans="1:122 16371:16371" s="349" customFormat="1" x14ac:dyDescent="0.2">
      <c r="A20" s="373" t="s">
        <v>220</v>
      </c>
      <c r="B20" s="359">
        <v>0</v>
      </c>
      <c r="C20" s="359">
        <v>0</v>
      </c>
      <c r="D20" s="359">
        <v>10184</v>
      </c>
      <c r="E20" s="359">
        <v>58543</v>
      </c>
      <c r="F20" s="359">
        <v>77388</v>
      </c>
      <c r="G20" s="359">
        <v>13858</v>
      </c>
      <c r="H20" s="359">
        <v>35585</v>
      </c>
      <c r="I20" s="359">
        <v>18840</v>
      </c>
      <c r="J20" s="359">
        <v>7458</v>
      </c>
      <c r="K20" s="359">
        <v>64711</v>
      </c>
      <c r="L20" s="359">
        <f>120215+1</f>
        <v>120216</v>
      </c>
      <c r="M20" s="359">
        <v>112348</v>
      </c>
      <c r="N20" s="359">
        <f t="shared" si="2"/>
        <v>519131</v>
      </c>
      <c r="O20" s="359"/>
      <c r="P20" s="359">
        <f>N20+496277+61236</f>
        <v>1076644</v>
      </c>
      <c r="Q20" s="359"/>
    </row>
    <row r="21" spans="1:122 16371:16371" s="349" customFormat="1" x14ac:dyDescent="0.2">
      <c r="A21" s="373" t="s">
        <v>221</v>
      </c>
      <c r="B21" s="359">
        <v>0</v>
      </c>
      <c r="C21" s="359">
        <v>0</v>
      </c>
      <c r="D21" s="359">
        <v>0</v>
      </c>
      <c r="E21" s="359">
        <v>0</v>
      </c>
      <c r="F21" s="359">
        <v>0</v>
      </c>
      <c r="G21" s="359">
        <v>0</v>
      </c>
      <c r="H21" s="359">
        <v>0</v>
      </c>
      <c r="I21" s="359">
        <v>0</v>
      </c>
      <c r="J21" s="359">
        <v>0</v>
      </c>
      <c r="K21" s="359">
        <v>0</v>
      </c>
      <c r="L21" s="359">
        <v>0</v>
      </c>
      <c r="M21" s="359">
        <v>0</v>
      </c>
      <c r="N21" s="359">
        <f t="shared" si="2"/>
        <v>0</v>
      </c>
      <c r="O21" s="359"/>
      <c r="P21" s="359">
        <f>N21+289260+323913</f>
        <v>613173</v>
      </c>
      <c r="Q21" s="359"/>
    </row>
    <row r="22" spans="1:122 16371:16371" s="349" customFormat="1" x14ac:dyDescent="0.2">
      <c r="A22" s="373" t="s">
        <v>251</v>
      </c>
      <c r="B22" s="359">
        <v>24649</v>
      </c>
      <c r="C22" s="359">
        <f>29962-1</f>
        <v>29961</v>
      </c>
      <c r="D22" s="359">
        <v>51514</v>
      </c>
      <c r="E22" s="359">
        <f>102489+1</f>
        <v>102490</v>
      </c>
      <c r="F22" s="359">
        <f>108273+1</f>
        <v>108274</v>
      </c>
      <c r="G22" s="359">
        <v>107188</v>
      </c>
      <c r="H22" s="359">
        <v>101855</v>
      </c>
      <c r="I22" s="359">
        <v>52048</v>
      </c>
      <c r="J22" s="359">
        <f>69484+1</f>
        <v>69485</v>
      </c>
      <c r="K22" s="359">
        <v>69911</v>
      </c>
      <c r="L22" s="359">
        <v>49318</v>
      </c>
      <c r="M22" s="359">
        <v>116778</v>
      </c>
      <c r="N22" s="359">
        <f t="shared" ref="N22" si="3">SUM(B22:M22)</f>
        <v>883471</v>
      </c>
      <c r="O22" s="359"/>
      <c r="P22" s="359">
        <f>N22+506076</f>
        <v>1389547</v>
      </c>
      <c r="Q22" s="359"/>
    </row>
    <row r="23" spans="1:122 16371:16371" s="342" customFormat="1" x14ac:dyDescent="0.2">
      <c r="A23" s="374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59"/>
      <c r="O23" s="375"/>
      <c r="P23" s="375"/>
      <c r="Q23" s="375"/>
    </row>
    <row r="24" spans="1:122 16371:16371" s="349" customFormat="1" ht="15" x14ac:dyDescent="0.2">
      <c r="A24" s="376" t="s">
        <v>222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</row>
    <row r="25" spans="1:122 16371:16371" s="349" customFormat="1" x14ac:dyDescent="0.2">
      <c r="A25" s="377" t="s">
        <v>223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</row>
    <row r="26" spans="1:122 16371:16371" s="349" customFormat="1" x14ac:dyDescent="0.2">
      <c r="A26" s="358" t="s">
        <v>204</v>
      </c>
      <c r="B26" s="359">
        <v>0</v>
      </c>
      <c r="C26" s="359">
        <v>0</v>
      </c>
      <c r="D26" s="359">
        <v>0</v>
      </c>
      <c r="E26" s="359">
        <v>0</v>
      </c>
      <c r="F26" s="359">
        <v>0</v>
      </c>
      <c r="G26" s="359">
        <v>0</v>
      </c>
      <c r="H26" s="359">
        <v>0</v>
      </c>
      <c r="I26" s="359">
        <v>0</v>
      </c>
      <c r="J26" s="359">
        <v>0</v>
      </c>
      <c r="K26" s="359">
        <v>0</v>
      </c>
      <c r="L26" s="359">
        <v>0</v>
      </c>
      <c r="M26" s="359">
        <v>0</v>
      </c>
      <c r="N26" s="359">
        <f t="shared" si="2"/>
        <v>0</v>
      </c>
      <c r="O26" s="359"/>
      <c r="P26" s="359">
        <f>N26+132</f>
        <v>132</v>
      </c>
      <c r="Q26" s="359"/>
    </row>
    <row r="27" spans="1:122 16371:16371" s="349" customFormat="1" x14ac:dyDescent="0.2">
      <c r="A27" s="358" t="s">
        <v>205</v>
      </c>
      <c r="B27" s="359">
        <v>0</v>
      </c>
      <c r="C27" s="359">
        <v>0</v>
      </c>
      <c r="D27" s="359">
        <v>0</v>
      </c>
      <c r="E27" s="359">
        <v>0</v>
      </c>
      <c r="F27" s="359">
        <v>0</v>
      </c>
      <c r="G27" s="359">
        <v>0</v>
      </c>
      <c r="H27" s="359">
        <f>108192+1</f>
        <v>108193</v>
      </c>
      <c r="I27" s="359">
        <v>79876</v>
      </c>
      <c r="J27" s="359">
        <v>23800</v>
      </c>
      <c r="K27" s="359">
        <v>29339</v>
      </c>
      <c r="L27" s="359">
        <v>45570</v>
      </c>
      <c r="M27" s="359">
        <v>5235</v>
      </c>
      <c r="N27" s="359">
        <f t="shared" si="2"/>
        <v>292013</v>
      </c>
      <c r="O27" s="359"/>
      <c r="P27" s="359">
        <f>N27+177658+349</f>
        <v>470020</v>
      </c>
      <c r="Q27" s="359"/>
    </row>
    <row r="28" spans="1:122 16371:16371" s="349" customFormat="1" x14ac:dyDescent="0.2">
      <c r="A28" s="358" t="s">
        <v>208</v>
      </c>
      <c r="B28" s="359">
        <v>458</v>
      </c>
      <c r="C28" s="359">
        <v>1420</v>
      </c>
      <c r="D28" s="359">
        <v>1244</v>
      </c>
      <c r="E28" s="359">
        <v>1918</v>
      </c>
      <c r="F28" s="359">
        <v>1594.53</v>
      </c>
      <c r="G28" s="359">
        <v>1184</v>
      </c>
      <c r="H28" s="359">
        <v>1393</v>
      </c>
      <c r="I28" s="359">
        <v>1620</v>
      </c>
      <c r="J28" s="359">
        <v>1681</v>
      </c>
      <c r="K28" s="359">
        <v>1509</v>
      </c>
      <c r="L28" s="359">
        <v>1895</v>
      </c>
      <c r="M28" s="359">
        <v>1734</v>
      </c>
      <c r="N28" s="359">
        <f t="shared" si="2"/>
        <v>17650.53</v>
      </c>
      <c r="O28" s="359"/>
      <c r="P28" s="359">
        <f>N28+7361+14623</f>
        <v>39634.53</v>
      </c>
      <c r="Q28" s="359"/>
    </row>
    <row r="29" spans="1:122 16371:16371" s="349" customFormat="1" x14ac:dyDescent="0.2">
      <c r="A29" s="358" t="s">
        <v>206</v>
      </c>
      <c r="B29" s="359">
        <v>0</v>
      </c>
      <c r="C29" s="359">
        <v>0</v>
      </c>
      <c r="D29" s="359">
        <v>-13333</v>
      </c>
      <c r="E29" s="359">
        <v>13333</v>
      </c>
      <c r="F29" s="359">
        <v>0</v>
      </c>
      <c r="G29" s="359">
        <v>0</v>
      </c>
      <c r="H29" s="359">
        <v>0</v>
      </c>
      <c r="I29" s="359">
        <v>0</v>
      </c>
      <c r="J29" s="359">
        <v>0</v>
      </c>
      <c r="K29" s="359">
        <v>0</v>
      </c>
      <c r="L29" s="359">
        <v>0</v>
      </c>
      <c r="M29" s="359">
        <v>0</v>
      </c>
      <c r="N29" s="359">
        <f t="shared" si="2"/>
        <v>0</v>
      </c>
      <c r="O29" s="359"/>
      <c r="P29" s="359">
        <f>N29+211808+155308</f>
        <v>367116</v>
      </c>
      <c r="Q29" s="359"/>
    </row>
    <row r="30" spans="1:122 16371:16371" s="349" customFormat="1" x14ac:dyDescent="0.2">
      <c r="A30" s="358" t="s">
        <v>207</v>
      </c>
      <c r="B30" s="359">
        <v>0</v>
      </c>
      <c r="C30" s="359">
        <v>0</v>
      </c>
      <c r="D30" s="359">
        <v>0</v>
      </c>
      <c r="E30" s="359">
        <v>0</v>
      </c>
      <c r="F30" s="359">
        <v>0</v>
      </c>
      <c r="G30" s="359">
        <v>0</v>
      </c>
      <c r="H30" s="359">
        <v>1512</v>
      </c>
      <c r="I30" s="359">
        <v>0</v>
      </c>
      <c r="J30" s="359">
        <v>0</v>
      </c>
      <c r="K30" s="359">
        <v>0</v>
      </c>
      <c r="L30" s="359">
        <v>0</v>
      </c>
      <c r="M30" s="359">
        <v>0</v>
      </c>
      <c r="N30" s="359">
        <f t="shared" si="2"/>
        <v>1512</v>
      </c>
      <c r="O30" s="359"/>
      <c r="P30" s="359">
        <f>N30+520551+48710</f>
        <v>570773</v>
      </c>
      <c r="Q30" s="359"/>
    </row>
    <row r="31" spans="1:122 16371:16371" s="409" customFormat="1" ht="15.75" x14ac:dyDescent="0.25">
      <c r="A31" s="378" t="s">
        <v>209</v>
      </c>
      <c r="B31" s="379">
        <f t="shared" ref="B31:D31" si="4">SUM(B13:B30)</f>
        <v>25998</v>
      </c>
      <c r="C31" s="379">
        <f t="shared" si="4"/>
        <v>41110</v>
      </c>
      <c r="D31" s="379">
        <f t="shared" si="4"/>
        <v>64851</v>
      </c>
      <c r="E31" s="379">
        <f t="shared" ref="E31:M31" si="5">SUM(E13:E30)</f>
        <v>186777</v>
      </c>
      <c r="F31" s="379">
        <f t="shared" si="5"/>
        <v>191216.87</v>
      </c>
      <c r="G31" s="379">
        <f t="shared" si="5"/>
        <v>132282</v>
      </c>
      <c r="H31" s="379">
        <f t="shared" si="5"/>
        <v>273252</v>
      </c>
      <c r="I31" s="379">
        <f t="shared" si="5"/>
        <v>176276</v>
      </c>
      <c r="J31" s="379">
        <f t="shared" si="5"/>
        <v>146713</v>
      </c>
      <c r="K31" s="379">
        <f>SUM(K13:K30)</f>
        <v>219766</v>
      </c>
      <c r="L31" s="379">
        <f t="shared" si="5"/>
        <v>246936</v>
      </c>
      <c r="M31" s="379">
        <f t="shared" si="5"/>
        <v>382116</v>
      </c>
      <c r="N31" s="379">
        <f>SUM(N13:N30)</f>
        <v>2087293.8699999999</v>
      </c>
      <c r="O31" s="379"/>
      <c r="P31" s="379">
        <f>SUM(P13:P30)</f>
        <v>4933467.8699999992</v>
      </c>
      <c r="Q31" s="379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</row>
    <row r="32" spans="1:122 16371:16371" x14ac:dyDescent="0.2">
      <c r="A32" s="34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XEQ32" s="349"/>
    </row>
    <row r="33" spans="1:17" ht="15.75" x14ac:dyDescent="0.25">
      <c r="A33" s="380" t="s">
        <v>210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59"/>
      <c r="P33" s="371"/>
      <c r="Q33" s="371"/>
    </row>
    <row r="34" spans="1:17" x14ac:dyDescent="0.2">
      <c r="A34" s="372" t="s">
        <v>204</v>
      </c>
      <c r="B34" s="359">
        <v>0</v>
      </c>
      <c r="C34" s="359">
        <v>0</v>
      </c>
      <c r="D34" s="359">
        <v>0</v>
      </c>
      <c r="E34" s="359">
        <v>0</v>
      </c>
      <c r="F34" s="359">
        <v>0</v>
      </c>
      <c r="G34" s="359">
        <v>0</v>
      </c>
      <c r="H34" s="359">
        <v>0</v>
      </c>
      <c r="I34" s="359">
        <v>0</v>
      </c>
      <c r="J34" s="359">
        <v>0</v>
      </c>
      <c r="K34" s="359">
        <v>0</v>
      </c>
      <c r="L34" s="359">
        <v>0</v>
      </c>
      <c r="M34" s="359">
        <v>0</v>
      </c>
      <c r="N34" s="359">
        <f>SUM(B34:M34)</f>
        <v>0</v>
      </c>
      <c r="O34" s="359"/>
      <c r="P34" s="359">
        <f>N34+132</f>
        <v>132</v>
      </c>
      <c r="Q34" s="359"/>
    </row>
    <row r="35" spans="1:17" x14ac:dyDescent="0.2">
      <c r="A35" s="358" t="s">
        <v>205</v>
      </c>
      <c r="B35" s="359">
        <v>5754</v>
      </c>
      <c r="C35" s="359">
        <v>6535</v>
      </c>
      <c r="D35" s="359">
        <v>25720</v>
      </c>
      <c r="E35" s="359">
        <v>17661</v>
      </c>
      <c r="F35" s="359">
        <v>68282</v>
      </c>
      <c r="G35" s="359">
        <v>26300</v>
      </c>
      <c r="H35" s="359">
        <f>148430-1</f>
        <v>148429</v>
      </c>
      <c r="I35" s="359">
        <f>115185-1</f>
        <v>115184</v>
      </c>
      <c r="J35" s="359">
        <v>80146</v>
      </c>
      <c r="K35" s="359">
        <v>103373</v>
      </c>
      <c r="L35" s="359">
        <v>81842</v>
      </c>
      <c r="M35" s="359">
        <v>242594</v>
      </c>
      <c r="N35" s="359">
        <f>SUM(B35:M35)</f>
        <v>921820</v>
      </c>
      <c r="O35" s="359"/>
      <c r="P35" s="359">
        <f>N35+187463+74255</f>
        <v>1183538</v>
      </c>
      <c r="Q35" s="359"/>
    </row>
    <row r="36" spans="1:17" s="349" customFormat="1" x14ac:dyDescent="0.2">
      <c r="A36" s="358" t="s">
        <v>208</v>
      </c>
      <c r="B36" s="359">
        <f>18126-1</f>
        <v>18125</v>
      </c>
      <c r="C36" s="359">
        <v>23884</v>
      </c>
      <c r="D36" s="359">
        <v>25820</v>
      </c>
      <c r="E36" s="359">
        <v>78602</v>
      </c>
      <c r="F36" s="359">
        <v>18240</v>
      </c>
      <c r="G36" s="359">
        <f>47727-1</f>
        <v>47726</v>
      </c>
      <c r="H36" s="359">
        <v>29413</v>
      </c>
      <c r="I36" s="359">
        <v>38558</v>
      </c>
      <c r="J36" s="359">
        <v>40685</v>
      </c>
      <c r="K36" s="359">
        <v>37982</v>
      </c>
      <c r="L36" s="359">
        <v>37665</v>
      </c>
      <c r="M36" s="359">
        <v>36576</v>
      </c>
      <c r="N36" s="359">
        <f>SUM(B36:M36)</f>
        <v>433276</v>
      </c>
      <c r="O36" s="343"/>
      <c r="P36" s="359">
        <f>N36+108990+362870</f>
        <v>905136</v>
      </c>
      <c r="Q36" s="343"/>
    </row>
    <row r="37" spans="1:17" s="349" customFormat="1" x14ac:dyDescent="0.2">
      <c r="A37" s="358" t="s">
        <v>206</v>
      </c>
      <c r="B37" s="359">
        <v>0</v>
      </c>
      <c r="C37" s="359">
        <v>7388</v>
      </c>
      <c r="D37" s="359">
        <v>9961</v>
      </c>
      <c r="E37" s="359">
        <v>33827</v>
      </c>
      <c r="F37" s="359">
        <v>34461</v>
      </c>
      <c r="G37" s="359">
        <v>10466</v>
      </c>
      <c r="H37" s="359">
        <v>85059</v>
      </c>
      <c r="I37" s="359">
        <v>2666</v>
      </c>
      <c r="J37" s="359">
        <v>17874</v>
      </c>
      <c r="K37" s="359">
        <v>70934</v>
      </c>
      <c r="L37" s="359">
        <v>126851</v>
      </c>
      <c r="M37" s="359">
        <v>93698</v>
      </c>
      <c r="N37" s="359">
        <f t="shared" ref="N37:N38" si="6">SUM(B37:M37)</f>
        <v>493185</v>
      </c>
      <c r="O37" s="343"/>
      <c r="P37" s="359">
        <f>N37+541733+515274</f>
        <v>1550192</v>
      </c>
      <c r="Q37" s="343"/>
    </row>
    <row r="38" spans="1:17" s="349" customFormat="1" x14ac:dyDescent="0.2">
      <c r="A38" s="373" t="s">
        <v>207</v>
      </c>
      <c r="B38" s="359">
        <v>2119</v>
      </c>
      <c r="C38" s="359">
        <v>3303</v>
      </c>
      <c r="D38" s="359">
        <v>3350</v>
      </c>
      <c r="E38" s="359">
        <v>56687</v>
      </c>
      <c r="F38" s="359">
        <v>70234</v>
      </c>
      <c r="G38" s="359">
        <v>47790</v>
      </c>
      <c r="H38" s="359">
        <v>10351</v>
      </c>
      <c r="I38" s="359">
        <v>19868</v>
      </c>
      <c r="J38" s="359">
        <v>8008</v>
      </c>
      <c r="K38" s="359">
        <v>7477</v>
      </c>
      <c r="L38" s="359">
        <v>578</v>
      </c>
      <c r="M38" s="359">
        <v>9248</v>
      </c>
      <c r="N38" s="359">
        <f t="shared" si="6"/>
        <v>239013</v>
      </c>
      <c r="O38" s="343"/>
      <c r="P38" s="359">
        <f>N38+866969+188488</f>
        <v>1294470</v>
      </c>
      <c r="Q38" s="343"/>
    </row>
    <row r="39" spans="1:17" s="349" customFormat="1" ht="15.75" x14ac:dyDescent="0.25">
      <c r="A39" s="381" t="s">
        <v>211</v>
      </c>
      <c r="B39" s="383">
        <f t="shared" ref="B39:D39" si="7">SUM(B34:B38)</f>
        <v>25998</v>
      </c>
      <c r="C39" s="383">
        <f t="shared" si="7"/>
        <v>41110</v>
      </c>
      <c r="D39" s="383">
        <f t="shared" si="7"/>
        <v>64851</v>
      </c>
      <c r="E39" s="383">
        <f t="shared" ref="E39:M39" si="8">SUM(E34:E38)</f>
        <v>186777</v>
      </c>
      <c r="F39" s="383">
        <f t="shared" si="8"/>
        <v>191217</v>
      </c>
      <c r="G39" s="383">
        <f t="shared" si="8"/>
        <v>132282</v>
      </c>
      <c r="H39" s="383">
        <f t="shared" si="8"/>
        <v>273252</v>
      </c>
      <c r="I39" s="383">
        <f t="shared" si="8"/>
        <v>176276</v>
      </c>
      <c r="J39" s="383">
        <f t="shared" si="8"/>
        <v>146713</v>
      </c>
      <c r="K39" s="383">
        <f t="shared" si="8"/>
        <v>219766</v>
      </c>
      <c r="L39" s="383">
        <f t="shared" si="8"/>
        <v>246936</v>
      </c>
      <c r="M39" s="383">
        <f t="shared" si="8"/>
        <v>382116</v>
      </c>
      <c r="N39" s="383">
        <f>SUM(N34:N38)</f>
        <v>2087294</v>
      </c>
      <c r="O39" s="382"/>
      <c r="P39" s="383">
        <f>SUM(P34:P38)</f>
        <v>4933468</v>
      </c>
      <c r="Q39" s="382"/>
    </row>
    <row r="40" spans="1:17" x14ac:dyDescent="0.2">
      <c r="A40" s="384"/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6"/>
      <c r="P40" s="385"/>
      <c r="Q40" s="385"/>
    </row>
    <row r="41" spans="1:17" ht="15.75" x14ac:dyDescent="0.25">
      <c r="A41" s="380" t="s">
        <v>212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59"/>
      <c r="P41" s="371"/>
      <c r="Q41" s="371"/>
    </row>
    <row r="42" spans="1:17" s="349" customFormat="1" x14ac:dyDescent="0.2">
      <c r="A42" s="358" t="s">
        <v>260</v>
      </c>
      <c r="B42" s="359">
        <v>36</v>
      </c>
      <c r="C42" s="359">
        <v>66</v>
      </c>
      <c r="D42" s="359">
        <v>77</v>
      </c>
      <c r="E42" s="359">
        <v>66</v>
      </c>
      <c r="F42" s="359">
        <v>71</v>
      </c>
      <c r="G42" s="359">
        <v>72</v>
      </c>
      <c r="H42" s="359">
        <v>51</v>
      </c>
      <c r="I42" s="359">
        <v>82</v>
      </c>
      <c r="J42" s="359">
        <v>60</v>
      </c>
      <c r="K42" s="359">
        <v>84</v>
      </c>
      <c r="L42" s="359">
        <v>69</v>
      </c>
      <c r="M42" s="359">
        <v>72</v>
      </c>
      <c r="N42" s="359">
        <f>SUM(B42:M42)</f>
        <v>806</v>
      </c>
      <c r="O42" s="359"/>
      <c r="P42" s="359">
        <f>N42+982</f>
        <v>1788</v>
      </c>
      <c r="Q42" s="359"/>
    </row>
    <row r="43" spans="1:17" s="349" customFormat="1" x14ac:dyDescent="0.2">
      <c r="A43" s="372" t="s">
        <v>213</v>
      </c>
      <c r="B43" s="359">
        <v>9496</v>
      </c>
      <c r="C43" s="359">
        <v>12029</v>
      </c>
      <c r="D43" s="359">
        <v>26000</v>
      </c>
      <c r="E43" s="359">
        <v>25192</v>
      </c>
      <c r="F43" s="359">
        <v>64203</v>
      </c>
      <c r="G43" s="359">
        <v>45452</v>
      </c>
      <c r="H43" s="359">
        <v>56312</v>
      </c>
      <c r="I43" s="359">
        <v>18606</v>
      </c>
      <c r="J43" s="359">
        <v>28135</v>
      </c>
      <c r="K43" s="359">
        <v>26690</v>
      </c>
      <c r="L43" s="359">
        <v>18479</v>
      </c>
      <c r="M43" s="359">
        <v>87343</v>
      </c>
      <c r="N43" s="359">
        <f>SUM(B43:M43)</f>
        <v>417937</v>
      </c>
      <c r="O43" s="359"/>
      <c r="P43" s="359">
        <f>N43+145592+352056</f>
        <v>915585</v>
      </c>
      <c r="Q43" s="359"/>
    </row>
    <row r="44" spans="1:17" s="349" customFormat="1" ht="14.25" customHeight="1" x14ac:dyDescent="0.2">
      <c r="A44" s="358" t="s">
        <v>214</v>
      </c>
      <c r="B44" s="359">
        <f>9460+1</f>
        <v>9461</v>
      </c>
      <c r="C44" s="359">
        <v>11964</v>
      </c>
      <c r="D44" s="359">
        <f>25923+1</f>
        <v>25924</v>
      </c>
      <c r="E44" s="359">
        <v>25126</v>
      </c>
      <c r="F44" s="359">
        <v>64133</v>
      </c>
      <c r="G44" s="359">
        <v>45380</v>
      </c>
      <c r="H44" s="359">
        <v>56261</v>
      </c>
      <c r="I44" s="359">
        <v>18524</v>
      </c>
      <c r="J44" s="359">
        <v>28154</v>
      </c>
      <c r="K44" s="359">
        <v>26810</v>
      </c>
      <c r="L44" s="359">
        <v>18479</v>
      </c>
      <c r="M44" s="359">
        <v>87343</v>
      </c>
      <c r="N44" s="359">
        <f>SUM(B44:M44)</f>
        <v>417559</v>
      </c>
      <c r="O44" s="359"/>
      <c r="P44" s="359">
        <f>N44+260842+351782</f>
        <v>1030183</v>
      </c>
      <c r="Q44" s="359"/>
    </row>
    <row r="45" spans="1:17" s="349" customFormat="1" x14ac:dyDescent="0.2">
      <c r="A45" s="358" t="s">
        <v>215</v>
      </c>
      <c r="B45" s="359">
        <v>7005</v>
      </c>
      <c r="C45" s="359">
        <v>17051</v>
      </c>
      <c r="D45" s="359">
        <v>12850</v>
      </c>
      <c r="E45" s="359">
        <v>136393</v>
      </c>
      <c r="F45" s="359">
        <v>62810</v>
      </c>
      <c r="G45" s="359">
        <v>41378</v>
      </c>
      <c r="H45" s="359">
        <f>160629-1</f>
        <v>160628</v>
      </c>
      <c r="I45" s="359">
        <v>139064</v>
      </c>
      <c r="J45" s="359">
        <v>90364</v>
      </c>
      <c r="K45" s="359">
        <f>166181+1</f>
        <v>166182</v>
      </c>
      <c r="L45" s="359">
        <v>209909</v>
      </c>
      <c r="M45" s="359">
        <f>207359-1</f>
        <v>207358</v>
      </c>
      <c r="N45" s="359">
        <f>SUM(B45:M45)</f>
        <v>1250992</v>
      </c>
      <c r="O45" s="343"/>
      <c r="P45" s="359">
        <f>N45+1298853+436067</f>
        <v>2985912</v>
      </c>
      <c r="Q45" s="343"/>
    </row>
    <row r="46" spans="1:17" s="349" customFormat="1" ht="15.75" x14ac:dyDescent="0.25">
      <c r="A46" s="381" t="s">
        <v>216</v>
      </c>
      <c r="B46" s="383">
        <f t="shared" ref="B46:D46" si="9">SUM(B42:B45)</f>
        <v>25998</v>
      </c>
      <c r="C46" s="383">
        <f t="shared" si="9"/>
        <v>41110</v>
      </c>
      <c r="D46" s="383">
        <f t="shared" si="9"/>
        <v>64851</v>
      </c>
      <c r="E46" s="383">
        <f t="shared" ref="E46:M46" si="10">SUM(E42:E45)</f>
        <v>186777</v>
      </c>
      <c r="F46" s="383">
        <f t="shared" si="10"/>
        <v>191217</v>
      </c>
      <c r="G46" s="383">
        <f t="shared" si="10"/>
        <v>132282</v>
      </c>
      <c r="H46" s="383">
        <f t="shared" si="10"/>
        <v>273252</v>
      </c>
      <c r="I46" s="383">
        <f t="shared" si="10"/>
        <v>176276</v>
      </c>
      <c r="J46" s="383">
        <f t="shared" si="10"/>
        <v>146713</v>
      </c>
      <c r="K46" s="383">
        <f t="shared" si="10"/>
        <v>219766</v>
      </c>
      <c r="L46" s="383">
        <f t="shared" si="10"/>
        <v>246936</v>
      </c>
      <c r="M46" s="383">
        <f t="shared" si="10"/>
        <v>382116</v>
      </c>
      <c r="N46" s="383">
        <f>SUM(N42:N45)</f>
        <v>2087294</v>
      </c>
      <c r="O46" s="383">
        <f>SUM(O42:O45)</f>
        <v>0</v>
      </c>
      <c r="P46" s="383">
        <f>SUM(P42:P45)</f>
        <v>4933468</v>
      </c>
      <c r="Q46" s="382"/>
    </row>
    <row r="47" spans="1:17" s="349" customFormat="1" x14ac:dyDescent="0.2"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</row>
    <row r="48" spans="1:17" s="349" customFormat="1" x14ac:dyDescent="0.2"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</row>
    <row r="49" spans="1:17" x14ac:dyDescent="0.2">
      <c r="A49" s="387" t="s">
        <v>25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</row>
    <row r="50" spans="1:17" ht="30" customHeight="1" x14ac:dyDescent="0.2">
      <c r="A50" s="484" t="s">
        <v>224</v>
      </c>
      <c r="B50" s="484"/>
      <c r="C50" s="484"/>
      <c r="D50" s="484"/>
      <c r="N50" s="359"/>
      <c r="O50" s="359"/>
      <c r="P50" s="359"/>
      <c r="Q50" s="359"/>
    </row>
    <row r="51" spans="1:17" s="342" customFormat="1" ht="14.25" x14ac:dyDescent="0.2">
      <c r="A51" s="483" t="s">
        <v>225</v>
      </c>
      <c r="B51" s="484"/>
      <c r="C51" s="484"/>
      <c r="D51" s="484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</row>
    <row r="52" spans="1:17" ht="14.25" x14ac:dyDescent="0.2">
      <c r="A52" s="483" t="s">
        <v>226</v>
      </c>
      <c r="B52" s="484"/>
      <c r="C52" s="484"/>
      <c r="D52" s="484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</row>
    <row r="53" spans="1:17" ht="14.25" x14ac:dyDescent="0.2">
      <c r="A53" s="483" t="s">
        <v>227</v>
      </c>
      <c r="B53" s="484"/>
      <c r="C53" s="484"/>
      <c r="D53" s="484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</row>
    <row r="54" spans="1:17" ht="14.25" x14ac:dyDescent="0.2">
      <c r="A54" s="483" t="s">
        <v>247</v>
      </c>
      <c r="B54" s="484"/>
      <c r="C54" s="484"/>
      <c r="D54" s="484"/>
      <c r="E54" s="388"/>
      <c r="F54" s="388"/>
      <c r="G54" s="388"/>
      <c r="H54" s="388"/>
      <c r="I54" s="388"/>
      <c r="J54" s="388"/>
      <c r="K54" s="388"/>
      <c r="L54" s="388"/>
      <c r="M54" s="388"/>
      <c r="N54" s="388"/>
    </row>
    <row r="55" spans="1:17" ht="15" x14ac:dyDescent="0.2">
      <c r="A55" s="466" t="s">
        <v>293</v>
      </c>
      <c r="B55" s="389"/>
      <c r="C55" s="389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</row>
    <row r="56" spans="1:17" x14ac:dyDescent="0.2">
      <c r="A56" s="342"/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</row>
    <row r="57" spans="1:17" x14ac:dyDescent="0.2">
      <c r="A57" s="342"/>
      <c r="B57" s="342"/>
      <c r="C57" s="342"/>
      <c r="D57" s="390"/>
      <c r="E57" s="393"/>
      <c r="F57" s="359"/>
      <c r="G57" s="342"/>
      <c r="H57" s="342"/>
      <c r="I57" s="342"/>
      <c r="J57" s="342"/>
      <c r="K57" s="342"/>
      <c r="M57" s="342"/>
    </row>
    <row r="58" spans="1:17" x14ac:dyDescent="0.2">
      <c r="A58" s="342"/>
      <c r="B58" s="342"/>
      <c r="C58" s="342"/>
      <c r="D58" s="390"/>
      <c r="E58" s="393"/>
      <c r="F58" s="359"/>
      <c r="G58" s="342"/>
      <c r="H58" s="342"/>
      <c r="I58" s="342"/>
      <c r="J58" s="342"/>
      <c r="K58" s="342"/>
      <c r="M58" s="342"/>
    </row>
    <row r="59" spans="1:17" x14ac:dyDescent="0.2">
      <c r="A59" s="342"/>
      <c r="B59" s="342"/>
      <c r="C59" s="342"/>
      <c r="D59" s="342"/>
      <c r="E59" s="393"/>
      <c r="F59" s="342"/>
      <c r="G59" s="342"/>
      <c r="H59" s="342"/>
      <c r="I59" s="342"/>
      <c r="J59" s="342"/>
      <c r="K59" s="342"/>
      <c r="M59" s="342"/>
    </row>
    <row r="60" spans="1:17" x14ac:dyDescent="0.2">
      <c r="B60" s="342"/>
      <c r="C60" s="342"/>
      <c r="D60" s="359"/>
      <c r="E60" s="393"/>
      <c r="F60" s="359"/>
      <c r="G60" s="342"/>
      <c r="H60" s="342"/>
      <c r="I60" s="342"/>
      <c r="J60" s="342"/>
      <c r="K60" s="342"/>
      <c r="M60" s="342"/>
    </row>
    <row r="61" spans="1:17" x14ac:dyDescent="0.2">
      <c r="B61" s="342"/>
      <c r="C61" s="342"/>
      <c r="D61" s="359"/>
      <c r="E61" s="393"/>
      <c r="F61" s="359"/>
      <c r="G61" s="342"/>
      <c r="H61" s="342"/>
      <c r="I61" s="342"/>
      <c r="J61" s="342"/>
      <c r="K61" s="342"/>
      <c r="M61" s="342"/>
    </row>
    <row r="62" spans="1:17" x14ac:dyDescent="0.2">
      <c r="D62" s="391"/>
      <c r="E62" s="394"/>
      <c r="F62" s="391"/>
    </row>
    <row r="63" spans="1:17" x14ac:dyDescent="0.2">
      <c r="D63" s="391"/>
      <c r="E63" s="394"/>
      <c r="F63" s="391"/>
    </row>
    <row r="64" spans="1:17" x14ac:dyDescent="0.2">
      <c r="D64" s="391"/>
      <c r="E64" s="394"/>
      <c r="F64" s="391"/>
    </row>
    <row r="65" spans="5:6" x14ac:dyDescent="0.2">
      <c r="E65" s="392"/>
      <c r="F65" s="391"/>
    </row>
  </sheetData>
  <mergeCells count="8">
    <mergeCell ref="A53:D53"/>
    <mergeCell ref="A54:D54"/>
    <mergeCell ref="N2:N3"/>
    <mergeCell ref="P2:P3"/>
    <mergeCell ref="Q2:Q3"/>
    <mergeCell ref="A50:D50"/>
    <mergeCell ref="A51:D51"/>
    <mergeCell ref="A52:D52"/>
  </mergeCells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1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29.28515625" style="7" customWidth="1"/>
    <col min="2" max="2" width="15" style="7" customWidth="1"/>
    <col min="3" max="3" width="58.42578125" style="7" customWidth="1"/>
    <col min="4" max="4" width="10.85546875" style="7" customWidth="1"/>
    <col min="5" max="5" width="78.140625" style="7" customWidth="1"/>
    <col min="6" max="16384" width="9.140625" style="7"/>
  </cols>
  <sheetData>
    <row r="1" spans="1:5" x14ac:dyDescent="0.2">
      <c r="A1" s="9" t="s">
        <v>50</v>
      </c>
      <c r="B1" s="8"/>
      <c r="C1" s="8"/>
    </row>
    <row r="3" spans="1:5" s="9" customFormat="1" x14ac:dyDescent="0.2">
      <c r="A3" s="9" t="s">
        <v>51</v>
      </c>
      <c r="B3" s="9" t="s">
        <v>52</v>
      </c>
    </row>
    <row r="4" spans="1:5" s="9" customFormat="1" x14ac:dyDescent="0.2">
      <c r="B4" s="9" t="s">
        <v>53</v>
      </c>
    </row>
    <row r="7" spans="1:5" s="10" customFormat="1" x14ac:dyDescent="0.2">
      <c r="A7" s="11" t="s">
        <v>57</v>
      </c>
      <c r="B7" s="11" t="s">
        <v>54</v>
      </c>
      <c r="C7" s="11" t="s">
        <v>56</v>
      </c>
      <c r="D7" s="11" t="s">
        <v>19</v>
      </c>
      <c r="E7" s="11" t="s">
        <v>55</v>
      </c>
    </row>
    <row r="8" spans="1:5" s="10" customFormat="1" x14ac:dyDescent="0.2">
      <c r="A8" s="341" t="s">
        <v>190</v>
      </c>
      <c r="B8" s="13">
        <v>-6400000</v>
      </c>
      <c r="C8" s="12" t="s">
        <v>31</v>
      </c>
      <c r="D8" s="14">
        <v>41053</v>
      </c>
      <c r="E8" s="12" t="s">
        <v>192</v>
      </c>
    </row>
    <row r="9" spans="1:5" s="10" customFormat="1" x14ac:dyDescent="0.2">
      <c r="A9" s="11"/>
      <c r="B9" s="13">
        <v>6400000</v>
      </c>
      <c r="C9" s="12" t="s">
        <v>191</v>
      </c>
      <c r="D9" s="14">
        <v>41053</v>
      </c>
      <c r="E9" s="12" t="s">
        <v>192</v>
      </c>
    </row>
    <row r="10" spans="1:5" x14ac:dyDescent="0.2">
      <c r="A10" s="12" t="s">
        <v>187</v>
      </c>
      <c r="B10" s="13">
        <v>-1800000</v>
      </c>
      <c r="C10" s="12" t="s">
        <v>96</v>
      </c>
      <c r="D10" s="14">
        <v>41104</v>
      </c>
      <c r="E10" s="12" t="s">
        <v>189</v>
      </c>
    </row>
    <row r="11" spans="1:5" x14ac:dyDescent="0.2">
      <c r="A11" s="12"/>
      <c r="B11" s="13">
        <v>1800000</v>
      </c>
      <c r="C11" s="12" t="s">
        <v>188</v>
      </c>
      <c r="D11" s="14">
        <v>41104</v>
      </c>
      <c r="E11" s="12" t="s">
        <v>189</v>
      </c>
    </row>
    <row r="12" spans="1:5" x14ac:dyDescent="0.2">
      <c r="A12" s="12" t="s">
        <v>233</v>
      </c>
      <c r="B12" s="13">
        <v>-100000</v>
      </c>
      <c r="C12" s="12" t="s">
        <v>234</v>
      </c>
      <c r="D12" s="14">
        <v>41183</v>
      </c>
      <c r="E12" s="12" t="s">
        <v>236</v>
      </c>
    </row>
    <row r="13" spans="1:5" x14ac:dyDescent="0.2">
      <c r="A13" s="12"/>
      <c r="B13" s="13">
        <v>100000</v>
      </c>
      <c r="C13" s="12" t="s">
        <v>235</v>
      </c>
      <c r="D13" s="14">
        <v>41183</v>
      </c>
      <c r="E13" s="12" t="s">
        <v>236</v>
      </c>
    </row>
    <row r="14" spans="1:5" x14ac:dyDescent="0.2">
      <c r="A14" s="15"/>
      <c r="B14" s="16"/>
      <c r="C14" s="12"/>
      <c r="D14" s="14"/>
      <c r="E14" s="12"/>
    </row>
    <row r="15" spans="1:5" x14ac:dyDescent="0.2">
      <c r="A15" s="17" t="s">
        <v>58</v>
      </c>
      <c r="B15" s="18">
        <f>SUM(B10:B14)</f>
        <v>0</v>
      </c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8" spans="1:5" x14ac:dyDescent="0.2">
      <c r="A18" s="8" t="s">
        <v>25</v>
      </c>
      <c r="B18" s="8" t="s">
        <v>59</v>
      </c>
    </row>
    <row r="24" spans="1:5" ht="15" x14ac:dyDescent="0.25">
      <c r="E24" s="414"/>
    </row>
    <row r="31" spans="1:5" x14ac:dyDescent="0.2">
      <c r="C31" s="8"/>
    </row>
  </sheetData>
  <phoneticPr fontId="30" type="noConversion"/>
  <pageMargins left="0.75" right="0.75" top="1" bottom="1" header="0.5" footer="0.5"/>
  <pageSetup scale="50" orientation="landscape" r:id="rId1"/>
  <headerFooter alignWithMargins="0">
    <oddHeader>&amp;C&amp;"Arial,Bold"SDGE
FUND SHIFTING
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1"/>
  <sheetViews>
    <sheetView zoomScale="80" zoomScaleNormal="80" zoomScaleSheetLayoutView="90" workbookViewId="0">
      <selection activeCell="F67" sqref="F67"/>
    </sheetView>
  </sheetViews>
  <sheetFormatPr defaultColWidth="9.140625" defaultRowHeight="14.1" customHeight="1" x14ac:dyDescent="0.2"/>
  <cols>
    <col min="1" max="1" width="61.5703125" style="412" customWidth="1"/>
    <col min="2" max="2" width="15.28515625" style="410" customWidth="1"/>
    <col min="3" max="3" width="15.7109375" style="411" customWidth="1"/>
    <col min="4" max="4" width="26.5703125" style="412" hidden="1" customWidth="1"/>
    <col min="5" max="5" width="27.140625" style="416" customWidth="1"/>
    <col min="6" max="6" width="22" style="412" customWidth="1"/>
    <col min="7" max="7" width="37" style="412" customWidth="1"/>
    <col min="8" max="16384" width="9.140625" style="413"/>
  </cols>
  <sheetData>
    <row r="1" spans="1:7" ht="14.45" customHeight="1" x14ac:dyDescent="0.25">
      <c r="A1" s="489" t="s">
        <v>63</v>
      </c>
      <c r="B1" s="490"/>
      <c r="C1" s="490"/>
      <c r="D1" s="490"/>
      <c r="E1" s="490"/>
      <c r="F1" s="490"/>
      <c r="G1" s="491"/>
    </row>
    <row r="2" spans="1:7" ht="14.1" customHeight="1" x14ac:dyDescent="0.2">
      <c r="A2" s="438" t="s">
        <v>57</v>
      </c>
      <c r="B2" s="423" t="s">
        <v>33</v>
      </c>
      <c r="C2" s="439" t="s">
        <v>19</v>
      </c>
      <c r="D2" s="423" t="s">
        <v>26</v>
      </c>
      <c r="E2" s="438" t="s">
        <v>153</v>
      </c>
      <c r="F2" s="423" t="s">
        <v>24</v>
      </c>
      <c r="G2" s="423" t="s">
        <v>154</v>
      </c>
    </row>
    <row r="3" spans="1:7" ht="14.1" customHeight="1" x14ac:dyDescent="0.2">
      <c r="A3" s="426" t="s">
        <v>265</v>
      </c>
      <c r="B3" s="423">
        <v>1</v>
      </c>
      <c r="C3" s="424">
        <v>41676</v>
      </c>
      <c r="D3" s="422" t="s">
        <v>261</v>
      </c>
      <c r="E3" s="427">
        <v>140</v>
      </c>
      <c r="F3" s="425" t="s">
        <v>279</v>
      </c>
      <c r="G3" s="422">
        <v>5</v>
      </c>
    </row>
    <row r="4" spans="1:7" ht="14.1" customHeight="1" x14ac:dyDescent="0.2">
      <c r="A4" s="426" t="s">
        <v>277</v>
      </c>
      <c r="B4" s="423">
        <v>2</v>
      </c>
      <c r="C4" s="424">
        <v>41677</v>
      </c>
      <c r="D4" s="422" t="s">
        <v>262</v>
      </c>
      <c r="E4" s="427">
        <v>17900</v>
      </c>
      <c r="F4" s="422" t="s">
        <v>273</v>
      </c>
      <c r="G4" s="422">
        <v>7</v>
      </c>
    </row>
    <row r="5" spans="1:7" ht="14.1" customHeight="1" x14ac:dyDescent="0.2">
      <c r="A5" s="426" t="s">
        <v>266</v>
      </c>
      <c r="B5" s="423">
        <v>3</v>
      </c>
      <c r="C5" s="424">
        <v>41676</v>
      </c>
      <c r="D5" s="422" t="s">
        <v>261</v>
      </c>
      <c r="E5" s="427">
        <v>1080</v>
      </c>
      <c r="F5" s="425" t="s">
        <v>282</v>
      </c>
      <c r="G5" s="422">
        <v>4</v>
      </c>
    </row>
    <row r="6" spans="1:7" ht="14.1" customHeight="1" x14ac:dyDescent="0.2">
      <c r="A6" s="426" t="s">
        <v>263</v>
      </c>
      <c r="B6" s="423">
        <v>4</v>
      </c>
      <c r="C6" s="424">
        <v>41677</v>
      </c>
      <c r="D6" s="422" t="s">
        <v>261</v>
      </c>
      <c r="E6" s="427">
        <v>1500</v>
      </c>
      <c r="F6" s="422" t="s">
        <v>273</v>
      </c>
      <c r="G6" s="422">
        <v>7</v>
      </c>
    </row>
    <row r="7" spans="1:7" ht="14.1" customHeight="1" x14ac:dyDescent="0.2">
      <c r="A7" s="426" t="s">
        <v>269</v>
      </c>
      <c r="B7" s="423">
        <v>5</v>
      </c>
      <c r="C7" s="424">
        <v>41677</v>
      </c>
      <c r="D7" s="422" t="s">
        <v>261</v>
      </c>
      <c r="E7" s="427">
        <v>2300</v>
      </c>
      <c r="F7" s="425" t="s">
        <v>280</v>
      </c>
      <c r="G7" s="422">
        <v>4</v>
      </c>
    </row>
    <row r="8" spans="1:7" ht="14.1" customHeight="1" x14ac:dyDescent="0.2">
      <c r="A8" s="426" t="s">
        <v>264</v>
      </c>
      <c r="B8" s="423">
        <v>6</v>
      </c>
      <c r="C8" s="424">
        <v>41760</v>
      </c>
      <c r="D8" s="422" t="s">
        <v>261</v>
      </c>
      <c r="E8" s="426">
        <v>7300</v>
      </c>
      <c r="F8" s="425" t="s">
        <v>270</v>
      </c>
      <c r="G8" s="422">
        <v>4</v>
      </c>
    </row>
    <row r="9" spans="1:7" ht="14.1" customHeight="1" x14ac:dyDescent="0.2">
      <c r="A9" s="426" t="s">
        <v>265</v>
      </c>
      <c r="B9" s="423">
        <v>7</v>
      </c>
      <c r="C9" s="424">
        <v>41773</v>
      </c>
      <c r="D9" s="422" t="s">
        <v>261</v>
      </c>
      <c r="E9" s="426">
        <v>990</v>
      </c>
      <c r="F9" s="425" t="s">
        <v>271</v>
      </c>
      <c r="G9" s="422">
        <v>9</v>
      </c>
    </row>
    <row r="10" spans="1:7" ht="14.1" customHeight="1" x14ac:dyDescent="0.2">
      <c r="A10" s="426" t="s">
        <v>266</v>
      </c>
      <c r="B10" s="423">
        <v>8</v>
      </c>
      <c r="C10" s="424">
        <v>41773</v>
      </c>
      <c r="D10" s="422" t="s">
        <v>261</v>
      </c>
      <c r="E10" s="426">
        <v>5200</v>
      </c>
      <c r="F10" s="425" t="s">
        <v>271</v>
      </c>
      <c r="G10" s="422">
        <v>8</v>
      </c>
    </row>
    <row r="11" spans="1:7" s="226" customFormat="1" ht="14.1" customHeight="1" x14ac:dyDescent="0.2">
      <c r="A11" s="426" t="s">
        <v>264</v>
      </c>
      <c r="B11" s="423">
        <v>9</v>
      </c>
      <c r="C11" s="424">
        <v>41773</v>
      </c>
      <c r="D11" s="422" t="s">
        <v>261</v>
      </c>
      <c r="E11" s="426">
        <v>7900</v>
      </c>
      <c r="F11" s="425" t="s">
        <v>272</v>
      </c>
      <c r="G11" s="422">
        <v>8</v>
      </c>
    </row>
    <row r="12" spans="1:7" s="226" customFormat="1" ht="14.1" customHeight="1" x14ac:dyDescent="0.2">
      <c r="A12" s="426" t="s">
        <v>267</v>
      </c>
      <c r="B12" s="423">
        <v>10</v>
      </c>
      <c r="C12" s="424">
        <v>41773</v>
      </c>
      <c r="D12" s="422" t="s">
        <v>261</v>
      </c>
      <c r="E12" s="426">
        <v>8300</v>
      </c>
      <c r="F12" s="422" t="s">
        <v>272</v>
      </c>
      <c r="G12" s="422">
        <v>4</v>
      </c>
    </row>
    <row r="13" spans="1:7" s="226" customFormat="1" ht="14.1" customHeight="1" x14ac:dyDescent="0.2">
      <c r="A13" s="426" t="s">
        <v>268</v>
      </c>
      <c r="B13" s="423">
        <v>11</v>
      </c>
      <c r="C13" s="424">
        <v>41773</v>
      </c>
      <c r="D13" s="422" t="s">
        <v>262</v>
      </c>
      <c r="E13" s="426">
        <v>12700</v>
      </c>
      <c r="F13" s="425" t="s">
        <v>271</v>
      </c>
      <c r="G13" s="422">
        <v>4</v>
      </c>
    </row>
    <row r="14" spans="1:7" s="226" customFormat="1" ht="14.1" customHeight="1" x14ac:dyDescent="0.2">
      <c r="A14" s="440" t="s">
        <v>278</v>
      </c>
      <c r="B14" s="441">
        <v>12</v>
      </c>
      <c r="C14" s="442">
        <v>41773</v>
      </c>
      <c r="D14" s="443" t="s">
        <v>261</v>
      </c>
      <c r="E14" s="440">
        <v>3100</v>
      </c>
      <c r="F14" s="443" t="s">
        <v>273</v>
      </c>
      <c r="G14" s="443">
        <v>14</v>
      </c>
    </row>
    <row r="15" spans="1:7" s="226" customFormat="1" ht="14.1" customHeight="1" x14ac:dyDescent="0.2">
      <c r="A15" s="426" t="s">
        <v>267</v>
      </c>
      <c r="B15" s="423">
        <v>13</v>
      </c>
      <c r="C15" s="424">
        <v>41774</v>
      </c>
      <c r="D15" s="422" t="s">
        <v>261</v>
      </c>
      <c r="E15" s="426">
        <v>7200</v>
      </c>
      <c r="F15" s="422" t="s">
        <v>272</v>
      </c>
      <c r="G15" s="422">
        <v>8</v>
      </c>
    </row>
    <row r="16" spans="1:7" s="226" customFormat="1" ht="14.1" customHeight="1" x14ac:dyDescent="0.2">
      <c r="A16" s="426" t="s">
        <v>268</v>
      </c>
      <c r="B16" s="423">
        <v>14</v>
      </c>
      <c r="C16" s="424">
        <v>41774</v>
      </c>
      <c r="D16" s="422" t="s">
        <v>262</v>
      </c>
      <c r="E16" s="426">
        <v>15500</v>
      </c>
      <c r="F16" s="425" t="s">
        <v>271</v>
      </c>
      <c r="G16" s="422">
        <v>8</v>
      </c>
    </row>
    <row r="17" spans="1:7" s="226" customFormat="1" ht="14.1" customHeight="1" x14ac:dyDescent="0.2">
      <c r="A17" s="440" t="s">
        <v>277</v>
      </c>
      <c r="B17" s="441">
        <v>15</v>
      </c>
      <c r="C17" s="442">
        <v>41774</v>
      </c>
      <c r="D17" s="443" t="s">
        <v>262</v>
      </c>
      <c r="E17" s="440">
        <v>11100</v>
      </c>
      <c r="F17" s="443" t="s">
        <v>273</v>
      </c>
      <c r="G17" s="443">
        <v>14</v>
      </c>
    </row>
    <row r="18" spans="1:7" s="226" customFormat="1" ht="14.1" customHeight="1" x14ac:dyDescent="0.2">
      <c r="A18" s="426" t="s">
        <v>269</v>
      </c>
      <c r="B18" s="423">
        <v>16</v>
      </c>
      <c r="C18" s="424">
        <v>41774</v>
      </c>
      <c r="D18" s="422" t="s">
        <v>261</v>
      </c>
      <c r="E18" s="426">
        <v>1800</v>
      </c>
      <c r="F18" s="422" t="s">
        <v>271</v>
      </c>
      <c r="G18" s="422">
        <v>8</v>
      </c>
    </row>
    <row r="19" spans="1:7" s="226" customFormat="1" ht="14.1" customHeight="1" x14ac:dyDescent="0.2">
      <c r="A19" s="426" t="s">
        <v>264</v>
      </c>
      <c r="B19" s="423">
        <v>17</v>
      </c>
      <c r="C19" s="424">
        <v>41774</v>
      </c>
      <c r="D19" s="422" t="s">
        <v>261</v>
      </c>
      <c r="E19" s="426">
        <v>9200</v>
      </c>
      <c r="F19" s="422" t="s">
        <v>272</v>
      </c>
      <c r="G19" s="422">
        <v>12</v>
      </c>
    </row>
    <row r="20" spans="1:7" s="226" customFormat="1" ht="14.1" customHeight="1" x14ac:dyDescent="0.2">
      <c r="A20" s="426" t="s">
        <v>278</v>
      </c>
      <c r="B20" s="423">
        <v>18</v>
      </c>
      <c r="C20" s="424">
        <v>41774</v>
      </c>
      <c r="D20" s="422" t="s">
        <v>261</v>
      </c>
      <c r="E20" s="426">
        <v>1300</v>
      </c>
      <c r="F20" s="422" t="s">
        <v>273</v>
      </c>
      <c r="G20" s="422">
        <v>21</v>
      </c>
    </row>
    <row r="21" spans="1:7" s="226" customFormat="1" ht="14.1" customHeight="1" x14ac:dyDescent="0.2">
      <c r="A21" s="426" t="s">
        <v>265</v>
      </c>
      <c r="B21" s="423">
        <v>19</v>
      </c>
      <c r="C21" s="424">
        <v>41775</v>
      </c>
      <c r="D21" s="422" t="s">
        <v>261</v>
      </c>
      <c r="E21" s="426">
        <v>1900</v>
      </c>
      <c r="F21" s="422" t="s">
        <v>274</v>
      </c>
      <c r="G21" s="422">
        <v>13</v>
      </c>
    </row>
    <row r="22" spans="1:7" s="226" customFormat="1" ht="14.1" customHeight="1" x14ac:dyDescent="0.2">
      <c r="A22" s="426" t="s">
        <v>266</v>
      </c>
      <c r="B22" s="423">
        <v>20</v>
      </c>
      <c r="C22" s="424">
        <v>41775</v>
      </c>
      <c r="D22" s="422" t="s">
        <v>261</v>
      </c>
      <c r="E22" s="426">
        <v>6400</v>
      </c>
      <c r="F22" s="425" t="s">
        <v>275</v>
      </c>
      <c r="G22" s="422">
        <v>12</v>
      </c>
    </row>
    <row r="23" spans="1:7" s="226" customFormat="1" ht="14.1" customHeight="1" x14ac:dyDescent="0.2">
      <c r="A23" s="426" t="s">
        <v>268</v>
      </c>
      <c r="B23" s="423">
        <v>21</v>
      </c>
      <c r="C23" s="424">
        <v>41775</v>
      </c>
      <c r="D23" s="422" t="s">
        <v>262</v>
      </c>
      <c r="E23" s="426">
        <v>12200</v>
      </c>
      <c r="F23" s="422" t="s">
        <v>276</v>
      </c>
      <c r="G23" s="422">
        <v>12</v>
      </c>
    </row>
    <row r="24" spans="1:7" s="226" customFormat="1" ht="14.1" customHeight="1" x14ac:dyDescent="0.2">
      <c r="A24" s="426" t="s">
        <v>268</v>
      </c>
      <c r="B24" s="423">
        <v>22</v>
      </c>
      <c r="C24" s="433">
        <v>41849</v>
      </c>
      <c r="D24" s="422" t="s">
        <v>262</v>
      </c>
      <c r="E24" s="431">
        <v>11240</v>
      </c>
      <c r="F24" s="422" t="s">
        <v>272</v>
      </c>
      <c r="G24" s="432">
        <v>16</v>
      </c>
    </row>
    <row r="25" spans="1:7" s="226" customFormat="1" ht="14.1" customHeight="1" x14ac:dyDescent="0.2">
      <c r="A25" s="440" t="s">
        <v>264</v>
      </c>
      <c r="B25" s="441">
        <v>23</v>
      </c>
      <c r="C25" s="444">
        <v>41850</v>
      </c>
      <c r="D25" s="443" t="s">
        <v>261</v>
      </c>
      <c r="E25" s="445">
        <v>5000</v>
      </c>
      <c r="F25" s="443" t="s">
        <v>272</v>
      </c>
      <c r="G25" s="446">
        <v>16</v>
      </c>
    </row>
    <row r="26" spans="1:7" s="226" customFormat="1" ht="14.1" customHeight="1" x14ac:dyDescent="0.2">
      <c r="A26" s="426" t="s">
        <v>264</v>
      </c>
      <c r="B26" s="423">
        <v>24</v>
      </c>
      <c r="C26" s="433">
        <v>41851</v>
      </c>
      <c r="D26" s="422" t="s">
        <v>261</v>
      </c>
      <c r="E26" s="431">
        <v>4500</v>
      </c>
      <c r="F26" s="425" t="s">
        <v>270</v>
      </c>
      <c r="G26" s="432">
        <v>20</v>
      </c>
    </row>
    <row r="27" spans="1:7" s="226" customFormat="1" ht="14.1" customHeight="1" x14ac:dyDescent="0.2">
      <c r="A27" s="426" t="s">
        <v>277</v>
      </c>
      <c r="B27" s="423">
        <v>25</v>
      </c>
      <c r="C27" s="433">
        <v>41851</v>
      </c>
      <c r="D27" s="422" t="s">
        <v>262</v>
      </c>
      <c r="E27" s="431">
        <v>22900</v>
      </c>
      <c r="F27" s="422" t="s">
        <v>273</v>
      </c>
      <c r="G27" s="432">
        <v>21</v>
      </c>
    </row>
    <row r="28" spans="1:7" s="226" customFormat="1" ht="14.1" customHeight="1" x14ac:dyDescent="0.2">
      <c r="A28" s="426" t="s">
        <v>278</v>
      </c>
      <c r="B28" s="423">
        <v>26</v>
      </c>
      <c r="C28" s="433">
        <v>41851</v>
      </c>
      <c r="D28" s="422" t="s">
        <v>261</v>
      </c>
      <c r="E28" s="431">
        <v>5900</v>
      </c>
      <c r="F28" s="422" t="s">
        <v>273</v>
      </c>
      <c r="G28" s="432">
        <v>28</v>
      </c>
    </row>
    <row r="29" spans="1:7" s="226" customFormat="1" ht="14.1" customHeight="1" x14ac:dyDescent="0.2">
      <c r="A29" s="426" t="s">
        <v>183</v>
      </c>
      <c r="B29" s="423">
        <v>27</v>
      </c>
      <c r="C29" s="424">
        <v>41851</v>
      </c>
      <c r="D29" s="422" t="s">
        <v>261</v>
      </c>
      <c r="E29" s="426">
        <v>500</v>
      </c>
      <c r="F29" s="422" t="s">
        <v>273</v>
      </c>
      <c r="G29" s="422">
        <v>28</v>
      </c>
    </row>
    <row r="30" spans="1:7" s="226" customFormat="1" ht="14.1" customHeight="1" x14ac:dyDescent="0.2">
      <c r="A30" s="426" t="s">
        <v>264</v>
      </c>
      <c r="B30" s="423">
        <v>25</v>
      </c>
      <c r="C30" s="433">
        <v>41855</v>
      </c>
      <c r="D30" s="422" t="s">
        <v>261</v>
      </c>
      <c r="E30" s="426">
        <v>4900</v>
      </c>
      <c r="F30" s="425" t="s">
        <v>272</v>
      </c>
      <c r="G30" s="432">
        <v>24</v>
      </c>
    </row>
    <row r="31" spans="1:7" s="226" customFormat="1" ht="14.1" customHeight="1" x14ac:dyDescent="0.2">
      <c r="A31" s="426" t="s">
        <v>264</v>
      </c>
      <c r="B31" s="423">
        <v>26</v>
      </c>
      <c r="C31" s="433">
        <v>41878</v>
      </c>
      <c r="D31" s="422" t="s">
        <v>261</v>
      </c>
      <c r="E31" s="426">
        <v>7500</v>
      </c>
      <c r="F31" s="425" t="s">
        <v>272</v>
      </c>
      <c r="G31" s="432">
        <v>28</v>
      </c>
    </row>
    <row r="32" spans="1:7" s="226" customFormat="1" ht="14.1" customHeight="1" x14ac:dyDescent="0.2">
      <c r="A32" s="426" t="s">
        <v>264</v>
      </c>
      <c r="B32" s="423">
        <v>27</v>
      </c>
      <c r="C32" s="433">
        <v>41879</v>
      </c>
      <c r="D32" s="422" t="s">
        <v>261</v>
      </c>
      <c r="E32" s="426">
        <v>6500</v>
      </c>
      <c r="F32" s="425" t="s">
        <v>272</v>
      </c>
      <c r="G32" s="432">
        <v>32</v>
      </c>
    </row>
    <row r="33" spans="1:31" s="435" customFormat="1" ht="14.1" customHeight="1" x14ac:dyDescent="0.2">
      <c r="A33" s="426" t="s">
        <v>268</v>
      </c>
      <c r="B33" s="423">
        <v>28</v>
      </c>
      <c r="C33" s="433">
        <v>41878</v>
      </c>
      <c r="D33" s="422" t="s">
        <v>262</v>
      </c>
      <c r="E33" s="426">
        <v>12100</v>
      </c>
      <c r="F33" s="422" t="s">
        <v>270</v>
      </c>
      <c r="G33" s="432">
        <v>20</v>
      </c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</row>
    <row r="34" spans="1:31" s="226" customFormat="1" ht="14.1" customHeight="1" x14ac:dyDescent="0.25">
      <c r="A34" s="440" t="s">
        <v>264</v>
      </c>
      <c r="B34" s="447">
        <f>B33+1</f>
        <v>29</v>
      </c>
      <c r="C34" s="444">
        <v>41893</v>
      </c>
      <c r="D34" s="443" t="s">
        <v>261</v>
      </c>
      <c r="E34" s="445">
        <v>6000</v>
      </c>
      <c r="F34" s="448" t="s">
        <v>272</v>
      </c>
      <c r="G34" s="446">
        <v>36</v>
      </c>
    </row>
    <row r="35" spans="1:31" s="226" customFormat="1" ht="14.1" customHeight="1" x14ac:dyDescent="0.25">
      <c r="A35" s="426" t="s">
        <v>267</v>
      </c>
      <c r="B35" s="447">
        <f t="shared" ref="B35:B43" si="0">B34+1</f>
        <v>30</v>
      </c>
      <c r="C35" s="424" t="s">
        <v>283</v>
      </c>
      <c r="D35" s="422" t="s">
        <v>261</v>
      </c>
      <c r="E35" s="431">
        <v>9300</v>
      </c>
      <c r="F35" s="422" t="s">
        <v>272</v>
      </c>
      <c r="G35" s="432">
        <v>12</v>
      </c>
    </row>
    <row r="36" spans="1:31" s="226" customFormat="1" ht="14.1" customHeight="1" x14ac:dyDescent="0.25">
      <c r="A36" s="426" t="s">
        <v>267</v>
      </c>
      <c r="B36" s="447">
        <f t="shared" si="0"/>
        <v>31</v>
      </c>
      <c r="C36" s="424">
        <v>41894</v>
      </c>
      <c r="D36" s="422" t="s">
        <v>261</v>
      </c>
      <c r="E36" s="431">
        <v>8400</v>
      </c>
      <c r="F36" s="422" t="s">
        <v>272</v>
      </c>
      <c r="G36" s="432">
        <v>16</v>
      </c>
    </row>
    <row r="37" spans="1:31" s="226" customFormat="1" ht="14.1" customHeight="1" x14ac:dyDescent="0.25">
      <c r="A37" s="426" t="s">
        <v>264</v>
      </c>
      <c r="B37" s="447">
        <f t="shared" si="0"/>
        <v>32</v>
      </c>
      <c r="C37" s="424">
        <v>41894</v>
      </c>
      <c r="D37" s="422" t="s">
        <v>261</v>
      </c>
      <c r="E37" s="431">
        <v>5400</v>
      </c>
      <c r="F37" s="425" t="s">
        <v>272</v>
      </c>
      <c r="G37" s="432">
        <v>40</v>
      </c>
    </row>
    <row r="38" spans="1:31" s="226" customFormat="1" ht="14.1" customHeight="1" x14ac:dyDescent="0.25">
      <c r="A38" s="426" t="s">
        <v>264</v>
      </c>
      <c r="B38" s="447">
        <f t="shared" si="0"/>
        <v>33</v>
      </c>
      <c r="C38" s="424">
        <v>41897</v>
      </c>
      <c r="D38" s="422" t="s">
        <v>261</v>
      </c>
      <c r="E38" s="431">
        <v>5300</v>
      </c>
      <c r="F38" s="425" t="s">
        <v>272</v>
      </c>
      <c r="G38" s="432">
        <v>44</v>
      </c>
    </row>
    <row r="39" spans="1:31" s="226" customFormat="1" ht="14.1" customHeight="1" x14ac:dyDescent="0.25">
      <c r="A39" s="426" t="s">
        <v>277</v>
      </c>
      <c r="B39" s="447">
        <f t="shared" si="0"/>
        <v>34</v>
      </c>
      <c r="C39" s="424">
        <v>41897</v>
      </c>
      <c r="D39" s="422" t="s">
        <v>262</v>
      </c>
      <c r="E39" s="431">
        <v>24900</v>
      </c>
      <c r="F39" s="422" t="s">
        <v>273</v>
      </c>
      <c r="G39" s="432">
        <v>28</v>
      </c>
    </row>
    <row r="40" spans="1:31" s="226" customFormat="1" ht="14.1" customHeight="1" x14ac:dyDescent="0.25">
      <c r="A40" s="426" t="s">
        <v>278</v>
      </c>
      <c r="B40" s="447">
        <f t="shared" si="0"/>
        <v>35</v>
      </c>
      <c r="C40" s="424">
        <v>41897</v>
      </c>
      <c r="D40" s="422" t="s">
        <v>261</v>
      </c>
      <c r="E40" s="431">
        <v>9500</v>
      </c>
      <c r="F40" s="422" t="s">
        <v>273</v>
      </c>
      <c r="G40" s="422">
        <v>35</v>
      </c>
    </row>
    <row r="41" spans="1:31" s="226" customFormat="1" ht="14.1" customHeight="1" x14ac:dyDescent="0.25">
      <c r="A41" s="426" t="s">
        <v>183</v>
      </c>
      <c r="B41" s="447">
        <f t="shared" si="0"/>
        <v>36</v>
      </c>
      <c r="C41" s="424">
        <v>41897</v>
      </c>
      <c r="D41" s="422" t="s">
        <v>261</v>
      </c>
      <c r="E41" s="431">
        <v>830</v>
      </c>
      <c r="F41" s="422" t="s">
        <v>284</v>
      </c>
      <c r="G41" s="432">
        <v>32</v>
      </c>
    </row>
    <row r="42" spans="1:31" s="226" customFormat="1" ht="14.1" customHeight="1" x14ac:dyDescent="0.25">
      <c r="A42" s="426" t="s">
        <v>268</v>
      </c>
      <c r="B42" s="447">
        <f t="shared" si="0"/>
        <v>37</v>
      </c>
      <c r="C42" s="424">
        <v>41897</v>
      </c>
      <c r="D42" s="422" t="s">
        <v>262</v>
      </c>
      <c r="E42" s="431">
        <v>20960</v>
      </c>
      <c r="F42" s="422" t="s">
        <v>284</v>
      </c>
      <c r="G42" s="422">
        <v>24</v>
      </c>
    </row>
    <row r="43" spans="1:31" s="226" customFormat="1" ht="14.1" customHeight="1" x14ac:dyDescent="0.25">
      <c r="A43" s="426" t="s">
        <v>267</v>
      </c>
      <c r="B43" s="447">
        <f t="shared" si="0"/>
        <v>38</v>
      </c>
      <c r="C43" s="424">
        <v>41897</v>
      </c>
      <c r="D43" s="422" t="s">
        <v>261</v>
      </c>
      <c r="E43" s="431">
        <v>9300</v>
      </c>
      <c r="F43" s="422" t="s">
        <v>272</v>
      </c>
      <c r="G43" s="432">
        <v>20</v>
      </c>
    </row>
    <row r="44" spans="1:31" s="226" customFormat="1" ht="14.1" customHeight="1" x14ac:dyDescent="0.25">
      <c r="A44" s="426" t="s">
        <v>286</v>
      </c>
      <c r="B44" s="447">
        <v>39</v>
      </c>
      <c r="C44" s="424">
        <v>41897</v>
      </c>
      <c r="D44" s="422"/>
      <c r="E44" s="459">
        <v>182</v>
      </c>
      <c r="F44" s="422" t="s">
        <v>273</v>
      </c>
      <c r="G44" s="432">
        <v>7</v>
      </c>
    </row>
    <row r="45" spans="1:31" s="226" customFormat="1" ht="14.1" customHeight="1" x14ac:dyDescent="0.25">
      <c r="A45" s="426" t="s">
        <v>264</v>
      </c>
      <c r="B45" s="447">
        <f>B44+1</f>
        <v>40</v>
      </c>
      <c r="C45" s="424">
        <v>41898</v>
      </c>
      <c r="D45" s="422" t="s">
        <v>261</v>
      </c>
      <c r="E45" s="431">
        <v>3400</v>
      </c>
      <c r="F45" s="425" t="s">
        <v>270</v>
      </c>
      <c r="G45" s="432">
        <v>48</v>
      </c>
    </row>
    <row r="46" spans="1:31" s="226" customFormat="1" ht="14.1" customHeight="1" x14ac:dyDescent="0.25">
      <c r="A46" s="426" t="s">
        <v>277</v>
      </c>
      <c r="B46" s="447">
        <f t="shared" ref="B46:B58" si="1">B45+1</f>
        <v>41</v>
      </c>
      <c r="C46" s="424">
        <v>41898</v>
      </c>
      <c r="D46" s="422" t="s">
        <v>262</v>
      </c>
      <c r="E46" s="431">
        <v>18600</v>
      </c>
      <c r="F46" s="422" t="s">
        <v>273</v>
      </c>
      <c r="G46" s="432">
        <v>35</v>
      </c>
    </row>
    <row r="47" spans="1:31" s="226" customFormat="1" ht="14.1" customHeight="1" x14ac:dyDescent="0.25">
      <c r="A47" s="426" t="s">
        <v>266</v>
      </c>
      <c r="B47" s="447">
        <f t="shared" si="1"/>
        <v>42</v>
      </c>
      <c r="C47" s="424">
        <v>41898</v>
      </c>
      <c r="D47" s="422" t="s">
        <v>261</v>
      </c>
      <c r="E47" s="431">
        <v>5700</v>
      </c>
      <c r="F47" s="425" t="s">
        <v>272</v>
      </c>
      <c r="G47" s="432">
        <v>16</v>
      </c>
    </row>
    <row r="48" spans="1:31" s="226" customFormat="1" ht="14.1" customHeight="1" x14ac:dyDescent="0.25">
      <c r="A48" s="426" t="s">
        <v>278</v>
      </c>
      <c r="B48" s="447">
        <f t="shared" si="1"/>
        <v>43</v>
      </c>
      <c r="C48" s="424">
        <v>41898</v>
      </c>
      <c r="D48" s="422" t="s">
        <v>261</v>
      </c>
      <c r="E48" s="431">
        <v>7500</v>
      </c>
      <c r="F48" s="422" t="s">
        <v>273</v>
      </c>
      <c r="G48" s="422">
        <v>42</v>
      </c>
    </row>
    <row r="49" spans="1:7" s="226" customFormat="1" ht="14.1" customHeight="1" x14ac:dyDescent="0.25">
      <c r="A49" s="426" t="s">
        <v>183</v>
      </c>
      <c r="B49" s="447">
        <f t="shared" si="1"/>
        <v>44</v>
      </c>
      <c r="C49" s="424">
        <v>41898</v>
      </c>
      <c r="D49" s="422" t="s">
        <v>261</v>
      </c>
      <c r="E49" s="431">
        <v>1300</v>
      </c>
      <c r="F49" s="422" t="s">
        <v>284</v>
      </c>
      <c r="G49" s="432">
        <v>36</v>
      </c>
    </row>
    <row r="50" spans="1:7" s="226" customFormat="1" ht="14.1" customHeight="1" x14ac:dyDescent="0.25">
      <c r="A50" s="426" t="s">
        <v>268</v>
      </c>
      <c r="B50" s="447">
        <f t="shared" si="1"/>
        <v>45</v>
      </c>
      <c r="C50" s="424">
        <v>41898</v>
      </c>
      <c r="D50" s="422" t="s">
        <v>262</v>
      </c>
      <c r="E50" s="431">
        <v>25600</v>
      </c>
      <c r="F50" s="422" t="s">
        <v>285</v>
      </c>
      <c r="G50" s="422">
        <v>28</v>
      </c>
    </row>
    <row r="51" spans="1:7" s="226" customFormat="1" ht="14.1" customHeight="1" x14ac:dyDescent="0.25">
      <c r="A51" s="426" t="s">
        <v>267</v>
      </c>
      <c r="B51" s="447">
        <f t="shared" si="1"/>
        <v>46</v>
      </c>
      <c r="C51" s="424">
        <v>41898</v>
      </c>
      <c r="D51" s="422" t="s">
        <v>261</v>
      </c>
      <c r="E51" s="431">
        <v>8400</v>
      </c>
      <c r="F51" s="422" t="s">
        <v>272</v>
      </c>
      <c r="G51" s="432">
        <v>24</v>
      </c>
    </row>
    <row r="52" spans="1:7" s="226" customFormat="1" ht="14.1" customHeight="1" x14ac:dyDescent="0.25">
      <c r="A52" s="426" t="s">
        <v>286</v>
      </c>
      <c r="B52" s="447">
        <f t="shared" si="1"/>
        <v>47</v>
      </c>
      <c r="C52" s="424">
        <v>41898</v>
      </c>
      <c r="D52" s="422"/>
      <c r="E52" s="431">
        <v>42</v>
      </c>
      <c r="F52" s="422" t="s">
        <v>273</v>
      </c>
      <c r="G52" s="432">
        <v>14</v>
      </c>
    </row>
    <row r="53" spans="1:7" s="226" customFormat="1" ht="14.1" customHeight="1" x14ac:dyDescent="0.25">
      <c r="A53" s="426" t="s">
        <v>264</v>
      </c>
      <c r="B53" s="447">
        <f t="shared" si="1"/>
        <v>48</v>
      </c>
      <c r="C53" s="424">
        <v>41899</v>
      </c>
      <c r="D53" s="422" t="s">
        <v>261</v>
      </c>
      <c r="E53" s="431">
        <v>4800</v>
      </c>
      <c r="F53" s="425" t="s">
        <v>270</v>
      </c>
      <c r="G53" s="432">
        <v>52</v>
      </c>
    </row>
    <row r="54" spans="1:7" s="226" customFormat="1" ht="14.1" customHeight="1" x14ac:dyDescent="0.25">
      <c r="A54" s="426" t="s">
        <v>277</v>
      </c>
      <c r="B54" s="447">
        <f t="shared" si="1"/>
        <v>49</v>
      </c>
      <c r="C54" s="424">
        <v>41899</v>
      </c>
      <c r="D54" s="449" t="s">
        <v>262</v>
      </c>
      <c r="E54" s="431">
        <v>34300</v>
      </c>
      <c r="F54" s="422" t="s">
        <v>273</v>
      </c>
      <c r="G54" s="432">
        <v>42</v>
      </c>
    </row>
    <row r="55" spans="1:7" s="226" customFormat="1" ht="14.1" customHeight="1" x14ac:dyDescent="0.25">
      <c r="A55" s="426" t="s">
        <v>278</v>
      </c>
      <c r="B55" s="447">
        <f t="shared" si="1"/>
        <v>50</v>
      </c>
      <c r="C55" s="424">
        <v>41899</v>
      </c>
      <c r="D55" s="422" t="s">
        <v>261</v>
      </c>
      <c r="E55" s="431">
        <v>7800</v>
      </c>
      <c r="F55" s="422" t="s">
        <v>273</v>
      </c>
      <c r="G55" s="422">
        <v>49</v>
      </c>
    </row>
    <row r="56" spans="1:7" s="226" customFormat="1" ht="14.1" customHeight="1" x14ac:dyDescent="0.25">
      <c r="A56" s="426" t="s">
        <v>183</v>
      </c>
      <c r="B56" s="447">
        <f t="shared" si="1"/>
        <v>51</v>
      </c>
      <c r="C56" s="424">
        <v>41899</v>
      </c>
      <c r="D56" s="422" t="s">
        <v>261</v>
      </c>
      <c r="E56" s="431">
        <v>1700</v>
      </c>
      <c r="F56" s="422" t="s">
        <v>284</v>
      </c>
      <c r="G56" s="432">
        <v>40</v>
      </c>
    </row>
    <row r="57" spans="1:7" ht="14.1" customHeight="1" x14ac:dyDescent="0.25">
      <c r="A57" s="426" t="s">
        <v>268</v>
      </c>
      <c r="B57" s="447">
        <f t="shared" si="1"/>
        <v>52</v>
      </c>
      <c r="C57" s="424">
        <v>41899</v>
      </c>
      <c r="D57" s="422" t="s">
        <v>262</v>
      </c>
      <c r="E57" s="431">
        <v>20200</v>
      </c>
      <c r="F57" s="422" t="s">
        <v>284</v>
      </c>
      <c r="G57" s="422">
        <v>32</v>
      </c>
    </row>
    <row r="58" spans="1:7" ht="14.1" customHeight="1" x14ac:dyDescent="0.25">
      <c r="A58" s="426" t="s">
        <v>267</v>
      </c>
      <c r="B58" s="447">
        <f t="shared" si="1"/>
        <v>53</v>
      </c>
      <c r="C58" s="424">
        <v>41899</v>
      </c>
      <c r="D58" s="422" t="s">
        <v>261</v>
      </c>
      <c r="E58" s="431">
        <v>10300</v>
      </c>
      <c r="F58" s="422" t="s">
        <v>272</v>
      </c>
      <c r="G58" s="432">
        <v>28</v>
      </c>
    </row>
    <row r="62" spans="1:7" ht="14.1" customHeight="1" x14ac:dyDescent="0.2">
      <c r="E62" s="455"/>
    </row>
    <row r="63" spans="1:7" ht="14.1" customHeight="1" x14ac:dyDescent="0.2">
      <c r="E63" s="455"/>
    </row>
    <row r="64" spans="1:7" ht="14.1" customHeight="1" x14ac:dyDescent="0.2">
      <c r="E64" s="455"/>
    </row>
    <row r="65" spans="5:5" ht="14.1" customHeight="1" x14ac:dyDescent="0.25">
      <c r="E65" s="452"/>
    </row>
    <row r="66" spans="5:5" ht="14.1" customHeight="1" x14ac:dyDescent="0.25">
      <c r="E66" s="450"/>
    </row>
    <row r="67" spans="5:5" ht="14.1" customHeight="1" x14ac:dyDescent="0.25">
      <c r="E67" s="454"/>
    </row>
    <row r="68" spans="5:5" ht="14.1" customHeight="1" x14ac:dyDescent="0.25">
      <c r="E68" s="451"/>
    </row>
    <row r="69" spans="5:5" ht="14.1" customHeight="1" x14ac:dyDescent="0.25">
      <c r="E69" s="452"/>
    </row>
    <row r="70" spans="5:5" ht="14.1" customHeight="1" x14ac:dyDescent="0.25">
      <c r="E70" s="453"/>
    </row>
    <row r="71" spans="5:5" ht="14.1" customHeight="1" x14ac:dyDescent="0.25">
      <c r="E71" s="454"/>
    </row>
  </sheetData>
  <mergeCells count="1">
    <mergeCell ref="A1:G1"/>
  </mergeCells>
  <phoneticPr fontId="0" type="noConversion"/>
  <printOptions horizontalCentered="1" gridLines="1"/>
  <pageMargins left="0.7" right="0.7" top="0.75" bottom="0.75" header="0.3" footer="0.3"/>
  <pageSetup scale="64" orientation="landscape" blackAndWhite="1" r:id="rId1"/>
  <headerFooter alignWithMargins="0">
    <oddHeader>&amp;C&amp;"Arial,Bold"SDGE Interruptible and Price Responsive Programs
 2014 Event Summary</oddHead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view="pageBreakPreview" zoomScale="75" zoomScaleNormal="100" zoomScaleSheetLayoutView="75" workbookViewId="0">
      <pane xSplit="1" ySplit="3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I26" sqref="I26"/>
    </sheetView>
  </sheetViews>
  <sheetFormatPr defaultColWidth="17" defaultRowHeight="12.75" x14ac:dyDescent="0.2"/>
  <cols>
    <col min="1" max="1" width="42.5703125" style="226" customWidth="1"/>
    <col min="2" max="7" width="11.7109375" style="226" customWidth="1"/>
    <col min="8" max="8" width="14.85546875" style="226" customWidth="1"/>
    <col min="9" max="9" width="11.7109375" style="226" customWidth="1"/>
    <col min="10" max="10" width="11.7109375" style="227" customWidth="1"/>
    <col min="11" max="11" width="11.7109375" style="226" customWidth="1"/>
    <col min="12" max="12" width="12.28515625" style="226" customWidth="1"/>
    <col min="13" max="13" width="11.7109375" style="226" customWidth="1"/>
    <col min="14" max="14" width="12.7109375" style="226" customWidth="1"/>
    <col min="15" max="15" width="12.85546875" style="226" customWidth="1"/>
    <col min="16" max="16" width="12.42578125" style="226" customWidth="1"/>
    <col min="17" max="16384" width="17" style="226"/>
  </cols>
  <sheetData>
    <row r="1" spans="1:16" ht="13.5" thickBot="1" x14ac:dyDescent="0.25"/>
    <row r="2" spans="1:16" x14ac:dyDescent="0.2">
      <c r="A2" s="228"/>
      <c r="B2" s="229"/>
      <c r="C2" s="229"/>
      <c r="D2" s="229"/>
      <c r="E2" s="229"/>
      <c r="F2" s="229"/>
      <c r="G2" s="229"/>
      <c r="H2" s="229"/>
      <c r="I2" s="229"/>
      <c r="J2" s="230"/>
      <c r="K2" s="229"/>
      <c r="L2" s="229"/>
      <c r="M2" s="229"/>
      <c r="N2" s="229"/>
      <c r="O2" s="229"/>
      <c r="P2" s="231"/>
    </row>
    <row r="3" spans="1:16" ht="25.5" x14ac:dyDescent="0.2">
      <c r="A3" s="232" t="s">
        <v>17</v>
      </c>
      <c r="B3" s="233" t="s">
        <v>0</v>
      </c>
      <c r="C3" s="233" t="s">
        <v>1</v>
      </c>
      <c r="D3" s="233" t="s">
        <v>2</v>
      </c>
      <c r="E3" s="233" t="s">
        <v>3</v>
      </c>
      <c r="F3" s="233" t="s">
        <v>4</v>
      </c>
      <c r="G3" s="233" t="s">
        <v>5</v>
      </c>
      <c r="H3" s="233" t="s">
        <v>6</v>
      </c>
      <c r="I3" s="233" t="s">
        <v>7</v>
      </c>
      <c r="J3" s="234" t="s">
        <v>8</v>
      </c>
      <c r="K3" s="233" t="s">
        <v>9</v>
      </c>
      <c r="L3" s="233" t="s">
        <v>10</v>
      </c>
      <c r="M3" s="233" t="s">
        <v>11</v>
      </c>
      <c r="N3" s="235" t="s">
        <v>94</v>
      </c>
      <c r="O3" s="236"/>
      <c r="P3" s="237" t="s">
        <v>95</v>
      </c>
    </row>
    <row r="4" spans="1:16" x14ac:dyDescent="0.2">
      <c r="A4" s="238"/>
      <c r="B4" s="239"/>
      <c r="C4" s="239"/>
      <c r="D4" s="239"/>
      <c r="E4" s="239"/>
      <c r="F4" s="239"/>
      <c r="G4" s="239"/>
      <c r="H4" s="239"/>
      <c r="I4" s="239"/>
      <c r="J4" s="240"/>
      <c r="K4" s="239"/>
      <c r="L4" s="239"/>
      <c r="M4" s="239"/>
      <c r="N4" s="241"/>
      <c r="O4" s="242"/>
      <c r="P4" s="243"/>
    </row>
    <row r="5" spans="1:16" x14ac:dyDescent="0.2">
      <c r="A5" s="244" t="s">
        <v>78</v>
      </c>
      <c r="B5" s="239"/>
      <c r="C5" s="239"/>
      <c r="D5" s="239"/>
      <c r="E5" s="239"/>
      <c r="F5" s="239"/>
      <c r="G5" s="239"/>
      <c r="H5" s="239"/>
      <c r="I5" s="239"/>
      <c r="J5" s="240"/>
      <c r="K5" s="239"/>
      <c r="L5" s="239"/>
      <c r="M5" s="239"/>
      <c r="N5" s="245"/>
      <c r="O5" s="242"/>
      <c r="P5" s="243"/>
    </row>
    <row r="6" spans="1:16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8"/>
      <c r="M6" s="247"/>
      <c r="N6" s="249"/>
      <c r="O6" s="250"/>
      <c r="P6" s="251"/>
    </row>
    <row r="7" spans="1:16" ht="14.25" x14ac:dyDescent="0.2">
      <c r="A7" s="246" t="s">
        <v>295</v>
      </c>
      <c r="B7" s="247">
        <v>206.23500000000001</v>
      </c>
      <c r="C7" s="247">
        <v>41.192</v>
      </c>
      <c r="D7" s="247">
        <v>41.375</v>
      </c>
      <c r="E7" s="247">
        <v>30.934000000000001</v>
      </c>
      <c r="F7" s="247">
        <v>75.817999999999998</v>
      </c>
      <c r="G7" s="247">
        <v>86.138999999999996</v>
      </c>
      <c r="H7" s="247">
        <v>15.843999999999999</v>
      </c>
      <c r="I7" s="247">
        <v>16.003</v>
      </c>
      <c r="J7" s="247">
        <v>62.642000000000003</v>
      </c>
      <c r="K7" s="247">
        <v>-27.402000000000001</v>
      </c>
      <c r="L7" s="248">
        <v>209.375</v>
      </c>
      <c r="M7" s="247">
        <v>-906.73500000000001</v>
      </c>
      <c r="N7" s="249">
        <f t="shared" ref="N7:N37" si="0">SUM(B7:M7)</f>
        <v>-148.57999999999993</v>
      </c>
      <c r="O7" s="252">
        <v>0</v>
      </c>
      <c r="P7" s="251" t="s">
        <v>74</v>
      </c>
    </row>
    <row r="8" spans="1:16" x14ac:dyDescent="0.2">
      <c r="A8" s="246" t="s">
        <v>96</v>
      </c>
      <c r="B8" s="247">
        <v>1.919</v>
      </c>
      <c r="C8" s="247">
        <v>2.3540000000000001</v>
      </c>
      <c r="D8" s="247">
        <v>3.0369999999999999</v>
      </c>
      <c r="E8" s="247">
        <v>4.7300000000000004</v>
      </c>
      <c r="F8" s="247">
        <v>5.2130000000000001</v>
      </c>
      <c r="G8" s="247">
        <v>4.0679999999999996</v>
      </c>
      <c r="H8" s="247">
        <v>2.7679999999999998</v>
      </c>
      <c r="I8" s="247">
        <v>6.0519999999999996</v>
      </c>
      <c r="J8" s="247">
        <v>4.851</v>
      </c>
      <c r="K8" s="247">
        <v>5.0410000000000004</v>
      </c>
      <c r="L8" s="248">
        <v>2.6579999999999999</v>
      </c>
      <c r="M8" s="247">
        <v>3.2709999999999999</v>
      </c>
      <c r="N8" s="249">
        <f t="shared" si="0"/>
        <v>45.962000000000003</v>
      </c>
      <c r="O8" s="250">
        <v>0</v>
      </c>
      <c r="P8" s="251" t="s">
        <v>74</v>
      </c>
    </row>
    <row r="9" spans="1:16" x14ac:dyDescent="0.2">
      <c r="A9" s="246" t="s">
        <v>142</v>
      </c>
      <c r="B9" s="247">
        <v>0.66200000000000003</v>
      </c>
      <c r="C9" s="247">
        <v>0.43</v>
      </c>
      <c r="D9" s="247">
        <v>1.1579999999999999</v>
      </c>
      <c r="E9" s="247">
        <v>3.2850000000000001</v>
      </c>
      <c r="F9" s="247">
        <v>3.3479999999999999</v>
      </c>
      <c r="G9" s="247">
        <v>2.0329999999999999</v>
      </c>
      <c r="H9" s="247">
        <v>2.2309999999999999</v>
      </c>
      <c r="I9" s="247">
        <v>3.9870000000000001</v>
      </c>
      <c r="J9" s="247">
        <v>3.2810000000000001</v>
      </c>
      <c r="K9" s="247">
        <v>2.9540000000000002</v>
      </c>
      <c r="L9" s="248">
        <v>0.82299999999999995</v>
      </c>
      <c r="M9" s="247">
        <v>0.82699999999999996</v>
      </c>
      <c r="N9" s="249">
        <f t="shared" si="0"/>
        <v>25.018999999999998</v>
      </c>
      <c r="O9" s="250">
        <v>0</v>
      </c>
      <c r="P9" s="251" t="s">
        <v>74</v>
      </c>
    </row>
    <row r="10" spans="1:16" x14ac:dyDescent="0.2">
      <c r="A10" s="246" t="s">
        <v>97</v>
      </c>
      <c r="B10" s="247">
        <v>0</v>
      </c>
      <c r="C10" s="247">
        <v>0</v>
      </c>
      <c r="D10" s="247">
        <v>0</v>
      </c>
      <c r="E10" s="247">
        <v>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8">
        <v>0</v>
      </c>
      <c r="M10" s="247">
        <v>0</v>
      </c>
      <c r="N10" s="249">
        <f t="shared" si="0"/>
        <v>0</v>
      </c>
      <c r="O10" s="250">
        <v>0</v>
      </c>
      <c r="P10" s="251" t="s">
        <v>74</v>
      </c>
    </row>
    <row r="11" spans="1:16" x14ac:dyDescent="0.2">
      <c r="A11" s="246" t="s">
        <v>98</v>
      </c>
      <c r="B11" s="247">
        <v>27.768999999999998</v>
      </c>
      <c r="C11" s="247">
        <v>24.248000000000001</v>
      </c>
      <c r="D11" s="247">
        <v>19.658999999999999</v>
      </c>
      <c r="E11" s="247">
        <v>60.863999999999997</v>
      </c>
      <c r="F11" s="247">
        <v>34.155999999999999</v>
      </c>
      <c r="G11" s="247">
        <v>34.536000000000001</v>
      </c>
      <c r="H11" s="247">
        <v>20.081</v>
      </c>
      <c r="I11" s="247">
        <v>48.433999999999997</v>
      </c>
      <c r="J11" s="247">
        <v>53.594000000000001</v>
      </c>
      <c r="K11" s="247">
        <v>28.251999999999999</v>
      </c>
      <c r="L11" s="248">
        <v>40.08</v>
      </c>
      <c r="M11" s="247">
        <v>41.137999999999998</v>
      </c>
      <c r="N11" s="249">
        <f t="shared" si="0"/>
        <v>432.81099999999992</v>
      </c>
      <c r="O11" s="250">
        <v>0</v>
      </c>
      <c r="P11" s="251" t="s">
        <v>74</v>
      </c>
    </row>
    <row r="12" spans="1:16" x14ac:dyDescent="0.2">
      <c r="A12" s="246" t="s">
        <v>99</v>
      </c>
      <c r="B12" s="247">
        <v>0</v>
      </c>
      <c r="C12" s="247">
        <v>-0.05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8">
        <v>0</v>
      </c>
      <c r="M12" s="247">
        <v>0</v>
      </c>
      <c r="N12" s="249">
        <f t="shared" si="0"/>
        <v>-0.05</v>
      </c>
      <c r="O12" s="250">
        <v>0</v>
      </c>
      <c r="P12" s="251" t="s">
        <v>74</v>
      </c>
    </row>
    <row r="13" spans="1:16" x14ac:dyDescent="0.2">
      <c r="A13" s="246" t="s">
        <v>294</v>
      </c>
      <c r="B13" s="247">
        <v>0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8">
        <v>0</v>
      </c>
      <c r="M13" s="247">
        <v>0</v>
      </c>
      <c r="N13" s="249">
        <f t="shared" si="0"/>
        <v>0</v>
      </c>
      <c r="O13" s="250">
        <v>0</v>
      </c>
      <c r="P13" s="251" t="s">
        <v>74</v>
      </c>
    </row>
    <row r="14" spans="1:16" x14ac:dyDescent="0.2">
      <c r="A14" s="246" t="s">
        <v>100</v>
      </c>
      <c r="B14" s="247">
        <v>0</v>
      </c>
      <c r="C14" s="247">
        <v>0</v>
      </c>
      <c r="D14" s="247">
        <v>10.183999999999999</v>
      </c>
      <c r="E14" s="247">
        <v>58.542999999999999</v>
      </c>
      <c r="F14" s="247">
        <v>77.388000000000005</v>
      </c>
      <c r="G14" s="247">
        <v>13.858000000000001</v>
      </c>
      <c r="H14" s="247">
        <v>35.585000000000001</v>
      </c>
      <c r="I14" s="247">
        <v>18.841000000000001</v>
      </c>
      <c r="J14" s="247">
        <v>7.4580000000000002</v>
      </c>
      <c r="K14" s="247">
        <v>64.710999999999999</v>
      </c>
      <c r="L14" s="248">
        <v>120.215</v>
      </c>
      <c r="M14" s="247">
        <v>112.348</v>
      </c>
      <c r="N14" s="249">
        <f t="shared" si="0"/>
        <v>519.13099999999997</v>
      </c>
      <c r="O14" s="250">
        <v>0</v>
      </c>
      <c r="P14" s="251" t="s">
        <v>74</v>
      </c>
    </row>
    <row r="15" spans="1:16" x14ac:dyDescent="0.2">
      <c r="A15" s="246" t="s">
        <v>157</v>
      </c>
      <c r="B15" s="247">
        <v>0</v>
      </c>
      <c r="C15" s="247">
        <v>0.79700000000000004</v>
      </c>
      <c r="D15" s="247">
        <v>1.9770000000000001</v>
      </c>
      <c r="E15" s="247">
        <v>3.7090000000000001</v>
      </c>
      <c r="F15" s="247">
        <v>10.78</v>
      </c>
      <c r="G15" s="247">
        <v>2.7149999999999999</v>
      </c>
      <c r="H15" s="247">
        <v>-1.4E-2</v>
      </c>
      <c r="I15" s="247">
        <v>0</v>
      </c>
      <c r="J15" s="247">
        <v>0</v>
      </c>
      <c r="K15" s="247">
        <v>0</v>
      </c>
      <c r="L15" s="248">
        <v>0</v>
      </c>
      <c r="M15" s="247">
        <v>3</v>
      </c>
      <c r="N15" s="249">
        <f t="shared" si="0"/>
        <v>22.963999999999999</v>
      </c>
      <c r="O15" s="250">
        <v>0</v>
      </c>
      <c r="P15" s="251" t="s">
        <v>74</v>
      </c>
    </row>
    <row r="16" spans="1:16" x14ac:dyDescent="0.2">
      <c r="A16" s="246" t="s">
        <v>101</v>
      </c>
      <c r="B16" s="247">
        <v>51.063000000000002</v>
      </c>
      <c r="C16" s="247">
        <v>45.540999999999997</v>
      </c>
      <c r="D16" s="247">
        <v>21.024000000000001</v>
      </c>
      <c r="E16" s="247">
        <v>31.745000000000001</v>
      </c>
      <c r="F16" s="247">
        <v>71.894999999999996</v>
      </c>
      <c r="G16" s="247">
        <v>9.8059999999999992</v>
      </c>
      <c r="H16" s="247">
        <v>30.89</v>
      </c>
      <c r="I16" s="247">
        <v>23.782</v>
      </c>
      <c r="J16" s="247">
        <v>17.628</v>
      </c>
      <c r="K16" s="247">
        <v>27.529</v>
      </c>
      <c r="L16" s="248">
        <v>25.902000000000001</v>
      </c>
      <c r="M16" s="247">
        <v>456.96800000000002</v>
      </c>
      <c r="N16" s="249">
        <f t="shared" si="0"/>
        <v>813.77299999999991</v>
      </c>
      <c r="O16" s="250">
        <v>0</v>
      </c>
      <c r="P16" s="251" t="s">
        <v>74</v>
      </c>
    </row>
    <row r="17" spans="1:18" x14ac:dyDescent="0.2">
      <c r="A17" s="246" t="s">
        <v>164</v>
      </c>
      <c r="B17" s="247">
        <v>1.349</v>
      </c>
      <c r="C17" s="247">
        <v>11.148</v>
      </c>
      <c r="D17" s="247">
        <v>3.153</v>
      </c>
      <c r="E17" s="247">
        <v>25.745999999999999</v>
      </c>
      <c r="F17" s="247">
        <v>5.5549999999999997</v>
      </c>
      <c r="G17" s="247">
        <v>11.234999999999999</v>
      </c>
      <c r="H17" s="247">
        <v>135.81299999999999</v>
      </c>
      <c r="I17" s="247">
        <v>105.389</v>
      </c>
      <c r="J17" s="247">
        <v>69.77</v>
      </c>
      <c r="K17" s="247">
        <v>85.144000000000005</v>
      </c>
      <c r="L17" s="248">
        <v>77.402000000000001</v>
      </c>
      <c r="M17" s="247">
        <v>152.99</v>
      </c>
      <c r="N17" s="249">
        <f t="shared" si="0"/>
        <v>684.69399999999996</v>
      </c>
      <c r="O17" s="250">
        <v>0</v>
      </c>
      <c r="P17" s="251" t="s">
        <v>74</v>
      </c>
    </row>
    <row r="18" spans="1:18" x14ac:dyDescent="0.2">
      <c r="A18" s="246" t="s">
        <v>162</v>
      </c>
      <c r="B18" s="247">
        <v>7.6379999999999999</v>
      </c>
      <c r="C18" s="247">
        <v>8.9</v>
      </c>
      <c r="D18" s="247">
        <v>14.246</v>
      </c>
      <c r="E18" s="247">
        <v>14.042999999999999</v>
      </c>
      <c r="F18" s="247">
        <v>13.612</v>
      </c>
      <c r="G18" s="247">
        <v>11.614000000000001</v>
      </c>
      <c r="H18" s="247">
        <v>12.117000000000001</v>
      </c>
      <c r="I18" s="247">
        <v>11.398999999999999</v>
      </c>
      <c r="J18" s="247">
        <v>6.5129999999999999</v>
      </c>
      <c r="K18" s="247">
        <v>11.388</v>
      </c>
      <c r="L18" s="248">
        <v>9.0120000000000005</v>
      </c>
      <c r="M18" s="247">
        <v>5.4249999999999998</v>
      </c>
      <c r="N18" s="249">
        <f t="shared" si="0"/>
        <v>125.90700000000001</v>
      </c>
      <c r="O18" s="250">
        <v>0</v>
      </c>
      <c r="P18" s="251" t="s">
        <v>74</v>
      </c>
    </row>
    <row r="19" spans="1:18" x14ac:dyDescent="0.2">
      <c r="A19" s="246" t="s">
        <v>193</v>
      </c>
      <c r="B19" s="247">
        <v>0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8">
        <v>0</v>
      </c>
      <c r="M19" s="247">
        <v>0</v>
      </c>
      <c r="N19" s="249">
        <f>SUM(B19:M19)</f>
        <v>0</v>
      </c>
      <c r="O19" s="250">
        <v>0</v>
      </c>
      <c r="P19" s="251" t="s">
        <v>74</v>
      </c>
    </row>
    <row r="20" spans="1:18" x14ac:dyDescent="0.2">
      <c r="A20" s="246" t="s">
        <v>183</v>
      </c>
      <c r="B20" s="247">
        <v>1.595</v>
      </c>
      <c r="C20" s="247">
        <v>8.8889999999999993</v>
      </c>
      <c r="D20" s="247">
        <v>9.9169999999999998</v>
      </c>
      <c r="E20" s="247">
        <v>1380.72</v>
      </c>
      <c r="F20" s="247">
        <v>76.073999999999998</v>
      </c>
      <c r="G20" s="247">
        <v>-1438.17</v>
      </c>
      <c r="H20" s="247">
        <v>47.747999999999998</v>
      </c>
      <c r="I20" s="247">
        <v>13.266999999999999</v>
      </c>
      <c r="J20" s="247">
        <v>16.738</v>
      </c>
      <c r="K20" s="247">
        <v>14.968</v>
      </c>
      <c r="L20" s="248">
        <v>511.97500000000002</v>
      </c>
      <c r="M20" s="247">
        <v>317.90699999999998</v>
      </c>
      <c r="N20" s="249">
        <f t="shared" si="0"/>
        <v>961.62800000000016</v>
      </c>
      <c r="O20" s="250">
        <v>0</v>
      </c>
      <c r="P20" s="251" t="s">
        <v>74</v>
      </c>
    </row>
    <row r="21" spans="1:18" x14ac:dyDescent="0.2">
      <c r="A21" s="246" t="s">
        <v>184</v>
      </c>
      <c r="B21" s="247">
        <v>2.0339999999999998</v>
      </c>
      <c r="C21" s="247">
        <v>1.819</v>
      </c>
      <c r="D21" s="247">
        <v>2.4350000000000001</v>
      </c>
      <c r="E21" s="247">
        <v>1.3049999999999999</v>
      </c>
      <c r="F21" s="247">
        <v>2.625</v>
      </c>
      <c r="G21" s="247">
        <v>2.456</v>
      </c>
      <c r="H21" s="247">
        <v>3.573</v>
      </c>
      <c r="I21" s="247">
        <v>12.487</v>
      </c>
      <c r="J21" s="247">
        <v>7.7009999999999996</v>
      </c>
      <c r="K21" s="247">
        <v>7.5</v>
      </c>
      <c r="L21" s="248">
        <v>6.1150000000000002</v>
      </c>
      <c r="M21" s="247">
        <v>18.777000000000001</v>
      </c>
      <c r="N21" s="249">
        <f t="shared" si="0"/>
        <v>68.826999999999998</v>
      </c>
      <c r="O21" s="250">
        <v>0</v>
      </c>
      <c r="P21" s="251" t="s">
        <v>74</v>
      </c>
    </row>
    <row r="22" spans="1:18" x14ac:dyDescent="0.2">
      <c r="A22" s="246" t="s">
        <v>185</v>
      </c>
      <c r="B22" s="247">
        <v>2.5139999999999998</v>
      </c>
      <c r="C22" s="247">
        <v>-29.545999999999999</v>
      </c>
      <c r="D22" s="247">
        <v>3.4609999999999999</v>
      </c>
      <c r="E22" s="247">
        <v>3.9289999999999998</v>
      </c>
      <c r="F22" s="247">
        <v>3.78</v>
      </c>
      <c r="G22" s="247">
        <v>21.788</v>
      </c>
      <c r="H22" s="247">
        <v>-14.94</v>
      </c>
      <c r="I22" s="247">
        <v>4.016</v>
      </c>
      <c r="J22" s="247">
        <v>3.73</v>
      </c>
      <c r="K22" s="247">
        <v>4.5620000000000003</v>
      </c>
      <c r="L22" s="248">
        <v>4.0629999999999997</v>
      </c>
      <c r="M22" s="247">
        <v>3.5179999999999998</v>
      </c>
      <c r="N22" s="249">
        <f t="shared" si="0"/>
        <v>10.874999999999996</v>
      </c>
      <c r="O22" s="250">
        <v>0</v>
      </c>
      <c r="P22" s="251" t="s">
        <v>74</v>
      </c>
    </row>
    <row r="23" spans="1:18" x14ac:dyDescent="0.2">
      <c r="A23" s="246" t="s">
        <v>155</v>
      </c>
      <c r="B23" s="247">
        <v>0</v>
      </c>
      <c r="C23" s="247">
        <v>0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8">
        <v>0</v>
      </c>
      <c r="M23" s="247">
        <v>0</v>
      </c>
      <c r="N23" s="249">
        <f t="shared" si="0"/>
        <v>0</v>
      </c>
      <c r="O23" s="250">
        <v>0</v>
      </c>
      <c r="P23" s="251" t="s">
        <v>74</v>
      </c>
    </row>
    <row r="24" spans="1:18" s="253" customFormat="1" x14ac:dyDescent="0.2">
      <c r="A24" s="246" t="s">
        <v>102</v>
      </c>
      <c r="B24" s="247">
        <v>4.9000000000000002E-2</v>
      </c>
      <c r="C24" s="247">
        <v>0.13100000000000001</v>
      </c>
      <c r="D24" s="247">
        <v>9.7000000000000003E-2</v>
      </c>
      <c r="E24" s="247">
        <v>0.109</v>
      </c>
      <c r="F24" s="247">
        <v>7.8E-2</v>
      </c>
      <c r="G24" s="247">
        <v>7.9000000000000001E-2</v>
      </c>
      <c r="H24" s="247">
        <v>8.4000000000000005E-2</v>
      </c>
      <c r="I24" s="247">
        <v>7.5999999999999998E-2</v>
      </c>
      <c r="J24" s="247">
        <v>4.1000000000000002E-2</v>
      </c>
      <c r="K24" s="247">
        <v>4.7E-2</v>
      </c>
      <c r="L24" s="248">
        <v>0</v>
      </c>
      <c r="M24" s="247">
        <v>0.22600000000000001</v>
      </c>
      <c r="N24" s="249">
        <f t="shared" si="0"/>
        <v>1.0170000000000001</v>
      </c>
      <c r="O24" s="250">
        <v>0</v>
      </c>
      <c r="P24" s="251" t="s">
        <v>74</v>
      </c>
      <c r="Q24" s="226"/>
      <c r="R24" s="226"/>
    </row>
    <row r="25" spans="1:18" s="253" customFormat="1" x14ac:dyDescent="0.2">
      <c r="A25" s="246" t="s">
        <v>103</v>
      </c>
      <c r="B25" s="247">
        <v>800.98599999999999</v>
      </c>
      <c r="C25" s="247">
        <v>11.757999999999999</v>
      </c>
      <c r="D25" s="247">
        <v>621.60199999999998</v>
      </c>
      <c r="E25" s="247">
        <v>-577.95100000000002</v>
      </c>
      <c r="F25" s="247">
        <v>359.089</v>
      </c>
      <c r="G25" s="247">
        <v>760.82799999999997</v>
      </c>
      <c r="H25" s="247">
        <v>147.44</v>
      </c>
      <c r="I25" s="247">
        <v>155.44399999999999</v>
      </c>
      <c r="J25" s="247">
        <v>151.45500000000001</v>
      </c>
      <c r="K25" s="247">
        <v>153.08600000000001</v>
      </c>
      <c r="L25" s="248">
        <v>441.77</v>
      </c>
      <c r="M25" s="247">
        <v>145.30799999999999</v>
      </c>
      <c r="N25" s="249">
        <f t="shared" si="0"/>
        <v>3170.8150000000001</v>
      </c>
      <c r="O25" s="250">
        <v>0</v>
      </c>
      <c r="P25" s="251" t="s">
        <v>74</v>
      </c>
      <c r="Q25" s="226"/>
      <c r="R25" s="226"/>
    </row>
    <row r="26" spans="1:18" s="253" customFormat="1" x14ac:dyDescent="0.2">
      <c r="A26" s="246" t="s">
        <v>104</v>
      </c>
      <c r="B26" s="247">
        <v>5.4509999999999996</v>
      </c>
      <c r="C26" s="247">
        <v>8.3800000000000008</v>
      </c>
      <c r="D26" s="247">
        <v>7.9550000000000001</v>
      </c>
      <c r="E26" s="247">
        <v>12.404</v>
      </c>
      <c r="F26" s="247">
        <v>9.7520000000000007</v>
      </c>
      <c r="G26" s="247">
        <v>11.253</v>
      </c>
      <c r="H26" s="247">
        <v>9.2949999999999999</v>
      </c>
      <c r="I26" s="247">
        <v>11.707000000000001</v>
      </c>
      <c r="J26" s="247">
        <v>9.3539999999999992</v>
      </c>
      <c r="K26" s="247">
        <v>10.956</v>
      </c>
      <c r="L26" s="248">
        <v>8.375</v>
      </c>
      <c r="M26" s="247">
        <v>5.883</v>
      </c>
      <c r="N26" s="249">
        <f t="shared" si="0"/>
        <v>110.765</v>
      </c>
      <c r="O26" s="250">
        <v>0</v>
      </c>
      <c r="P26" s="251" t="s">
        <v>74</v>
      </c>
      <c r="Q26" s="226"/>
      <c r="R26" s="226"/>
    </row>
    <row r="27" spans="1:18" s="253" customFormat="1" x14ac:dyDescent="0.2">
      <c r="A27" s="246" t="s">
        <v>238</v>
      </c>
      <c r="B27" s="247">
        <v>21.483000000000001</v>
      </c>
      <c r="C27" s="247">
        <v>15.532999999999999</v>
      </c>
      <c r="D27" s="247">
        <v>157.91300000000001</v>
      </c>
      <c r="E27" s="247">
        <v>29.904</v>
      </c>
      <c r="F27" s="247">
        <v>68.838999999999999</v>
      </c>
      <c r="G27" s="247">
        <v>84.885999999999996</v>
      </c>
      <c r="H27" s="247">
        <v>104.194</v>
      </c>
      <c r="I27" s="247">
        <v>158.66499999999999</v>
      </c>
      <c r="J27" s="247">
        <v>118.172</v>
      </c>
      <c r="K27" s="247">
        <v>71.742000000000004</v>
      </c>
      <c r="L27" s="248">
        <v>21.689</v>
      </c>
      <c r="M27" s="247">
        <v>232.858</v>
      </c>
      <c r="N27" s="249">
        <f t="shared" si="0"/>
        <v>1085.8779999999999</v>
      </c>
      <c r="O27" s="250">
        <v>0</v>
      </c>
      <c r="P27" s="251" t="s">
        <v>74</v>
      </c>
      <c r="Q27" s="226"/>
      <c r="R27" s="226"/>
    </row>
    <row r="28" spans="1:18" s="253" customFormat="1" x14ac:dyDescent="0.2">
      <c r="A28" s="246" t="s">
        <v>239</v>
      </c>
      <c r="B28" s="247">
        <v>4.4790000000000001</v>
      </c>
      <c r="C28" s="247">
        <v>3.8</v>
      </c>
      <c r="D28" s="247">
        <v>4.7919999999999998</v>
      </c>
      <c r="E28" s="247">
        <v>8.7780000000000005</v>
      </c>
      <c r="F28" s="247">
        <v>19.021000000000001</v>
      </c>
      <c r="G28" s="247">
        <v>79.69</v>
      </c>
      <c r="H28" s="247">
        <v>27.382000000000001</v>
      </c>
      <c r="I28" s="247">
        <v>7.7130000000000001</v>
      </c>
      <c r="J28" s="247">
        <v>17.271000000000001</v>
      </c>
      <c r="K28" s="247">
        <v>53.982999999999997</v>
      </c>
      <c r="L28" s="248">
        <v>11.212</v>
      </c>
      <c r="M28" s="247">
        <v>63.027999999999999</v>
      </c>
      <c r="N28" s="249">
        <f t="shared" si="0"/>
        <v>301.149</v>
      </c>
      <c r="O28" s="250">
        <v>0</v>
      </c>
      <c r="P28" s="251" t="s">
        <v>74</v>
      </c>
      <c r="Q28" s="226"/>
      <c r="R28" s="226"/>
    </row>
    <row r="29" spans="1:18" s="253" customFormat="1" x14ac:dyDescent="0.2">
      <c r="A29" s="246" t="s">
        <v>240</v>
      </c>
      <c r="B29" s="247">
        <v>3.4089999999999998</v>
      </c>
      <c r="C29" s="247">
        <v>2.7309999999999999</v>
      </c>
      <c r="D29" s="247">
        <v>3.3130000000000002</v>
      </c>
      <c r="E29" s="247">
        <v>-0.54300000000000004</v>
      </c>
      <c r="F29" s="247">
        <v>11.807</v>
      </c>
      <c r="G29" s="247">
        <v>2.5819999999999999</v>
      </c>
      <c r="H29" s="247">
        <v>5.39</v>
      </c>
      <c r="I29" s="247">
        <v>5.62</v>
      </c>
      <c r="J29" s="247">
        <v>8.8070000000000004</v>
      </c>
      <c r="K29" s="247">
        <v>3.53</v>
      </c>
      <c r="L29" s="248">
        <v>0.16600000000000001</v>
      </c>
      <c r="M29" s="247">
        <v>-4.9569999999999999</v>
      </c>
      <c r="N29" s="249">
        <f t="shared" si="0"/>
        <v>41.854999999999997</v>
      </c>
      <c r="O29" s="250">
        <v>0</v>
      </c>
      <c r="P29" s="251" t="s">
        <v>74</v>
      </c>
      <c r="Q29" s="226"/>
      <c r="R29" s="226"/>
    </row>
    <row r="30" spans="1:18" s="253" customFormat="1" x14ac:dyDescent="0.2">
      <c r="A30" s="246" t="s">
        <v>242</v>
      </c>
      <c r="B30" s="247">
        <v>0</v>
      </c>
      <c r="C30" s="247">
        <v>0</v>
      </c>
      <c r="D30" s="247">
        <v>0</v>
      </c>
      <c r="E30" s="247">
        <v>0</v>
      </c>
      <c r="F30" s="247">
        <v>0</v>
      </c>
      <c r="G30" s="247">
        <v>0</v>
      </c>
      <c r="H30" s="247">
        <v>0</v>
      </c>
      <c r="I30" s="247">
        <v>0</v>
      </c>
      <c r="J30" s="247">
        <v>0</v>
      </c>
      <c r="K30" s="247">
        <v>0</v>
      </c>
      <c r="L30" s="248">
        <v>0</v>
      </c>
      <c r="M30" s="247">
        <v>0</v>
      </c>
      <c r="N30" s="249">
        <f t="shared" si="0"/>
        <v>0</v>
      </c>
      <c r="O30" s="250">
        <v>0</v>
      </c>
      <c r="P30" s="251" t="s">
        <v>74</v>
      </c>
      <c r="Q30" s="226"/>
      <c r="R30" s="226"/>
    </row>
    <row r="31" spans="1:18" s="253" customFormat="1" ht="14.25" x14ac:dyDescent="0.2">
      <c r="A31" s="246" t="s">
        <v>290</v>
      </c>
      <c r="B31" s="247">
        <v>0</v>
      </c>
      <c r="C31" s="247">
        <v>0</v>
      </c>
      <c r="D31" s="247">
        <v>1439.9880000000001</v>
      </c>
      <c r="E31" s="247">
        <v>0</v>
      </c>
      <c r="F31" s="247">
        <v>0</v>
      </c>
      <c r="G31" s="247">
        <v>0</v>
      </c>
      <c r="H31" s="247">
        <v>1431</v>
      </c>
      <c r="I31" s="247">
        <v>0</v>
      </c>
      <c r="J31" s="247">
        <v>0</v>
      </c>
      <c r="K31" s="247">
        <v>0</v>
      </c>
      <c r="L31" s="248">
        <v>9</v>
      </c>
      <c r="M31" s="247">
        <f>1440-1440</f>
        <v>0</v>
      </c>
      <c r="N31" s="249">
        <f t="shared" si="0"/>
        <v>2879.9880000000003</v>
      </c>
      <c r="O31" s="250">
        <v>0</v>
      </c>
      <c r="P31" s="251" t="s">
        <v>74</v>
      </c>
      <c r="Q31" s="226"/>
      <c r="R31" s="226"/>
    </row>
    <row r="32" spans="1:18" s="253" customFormat="1" x14ac:dyDescent="0.2">
      <c r="A32" s="246" t="s">
        <v>243</v>
      </c>
      <c r="B32" s="247">
        <v>24.649000000000001</v>
      </c>
      <c r="C32" s="247">
        <v>29.96</v>
      </c>
      <c r="D32" s="247">
        <v>51.512</v>
      </c>
      <c r="E32" s="247">
        <v>137.63399999999999</v>
      </c>
      <c r="F32" s="247">
        <v>108.273</v>
      </c>
      <c r="G32" s="247">
        <v>107.18899999999999</v>
      </c>
      <c r="H32" s="247">
        <v>101.854</v>
      </c>
      <c r="I32" s="247">
        <v>52.048000000000002</v>
      </c>
      <c r="J32" s="247">
        <v>69.486000000000004</v>
      </c>
      <c r="K32" s="247">
        <v>69.911000000000001</v>
      </c>
      <c r="L32" s="248">
        <v>49.317999999999998</v>
      </c>
      <c r="M32" s="247">
        <v>116.77800000000001</v>
      </c>
      <c r="N32" s="249">
        <f t="shared" si="0"/>
        <v>918.61200000000008</v>
      </c>
      <c r="O32" s="250">
        <v>0</v>
      </c>
      <c r="P32" s="251" t="s">
        <v>74</v>
      </c>
      <c r="Q32" s="226"/>
      <c r="R32" s="226"/>
    </row>
    <row r="33" spans="1:18" s="253" customFormat="1" x14ac:dyDescent="0.2">
      <c r="A33" s="246" t="s">
        <v>241</v>
      </c>
      <c r="B33" s="247">
        <v>0</v>
      </c>
      <c r="C33" s="247">
        <v>0</v>
      </c>
      <c r="D33" s="247">
        <v>0</v>
      </c>
      <c r="E33" s="247">
        <v>0</v>
      </c>
      <c r="F33" s="247">
        <v>115.875</v>
      </c>
      <c r="G33" s="247">
        <v>0</v>
      </c>
      <c r="H33" s="247">
        <v>0</v>
      </c>
      <c r="I33" s="247">
        <v>66.188000000000002</v>
      </c>
      <c r="J33" s="247">
        <v>0</v>
      </c>
      <c r="K33" s="247">
        <v>0</v>
      </c>
      <c r="L33" s="248">
        <v>66.186999999999998</v>
      </c>
      <c r="M33" s="247">
        <v>0</v>
      </c>
      <c r="N33" s="249">
        <f t="shared" si="0"/>
        <v>248.25</v>
      </c>
      <c r="O33" s="250">
        <v>0</v>
      </c>
      <c r="P33" s="251" t="s">
        <v>74</v>
      </c>
      <c r="Q33" s="226"/>
      <c r="R33" s="226"/>
    </row>
    <row r="34" spans="1:18" s="253" customFormat="1" x14ac:dyDescent="0.2">
      <c r="A34" s="246" t="s">
        <v>65</v>
      </c>
      <c r="B34" s="247">
        <v>0</v>
      </c>
      <c r="C34" s="247">
        <v>0</v>
      </c>
      <c r="D34" s="247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8">
        <v>0</v>
      </c>
      <c r="M34" s="247">
        <v>0</v>
      </c>
      <c r="N34" s="249">
        <f t="shared" si="0"/>
        <v>0</v>
      </c>
      <c r="O34" s="250">
        <v>0</v>
      </c>
      <c r="P34" s="251" t="s">
        <v>74</v>
      </c>
      <c r="Q34" s="226"/>
      <c r="R34" s="226"/>
    </row>
    <row r="35" spans="1:18" s="253" customFormat="1" x14ac:dyDescent="0.2">
      <c r="A35" s="246" t="s">
        <v>105</v>
      </c>
      <c r="B35" s="247">
        <v>0</v>
      </c>
      <c r="C35" s="247">
        <v>0</v>
      </c>
      <c r="D35" s="247">
        <v>0</v>
      </c>
      <c r="E35" s="247">
        <v>0</v>
      </c>
      <c r="F35" s="247">
        <v>0</v>
      </c>
      <c r="G35" s="247">
        <v>0</v>
      </c>
      <c r="H35" s="247">
        <v>0</v>
      </c>
      <c r="I35" s="247">
        <v>0</v>
      </c>
      <c r="J35" s="247">
        <v>0</v>
      </c>
      <c r="K35" s="247">
        <v>0</v>
      </c>
      <c r="L35" s="248">
        <v>0</v>
      </c>
      <c r="M35" s="247">
        <v>0</v>
      </c>
      <c r="N35" s="249">
        <f t="shared" si="0"/>
        <v>0</v>
      </c>
      <c r="O35" s="250">
        <v>0</v>
      </c>
      <c r="P35" s="251" t="s">
        <v>74</v>
      </c>
      <c r="Q35" s="226"/>
      <c r="R35" s="226"/>
    </row>
    <row r="36" spans="1:18" s="253" customFormat="1" x14ac:dyDescent="0.2">
      <c r="A36" s="246" t="s">
        <v>160</v>
      </c>
      <c r="B36" s="247">
        <v>16.5</v>
      </c>
      <c r="C36" s="247">
        <v>32.526000000000003</v>
      </c>
      <c r="D36" s="247">
        <v>58.537999999999997</v>
      </c>
      <c r="E36" s="247">
        <v>66.926000000000002</v>
      </c>
      <c r="F36" s="247">
        <v>133.13</v>
      </c>
      <c r="G36" s="247">
        <v>110.756</v>
      </c>
      <c r="H36" s="247">
        <v>27.887</v>
      </c>
      <c r="I36" s="247">
        <v>99.822000000000003</v>
      </c>
      <c r="J36" s="247">
        <v>85.533000000000001</v>
      </c>
      <c r="K36" s="247">
        <v>274.875</v>
      </c>
      <c r="L36" s="248">
        <v>33.295000000000002</v>
      </c>
      <c r="M36" s="247">
        <v>29.306999999999999</v>
      </c>
      <c r="N36" s="254">
        <f t="shared" si="0"/>
        <v>969.09500000000003</v>
      </c>
      <c r="O36" s="250">
        <v>0</v>
      </c>
      <c r="P36" s="251" t="s">
        <v>74</v>
      </c>
      <c r="Q36" s="226"/>
      <c r="R36" s="226"/>
    </row>
    <row r="37" spans="1:18" s="253" customFormat="1" x14ac:dyDescent="0.2">
      <c r="A37" s="246" t="s">
        <v>159</v>
      </c>
      <c r="B37" s="247">
        <v>58.316000000000003</v>
      </c>
      <c r="C37" s="247">
        <v>76.393000000000001</v>
      </c>
      <c r="D37" s="247">
        <v>91.382999999999996</v>
      </c>
      <c r="E37" s="247">
        <v>71.096000000000004</v>
      </c>
      <c r="F37" s="247">
        <v>82.733999999999995</v>
      </c>
      <c r="G37" s="247">
        <v>78.561000000000007</v>
      </c>
      <c r="H37" s="247">
        <v>48.796999999999997</v>
      </c>
      <c r="I37" s="247">
        <v>75.197000000000003</v>
      </c>
      <c r="J37" s="247">
        <v>55.481999999999999</v>
      </c>
      <c r="K37" s="247">
        <v>64.108999999999995</v>
      </c>
      <c r="L37" s="248">
        <v>53.03</v>
      </c>
      <c r="M37" s="247">
        <v>39.86</v>
      </c>
      <c r="N37" s="254">
        <f t="shared" si="0"/>
        <v>794.95799999999997</v>
      </c>
      <c r="O37" s="247"/>
      <c r="P37" s="251"/>
      <c r="Q37" s="226"/>
      <c r="R37" s="226"/>
    </row>
    <row r="38" spans="1:18" x14ac:dyDescent="0.2">
      <c r="A38" s="255" t="s">
        <v>106</v>
      </c>
      <c r="B38" s="256">
        <f t="shared" ref="B38:N38" si="1">SUM(B6:B37)</f>
        <v>1238.1000000000001</v>
      </c>
      <c r="C38" s="256">
        <f t="shared" si="1"/>
        <v>296.93400000000003</v>
      </c>
      <c r="D38" s="256">
        <f t="shared" si="1"/>
        <v>2568.7190000000001</v>
      </c>
      <c r="E38" s="256">
        <f t="shared" si="1"/>
        <v>1367.91</v>
      </c>
      <c r="F38" s="256">
        <f t="shared" si="1"/>
        <v>1288.8420000000001</v>
      </c>
      <c r="G38" s="256">
        <f t="shared" si="1"/>
        <v>-2.0980000000003258</v>
      </c>
      <c r="H38" s="256">
        <f t="shared" si="1"/>
        <v>2195.0189999999998</v>
      </c>
      <c r="I38" s="256">
        <f t="shared" si="1"/>
        <v>896.13699999999994</v>
      </c>
      <c r="J38" s="256">
        <f t="shared" si="1"/>
        <v>769.50699999999995</v>
      </c>
      <c r="K38" s="256">
        <f t="shared" si="1"/>
        <v>926.88600000000008</v>
      </c>
      <c r="L38" s="256">
        <f t="shared" si="1"/>
        <v>1701.6619999999998</v>
      </c>
      <c r="M38" s="256">
        <f t="shared" si="1"/>
        <v>837.72500000000002</v>
      </c>
      <c r="N38" s="257">
        <f t="shared" si="1"/>
        <v>14085.343000000001</v>
      </c>
      <c r="O38" s="256">
        <f>SUM(O6:O24)</f>
        <v>0</v>
      </c>
      <c r="P38" s="258" t="s">
        <v>74</v>
      </c>
    </row>
    <row r="39" spans="1:18" ht="13.5" customHeight="1" x14ac:dyDescent="0.2">
      <c r="A39" s="259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9"/>
      <c r="O39" s="250"/>
      <c r="P39" s="260"/>
      <c r="Q39" s="261"/>
      <c r="R39" s="247"/>
    </row>
    <row r="40" spans="1:18" x14ac:dyDescent="0.2">
      <c r="A40" s="244" t="s">
        <v>107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9"/>
      <c r="O40" s="250"/>
      <c r="P40" s="260"/>
    </row>
    <row r="41" spans="1:18" x14ac:dyDescent="0.2">
      <c r="A41" s="246" t="s">
        <v>96</v>
      </c>
      <c r="B41" s="247">
        <v>0</v>
      </c>
      <c r="C41" s="247">
        <v>0</v>
      </c>
      <c r="D41" s="247">
        <v>0</v>
      </c>
      <c r="E41" s="247">
        <v>0</v>
      </c>
      <c r="F41" s="247">
        <v>0</v>
      </c>
      <c r="G41" s="247">
        <v>0</v>
      </c>
      <c r="H41" s="247">
        <v>0</v>
      </c>
      <c r="I41" s="247">
        <v>0</v>
      </c>
      <c r="J41" s="247">
        <v>0</v>
      </c>
      <c r="K41" s="247">
        <v>0</v>
      </c>
      <c r="L41" s="247">
        <v>0</v>
      </c>
      <c r="M41" s="247">
        <v>0</v>
      </c>
      <c r="N41" s="249">
        <f>B41+C41+D41+E41+F41+G41+H41+I41+J41+K41+L41+M41</f>
        <v>0</v>
      </c>
      <c r="O41" s="250">
        <v>0</v>
      </c>
      <c r="P41" s="251" t="s">
        <v>74</v>
      </c>
    </row>
    <row r="42" spans="1:18" x14ac:dyDescent="0.2">
      <c r="A42" s="246" t="s">
        <v>108</v>
      </c>
      <c r="B42" s="247">
        <v>0</v>
      </c>
      <c r="C42" s="247">
        <v>0</v>
      </c>
      <c r="D42" s="247">
        <v>0</v>
      </c>
      <c r="E42" s="247">
        <v>0</v>
      </c>
      <c r="F42" s="247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249">
        <f>B42+C42+D42+E42+F42+G42+H42+I42+J42+K42+L42+M42</f>
        <v>0</v>
      </c>
      <c r="O42" s="250">
        <v>0</v>
      </c>
      <c r="P42" s="251" t="s">
        <v>74</v>
      </c>
    </row>
    <row r="43" spans="1:18" x14ac:dyDescent="0.2">
      <c r="A43" s="255" t="s">
        <v>109</v>
      </c>
      <c r="B43" s="262">
        <f t="shared" ref="B43:I43" si="2">SUM(B41:B42)</f>
        <v>0</v>
      </c>
      <c r="C43" s="262">
        <f t="shared" si="2"/>
        <v>0</v>
      </c>
      <c r="D43" s="262">
        <f t="shared" si="2"/>
        <v>0</v>
      </c>
      <c r="E43" s="262">
        <f t="shared" si="2"/>
        <v>0</v>
      </c>
      <c r="F43" s="262">
        <f t="shared" si="2"/>
        <v>0</v>
      </c>
      <c r="G43" s="262">
        <f t="shared" si="2"/>
        <v>0</v>
      </c>
      <c r="H43" s="262">
        <f t="shared" si="2"/>
        <v>0</v>
      </c>
      <c r="I43" s="262">
        <f t="shared" si="2"/>
        <v>0</v>
      </c>
      <c r="J43" s="262">
        <v>0</v>
      </c>
      <c r="K43" s="262">
        <f>SUM(K41:K42)</f>
        <v>0</v>
      </c>
      <c r="L43" s="262">
        <f>SUM(L41:L42)</f>
        <v>0</v>
      </c>
      <c r="M43" s="262">
        <f>SUM(M41:M42)</f>
        <v>0</v>
      </c>
      <c r="N43" s="263">
        <f>B43+C43+D43+E43+F43+G43+H43+I43+J43+K43+L43+M43</f>
        <v>0</v>
      </c>
      <c r="O43" s="264">
        <f>SUM(O41:O42)</f>
        <v>0</v>
      </c>
      <c r="P43" s="258" t="s">
        <v>74</v>
      </c>
    </row>
    <row r="44" spans="1:18" x14ac:dyDescent="0.2">
      <c r="A44" s="259" t="s">
        <v>13</v>
      </c>
      <c r="B44" s="247"/>
      <c r="C44" s="247"/>
      <c r="D44" s="247"/>
      <c r="E44" s="247"/>
      <c r="F44" s="247"/>
      <c r="G44" s="247"/>
      <c r="H44" s="247"/>
      <c r="I44" s="247"/>
      <c r="K44" s="247"/>
      <c r="L44" s="247"/>
      <c r="M44" s="247"/>
      <c r="N44" s="249"/>
      <c r="O44" s="250"/>
      <c r="P44" s="260"/>
    </row>
    <row r="45" spans="1:18" x14ac:dyDescent="0.2">
      <c r="A45" s="244" t="s">
        <v>110</v>
      </c>
      <c r="B45" s="247"/>
      <c r="C45" s="247"/>
      <c r="D45" s="247"/>
      <c r="E45" s="247"/>
      <c r="F45" s="247"/>
      <c r="H45" s="247"/>
      <c r="I45" s="247"/>
      <c r="K45" s="265"/>
      <c r="L45" s="247"/>
      <c r="M45" s="247"/>
      <c r="N45" s="249" t="s">
        <v>13</v>
      </c>
      <c r="O45" s="250"/>
      <c r="P45" s="260"/>
    </row>
    <row r="46" spans="1:18" x14ac:dyDescent="0.2">
      <c r="A46" s="246" t="s">
        <v>163</v>
      </c>
      <c r="B46" s="247">
        <v>10.516</v>
      </c>
      <c r="C46" s="247">
        <v>-10.516</v>
      </c>
      <c r="D46" s="247">
        <v>0</v>
      </c>
      <c r="E46" s="247">
        <v>0</v>
      </c>
      <c r="F46" s="247">
        <v>0</v>
      </c>
      <c r="G46" s="247">
        <v>0</v>
      </c>
      <c r="H46" s="247">
        <v>0</v>
      </c>
      <c r="I46" s="247">
        <v>5.2089999999999996</v>
      </c>
      <c r="J46" s="247">
        <v>-5.2</v>
      </c>
      <c r="K46" s="247">
        <v>0</v>
      </c>
      <c r="L46" s="247">
        <v>0</v>
      </c>
      <c r="M46" s="247">
        <v>0</v>
      </c>
      <c r="N46" s="249">
        <f>B46+C46+D46+E46+F46+G46+H46+I46+J46+K46+L46+M46</f>
        <v>8.9999999999994529E-3</v>
      </c>
      <c r="O46" s="266">
        <v>0</v>
      </c>
      <c r="P46" s="251" t="s">
        <v>74</v>
      </c>
    </row>
    <row r="47" spans="1:18" x14ac:dyDescent="0.2">
      <c r="A47" s="246" t="s">
        <v>112</v>
      </c>
      <c r="B47" s="247">
        <v>75.997</v>
      </c>
      <c r="C47" s="247">
        <v>159.886</v>
      </c>
      <c r="D47" s="247">
        <v>174.20400000000001</v>
      </c>
      <c r="E47" s="247">
        <v>151.66900000000001</v>
      </c>
      <c r="F47" s="247">
        <v>64.87</v>
      </c>
      <c r="G47" s="247">
        <v>86.215999999999994</v>
      </c>
      <c r="H47" s="247">
        <v>265.70600000000002</v>
      </c>
      <c r="I47" s="247">
        <v>45.892000000000003</v>
      </c>
      <c r="J47" s="247">
        <v>56.83</v>
      </c>
      <c r="K47" s="247">
        <v>25.407</v>
      </c>
      <c r="L47" s="248">
        <v>-672.50199999999995</v>
      </c>
      <c r="M47" s="247">
        <v>191.70500000000001</v>
      </c>
      <c r="N47" s="249">
        <f>B47+C47+D47+E47+F47+G47+H47+I47+J47+K47+L47+M47</f>
        <v>625.88</v>
      </c>
      <c r="O47" s="266">
        <v>0</v>
      </c>
      <c r="P47" s="251" t="s">
        <v>74</v>
      </c>
    </row>
    <row r="48" spans="1:18" x14ac:dyDescent="0.2">
      <c r="A48" s="267" t="s">
        <v>113</v>
      </c>
      <c r="B48" s="262">
        <f t="shared" ref="B48:O48" si="3">SUM(B46:B47)</f>
        <v>86.513000000000005</v>
      </c>
      <c r="C48" s="262">
        <f t="shared" si="3"/>
        <v>149.37</v>
      </c>
      <c r="D48" s="262">
        <f t="shared" si="3"/>
        <v>174.20400000000001</v>
      </c>
      <c r="E48" s="262">
        <f t="shared" si="3"/>
        <v>151.66900000000001</v>
      </c>
      <c r="F48" s="262">
        <f t="shared" si="3"/>
        <v>64.87</v>
      </c>
      <c r="G48" s="262">
        <f t="shared" si="3"/>
        <v>86.215999999999994</v>
      </c>
      <c r="H48" s="262">
        <f t="shared" si="3"/>
        <v>265.70600000000002</v>
      </c>
      <c r="I48" s="262">
        <f t="shared" si="3"/>
        <v>51.100999999999999</v>
      </c>
      <c r="J48" s="262">
        <f t="shared" si="3"/>
        <v>51.629999999999995</v>
      </c>
      <c r="K48" s="262">
        <f t="shared" si="3"/>
        <v>25.407</v>
      </c>
      <c r="L48" s="262">
        <f t="shared" si="3"/>
        <v>-672.50199999999995</v>
      </c>
      <c r="M48" s="262">
        <f t="shared" si="3"/>
        <v>191.70500000000001</v>
      </c>
      <c r="N48" s="268">
        <f t="shared" si="3"/>
        <v>625.88900000000001</v>
      </c>
      <c r="O48" s="269">
        <f t="shared" si="3"/>
        <v>0</v>
      </c>
      <c r="P48" s="258" t="s">
        <v>74</v>
      </c>
    </row>
    <row r="49" spans="1:18" x14ac:dyDescent="0.2">
      <c r="A49" s="270"/>
      <c r="B49" s="247"/>
      <c r="C49" s="247"/>
      <c r="D49" s="247"/>
      <c r="E49" s="247"/>
      <c r="F49" s="247"/>
      <c r="G49" s="247"/>
      <c r="H49" s="247"/>
      <c r="I49" s="247"/>
      <c r="K49" s="247"/>
      <c r="L49" s="247"/>
      <c r="M49" s="247"/>
      <c r="N49" s="249"/>
      <c r="O49" s="250"/>
      <c r="P49" s="260"/>
    </row>
    <row r="50" spans="1:18" s="253" customFormat="1" x14ac:dyDescent="0.2">
      <c r="A50" s="244" t="s">
        <v>88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9"/>
      <c r="O50" s="250"/>
      <c r="P50" s="260"/>
      <c r="Q50" s="226"/>
      <c r="R50" s="226"/>
    </row>
    <row r="51" spans="1:18" ht="14.25" x14ac:dyDescent="0.2">
      <c r="A51" s="246" t="s">
        <v>295</v>
      </c>
      <c r="B51" s="247">
        <v>0</v>
      </c>
      <c r="C51" s="247">
        <v>0</v>
      </c>
      <c r="D51" s="247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-1.4530000000000001</v>
      </c>
      <c r="J51" s="247">
        <v>68.8</v>
      </c>
      <c r="K51" s="247">
        <v>-10.538</v>
      </c>
      <c r="L51" s="248">
        <v>456.67</v>
      </c>
      <c r="M51" s="247">
        <v>1398.12</v>
      </c>
      <c r="N51" s="249">
        <f t="shared" ref="N51:N58" si="4">B51+C51+D51+E51+F51+G51+H51+I51+J51+K51+L51+M51</f>
        <v>1911.5989999999999</v>
      </c>
      <c r="O51" s="250">
        <v>0</v>
      </c>
      <c r="P51" s="251" t="s">
        <v>74</v>
      </c>
    </row>
    <row r="52" spans="1:18" x14ac:dyDescent="0.2">
      <c r="A52" s="246" t="s">
        <v>114</v>
      </c>
      <c r="B52" s="247">
        <v>2.2919999999999998</v>
      </c>
      <c r="C52" s="247">
        <v>2.9550000000000001</v>
      </c>
      <c r="D52" s="247">
        <v>2.8119999999999998</v>
      </c>
      <c r="E52" s="247">
        <v>3.45</v>
      </c>
      <c r="F52" s="247">
        <v>4.2140000000000004</v>
      </c>
      <c r="G52" s="247">
        <v>0</v>
      </c>
      <c r="H52" s="247">
        <v>8.1270000000000007</v>
      </c>
      <c r="I52" s="247">
        <v>0</v>
      </c>
      <c r="J52" s="247">
        <v>46.104999999999997</v>
      </c>
      <c r="K52" s="247">
        <v>39.305</v>
      </c>
      <c r="L52" s="247">
        <v>22.268999999999998</v>
      </c>
      <c r="M52" s="247">
        <v>3.7639999999999998</v>
      </c>
      <c r="N52" s="249">
        <f t="shared" si="4"/>
        <v>135.29300000000001</v>
      </c>
      <c r="O52" s="250">
        <v>0</v>
      </c>
      <c r="P52" s="251" t="s">
        <v>74</v>
      </c>
    </row>
    <row r="53" spans="1:18" x14ac:dyDescent="0.2">
      <c r="A53" s="246" t="s">
        <v>249</v>
      </c>
      <c r="B53" s="247">
        <v>0</v>
      </c>
      <c r="C53" s="247">
        <v>0</v>
      </c>
      <c r="D53" s="247">
        <v>0</v>
      </c>
      <c r="E53" s="247">
        <v>0</v>
      </c>
      <c r="F53" s="247">
        <v>0</v>
      </c>
      <c r="G53" s="247">
        <v>0</v>
      </c>
      <c r="H53" s="247">
        <v>0</v>
      </c>
      <c r="I53" s="247">
        <v>35.256</v>
      </c>
      <c r="J53" s="247">
        <v>0</v>
      </c>
      <c r="K53" s="247">
        <v>0</v>
      </c>
      <c r="L53" s="248">
        <v>9.3160000000000007</v>
      </c>
      <c r="M53" s="247">
        <v>0</v>
      </c>
      <c r="N53" s="249">
        <f t="shared" si="4"/>
        <v>44.572000000000003</v>
      </c>
      <c r="O53" s="250">
        <v>0</v>
      </c>
      <c r="P53" s="251" t="s">
        <v>74</v>
      </c>
    </row>
    <row r="54" spans="1:18" x14ac:dyDescent="0.2">
      <c r="A54" s="246" t="s">
        <v>98</v>
      </c>
      <c r="B54" s="247">
        <v>0</v>
      </c>
      <c r="C54" s="247">
        <v>0</v>
      </c>
      <c r="D54" s="247">
        <v>0</v>
      </c>
      <c r="E54" s="247">
        <v>0</v>
      </c>
      <c r="F54" s="247">
        <v>0</v>
      </c>
      <c r="G54" s="247">
        <v>55.988</v>
      </c>
      <c r="H54" s="247">
        <v>7.92</v>
      </c>
      <c r="I54" s="247">
        <v>0</v>
      </c>
      <c r="J54" s="247">
        <v>261.089</v>
      </c>
      <c r="K54" s="247">
        <v>0</v>
      </c>
      <c r="L54" s="248">
        <v>50.04</v>
      </c>
      <c r="M54" s="247">
        <v>49.46</v>
      </c>
      <c r="N54" s="249">
        <f t="shared" si="4"/>
        <v>424.49700000000001</v>
      </c>
      <c r="O54" s="250">
        <v>0</v>
      </c>
      <c r="P54" s="251" t="s">
        <v>74</v>
      </c>
    </row>
    <row r="55" spans="1:18" x14ac:dyDescent="0.2">
      <c r="A55" s="246" t="s">
        <v>183</v>
      </c>
      <c r="B55" s="247">
        <v>0</v>
      </c>
      <c r="C55" s="247">
        <v>0</v>
      </c>
      <c r="D55" s="247">
        <v>0</v>
      </c>
      <c r="E55" s="247">
        <v>0</v>
      </c>
      <c r="F55" s="247">
        <v>0</v>
      </c>
      <c r="G55" s="247">
        <v>1434.6010000000001</v>
      </c>
      <c r="H55" s="247">
        <v>0</v>
      </c>
      <c r="I55" s="247">
        <v>0</v>
      </c>
      <c r="J55" s="247">
        <v>0</v>
      </c>
      <c r="K55" s="247">
        <v>0.46</v>
      </c>
      <c r="L55" s="248">
        <v>0</v>
      </c>
      <c r="M55" s="247">
        <v>579.28300000000002</v>
      </c>
      <c r="N55" s="249">
        <f t="shared" si="4"/>
        <v>2014.3440000000001</v>
      </c>
      <c r="O55" s="250">
        <v>0</v>
      </c>
      <c r="P55" s="251" t="s">
        <v>74</v>
      </c>
    </row>
    <row r="56" spans="1:18" x14ac:dyDescent="0.2">
      <c r="A56" s="246" t="s">
        <v>239</v>
      </c>
      <c r="B56" s="247">
        <v>0</v>
      </c>
      <c r="C56" s="247">
        <v>0</v>
      </c>
      <c r="D56" s="247">
        <v>0</v>
      </c>
      <c r="E56" s="247">
        <v>0</v>
      </c>
      <c r="F56" s="247">
        <v>0</v>
      </c>
      <c r="G56" s="247">
        <v>0</v>
      </c>
      <c r="H56" s="247">
        <v>0</v>
      </c>
      <c r="I56" s="247">
        <v>0</v>
      </c>
      <c r="J56" s="247">
        <v>0</v>
      </c>
      <c r="K56" s="247">
        <v>35.503999999999998</v>
      </c>
      <c r="L56" s="248">
        <v>0</v>
      </c>
      <c r="M56" s="247">
        <v>0</v>
      </c>
      <c r="N56" s="249">
        <f t="shared" si="4"/>
        <v>35.503999999999998</v>
      </c>
      <c r="O56" s="250"/>
      <c r="P56" s="251"/>
    </row>
    <row r="57" spans="1:18" x14ac:dyDescent="0.2">
      <c r="A57" s="246" t="s">
        <v>115</v>
      </c>
      <c r="B57" s="247">
        <v>0</v>
      </c>
      <c r="C57" s="247">
        <v>0</v>
      </c>
      <c r="D57" s="247">
        <v>0</v>
      </c>
      <c r="E57" s="247">
        <v>0</v>
      </c>
      <c r="F57" s="247">
        <v>0</v>
      </c>
      <c r="G57" s="247">
        <v>0</v>
      </c>
      <c r="H57" s="247">
        <v>0</v>
      </c>
      <c r="I57" s="247">
        <v>0</v>
      </c>
      <c r="J57" s="247">
        <v>0</v>
      </c>
      <c r="K57" s="247">
        <v>0</v>
      </c>
      <c r="L57" s="248">
        <v>0</v>
      </c>
      <c r="M57" s="247">
        <v>0</v>
      </c>
      <c r="N57" s="249">
        <f t="shared" si="4"/>
        <v>0</v>
      </c>
      <c r="O57" s="250">
        <v>0</v>
      </c>
      <c r="P57" s="251" t="s">
        <v>74</v>
      </c>
    </row>
    <row r="58" spans="1:18" x14ac:dyDescent="0.2">
      <c r="A58" s="246" t="s">
        <v>111</v>
      </c>
      <c r="B58" s="247">
        <v>0.122</v>
      </c>
      <c r="C58" s="247">
        <v>0.17399999999999999</v>
      </c>
      <c r="D58" s="247">
        <v>0</v>
      </c>
      <c r="E58" s="247">
        <v>0.98799999999999999</v>
      </c>
      <c r="F58" s="247">
        <v>0.79800000000000004</v>
      </c>
      <c r="G58" s="247">
        <v>0</v>
      </c>
      <c r="H58" s="247">
        <v>0</v>
      </c>
      <c r="I58" s="247">
        <v>0.22800000000000001</v>
      </c>
      <c r="J58" s="247">
        <v>0.45500000000000002</v>
      </c>
      <c r="K58" s="247">
        <v>0.28599999999999998</v>
      </c>
      <c r="L58" s="248">
        <v>0</v>
      </c>
      <c r="M58" s="247">
        <v>2908.6</v>
      </c>
      <c r="N58" s="249">
        <f t="shared" si="4"/>
        <v>2911.6509999999998</v>
      </c>
      <c r="O58" s="250">
        <v>0</v>
      </c>
      <c r="P58" s="251" t="s">
        <v>74</v>
      </c>
    </row>
    <row r="59" spans="1:18" x14ac:dyDescent="0.2">
      <c r="A59" s="267" t="s">
        <v>90</v>
      </c>
      <c r="B59" s="262">
        <f t="shared" ref="B59:O59" si="5">SUM(B51:B58)</f>
        <v>2.4139999999999997</v>
      </c>
      <c r="C59" s="262">
        <f t="shared" si="5"/>
        <v>3.129</v>
      </c>
      <c r="D59" s="262">
        <f t="shared" si="5"/>
        <v>2.8119999999999998</v>
      </c>
      <c r="E59" s="262">
        <f t="shared" si="5"/>
        <v>4.4380000000000006</v>
      </c>
      <c r="F59" s="262">
        <f t="shared" si="5"/>
        <v>5.0120000000000005</v>
      </c>
      <c r="G59" s="262">
        <f t="shared" si="5"/>
        <v>1490.5890000000002</v>
      </c>
      <c r="H59" s="262">
        <f t="shared" si="5"/>
        <v>16.047000000000001</v>
      </c>
      <c r="I59" s="262">
        <f t="shared" si="5"/>
        <v>34.030999999999999</v>
      </c>
      <c r="J59" s="262">
        <f t="shared" si="5"/>
        <v>376.44900000000001</v>
      </c>
      <c r="K59" s="262">
        <f t="shared" si="5"/>
        <v>65.016999999999996</v>
      </c>
      <c r="L59" s="262">
        <f t="shared" si="5"/>
        <v>538.29499999999996</v>
      </c>
      <c r="M59" s="271">
        <f t="shared" si="5"/>
        <v>4939.2269999999999</v>
      </c>
      <c r="N59" s="272">
        <f t="shared" si="5"/>
        <v>7477.46</v>
      </c>
      <c r="O59" s="269">
        <f t="shared" si="5"/>
        <v>0</v>
      </c>
      <c r="P59" s="258" t="s">
        <v>74</v>
      </c>
    </row>
    <row r="60" spans="1:18" ht="30.2" customHeight="1" x14ac:dyDescent="0.2">
      <c r="A60" s="273" t="s">
        <v>116</v>
      </c>
      <c r="B60" s="262">
        <f t="shared" ref="B60:O60" si="6">+B59+B48+B43+B38</f>
        <v>1327.027</v>
      </c>
      <c r="C60" s="262">
        <f t="shared" si="6"/>
        <v>449.43299999999999</v>
      </c>
      <c r="D60" s="262">
        <f t="shared" si="6"/>
        <v>2745.7350000000001</v>
      </c>
      <c r="E60" s="262">
        <f t="shared" si="6"/>
        <v>1524.0170000000001</v>
      </c>
      <c r="F60" s="262">
        <f t="shared" si="6"/>
        <v>1358.7240000000002</v>
      </c>
      <c r="G60" s="262">
        <f t="shared" si="6"/>
        <v>1574.7069999999997</v>
      </c>
      <c r="H60" s="262">
        <f t="shared" si="6"/>
        <v>2476.7719999999999</v>
      </c>
      <c r="I60" s="262">
        <f t="shared" si="6"/>
        <v>981.26900000000001</v>
      </c>
      <c r="J60" s="262">
        <f t="shared" si="6"/>
        <v>1197.586</v>
      </c>
      <c r="K60" s="262">
        <f t="shared" si="6"/>
        <v>1017.3100000000001</v>
      </c>
      <c r="L60" s="262">
        <f t="shared" si="6"/>
        <v>1567.4549999999999</v>
      </c>
      <c r="M60" s="271">
        <f t="shared" si="6"/>
        <v>5968.6570000000002</v>
      </c>
      <c r="N60" s="268">
        <f t="shared" si="6"/>
        <v>22188.692000000003</v>
      </c>
      <c r="O60" s="264">
        <f t="shared" si="6"/>
        <v>0</v>
      </c>
      <c r="P60" s="258" t="s">
        <v>74</v>
      </c>
    </row>
    <row r="61" spans="1:18" ht="15.95" customHeight="1" x14ac:dyDescent="0.2">
      <c r="A61" s="274"/>
      <c r="B61" s="275"/>
      <c r="C61" s="262"/>
      <c r="D61" s="276"/>
      <c r="E61" s="276"/>
      <c r="F61" s="276"/>
      <c r="G61" s="276"/>
      <c r="H61" s="276"/>
      <c r="I61" s="276"/>
      <c r="J61" s="277"/>
      <c r="K61" s="276"/>
      <c r="L61" s="276"/>
      <c r="M61" s="276"/>
      <c r="N61" s="276"/>
      <c r="O61" s="275"/>
      <c r="P61" s="275"/>
    </row>
    <row r="62" spans="1:18" ht="30.2" customHeight="1" thickBot="1" x14ac:dyDescent="0.25">
      <c r="A62" s="278" t="s">
        <v>117</v>
      </c>
      <c r="B62" s="279">
        <v>1326.3</v>
      </c>
      <c r="C62" s="280">
        <v>454.75599999999997</v>
      </c>
      <c r="D62" s="325">
        <v>2751.1759999999999</v>
      </c>
      <c r="E62" s="325">
        <v>1529.6310000000001</v>
      </c>
      <c r="F62" s="325">
        <v>1364.4349999999999</v>
      </c>
      <c r="G62" s="415">
        <v>1579.5</v>
      </c>
      <c r="H62" s="327">
        <v>2482.6999999999998</v>
      </c>
      <c r="I62" s="327">
        <v>987.3</v>
      </c>
      <c r="J62" s="329">
        <v>1203.9000000000001</v>
      </c>
      <c r="K62" s="329">
        <v>1023.6</v>
      </c>
      <c r="L62" s="329">
        <v>1573.7929999999999</v>
      </c>
      <c r="M62" s="329">
        <v>7415.3</v>
      </c>
      <c r="N62" s="281">
        <f>SUM(B62:M62)</f>
        <v>23692.391</v>
      </c>
      <c r="O62" s="282"/>
      <c r="P62" s="283"/>
    </row>
    <row r="63" spans="1:18" x14ac:dyDescent="0.2">
      <c r="A63" s="226" t="s">
        <v>118</v>
      </c>
      <c r="G63" s="247"/>
      <c r="H63" s="247"/>
    </row>
    <row r="64" spans="1:18" x14ac:dyDescent="0.2">
      <c r="A64" s="226" t="s">
        <v>158</v>
      </c>
      <c r="B64" s="247"/>
      <c r="C64" s="247"/>
      <c r="D64" s="247"/>
      <c r="E64" s="247"/>
      <c r="F64" s="247"/>
      <c r="G64" s="247"/>
      <c r="H64" s="247"/>
      <c r="I64" s="247"/>
      <c r="J64" s="328"/>
      <c r="K64" s="247"/>
      <c r="L64" s="247"/>
      <c r="M64" s="247"/>
    </row>
    <row r="65" spans="1:26" ht="15" x14ac:dyDescent="0.25">
      <c r="A65" s="333" t="s">
        <v>25</v>
      </c>
      <c r="B65" s="330" t="s">
        <v>258</v>
      </c>
      <c r="C65" s="330"/>
      <c r="D65" s="334"/>
      <c r="E65" s="330"/>
      <c r="F65" s="332"/>
      <c r="G65" s="340"/>
      <c r="H65" s="332"/>
      <c r="I65" s="330"/>
      <c r="J65" s="340"/>
      <c r="K65" s="340"/>
      <c r="L65" s="340"/>
      <c r="M65" s="340"/>
      <c r="N65" s="330"/>
      <c r="O65" s="330"/>
      <c r="P65" s="331"/>
      <c r="Q65" s="330"/>
      <c r="R65" s="330"/>
      <c r="S65" s="330"/>
      <c r="T65" s="330"/>
      <c r="U65" s="330"/>
      <c r="V65" s="330"/>
      <c r="W65" s="330"/>
      <c r="X65" s="330"/>
      <c r="Y65" s="330"/>
      <c r="Z65" s="330"/>
    </row>
    <row r="66" spans="1:26" x14ac:dyDescent="0.2">
      <c r="A66" s="482" t="s">
        <v>156</v>
      </c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</row>
    <row r="67" spans="1:26" ht="14.25" x14ac:dyDescent="0.2">
      <c r="A67" s="226" t="s">
        <v>296</v>
      </c>
      <c r="B67" s="247"/>
      <c r="D67" s="247"/>
    </row>
    <row r="68" spans="1:26" ht="14.25" x14ac:dyDescent="0.2">
      <c r="A68" s="226" t="s">
        <v>289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</row>
    <row r="69" spans="1:26" ht="14.25" x14ac:dyDescent="0.2">
      <c r="A69" s="226" t="s">
        <v>291</v>
      </c>
    </row>
    <row r="71" spans="1:26" x14ac:dyDescent="0.2">
      <c r="L71" s="247"/>
    </row>
    <row r="72" spans="1:26" x14ac:dyDescent="0.2">
      <c r="C72" s="247"/>
    </row>
    <row r="73" spans="1:26" x14ac:dyDescent="0.2">
      <c r="C73" s="247"/>
      <c r="I73" s="247"/>
      <c r="M73" s="247"/>
      <c r="N73" s="247"/>
    </row>
  </sheetData>
  <mergeCells count="1">
    <mergeCell ref="A66:Z66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2014 Accounts Balance
$000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Program MW </vt:lpstr>
      <vt:lpstr>Ex ante LI &amp; Eligibility Stats</vt:lpstr>
      <vt:lpstr>Ex post LI &amp; Eligibility Stats</vt:lpstr>
      <vt:lpstr>TA-TI Distribution</vt:lpstr>
      <vt:lpstr>DRP Expenditures</vt:lpstr>
      <vt:lpstr>Marketing</vt:lpstr>
      <vt:lpstr>Fund Shift Log</vt:lpstr>
      <vt:lpstr>Event Summary</vt:lpstr>
      <vt:lpstr>SDGE Costs - AMDRMA Balance</vt:lpstr>
      <vt:lpstr>SDGE Costs -GRC </vt:lpstr>
      <vt:lpstr>'DRP Expenditures'!Print_Area</vt:lpstr>
      <vt:lpstr>'Event Summary'!Print_Area</vt:lpstr>
      <vt:lpstr>'Ex ante LI &amp; Eligibility Stats'!Print_Area</vt:lpstr>
      <vt:lpstr>'Ex post LI &amp; Eligibility Stats'!Print_Area</vt:lpstr>
      <vt:lpstr>Marketing!Print_Area</vt:lpstr>
      <vt:lpstr>'Program MW '!Print_Area</vt:lpstr>
      <vt:lpstr>'SDGE Costs - AMDRMA Balance'!Print_Area</vt:lpstr>
      <vt:lpstr>'SDGE Costs -GRC '!Print_Area</vt:lpstr>
    </vt:vector>
  </TitlesOfParts>
  <Company>Edison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MOBracke</cp:lastModifiedBy>
  <cp:lastPrinted>2014-12-15T21:26:44Z</cp:lastPrinted>
  <dcterms:created xsi:type="dcterms:W3CDTF">2001-06-12T23:12:10Z</dcterms:created>
  <dcterms:modified xsi:type="dcterms:W3CDTF">2015-01-21T16:46:14Z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BExAnalyzer_OldName">
    <vt:lpwstr>10 Oct 2014 CPUC Report.xlsx</vt:lpwstr>
  </property>
</Properties>
</file>